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tabRatio="745" activeTab="3"/>
  </bookViews>
  <sheets>
    <sheet name="77425包装MA " sheetId="24" r:id="rId1"/>
    <sheet name="77425明细 " sheetId="23" r:id="rId2"/>
    <sheet name="77485 S3 明细" sheetId="26" r:id="rId3"/>
    <sheet name="77770 S4 明细" sheetId="33" r:id="rId4"/>
    <sheet name="77912 S4减价版" sheetId="39" r:id="rId5"/>
    <sheet name="77485包装MA " sheetId="30" r:id="rId6"/>
    <sheet name="77770包装MA" sheetId="36" r:id="rId7"/>
    <sheet name="77912 包装MA" sheetId="43" r:id="rId8"/>
    <sheet name="77912 车缝" sheetId="41" r:id="rId9"/>
    <sheet name="77912 半成品" sheetId="40" r:id="rId10"/>
    <sheet name="77485车缝MA" sheetId="32" r:id="rId11"/>
    <sheet name="77485半成品MA" sheetId="29" r:id="rId12"/>
    <sheet name="77349-77425半成品MA" sheetId="18" state="hidden" r:id="rId13"/>
    <sheet name="77770车缝MA" sheetId="35" r:id="rId14"/>
    <sheet name="77770半成品MA" sheetId="34" r:id="rId15"/>
    <sheet name="取消单" sheetId="15" r:id="rId16"/>
    <sheet name="Sheet1" sheetId="37" r:id="rId17"/>
  </sheets>
  <externalReferences>
    <externalReference r:id="rId19"/>
    <externalReference r:id="rId20"/>
  </externalReferences>
  <definedNames>
    <definedName name="_xlnm._FilterDatabase" localSheetId="1" hidden="1">'77425明细 '!$A$1:$BJ$20</definedName>
    <definedName name="_xlnm._FilterDatabase" localSheetId="2" hidden="1">'77485 S3 明细'!$A$1:$DH$445</definedName>
    <definedName name="_xlnm._FilterDatabase" localSheetId="3" hidden="1">'77770 S4 明细'!$A$1:$DC$835</definedName>
    <definedName name="_xlnm._FilterDatabase" localSheetId="4" hidden="1">'77912 S4减价版'!$A$1:$BL$453</definedName>
    <definedName name="_xlnm._FilterDatabase" localSheetId="5" hidden="1">'77485包装MA '!$A$2:$AM$236</definedName>
    <definedName name="_xlnm._FilterDatabase" localSheetId="6" hidden="1">'77770包装MA'!$A$2:$AH$90</definedName>
    <definedName name="_xlnm._FilterDatabase" localSheetId="7" hidden="1">'77912 包装MA'!$A$2:$AH$18</definedName>
    <definedName name="_xlnm._FilterDatabase" localSheetId="10" hidden="1">'77485车缝MA'!$A$4:$AP$111</definedName>
    <definedName name="_xlnm._FilterDatabase" localSheetId="15" hidden="1">取消单!$A$1:$CS$251</definedName>
    <definedName name="_xlnm.Print_Area" localSheetId="1">'77425明细 '!$A$1:$AE$17</definedName>
    <definedName name="_xlnm.Print_Titles" localSheetId="1">'77425明细 '!$1:$1</definedName>
    <definedName name="_xlnm._FilterDatabase" localSheetId="0" hidden="1">'77425包装MA '!$A$2:$N$24</definedName>
    <definedName name="_xlnm.Print_Area" localSheetId="2">'77485 S3 明细'!$A$1:$AG$387</definedName>
    <definedName name="_xlnm.Print_Titles" localSheetId="2">'77485 S3 明细'!$1:$1</definedName>
    <definedName name="_xlnm._FilterDatabase" localSheetId="11" hidden="1">'77485半成品MA'!#REF!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D2" authorId="0">
      <text>
        <r>
          <rPr>
            <b/>
            <sz val="12"/>
            <rFont val="宋体"/>
            <charset val="134"/>
          </rPr>
          <t>Administrator:</t>
        </r>
        <r>
          <rPr>
            <sz val="12"/>
            <rFont val="宋体"/>
            <charset val="134"/>
          </rPr>
          <t xml:space="preserve">
0000450 1/3 24pcs 华兴三B14</t>
        </r>
      </text>
    </comment>
    <comment ref="AG2" authorId="0">
      <text>
        <r>
          <rPr>
            <b/>
            <sz val="12"/>
            <rFont val="宋体"/>
            <charset val="134"/>
          </rPr>
          <t>Administrator:</t>
        </r>
        <r>
          <rPr>
            <sz val="12"/>
            <rFont val="宋体"/>
            <charset val="134"/>
          </rPr>
          <t xml:space="preserve">
12/9 上进口商贴纸 24pcs
12/6 上亚马逊客供外箱贴纸 6pcs</t>
        </r>
      </text>
    </comment>
    <comment ref="AD3" authorId="0">
      <text>
        <r>
          <rPr>
            <b/>
            <sz val="12"/>
            <rFont val="宋体"/>
            <charset val="134"/>
          </rPr>
          <t>Administrator:</t>
        </r>
        <r>
          <rPr>
            <sz val="12"/>
            <rFont val="宋体"/>
            <charset val="134"/>
          </rPr>
          <t xml:space="preserve">
0000702 1/21 60pcs A栋一楼</t>
        </r>
      </text>
    </comment>
    <comment ref="AD4" authorId="0">
      <text>
        <r>
          <rPr>
            <b/>
            <sz val="9"/>
            <rFont val="宋体"/>
            <charset val="134"/>
          </rPr>
          <t>Administrator:</t>
        </r>
        <r>
          <rPr>
            <sz val="9"/>
            <rFont val="宋体"/>
            <charset val="134"/>
          </rPr>
          <t xml:space="preserve">
0000002 3/21 548pcs 华兴三B9</t>
        </r>
      </text>
    </comment>
    <comment ref="AD5" authorId="0">
      <text>
        <r>
          <rPr>
            <b/>
            <sz val="9"/>
            <rFont val="宋体"/>
            <charset val="134"/>
          </rPr>
          <t>Administrator:</t>
        </r>
        <r>
          <rPr>
            <sz val="9"/>
            <rFont val="宋体"/>
            <charset val="134"/>
          </rPr>
          <t xml:space="preserve">
0000002 3/21 548pcs 华兴三B9</t>
        </r>
      </text>
    </comment>
    <comment ref="AG5" authorId="0">
      <text>
        <r>
          <rPr>
            <b/>
            <sz val="12"/>
            <rFont val="宋体"/>
            <charset val="134"/>
          </rPr>
          <t>Administrator:</t>
        </r>
        <r>
          <rPr>
            <sz val="12"/>
            <rFont val="宋体"/>
            <charset val="134"/>
          </rPr>
          <t xml:space="preserve">
2/27 上警告语贴纸 548pcs</t>
        </r>
      </text>
    </comment>
    <comment ref="AD6" authorId="0">
      <text>
        <r>
          <rPr>
            <b/>
            <sz val="9"/>
            <rFont val="宋体"/>
            <charset val="134"/>
          </rPr>
          <t>Administrator:</t>
        </r>
        <r>
          <rPr>
            <sz val="9"/>
            <rFont val="宋体"/>
            <charset val="134"/>
          </rPr>
          <t xml:space="preserve">
2002547 6/6 92pcs 新仓库一A9
</t>
        </r>
      </text>
    </comment>
    <comment ref="AG6" authorId="0">
      <text>
        <r>
          <rPr>
            <b/>
            <sz val="12"/>
            <rFont val="宋体"/>
            <charset val="134"/>
          </rPr>
          <t>Administrator:</t>
        </r>
        <r>
          <rPr>
            <sz val="12"/>
            <rFont val="宋体"/>
            <charset val="134"/>
          </rPr>
          <t xml:space="preserve">
5/19 上进口商贴纸 156pcs
5/26 上客供亚马逊外箱贴纸 23pcs</t>
        </r>
      </text>
    </comment>
    <comment ref="AD7" authorId="0">
      <text>
        <r>
          <rPr>
            <b/>
            <sz val="9"/>
            <rFont val="宋体"/>
            <charset val="134"/>
          </rPr>
          <t>Administrator:</t>
        </r>
        <r>
          <rPr>
            <sz val="9"/>
            <rFont val="宋体"/>
            <charset val="134"/>
          </rPr>
          <t xml:space="preserve">
2002546 6/6 64pcs 新仓库一A10</t>
        </r>
      </text>
    </comment>
    <comment ref="AG7" authorId="0">
      <text>
        <r>
          <rPr>
            <b/>
            <sz val="12"/>
            <rFont val="宋体"/>
            <charset val="134"/>
          </rPr>
          <t>Administrator:</t>
        </r>
        <r>
          <rPr>
            <sz val="12"/>
            <rFont val="宋体"/>
            <charset val="134"/>
          </rPr>
          <t xml:space="preserve">
5/19 上进口商贴纸 156pcs
5/26 上客供亚马逊外箱贴纸 16pcs
</t>
        </r>
      </text>
    </comment>
    <comment ref="AD8" authorId="0">
      <text>
        <r>
          <rPr>
            <b/>
            <sz val="12"/>
            <rFont val="宋体"/>
            <charset val="134"/>
          </rPr>
          <t>Administrator:</t>
        </r>
        <r>
          <rPr>
            <sz val="12"/>
            <rFont val="宋体"/>
            <charset val="134"/>
          </rPr>
          <t xml:space="preserve">
2001719 7/22 212pcs 华兴三B9</t>
        </r>
      </text>
    </comment>
    <comment ref="AD9" authorId="0">
      <text>
        <r>
          <rPr>
            <b/>
            <sz val="12"/>
            <rFont val="宋体"/>
            <charset val="134"/>
          </rPr>
          <t>Administrator:</t>
        </r>
        <r>
          <rPr>
            <sz val="12"/>
            <rFont val="宋体"/>
            <charset val="134"/>
          </rPr>
          <t xml:space="preserve">
2001762 8/15 100pcs 华兴三B8</t>
        </r>
      </text>
    </comment>
    <comment ref="AG9" authorId="0">
      <text>
        <r>
          <rPr>
            <b/>
            <sz val="12"/>
            <rFont val="宋体"/>
            <charset val="134"/>
          </rPr>
          <t>Administrator:</t>
        </r>
        <r>
          <rPr>
            <sz val="12"/>
            <rFont val="宋体"/>
            <charset val="134"/>
          </rPr>
          <t xml:space="preserve">
7/24 上进口商贴纸 100pcs</t>
        </r>
      </text>
    </comment>
    <comment ref="AD10" authorId="0">
      <text>
        <r>
          <rPr>
            <b/>
            <sz val="12"/>
            <rFont val="宋体"/>
            <charset val="134"/>
          </rPr>
          <t>Administrator:</t>
        </r>
        <r>
          <rPr>
            <sz val="12"/>
            <rFont val="宋体"/>
            <charset val="134"/>
          </rPr>
          <t xml:space="preserve">
2001762 8/15 96pcs 华兴三B8</t>
        </r>
      </text>
    </comment>
    <comment ref="AG10" authorId="0">
      <text>
        <r>
          <rPr>
            <b/>
            <sz val="12"/>
            <rFont val="宋体"/>
            <charset val="134"/>
          </rPr>
          <t>Administrator:</t>
        </r>
        <r>
          <rPr>
            <sz val="12"/>
            <rFont val="宋体"/>
            <charset val="134"/>
          </rPr>
          <t xml:space="preserve">
8/8 已确认过收到贴纸 101pcs</t>
        </r>
      </text>
    </comment>
  </commentList>
</comments>
</file>

<file path=xl/comments2.xml><?xml version="1.0" encoding="utf-8"?>
<comments xmlns="http://schemas.openxmlformats.org/spreadsheetml/2006/main">
  <authors>
    <author>Administrator</author>
    <author>DELL</author>
    <author>Unknown User</author>
  </authors>
  <commentList>
    <comment ref="AF2" authorId="0">
      <text>
        <r>
          <rPr>
            <b/>
            <sz val="12"/>
            <rFont val="宋体"/>
            <charset val="134"/>
          </rPr>
          <t>Administrator:</t>
        </r>
        <r>
          <rPr>
            <sz val="12"/>
            <rFont val="宋体"/>
            <charset val="134"/>
          </rPr>
          <t xml:space="preserve">
0000617 12/25   52pcs 华兴三B15
0000627 12/25 3068pcs 华兴三B15</t>
        </r>
      </text>
    </comment>
    <comment ref="AI2" authorId="0">
      <text>
        <r>
          <rPr>
            <b/>
            <sz val="12"/>
            <rFont val="宋体"/>
            <charset val="134"/>
          </rPr>
          <t>Administrator:</t>
        </r>
        <r>
          <rPr>
            <sz val="12"/>
            <rFont val="宋体"/>
            <charset val="134"/>
          </rPr>
          <t xml:space="preserve">
12/3 上客户EAN条码贴纸 3120pcs</t>
        </r>
      </text>
    </comment>
    <comment ref="AF3" authorId="0">
      <text>
        <r>
          <rPr>
            <b/>
            <sz val="12"/>
            <rFont val="宋体"/>
            <charset val="134"/>
          </rPr>
          <t>Administrator:</t>
        </r>
        <r>
          <rPr>
            <sz val="12"/>
            <rFont val="宋体"/>
            <charset val="134"/>
          </rPr>
          <t xml:space="preserve">
0000555 12/28 2988pcs 华兴二A6
0000545 12/30  12pcs  华兴二A6</t>
        </r>
      </text>
    </comment>
    <comment ref="AI3" authorId="0">
      <text>
        <r>
          <rPr>
            <b/>
            <sz val="12"/>
            <rFont val="宋体"/>
            <charset val="134"/>
          </rPr>
          <t>Administrator:</t>
        </r>
        <r>
          <rPr>
            <sz val="12"/>
            <rFont val="宋体"/>
            <charset val="134"/>
          </rPr>
          <t xml:space="preserve">
11/21 上客供价格贴纸 3150pcs</t>
        </r>
      </text>
    </comment>
    <comment ref="AF4" authorId="0">
      <text>
        <r>
          <rPr>
            <b/>
            <sz val="12"/>
            <rFont val="宋体"/>
            <charset val="134"/>
          </rPr>
          <t>Administrator:</t>
        </r>
        <r>
          <rPr>
            <sz val="12"/>
            <rFont val="宋体"/>
            <charset val="134"/>
          </rPr>
          <t xml:space="preserve">
0000617 12/25 15700pcs 华兴三B15</t>
        </r>
      </text>
    </comment>
    <comment ref="AI4" authorId="0">
      <text>
        <r>
          <rPr>
            <b/>
            <sz val="12"/>
            <rFont val="宋体"/>
            <charset val="134"/>
          </rPr>
          <t>Administrator:</t>
        </r>
        <r>
          <rPr>
            <sz val="12"/>
            <rFont val="宋体"/>
            <charset val="134"/>
          </rPr>
          <t xml:space="preserve">
12/10 上UPC条码贴纸 15700pcs
      上进口商贴纸 15700pcs</t>
        </r>
      </text>
    </comment>
    <comment ref="AF5" authorId="0">
      <text>
        <r>
          <rPr>
            <b/>
            <sz val="12"/>
            <rFont val="宋体"/>
            <charset val="134"/>
          </rPr>
          <t>Administrator:</t>
        </r>
        <r>
          <rPr>
            <sz val="12"/>
            <rFont val="宋体"/>
            <charset val="134"/>
          </rPr>
          <t xml:space="preserve">
0001711 11/22 25560pcs 华兴二A19
0001729 11/26   24pcs  华兴二A19
0001711 11/22 8528pcs 华兴二B14
0000645 12/31 8520pcs 华兴二B5
 备品8pcs</t>
        </r>
      </text>
    </comment>
    <comment ref="AI5" authorId="0">
      <text>
        <r>
          <rPr>
            <b/>
            <sz val="12"/>
            <rFont val="宋体"/>
            <charset val="134"/>
          </rPr>
          <t>Administrator:</t>
        </r>
        <r>
          <rPr>
            <sz val="12"/>
            <rFont val="宋体"/>
            <charset val="134"/>
          </rPr>
          <t xml:space="preserve">
12/10 上WIC贴纸 8528pcs</t>
        </r>
      </text>
    </comment>
    <comment ref="AF6" authorId="0">
      <text>
        <r>
          <rPr>
            <b/>
            <sz val="12"/>
            <rFont val="宋体"/>
            <charset val="134"/>
          </rPr>
          <t>Administrator:</t>
        </r>
        <r>
          <rPr>
            <sz val="12"/>
            <rFont val="宋体"/>
            <charset val="134"/>
          </rPr>
          <t xml:space="preserve">
0000934 12/31 3200pcs 华兴三B14</t>
        </r>
      </text>
    </comment>
    <comment ref="AI6" authorId="0">
      <text>
        <r>
          <rPr>
            <b/>
            <sz val="12"/>
            <rFont val="宋体"/>
            <charset val="134"/>
          </rPr>
          <t>Administrator:</t>
        </r>
        <r>
          <rPr>
            <sz val="12"/>
            <rFont val="宋体"/>
            <charset val="134"/>
          </rPr>
          <t xml:space="preserve">
12/12 上进口商贴纸 3200pcs</t>
        </r>
      </text>
    </comment>
    <comment ref="AF7" authorId="0">
      <text>
        <r>
          <rPr>
            <b/>
            <sz val="12"/>
            <rFont val="宋体"/>
            <charset val="134"/>
          </rPr>
          <t>Administrator:</t>
        </r>
        <r>
          <rPr>
            <sz val="12"/>
            <rFont val="宋体"/>
            <charset val="134"/>
          </rPr>
          <t xml:space="preserve">
0000934 12/31 250pcs 华兴三B14</t>
        </r>
      </text>
    </comment>
    <comment ref="AF8" authorId="0">
      <text>
        <r>
          <rPr>
            <b/>
            <sz val="12"/>
            <rFont val="宋体"/>
            <charset val="134"/>
          </rPr>
          <t>Administrator:</t>
        </r>
        <r>
          <rPr>
            <sz val="12"/>
            <rFont val="宋体"/>
            <charset val="134"/>
          </rPr>
          <t xml:space="preserve">
0000934 12/31 1092pcs 华兴三B13</t>
        </r>
      </text>
    </comment>
    <comment ref="AF9" authorId="0">
      <text>
        <r>
          <rPr>
            <b/>
            <sz val="12"/>
            <rFont val="宋体"/>
            <charset val="134"/>
          </rPr>
          <t>Administrator:</t>
        </r>
        <r>
          <rPr>
            <sz val="12"/>
            <rFont val="宋体"/>
            <charset val="134"/>
          </rPr>
          <t xml:space="preserve">
0000933 12/31 3456pcs 华兴三B4</t>
        </r>
      </text>
    </comment>
    <comment ref="AI9" authorId="0">
      <text>
        <r>
          <rPr>
            <b/>
            <sz val="12"/>
            <rFont val="宋体"/>
            <charset val="134"/>
          </rPr>
          <t>Administrator:</t>
        </r>
        <r>
          <rPr>
            <sz val="12"/>
            <rFont val="宋体"/>
            <charset val="134"/>
          </rPr>
          <t xml:space="preserve">
12/19 上客供RFID贴纸 3456pcs</t>
        </r>
      </text>
    </comment>
    <comment ref="AI10" authorId="0">
      <text>
        <r>
          <rPr>
            <b/>
            <sz val="12"/>
            <rFont val="宋体"/>
            <charset val="134"/>
          </rPr>
          <t>Administrator:</t>
        </r>
        <r>
          <rPr>
            <sz val="12"/>
            <rFont val="宋体"/>
            <charset val="134"/>
          </rPr>
          <t xml:space="preserve">
12/19 上客供RFID贴纸 3456pcs</t>
        </r>
      </text>
    </comment>
    <comment ref="AF11" authorId="0">
      <text>
        <r>
          <rPr>
            <b/>
            <sz val="12"/>
            <rFont val="宋体"/>
            <charset val="134"/>
          </rPr>
          <t>Administrator:</t>
        </r>
        <r>
          <rPr>
            <sz val="12"/>
            <rFont val="宋体"/>
            <charset val="134"/>
          </rPr>
          <t xml:space="preserve">
0000933 12/31 5760pcs  华兴三B4
</t>
        </r>
      </text>
    </comment>
    <comment ref="AI11" authorId="0">
      <text>
        <r>
          <rPr>
            <b/>
            <sz val="12"/>
            <rFont val="宋体"/>
            <charset val="134"/>
          </rPr>
          <t>Administrator:</t>
        </r>
        <r>
          <rPr>
            <sz val="12"/>
            <rFont val="宋体"/>
            <charset val="134"/>
          </rPr>
          <t xml:space="preserve">
12/19 上客供RFID贴纸 5760pcs</t>
        </r>
      </text>
    </comment>
    <comment ref="AF12" authorId="0">
      <text>
        <r>
          <rPr>
            <b/>
            <sz val="12"/>
            <rFont val="宋体"/>
            <charset val="134"/>
          </rPr>
          <t>Administrator:</t>
        </r>
        <r>
          <rPr>
            <sz val="12"/>
            <rFont val="宋体"/>
            <charset val="134"/>
          </rPr>
          <t xml:space="preserve">
0000933 12/31 1152pcs  华兴三B4
</t>
        </r>
      </text>
    </comment>
    <comment ref="AI12" authorId="0">
      <text>
        <r>
          <rPr>
            <b/>
            <sz val="12"/>
            <rFont val="宋体"/>
            <charset val="134"/>
          </rPr>
          <t>Administrator:</t>
        </r>
        <r>
          <rPr>
            <sz val="12"/>
            <rFont val="宋体"/>
            <charset val="134"/>
          </rPr>
          <t xml:space="preserve">
12/19 上客供RFID贴纸 1152pcs</t>
        </r>
      </text>
    </comment>
    <comment ref="AF13" authorId="0">
      <text>
        <r>
          <rPr>
            <b/>
            <sz val="12"/>
            <rFont val="宋体"/>
            <charset val="134"/>
          </rPr>
          <t>Administrator:</t>
        </r>
        <r>
          <rPr>
            <sz val="12"/>
            <rFont val="宋体"/>
            <charset val="134"/>
          </rPr>
          <t xml:space="preserve">
0000933 12/31 4608pcs  华兴三B4
</t>
        </r>
      </text>
    </comment>
    <comment ref="AI13" authorId="0">
      <text>
        <r>
          <rPr>
            <b/>
            <sz val="12"/>
            <rFont val="宋体"/>
            <charset val="134"/>
          </rPr>
          <t>Administrator:</t>
        </r>
        <r>
          <rPr>
            <sz val="12"/>
            <rFont val="宋体"/>
            <charset val="134"/>
          </rPr>
          <t xml:space="preserve">
12/19 上客供RFID贴纸 4608pcs</t>
        </r>
      </text>
    </comment>
    <comment ref="AF14" authorId="0">
      <text>
        <r>
          <rPr>
            <b/>
            <sz val="12"/>
            <rFont val="宋体"/>
            <charset val="134"/>
          </rPr>
          <t>Administrator:</t>
        </r>
        <r>
          <rPr>
            <sz val="12"/>
            <rFont val="宋体"/>
            <charset val="134"/>
          </rPr>
          <t xml:space="preserve">
0000933 12/31 5760pcs  华兴三B4
</t>
        </r>
      </text>
    </comment>
    <comment ref="AI14" authorId="0">
      <text>
        <r>
          <rPr>
            <b/>
            <sz val="12"/>
            <rFont val="宋体"/>
            <charset val="134"/>
          </rPr>
          <t>Administrator:</t>
        </r>
        <r>
          <rPr>
            <sz val="12"/>
            <rFont val="宋体"/>
            <charset val="134"/>
          </rPr>
          <t xml:space="preserve">
12/19 上客供RFID贴纸 5760pcs</t>
        </r>
      </text>
    </comment>
    <comment ref="AF15" authorId="0">
      <text>
        <r>
          <rPr>
            <b/>
            <sz val="12"/>
            <rFont val="宋体"/>
            <charset val="134"/>
          </rPr>
          <t>Administrator:</t>
        </r>
        <r>
          <rPr>
            <sz val="12"/>
            <rFont val="宋体"/>
            <charset val="134"/>
          </rPr>
          <t xml:space="preserve">
0000933 12/31 2304pcs  华兴三B4
</t>
        </r>
      </text>
    </comment>
    <comment ref="AI15" authorId="0">
      <text>
        <r>
          <rPr>
            <b/>
            <sz val="12"/>
            <rFont val="宋体"/>
            <charset val="134"/>
          </rPr>
          <t>Administrator:</t>
        </r>
        <r>
          <rPr>
            <sz val="12"/>
            <rFont val="宋体"/>
            <charset val="134"/>
          </rPr>
          <t xml:space="preserve">
12/19 上客供RFID贴纸 2304pcs</t>
        </r>
      </text>
    </comment>
    <comment ref="AF16" authorId="0">
      <text>
        <r>
          <rPr>
            <b/>
            <sz val="12"/>
            <rFont val="宋体"/>
            <charset val="134"/>
          </rPr>
          <t>Administrator:</t>
        </r>
        <r>
          <rPr>
            <sz val="12"/>
            <rFont val="宋体"/>
            <charset val="134"/>
          </rPr>
          <t xml:space="preserve">
0000922 1/4 2000pcs 华兴三B14</t>
        </r>
      </text>
    </comment>
    <comment ref="AI16" authorId="0">
      <text>
        <r>
          <rPr>
            <b/>
            <sz val="12"/>
            <rFont val="宋体"/>
            <charset val="134"/>
          </rPr>
          <t>Administrator:</t>
        </r>
        <r>
          <rPr>
            <sz val="12"/>
            <rFont val="宋体"/>
            <charset val="134"/>
          </rPr>
          <t xml:space="preserve">
12/17 上进口商贴纸 2000pcs</t>
        </r>
      </text>
    </comment>
    <comment ref="AI17" authorId="0">
      <text>
        <r>
          <rPr>
            <b/>
            <sz val="12"/>
            <rFont val="宋体"/>
            <charset val="134"/>
          </rPr>
          <t>Administrator:</t>
        </r>
        <r>
          <rPr>
            <sz val="12"/>
            <rFont val="宋体"/>
            <charset val="134"/>
          </rPr>
          <t xml:space="preserve">
12/10 上WIC贴纸 8528pcs</t>
        </r>
      </text>
    </comment>
    <comment ref="AF18" authorId="0">
      <text>
        <r>
          <rPr>
            <b/>
            <sz val="12"/>
            <rFont val="宋体"/>
            <charset val="134"/>
          </rPr>
          <t>Administrator:</t>
        </r>
        <r>
          <rPr>
            <sz val="12"/>
            <rFont val="宋体"/>
            <charset val="134"/>
          </rPr>
          <t xml:space="preserve">
0000996 1/8 1976pcs 华兴三B14
0001024 1/8  52pcs  华兴三B14</t>
        </r>
      </text>
    </comment>
    <comment ref="AI18" authorId="0">
      <text>
        <r>
          <rPr>
            <b/>
            <sz val="12"/>
            <rFont val="宋体"/>
            <charset val="134"/>
          </rPr>
          <t>Administrator:</t>
        </r>
        <r>
          <rPr>
            <sz val="12"/>
            <rFont val="宋体"/>
            <charset val="134"/>
          </rPr>
          <t xml:space="preserve">
12/16 上进口商贴纸 2028pcs
      上PDQ EAN贴纸 39pcs
12/28 上PDQ EAN贴纸 156pcs
12/30 上空白贴纸1 156pcs
      上空白贴纸2 312pcs</t>
        </r>
      </text>
    </comment>
    <comment ref="AF19" authorId="0">
      <text>
        <r>
          <rPr>
            <b/>
            <sz val="12"/>
            <rFont val="宋体"/>
            <charset val="134"/>
          </rPr>
          <t>Administrator:</t>
        </r>
        <r>
          <rPr>
            <sz val="12"/>
            <rFont val="宋体"/>
            <charset val="134"/>
          </rPr>
          <t xml:space="preserve">
0001008 1/9 1800pcs 已走货</t>
        </r>
      </text>
    </comment>
    <comment ref="AI19" authorId="0">
      <text>
        <r>
          <rPr>
            <b/>
            <sz val="12"/>
            <rFont val="宋体"/>
            <charset val="134"/>
          </rPr>
          <t>Administrator:</t>
        </r>
        <r>
          <rPr>
            <sz val="12"/>
            <rFont val="宋体"/>
            <charset val="134"/>
          </rPr>
          <t xml:space="preserve">
12/13 上客供价格贴纸 1890pcs
12/17 上UCC外箱贴纸 150pcs</t>
        </r>
      </text>
    </comment>
    <comment ref="AF20" authorId="0">
      <text>
        <r>
          <rPr>
            <b/>
            <sz val="12"/>
            <rFont val="宋体"/>
            <charset val="134"/>
          </rPr>
          <t>Administrator:</t>
        </r>
        <r>
          <rPr>
            <sz val="12"/>
            <rFont val="宋体"/>
            <charset val="134"/>
          </rPr>
          <t xml:space="preserve">
0001008 1/9 3600pcs 已走货</t>
        </r>
      </text>
    </comment>
    <comment ref="AI20" authorId="0">
      <text>
        <r>
          <rPr>
            <b/>
            <sz val="12"/>
            <rFont val="宋体"/>
            <charset val="134"/>
          </rPr>
          <t>Administrator:</t>
        </r>
        <r>
          <rPr>
            <sz val="12"/>
            <rFont val="宋体"/>
            <charset val="134"/>
          </rPr>
          <t xml:space="preserve">
12/13 上客供价格贴纸 3780pcs
12/17 上UCC外箱贴纸 300pcs</t>
        </r>
      </text>
    </comment>
    <comment ref="AF21" authorId="0">
      <text>
        <r>
          <rPr>
            <b/>
            <sz val="12"/>
            <rFont val="宋体"/>
            <charset val="134"/>
          </rPr>
          <t>Administrator:</t>
        </r>
        <r>
          <rPr>
            <sz val="12"/>
            <rFont val="宋体"/>
            <charset val="134"/>
          </rPr>
          <t xml:space="preserve">
0000996 1/8 600pcs 华兴三B14</t>
        </r>
      </text>
    </comment>
    <comment ref="AI21" authorId="0">
      <text>
        <r>
          <rPr>
            <b/>
            <sz val="12"/>
            <rFont val="宋体"/>
            <charset val="134"/>
          </rPr>
          <t>Administrator:</t>
        </r>
        <r>
          <rPr>
            <sz val="12"/>
            <rFont val="宋体"/>
            <charset val="134"/>
          </rPr>
          <t xml:space="preserve">
12/3 上客供价格贴纸 630pcs</t>
        </r>
      </text>
    </comment>
    <comment ref="AF22" authorId="0">
      <text>
        <r>
          <rPr>
            <b/>
            <sz val="12"/>
            <rFont val="宋体"/>
            <charset val="134"/>
          </rPr>
          <t>Administrator:</t>
        </r>
        <r>
          <rPr>
            <sz val="12"/>
            <rFont val="宋体"/>
            <charset val="134"/>
          </rPr>
          <t xml:space="preserve">
0001024 1/9 1152pcs 华兴三B6</t>
        </r>
      </text>
    </comment>
    <comment ref="AI22" authorId="0">
      <text>
        <r>
          <rPr>
            <b/>
            <sz val="12"/>
            <rFont val="宋体"/>
            <charset val="134"/>
          </rPr>
          <t>Administrator:</t>
        </r>
        <r>
          <rPr>
            <sz val="12"/>
            <rFont val="宋体"/>
            <charset val="134"/>
          </rPr>
          <t xml:space="preserve">
12/26 上客供RFID贴纸 1152pcs</t>
        </r>
      </text>
    </comment>
    <comment ref="AF23" authorId="0">
      <text>
        <r>
          <rPr>
            <b/>
            <sz val="12"/>
            <rFont val="宋体"/>
            <charset val="134"/>
          </rPr>
          <t>Administrator:</t>
        </r>
        <r>
          <rPr>
            <sz val="12"/>
            <rFont val="宋体"/>
            <charset val="134"/>
          </rPr>
          <t xml:space="preserve">
0001024 1/9 3456pcs  华兴三B6
</t>
        </r>
      </text>
    </comment>
    <comment ref="AI23" authorId="0">
      <text>
        <r>
          <rPr>
            <b/>
            <sz val="12"/>
            <rFont val="宋体"/>
            <charset val="134"/>
          </rPr>
          <t>Administrator:</t>
        </r>
        <r>
          <rPr>
            <sz val="12"/>
            <rFont val="宋体"/>
            <charset val="134"/>
          </rPr>
          <t xml:space="preserve">
12/26 上客供RFID贴纸 3456pcs</t>
        </r>
      </text>
    </comment>
    <comment ref="AF24" authorId="0">
      <text>
        <r>
          <rPr>
            <b/>
            <sz val="12"/>
            <rFont val="宋体"/>
            <charset val="134"/>
          </rPr>
          <t>Administrator:</t>
        </r>
        <r>
          <rPr>
            <sz val="12"/>
            <rFont val="宋体"/>
            <charset val="134"/>
          </rPr>
          <t xml:space="preserve">
0001024 1/9 1152pcs  华兴三B6
</t>
        </r>
      </text>
    </comment>
    <comment ref="AI24" authorId="0">
      <text>
        <r>
          <rPr>
            <b/>
            <sz val="12"/>
            <rFont val="宋体"/>
            <charset val="134"/>
          </rPr>
          <t>Administrator:</t>
        </r>
        <r>
          <rPr>
            <sz val="12"/>
            <rFont val="宋体"/>
            <charset val="134"/>
          </rPr>
          <t xml:space="preserve">
12/26 上客供RFID贴纸 1152pcs</t>
        </r>
      </text>
    </comment>
    <comment ref="AF25" authorId="0">
      <text>
        <r>
          <rPr>
            <b/>
            <sz val="12"/>
            <rFont val="宋体"/>
            <charset val="134"/>
          </rPr>
          <t>Administrator:</t>
        </r>
        <r>
          <rPr>
            <sz val="12"/>
            <rFont val="宋体"/>
            <charset val="134"/>
          </rPr>
          <t xml:space="preserve">
0001024 1/9 2304pcs  华兴三B6
</t>
        </r>
      </text>
    </comment>
    <comment ref="AI25" authorId="0">
      <text>
        <r>
          <rPr>
            <b/>
            <sz val="12"/>
            <rFont val="宋体"/>
            <charset val="134"/>
          </rPr>
          <t>Administrator:</t>
        </r>
        <r>
          <rPr>
            <sz val="12"/>
            <rFont val="宋体"/>
            <charset val="134"/>
          </rPr>
          <t xml:space="preserve">
12/26 上客供RFID贴纸 2304pcs</t>
        </r>
      </text>
    </comment>
    <comment ref="AI26" authorId="0">
      <text>
        <r>
          <rPr>
            <b/>
            <sz val="12"/>
            <rFont val="宋体"/>
            <charset val="134"/>
          </rPr>
          <t>Administrator:</t>
        </r>
        <r>
          <rPr>
            <sz val="12"/>
            <rFont val="宋体"/>
            <charset val="134"/>
          </rPr>
          <t xml:space="preserve">
12/26 上客供RFID贴纸 2304pcs</t>
        </r>
      </text>
    </comment>
    <comment ref="AF27" authorId="0">
      <text>
        <r>
          <rPr>
            <b/>
            <sz val="12"/>
            <rFont val="宋体"/>
            <charset val="134"/>
          </rPr>
          <t>Administrator:</t>
        </r>
        <r>
          <rPr>
            <sz val="12"/>
            <rFont val="宋体"/>
            <charset val="134"/>
          </rPr>
          <t xml:space="preserve">
0001024 1/9 3456pcs  华兴三B6
</t>
        </r>
      </text>
    </comment>
    <comment ref="AI27" authorId="0">
      <text>
        <r>
          <rPr>
            <b/>
            <sz val="12"/>
            <rFont val="宋体"/>
            <charset val="134"/>
          </rPr>
          <t>Administrator:</t>
        </r>
        <r>
          <rPr>
            <sz val="12"/>
            <rFont val="宋体"/>
            <charset val="134"/>
          </rPr>
          <t xml:space="preserve">
12/26 上客供RFID贴纸 3456pcs</t>
        </r>
      </text>
    </comment>
    <comment ref="AF28" authorId="0">
      <text>
        <r>
          <rPr>
            <b/>
            <sz val="12"/>
            <rFont val="宋体"/>
            <charset val="134"/>
          </rPr>
          <t>Administrator:</t>
        </r>
        <r>
          <rPr>
            <sz val="12"/>
            <rFont val="宋体"/>
            <charset val="134"/>
          </rPr>
          <t xml:space="preserve">
0001024 1/9 1152pcs  华兴三B6
</t>
        </r>
      </text>
    </comment>
    <comment ref="AI28" authorId="0">
      <text>
        <r>
          <rPr>
            <b/>
            <sz val="12"/>
            <rFont val="宋体"/>
            <charset val="134"/>
          </rPr>
          <t>Administrator:</t>
        </r>
        <r>
          <rPr>
            <sz val="12"/>
            <rFont val="宋体"/>
            <charset val="134"/>
          </rPr>
          <t xml:space="preserve">
12/26 上客供RFID贴纸 1152pcs</t>
        </r>
      </text>
    </comment>
    <comment ref="AF29" authorId="0">
      <text>
        <r>
          <rPr>
            <b/>
            <sz val="12"/>
            <rFont val="宋体"/>
            <charset val="134"/>
          </rPr>
          <t>Administrator:</t>
        </r>
        <r>
          <rPr>
            <sz val="12"/>
            <rFont val="宋体"/>
            <charset val="134"/>
          </rPr>
          <t xml:space="preserve">
0000934 12/31 600pcs 华兴三A2</t>
        </r>
      </text>
    </comment>
    <comment ref="AI29" authorId="0">
      <text>
        <r>
          <rPr>
            <b/>
            <sz val="12"/>
            <rFont val="宋体"/>
            <charset val="134"/>
          </rPr>
          <t>Administrator:</t>
        </r>
        <r>
          <rPr>
            <sz val="12"/>
            <rFont val="宋体"/>
            <charset val="134"/>
          </rPr>
          <t xml:space="preserve">
12/23 上客供价格贴纸 660pcs
12/18 上空白贴纸 4800pcs
147801/147799/147804/147806共用</t>
        </r>
      </text>
    </comment>
    <comment ref="AI30" authorId="0">
      <text>
        <r>
          <rPr>
            <b/>
            <sz val="12"/>
            <rFont val="宋体"/>
            <charset val="134"/>
          </rPr>
          <t>Administrator:</t>
        </r>
        <r>
          <rPr>
            <sz val="12"/>
            <rFont val="宋体"/>
            <charset val="134"/>
          </rPr>
          <t xml:space="preserve">
12/23 上客供价格贴纸 660pcs
12/18 上空白贴纸 4800pcs
147801/147799/147804/147806共用</t>
        </r>
      </text>
    </comment>
    <comment ref="AF31" authorId="0">
      <text>
        <r>
          <rPr>
            <b/>
            <sz val="12"/>
            <rFont val="宋体"/>
            <charset val="134"/>
          </rPr>
          <t>Administrator:</t>
        </r>
        <r>
          <rPr>
            <sz val="12"/>
            <rFont val="宋体"/>
            <charset val="134"/>
          </rPr>
          <t xml:space="preserve">
0001097 1/16 2388pcs  华兴三B8
0001132 1/17  12pcs   华兴三B8</t>
        </r>
      </text>
    </comment>
    <comment ref="AI31" authorId="0">
      <text>
        <r>
          <rPr>
            <b/>
            <sz val="12"/>
            <rFont val="宋体"/>
            <charset val="134"/>
          </rPr>
          <t>Administrator:</t>
        </r>
        <r>
          <rPr>
            <sz val="12"/>
            <rFont val="宋体"/>
            <charset val="134"/>
          </rPr>
          <t xml:space="preserve">
12/19 上客供价格贴纸 2520pcs</t>
        </r>
      </text>
    </comment>
    <comment ref="AF32" authorId="0">
      <text>
        <r>
          <rPr>
            <b/>
            <sz val="12"/>
            <rFont val="宋体"/>
            <charset val="134"/>
          </rPr>
          <t>Administrator:</t>
        </r>
        <r>
          <rPr>
            <sz val="12"/>
            <rFont val="宋体"/>
            <charset val="134"/>
          </rPr>
          <t xml:space="preserve">
0001108 1/16 1000pcs 华兴三B8</t>
        </r>
      </text>
    </comment>
    <comment ref="AI32" authorId="0">
      <text>
        <r>
          <rPr>
            <b/>
            <sz val="12"/>
            <rFont val="宋体"/>
            <charset val="134"/>
          </rPr>
          <t>Administrator:</t>
        </r>
        <r>
          <rPr>
            <sz val="12"/>
            <rFont val="宋体"/>
            <charset val="134"/>
          </rPr>
          <t xml:space="preserve">
12/18 上客户警语贴纸（含环保标） 1000pcs</t>
        </r>
      </text>
    </comment>
    <comment ref="AF33" authorId="0">
      <text>
        <r>
          <rPr>
            <b/>
            <sz val="12"/>
            <rFont val="宋体"/>
            <charset val="134"/>
          </rPr>
          <t>Administrator:</t>
        </r>
        <r>
          <rPr>
            <sz val="12"/>
            <rFont val="宋体"/>
            <charset val="134"/>
          </rPr>
          <t xml:space="preserve">
0001031 1/10 640pcs 华兴一C7</t>
        </r>
      </text>
    </comment>
    <comment ref="AF34" authorId="0">
      <text>
        <r>
          <rPr>
            <b/>
            <sz val="12"/>
            <rFont val="宋体"/>
            <charset val="134"/>
          </rPr>
          <t>Administrator:</t>
        </r>
        <r>
          <rPr>
            <sz val="12"/>
            <rFont val="宋体"/>
            <charset val="134"/>
          </rPr>
          <t xml:space="preserve">
0001108 1/16 2100pcs  华兴三B9
0001109 1/17 2500pcs  华兴三B9
</t>
        </r>
      </text>
    </comment>
    <comment ref="AI34" authorId="0">
      <text>
        <r>
          <rPr>
            <b/>
            <sz val="12"/>
            <rFont val="宋体"/>
            <charset val="134"/>
          </rPr>
          <t>Administrator:</t>
        </r>
        <r>
          <rPr>
            <sz val="12"/>
            <rFont val="宋体"/>
            <charset val="134"/>
          </rPr>
          <t xml:space="preserve">
12/23 上进口商贴纸 4600pcs
12/24 上UPC条码贴纸 4600pcs</t>
        </r>
      </text>
    </comment>
    <comment ref="AF35" authorId="0">
      <text>
        <r>
          <rPr>
            <b/>
            <sz val="9"/>
            <rFont val="宋体"/>
            <charset val="134"/>
          </rPr>
          <t>Administrator:</t>
        </r>
        <r>
          <rPr>
            <sz val="9"/>
            <rFont val="宋体"/>
            <charset val="134"/>
          </rPr>
          <t xml:space="preserve">
</t>
        </r>
        <r>
          <rPr>
            <sz val="12"/>
            <rFont val="宋体"/>
            <charset val="134"/>
          </rPr>
          <t>0001079 1/15 750pcs 华兴三B14</t>
        </r>
      </text>
    </comment>
    <comment ref="AI35" authorId="0">
      <text>
        <r>
          <rPr>
            <b/>
            <sz val="12"/>
            <rFont val="宋体"/>
            <charset val="134"/>
          </rPr>
          <t>Administrator:</t>
        </r>
        <r>
          <rPr>
            <sz val="12"/>
            <rFont val="宋体"/>
            <charset val="134"/>
          </rPr>
          <t xml:space="preserve">
12/25 上UPC贴纸 750pcs</t>
        </r>
      </text>
    </comment>
    <comment ref="AF36" authorId="0">
      <text>
        <r>
          <rPr>
            <b/>
            <sz val="12"/>
            <rFont val="宋体"/>
            <charset val="134"/>
          </rPr>
          <t>Administrator:</t>
        </r>
        <r>
          <rPr>
            <sz val="12"/>
            <rFont val="宋体"/>
            <charset val="134"/>
          </rPr>
          <t xml:space="preserve">
0001110 1/17 2226pcs 华兴三A29</t>
        </r>
      </text>
    </comment>
    <comment ref="AI36" authorId="0">
      <text>
        <r>
          <rPr>
            <b/>
            <sz val="12"/>
            <rFont val="宋体"/>
            <charset val="134"/>
          </rPr>
          <t>Administrator:</t>
        </r>
        <r>
          <rPr>
            <sz val="12"/>
            <rFont val="宋体"/>
            <charset val="134"/>
          </rPr>
          <t xml:space="preserve">
12/25 上WIC贴纸 9336pcs
      上PDQ折页 1556pcs</t>
        </r>
      </text>
    </comment>
    <comment ref="AF37" authorId="0">
      <text>
        <r>
          <rPr>
            <b/>
            <sz val="12"/>
            <rFont val="宋体"/>
            <charset val="134"/>
          </rPr>
          <t>Administrator:</t>
        </r>
        <r>
          <rPr>
            <sz val="12"/>
            <rFont val="宋体"/>
            <charset val="134"/>
          </rPr>
          <t xml:space="preserve">
0001110 1/17 708pcs 华兴三A29
</t>
        </r>
      </text>
    </comment>
    <comment ref="AF38" authorId="0">
      <text>
        <r>
          <rPr>
            <b/>
            <sz val="12"/>
            <rFont val="宋体"/>
            <charset val="134"/>
          </rPr>
          <t>Administrator:</t>
        </r>
        <r>
          <rPr>
            <sz val="12"/>
            <rFont val="宋体"/>
            <charset val="134"/>
          </rPr>
          <t xml:space="preserve">
0001110 1/17 942pcs 华兴三A29
</t>
        </r>
      </text>
    </comment>
    <comment ref="AF39" authorId="0">
      <text>
        <r>
          <rPr>
            <b/>
            <sz val="12"/>
            <rFont val="宋体"/>
            <charset val="134"/>
          </rPr>
          <t>Administrator:</t>
        </r>
        <r>
          <rPr>
            <sz val="12"/>
            <rFont val="宋体"/>
            <charset val="134"/>
          </rPr>
          <t xml:space="preserve">
0001110 1/17 1416pcs 华兴三A29
</t>
        </r>
      </text>
    </comment>
    <comment ref="AF40" authorId="0">
      <text>
        <r>
          <rPr>
            <b/>
            <sz val="12"/>
            <rFont val="宋体"/>
            <charset val="134"/>
          </rPr>
          <t>Administrator:</t>
        </r>
        <r>
          <rPr>
            <sz val="12"/>
            <rFont val="宋体"/>
            <charset val="134"/>
          </rPr>
          <t xml:space="preserve">
0001110 1/17 2010pcs 华兴三A29
</t>
        </r>
      </text>
    </comment>
    <comment ref="AF41" authorId="0">
      <text>
        <r>
          <rPr>
            <b/>
            <sz val="12"/>
            <rFont val="宋体"/>
            <charset val="134"/>
          </rPr>
          <t>Administrator:</t>
        </r>
        <r>
          <rPr>
            <sz val="12"/>
            <rFont val="宋体"/>
            <charset val="134"/>
          </rPr>
          <t xml:space="preserve">
0001110 1/17 768pcs</t>
        </r>
      </text>
    </comment>
    <comment ref="AF42" authorId="0">
      <text>
        <r>
          <rPr>
            <b/>
            <sz val="12"/>
            <rFont val="宋体"/>
            <charset val="134"/>
          </rPr>
          <t>Administrator:</t>
        </r>
        <r>
          <rPr>
            <sz val="12"/>
            <rFont val="宋体"/>
            <charset val="134"/>
          </rPr>
          <t xml:space="preserve">
0001110 1/17 1266pcs 华兴三A29
</t>
        </r>
      </text>
    </comment>
    <comment ref="AF43" authorId="0">
      <text>
        <r>
          <rPr>
            <b/>
            <sz val="12"/>
            <rFont val="宋体"/>
            <charset val="134"/>
          </rPr>
          <t>Administrator:</t>
        </r>
        <r>
          <rPr>
            <sz val="12"/>
            <rFont val="宋体"/>
            <charset val="134"/>
          </rPr>
          <t xml:space="preserve">
0001109 1/17 2600pcs 华兴三B15</t>
        </r>
      </text>
    </comment>
    <comment ref="AI43" authorId="0">
      <text>
        <r>
          <rPr>
            <b/>
            <sz val="12"/>
            <rFont val="宋体"/>
            <charset val="134"/>
          </rPr>
          <t>Administrator:</t>
        </r>
        <r>
          <rPr>
            <sz val="12"/>
            <rFont val="宋体"/>
            <charset val="134"/>
          </rPr>
          <t xml:space="preserve">
12/12 上客户EAN条码贴纸 7176pcs</t>
        </r>
      </text>
    </comment>
    <comment ref="AF44" authorId="0">
      <text>
        <r>
          <rPr>
            <b/>
            <sz val="12"/>
            <rFont val="宋体"/>
            <charset val="134"/>
          </rPr>
          <t>Administrator:</t>
        </r>
        <r>
          <rPr>
            <sz val="12"/>
            <rFont val="宋体"/>
            <charset val="134"/>
          </rPr>
          <t xml:space="preserve">
0001109 1/17 1456pcs 华兴三B15</t>
        </r>
      </text>
    </comment>
    <comment ref="AF45" authorId="0">
      <text>
        <r>
          <rPr>
            <b/>
            <sz val="12"/>
            <rFont val="宋体"/>
            <charset val="134"/>
          </rPr>
          <t>Administrator:</t>
        </r>
        <r>
          <rPr>
            <sz val="12"/>
            <rFont val="宋体"/>
            <charset val="134"/>
          </rPr>
          <t xml:space="preserve">
0001132 1/17 600pcs 华兴三A26</t>
        </r>
      </text>
    </comment>
    <comment ref="AI45" authorId="0">
      <text>
        <r>
          <rPr>
            <b/>
            <sz val="12"/>
            <rFont val="宋体"/>
            <charset val="134"/>
          </rPr>
          <t>Administrator:</t>
        </r>
        <r>
          <rPr>
            <sz val="12"/>
            <rFont val="宋体"/>
            <charset val="134"/>
          </rPr>
          <t xml:space="preserve">
12/23 上客供价格贴纸 660pcs
12/18 上空白贴纸 4800pcs
147801/147799/147804/147806共用</t>
        </r>
      </text>
    </comment>
    <comment ref="AF47" authorId="0">
      <text>
        <r>
          <rPr>
            <b/>
            <sz val="12"/>
            <rFont val="宋体"/>
            <charset val="134"/>
          </rPr>
          <t>Administrator:</t>
        </r>
        <r>
          <rPr>
            <sz val="12"/>
            <rFont val="宋体"/>
            <charset val="134"/>
          </rPr>
          <t xml:space="preserve">
0001132 1/17 336pcs 华兴三B7</t>
        </r>
      </text>
    </comment>
    <comment ref="AF50" authorId="0">
      <text>
        <r>
          <rPr>
            <b/>
            <sz val="12"/>
            <rFont val="宋体"/>
            <charset val="134"/>
          </rPr>
          <t>Administrator:</t>
        </r>
        <r>
          <rPr>
            <sz val="12"/>
            <rFont val="宋体"/>
            <charset val="134"/>
          </rPr>
          <t xml:space="preserve">
0001132 1/17 600pcs 华兴三B7</t>
        </r>
      </text>
    </comment>
    <comment ref="AF51" authorId="0">
      <text>
        <r>
          <rPr>
            <b/>
            <sz val="12"/>
            <rFont val="宋体"/>
            <charset val="134"/>
          </rPr>
          <t>Administrator:</t>
        </r>
        <r>
          <rPr>
            <sz val="12"/>
            <rFont val="宋体"/>
            <charset val="134"/>
          </rPr>
          <t xml:space="preserve">
0001097 1/16 2304pcs 华兴三B4</t>
        </r>
      </text>
    </comment>
    <comment ref="AI51" authorId="0">
      <text>
        <r>
          <rPr>
            <b/>
            <sz val="12"/>
            <rFont val="宋体"/>
            <charset val="134"/>
          </rPr>
          <t>Administrator:</t>
        </r>
        <r>
          <rPr>
            <sz val="12"/>
            <rFont val="宋体"/>
            <charset val="134"/>
          </rPr>
          <t xml:space="preserve">
1/3 上客供RFID贴纸 2304pcs</t>
        </r>
      </text>
    </comment>
    <comment ref="AF52" authorId="0">
      <text>
        <r>
          <rPr>
            <b/>
            <sz val="12"/>
            <rFont val="宋体"/>
            <charset val="134"/>
          </rPr>
          <t>Administrator:</t>
        </r>
        <r>
          <rPr>
            <sz val="12"/>
            <rFont val="宋体"/>
            <charset val="134"/>
          </rPr>
          <t xml:space="preserve">
0001109 1/17 1152pcs 华兴三B5</t>
        </r>
      </text>
    </comment>
    <comment ref="AI52" authorId="0">
      <text>
        <r>
          <rPr>
            <b/>
            <sz val="12"/>
            <rFont val="宋体"/>
            <charset val="134"/>
          </rPr>
          <t>Administrator:</t>
        </r>
        <r>
          <rPr>
            <sz val="12"/>
            <rFont val="宋体"/>
            <charset val="134"/>
          </rPr>
          <t xml:space="preserve">
1/3 上客供RFID贴纸 1152pcs</t>
        </r>
      </text>
    </comment>
    <comment ref="AF53" authorId="0">
      <text>
        <r>
          <rPr>
            <b/>
            <sz val="12"/>
            <rFont val="宋体"/>
            <charset val="134"/>
          </rPr>
          <t>Administrator:</t>
        </r>
        <r>
          <rPr>
            <sz val="12"/>
            <rFont val="宋体"/>
            <charset val="134"/>
          </rPr>
          <t xml:space="preserve">
0001109 1/17 3456pcs 华兴三B5
</t>
        </r>
      </text>
    </comment>
    <comment ref="AI53" authorId="0">
      <text>
        <r>
          <rPr>
            <b/>
            <sz val="12"/>
            <rFont val="宋体"/>
            <charset val="134"/>
          </rPr>
          <t>Administrator:</t>
        </r>
        <r>
          <rPr>
            <sz val="12"/>
            <rFont val="宋体"/>
            <charset val="134"/>
          </rPr>
          <t xml:space="preserve">
1/3 上客供RFID贴纸 3456pcs</t>
        </r>
      </text>
    </comment>
    <comment ref="AF54" authorId="0">
      <text>
        <r>
          <rPr>
            <b/>
            <sz val="12"/>
            <rFont val="宋体"/>
            <charset val="134"/>
          </rPr>
          <t>Administrator:</t>
        </r>
        <r>
          <rPr>
            <sz val="12"/>
            <rFont val="宋体"/>
            <charset val="134"/>
          </rPr>
          <t xml:space="preserve">
0001109 1/17 1152pcs 华兴三B5
</t>
        </r>
      </text>
    </comment>
    <comment ref="AI54" authorId="0">
      <text>
        <r>
          <rPr>
            <b/>
            <sz val="12"/>
            <rFont val="宋体"/>
            <charset val="134"/>
          </rPr>
          <t>Administrator:</t>
        </r>
        <r>
          <rPr>
            <sz val="12"/>
            <rFont val="宋体"/>
            <charset val="134"/>
          </rPr>
          <t xml:space="preserve">
1/3 上客供RFID贴纸 1152pcs</t>
        </r>
      </text>
    </comment>
    <comment ref="AI55" authorId="0">
      <text>
        <r>
          <rPr>
            <b/>
            <sz val="12"/>
            <rFont val="宋体"/>
            <charset val="134"/>
          </rPr>
          <t>Administrator:</t>
        </r>
        <r>
          <rPr>
            <sz val="12"/>
            <rFont val="宋体"/>
            <charset val="134"/>
          </rPr>
          <t xml:space="preserve">
1/3 上客供RFID贴纸 1152pcs</t>
        </r>
      </text>
    </comment>
    <comment ref="AI56" authorId="0">
      <text>
        <r>
          <rPr>
            <b/>
            <sz val="12"/>
            <rFont val="宋体"/>
            <charset val="134"/>
          </rPr>
          <t>Administrator:</t>
        </r>
        <r>
          <rPr>
            <sz val="12"/>
            <rFont val="宋体"/>
            <charset val="134"/>
          </rPr>
          <t xml:space="preserve">
1/3 上客供RFID贴纸 1152pcs</t>
        </r>
      </text>
    </comment>
    <comment ref="AF57" authorId="0">
      <text>
        <r>
          <rPr>
            <b/>
            <sz val="12"/>
            <rFont val="宋体"/>
            <charset val="134"/>
          </rPr>
          <t>Administrator:</t>
        </r>
        <r>
          <rPr>
            <sz val="12"/>
            <rFont val="宋体"/>
            <charset val="134"/>
          </rPr>
          <t xml:space="preserve">
0001242 2/18 520pcs 已走货</t>
        </r>
      </text>
    </comment>
    <comment ref="AI57" authorId="0">
      <text>
        <r>
          <rPr>
            <b/>
            <sz val="12"/>
            <rFont val="宋体"/>
            <charset val="134"/>
          </rPr>
          <t>Administrator:</t>
        </r>
        <r>
          <rPr>
            <sz val="12"/>
            <rFont val="宋体"/>
            <charset val="134"/>
          </rPr>
          <t xml:space="preserve">
1/6 上进口商贴纸 520pcs</t>
        </r>
      </text>
    </comment>
    <comment ref="AF58" authorId="0">
      <text>
        <r>
          <rPr>
            <b/>
            <sz val="12"/>
            <rFont val="宋体"/>
            <charset val="134"/>
          </rPr>
          <t>Administrator:</t>
        </r>
        <r>
          <rPr>
            <sz val="12"/>
            <rFont val="宋体"/>
            <charset val="134"/>
          </rPr>
          <t xml:space="preserve">
0001242 2/18 12pcs 华兴三B7</t>
        </r>
      </text>
    </comment>
    <comment ref="AI58" authorId="0">
      <text>
        <r>
          <rPr>
            <b/>
            <sz val="12"/>
            <rFont val="宋体"/>
            <charset val="134"/>
          </rPr>
          <t>Administrator:</t>
        </r>
        <r>
          <rPr>
            <sz val="12"/>
            <rFont val="宋体"/>
            <charset val="134"/>
          </rPr>
          <t xml:space="preserve">
1/18 上亚马逊外箱贴纸 1pcs</t>
        </r>
      </text>
    </comment>
    <comment ref="AF59" authorId="0">
      <text>
        <r>
          <rPr>
            <b/>
            <sz val="12"/>
            <rFont val="宋体"/>
            <charset val="134"/>
          </rPr>
          <t>Administrator:</t>
        </r>
        <r>
          <rPr>
            <sz val="12"/>
            <rFont val="宋体"/>
            <charset val="134"/>
          </rPr>
          <t xml:space="preserve">
0001242 2/18 144pcs 华兴三B7</t>
        </r>
      </text>
    </comment>
    <comment ref="AI59" authorId="0">
      <text>
        <r>
          <rPr>
            <b/>
            <sz val="12"/>
            <rFont val="宋体"/>
            <charset val="134"/>
          </rPr>
          <t>Administrator:</t>
        </r>
        <r>
          <rPr>
            <sz val="12"/>
            <rFont val="宋体"/>
            <charset val="134"/>
          </rPr>
          <t xml:space="preserve">
1/18 上亚马逊外箱贴纸 12pcs</t>
        </r>
      </text>
    </comment>
    <comment ref="AF60" authorId="0">
      <text>
        <r>
          <rPr>
            <b/>
            <sz val="12"/>
            <rFont val="宋体"/>
            <charset val="134"/>
          </rPr>
          <t>Administrator:</t>
        </r>
        <r>
          <rPr>
            <sz val="12"/>
            <rFont val="宋体"/>
            <charset val="134"/>
          </rPr>
          <t xml:space="preserve">
0001242 2/18 1350pcs 华兴三B12</t>
        </r>
      </text>
    </comment>
    <comment ref="AI60" authorId="0">
      <text>
        <r>
          <rPr>
            <b/>
            <sz val="12"/>
            <rFont val="宋体"/>
            <charset val="134"/>
          </rPr>
          <t>Administrator:</t>
        </r>
        <r>
          <rPr>
            <sz val="12"/>
            <rFont val="宋体"/>
            <charset val="134"/>
          </rPr>
          <t xml:space="preserve">
2/11 上客供价标贴纸 1415pcs
2/13 上UPC条码贴纸 4750pcs
     上进口商贴纸 4750pcs
149460/154604/154624/151307共用</t>
        </r>
      </text>
    </comment>
    <comment ref="AF61" authorId="0">
      <text>
        <r>
          <rPr>
            <b/>
            <sz val="12"/>
            <rFont val="宋体"/>
            <charset val="134"/>
          </rPr>
          <t>Administrator:</t>
        </r>
        <r>
          <rPr>
            <sz val="12"/>
            <rFont val="宋体"/>
            <charset val="134"/>
          </rPr>
          <t xml:space="preserve">
0001290 2/21 750pcs 华兴三B14</t>
        </r>
      </text>
    </comment>
    <comment ref="AI61" authorId="0">
      <text>
        <r>
          <rPr>
            <b/>
            <sz val="12"/>
            <rFont val="宋体"/>
            <charset val="134"/>
          </rPr>
          <t>Administrator:</t>
        </r>
        <r>
          <rPr>
            <sz val="12"/>
            <rFont val="宋体"/>
            <charset val="134"/>
          </rPr>
          <t xml:space="preserve">
2/11 上客供价标贴纸 781pcs
2/13 上UPC条码贴纸 4750pcs
     上进口商贴纸 4750pcs
149460/154604/154624/151307共用
</t>
        </r>
      </text>
    </comment>
    <comment ref="AF62" authorId="0">
      <text>
        <r>
          <rPr>
            <b/>
            <sz val="12"/>
            <rFont val="宋体"/>
            <charset val="134"/>
          </rPr>
          <t>Administrator:</t>
        </r>
        <r>
          <rPr>
            <sz val="12"/>
            <rFont val="宋体"/>
            <charset val="134"/>
          </rPr>
          <t xml:space="preserve">
0001947 2/22 416pcs 华兴三A27</t>
        </r>
      </text>
    </comment>
    <comment ref="AI62" authorId="0">
      <text>
        <r>
          <rPr>
            <b/>
            <sz val="12"/>
            <rFont val="宋体"/>
            <charset val="134"/>
          </rPr>
          <t>Administrator:</t>
        </r>
        <r>
          <rPr>
            <sz val="12"/>
            <rFont val="宋体"/>
            <charset val="134"/>
          </rPr>
          <t xml:space="preserve">
1/6 上进口商贴纸 416pcs</t>
        </r>
      </text>
    </comment>
    <comment ref="AF63" authorId="0">
      <text>
        <r>
          <rPr>
            <b/>
            <sz val="12"/>
            <rFont val="宋体"/>
            <charset val="134"/>
          </rPr>
          <t>Administrator:</t>
        </r>
        <r>
          <rPr>
            <sz val="12"/>
            <rFont val="宋体"/>
            <charset val="134"/>
          </rPr>
          <t xml:space="preserve">
0001318 2/27 5000pcs 华兴三A27</t>
        </r>
      </text>
    </comment>
    <comment ref="AI63" authorId="0">
      <text>
        <r>
          <rPr>
            <b/>
            <sz val="12"/>
            <rFont val="宋体"/>
            <charset val="134"/>
          </rPr>
          <t>Administrator:</t>
        </r>
        <r>
          <rPr>
            <sz val="12"/>
            <rFont val="宋体"/>
            <charset val="134"/>
          </rPr>
          <t xml:space="preserve">
1/14 上日语警语贴纸 5000pcs 作废
2/13 上日语警语贴纸 5000pcs 更新后</t>
        </r>
      </text>
    </comment>
    <comment ref="AF64" authorId="0">
      <text>
        <r>
          <rPr>
            <b/>
            <sz val="12"/>
            <rFont val="宋体"/>
            <charset val="134"/>
          </rPr>
          <t>Administrator:</t>
        </r>
        <r>
          <rPr>
            <sz val="12"/>
            <rFont val="宋体"/>
            <charset val="134"/>
          </rPr>
          <t xml:space="preserve">
0001318 2/27 3224pcs 华兴三B16</t>
        </r>
      </text>
    </comment>
    <comment ref="AI64" authorId="0">
      <text>
        <r>
          <rPr>
            <b/>
            <sz val="12"/>
            <rFont val="宋体"/>
            <charset val="134"/>
          </rPr>
          <t>Administrator:</t>
        </r>
        <r>
          <rPr>
            <sz val="12"/>
            <rFont val="宋体"/>
            <charset val="134"/>
          </rPr>
          <t xml:space="preserve">
1/10 上客户EAN条码贴纸 3224pcs</t>
        </r>
      </text>
    </comment>
    <comment ref="AF65" authorId="0">
      <text>
        <r>
          <rPr>
            <b/>
            <sz val="12"/>
            <rFont val="宋体"/>
            <charset val="134"/>
          </rPr>
          <t>Administrator:</t>
        </r>
        <r>
          <rPr>
            <sz val="12"/>
            <rFont val="宋体"/>
            <charset val="134"/>
          </rPr>
          <t xml:space="preserve">
0001310 2/26 2304pcs 华兴三B5</t>
        </r>
      </text>
    </comment>
    <comment ref="AI65" authorId="0">
      <text>
        <r>
          <rPr>
            <b/>
            <sz val="12"/>
            <rFont val="宋体"/>
            <charset val="134"/>
          </rPr>
          <t>Administrator:</t>
        </r>
        <r>
          <rPr>
            <sz val="12"/>
            <rFont val="宋体"/>
            <charset val="134"/>
          </rPr>
          <t xml:space="preserve">
1/3 上客供RFID贴纸 2304pcs</t>
        </r>
      </text>
    </comment>
    <comment ref="AF66" authorId="0">
      <text>
        <r>
          <rPr>
            <b/>
            <sz val="12"/>
            <rFont val="宋体"/>
            <charset val="134"/>
          </rPr>
          <t>Administrator:</t>
        </r>
        <r>
          <rPr>
            <sz val="12"/>
            <rFont val="宋体"/>
            <charset val="134"/>
          </rPr>
          <t xml:space="preserve">
0001310 2/26 1152pcs 华兴三B5</t>
        </r>
      </text>
    </comment>
    <comment ref="AI66" authorId="0">
      <text>
        <r>
          <rPr>
            <b/>
            <sz val="12"/>
            <rFont val="宋体"/>
            <charset val="134"/>
          </rPr>
          <t>Administrator:</t>
        </r>
        <r>
          <rPr>
            <sz val="12"/>
            <rFont val="宋体"/>
            <charset val="134"/>
          </rPr>
          <t xml:space="preserve">
1/3 上客供RFID贴纸 1152pcs</t>
        </r>
      </text>
    </comment>
    <comment ref="AI67" authorId="0">
      <text>
        <r>
          <rPr>
            <b/>
            <sz val="12"/>
            <rFont val="宋体"/>
            <charset val="134"/>
          </rPr>
          <t>Administrator:</t>
        </r>
        <r>
          <rPr>
            <sz val="12"/>
            <rFont val="宋体"/>
            <charset val="134"/>
          </rPr>
          <t xml:space="preserve">
1/3 上客供RFID贴纸 1152pcs</t>
        </r>
      </text>
    </comment>
    <comment ref="AI68" authorId="0">
      <text>
        <r>
          <rPr>
            <b/>
            <sz val="12"/>
            <rFont val="宋体"/>
            <charset val="134"/>
          </rPr>
          <t>Administrator:</t>
        </r>
        <r>
          <rPr>
            <sz val="12"/>
            <rFont val="宋体"/>
            <charset val="134"/>
          </rPr>
          <t xml:space="preserve">
1/3 上客供RFID贴纸 1152pcs</t>
        </r>
      </text>
    </comment>
    <comment ref="AI69" authorId="0">
      <text>
        <r>
          <rPr>
            <b/>
            <sz val="12"/>
            <rFont val="宋体"/>
            <charset val="134"/>
          </rPr>
          <t>Administrator:</t>
        </r>
        <r>
          <rPr>
            <sz val="12"/>
            <rFont val="宋体"/>
            <charset val="134"/>
          </rPr>
          <t xml:space="preserve">
1/3 上客供RFID贴纸 1152pcs</t>
        </r>
      </text>
    </comment>
    <comment ref="AI70" authorId="0">
      <text>
        <r>
          <rPr>
            <b/>
            <sz val="12"/>
            <rFont val="宋体"/>
            <charset val="134"/>
          </rPr>
          <t>Administrator:</t>
        </r>
        <r>
          <rPr>
            <sz val="12"/>
            <rFont val="宋体"/>
            <charset val="134"/>
          </rPr>
          <t xml:space="preserve">
1/3 上客供RFID贴纸 1152pcs</t>
        </r>
      </text>
    </comment>
    <comment ref="AF71" authorId="0">
      <text>
        <r>
          <rPr>
            <b/>
            <sz val="12"/>
            <rFont val="宋体"/>
            <charset val="134"/>
          </rPr>
          <t>Administrator:</t>
        </r>
        <r>
          <rPr>
            <sz val="12"/>
            <rFont val="宋体"/>
            <charset val="134"/>
          </rPr>
          <t xml:space="preserve">
0001318 2/27 2028pcs 华兴三B14
0001358 2/28  52pcs  华兴三B14</t>
        </r>
      </text>
    </comment>
    <comment ref="AI71" authorId="0">
      <text>
        <r>
          <rPr>
            <b/>
            <sz val="12"/>
            <rFont val="宋体"/>
            <charset val="134"/>
          </rPr>
          <t>Administrator:</t>
        </r>
        <r>
          <rPr>
            <sz val="12"/>
            <rFont val="宋体"/>
            <charset val="134"/>
          </rPr>
          <t xml:space="preserve">
1/6 上进口商贴纸 2080pcs</t>
        </r>
      </text>
    </comment>
    <comment ref="AF72" authorId="0">
      <text>
        <r>
          <rPr>
            <b/>
            <sz val="12"/>
            <rFont val="宋体"/>
            <charset val="134"/>
          </rPr>
          <t>Administrator:</t>
        </r>
        <r>
          <rPr>
            <sz val="12"/>
            <rFont val="宋体"/>
            <charset val="134"/>
          </rPr>
          <t xml:space="preserve">
0001358 2/28 1350pcs 华兴三B8</t>
        </r>
      </text>
    </comment>
    <comment ref="AI72" authorId="0">
      <text>
        <r>
          <rPr>
            <b/>
            <sz val="12"/>
            <rFont val="宋体"/>
            <charset val="134"/>
          </rPr>
          <t>Administrator:</t>
        </r>
        <r>
          <rPr>
            <sz val="12"/>
            <rFont val="宋体"/>
            <charset val="134"/>
          </rPr>
          <t xml:space="preserve">
2/13 上UPC条码贴纸 4750pcs
     上进口商贴纸 4750pcs
149460/154604/154624/151307共用
2/18 上客供价格贴纸 1410pcs</t>
        </r>
      </text>
    </comment>
    <comment ref="AF73" authorId="0">
      <text>
        <r>
          <rPr>
            <b/>
            <sz val="12"/>
            <rFont val="宋体"/>
            <charset val="134"/>
          </rPr>
          <t>Administrator:</t>
        </r>
        <r>
          <rPr>
            <sz val="12"/>
            <rFont val="宋体"/>
            <charset val="134"/>
          </rPr>
          <t xml:space="preserve">
0001310 2/26 360pcs 华兴三B13</t>
        </r>
      </text>
    </comment>
    <comment ref="AF74" authorId="0">
      <text>
        <r>
          <rPr>
            <b/>
            <sz val="12"/>
            <rFont val="宋体"/>
            <charset val="134"/>
          </rPr>
          <t>Administrator:</t>
        </r>
        <r>
          <rPr>
            <sz val="12"/>
            <rFont val="宋体"/>
            <charset val="134"/>
          </rPr>
          <t xml:space="preserve">
0001358 2/28 1550pcs 华兴三B8
0001343  3/5   50pcs 华兴三B8</t>
        </r>
      </text>
    </comment>
    <comment ref="AI74" authorId="0">
      <text>
        <r>
          <rPr>
            <b/>
            <sz val="12"/>
            <rFont val="宋体"/>
            <charset val="134"/>
          </rPr>
          <t>Administrator:</t>
        </r>
        <r>
          <rPr>
            <sz val="12"/>
            <rFont val="宋体"/>
            <charset val="134"/>
          </rPr>
          <t xml:space="preserve">
2/13 上UPC贴纸 1600pcs
     上进口商贴纸 1600pcs</t>
        </r>
      </text>
    </comment>
    <comment ref="AF75" authorId="0">
      <text>
        <r>
          <rPr>
            <b/>
            <sz val="12"/>
            <rFont val="宋体"/>
            <charset val="134"/>
          </rPr>
          <t>Administrator:</t>
        </r>
        <r>
          <rPr>
            <sz val="12"/>
            <rFont val="宋体"/>
            <charset val="134"/>
          </rPr>
          <t xml:space="preserve">
0001358 2/28 1140pcs 华兴三B5
0001343  3/5  12pcs  华兴三B5</t>
        </r>
      </text>
    </comment>
    <comment ref="AI75" authorId="0">
      <text>
        <r>
          <rPr>
            <b/>
            <sz val="12"/>
            <rFont val="宋体"/>
            <charset val="134"/>
          </rPr>
          <t>Administrator:</t>
        </r>
        <r>
          <rPr>
            <sz val="12"/>
            <rFont val="宋体"/>
            <charset val="134"/>
          </rPr>
          <t xml:space="preserve">
2/18 上客供RFID贴纸 1152pcs</t>
        </r>
      </text>
    </comment>
    <comment ref="AF76" authorId="0">
      <text>
        <r>
          <rPr>
            <b/>
            <sz val="12"/>
            <rFont val="宋体"/>
            <charset val="134"/>
          </rPr>
          <t>Administrator:</t>
        </r>
        <r>
          <rPr>
            <sz val="12"/>
            <rFont val="宋体"/>
            <charset val="134"/>
          </rPr>
          <t xml:space="preserve">
0001396 3/7 2500pcs 华兴三B14</t>
        </r>
      </text>
    </comment>
    <comment ref="AI76" authorId="0">
      <text>
        <r>
          <rPr>
            <b/>
            <sz val="12"/>
            <rFont val="宋体"/>
            <charset val="134"/>
          </rPr>
          <t>Administrator:</t>
        </r>
        <r>
          <rPr>
            <sz val="12"/>
            <rFont val="宋体"/>
            <charset val="134"/>
          </rPr>
          <t xml:space="preserve">
3/4 上UPC贴纸 2500pcs
    上外箱贴纸 50pcs
    上进口商贴纸 2500pcs</t>
        </r>
      </text>
    </comment>
    <comment ref="AF77" authorId="0">
      <text>
        <r>
          <rPr>
            <b/>
            <sz val="12"/>
            <rFont val="宋体"/>
            <charset val="134"/>
          </rPr>
          <t>Administrator:</t>
        </r>
        <r>
          <rPr>
            <sz val="12"/>
            <rFont val="宋体"/>
            <charset val="134"/>
          </rPr>
          <t xml:space="preserve">
0001358 2/28 1250pcs 华兴三B8
0001343  3/5  50pcs  华兴三B8</t>
        </r>
      </text>
    </comment>
    <comment ref="AI77" authorId="0">
      <text>
        <r>
          <rPr>
            <b/>
            <sz val="12"/>
            <rFont val="宋体"/>
            <charset val="134"/>
          </rPr>
          <t>Administrator:</t>
        </r>
        <r>
          <rPr>
            <sz val="12"/>
            <rFont val="宋体"/>
            <charset val="134"/>
          </rPr>
          <t xml:space="preserve">
2/13 上UPC条码贴纸 4750pcs
     上进口商贴纸 4750pcs
149460/154604/154624/151307共用
2/18 上客供价格贴纸 1360pcs
</t>
        </r>
      </text>
    </comment>
    <comment ref="AF78" authorId="0">
      <text>
        <r>
          <rPr>
            <b/>
            <sz val="12"/>
            <rFont val="宋体"/>
            <charset val="134"/>
          </rPr>
          <t>Administrator:</t>
        </r>
        <r>
          <rPr>
            <sz val="12"/>
            <rFont val="宋体"/>
            <charset val="134"/>
          </rPr>
          <t xml:space="preserve">
0001442 3/11 1152pcs 华兴三B5</t>
        </r>
      </text>
    </comment>
    <comment ref="AI78" authorId="0">
      <text>
        <r>
          <rPr>
            <b/>
            <sz val="12"/>
            <rFont val="宋体"/>
            <charset val="134"/>
          </rPr>
          <t>Administrator:</t>
        </r>
        <r>
          <rPr>
            <sz val="12"/>
            <rFont val="宋体"/>
            <charset val="134"/>
          </rPr>
          <t xml:space="preserve">
2/11 上客供RFID贴纸 1152pcs</t>
        </r>
      </text>
    </comment>
    <comment ref="AI79" authorId="0">
      <text>
        <r>
          <rPr>
            <b/>
            <sz val="12"/>
            <rFont val="宋体"/>
            <charset val="134"/>
          </rPr>
          <t>Administrator:</t>
        </r>
        <r>
          <rPr>
            <sz val="12"/>
            <rFont val="宋体"/>
            <charset val="134"/>
          </rPr>
          <t xml:space="preserve">
2/11 上客供RFID贴纸 1152pcs</t>
        </r>
      </text>
    </comment>
    <comment ref="AF80" authorId="0">
      <text>
        <r>
          <rPr>
            <b/>
            <sz val="12"/>
            <rFont val="宋体"/>
            <charset val="134"/>
          </rPr>
          <t>Administrator:</t>
        </r>
        <r>
          <rPr>
            <sz val="12"/>
            <rFont val="宋体"/>
            <charset val="134"/>
          </rPr>
          <t xml:space="preserve">
0001456 3/12 3456pcs 华兴三B6</t>
        </r>
      </text>
    </comment>
    <comment ref="AI80" authorId="0">
      <text>
        <r>
          <rPr>
            <b/>
            <sz val="12"/>
            <rFont val="宋体"/>
            <charset val="134"/>
          </rPr>
          <t>Administrator:</t>
        </r>
        <r>
          <rPr>
            <sz val="12"/>
            <rFont val="宋体"/>
            <charset val="134"/>
          </rPr>
          <t xml:space="preserve">
2/11 上客供RFID贴纸 3456pcs</t>
        </r>
      </text>
    </comment>
    <comment ref="AF81" authorId="0">
      <text>
        <r>
          <rPr>
            <b/>
            <sz val="12"/>
            <rFont val="宋体"/>
            <charset val="134"/>
          </rPr>
          <t>Administrator:</t>
        </r>
        <r>
          <rPr>
            <sz val="12"/>
            <rFont val="宋体"/>
            <charset val="134"/>
          </rPr>
          <t xml:space="preserve">
0001456 3/12 2304pcs 华兴三B6</t>
        </r>
      </text>
    </comment>
    <comment ref="AI81" authorId="0">
      <text>
        <r>
          <rPr>
            <b/>
            <sz val="12"/>
            <rFont val="宋体"/>
            <charset val="134"/>
          </rPr>
          <t>Administrator:</t>
        </r>
        <r>
          <rPr>
            <sz val="12"/>
            <rFont val="宋体"/>
            <charset val="134"/>
          </rPr>
          <t xml:space="preserve">
2/11 上客供RFID贴纸 2304pcs</t>
        </r>
      </text>
    </comment>
    <comment ref="AF82" authorId="0">
      <text>
        <r>
          <rPr>
            <b/>
            <sz val="12"/>
            <rFont val="宋体"/>
            <charset val="134"/>
          </rPr>
          <t>Administrator:</t>
        </r>
        <r>
          <rPr>
            <sz val="12"/>
            <rFont val="宋体"/>
            <charset val="134"/>
          </rPr>
          <t xml:space="preserve">
0001442 3/11 1152pcs 华兴三B5</t>
        </r>
      </text>
    </comment>
    <comment ref="AI82" authorId="0">
      <text>
        <r>
          <rPr>
            <b/>
            <sz val="12"/>
            <rFont val="宋体"/>
            <charset val="134"/>
          </rPr>
          <t>Administrator:</t>
        </r>
        <r>
          <rPr>
            <sz val="12"/>
            <rFont val="宋体"/>
            <charset val="134"/>
          </rPr>
          <t xml:space="preserve">
2/11 上客供RFID贴纸 1152pcs</t>
        </r>
      </text>
    </comment>
    <comment ref="AI83" authorId="0">
      <text>
        <r>
          <rPr>
            <b/>
            <sz val="12"/>
            <rFont val="宋体"/>
            <charset val="134"/>
          </rPr>
          <t>Administrator:</t>
        </r>
        <r>
          <rPr>
            <sz val="12"/>
            <rFont val="宋体"/>
            <charset val="134"/>
          </rPr>
          <t xml:space="preserve">
2/11 上客供RFID贴纸 1152pcs</t>
        </r>
      </text>
    </comment>
    <comment ref="AI84" authorId="0">
      <text>
        <r>
          <rPr>
            <b/>
            <sz val="12"/>
            <rFont val="宋体"/>
            <charset val="134"/>
          </rPr>
          <t>Administrator:</t>
        </r>
        <r>
          <rPr>
            <sz val="12"/>
            <rFont val="宋体"/>
            <charset val="134"/>
          </rPr>
          <t xml:space="preserve">
2/21 上客供RFID贴纸 1152pcs</t>
        </r>
      </text>
    </comment>
    <comment ref="AF85" authorId="0">
      <text>
        <r>
          <rPr>
            <b/>
            <sz val="12"/>
            <rFont val="宋体"/>
            <charset val="134"/>
          </rPr>
          <t>Administrator:</t>
        </r>
        <r>
          <rPr>
            <sz val="12"/>
            <rFont val="宋体"/>
            <charset val="134"/>
          </rPr>
          <t xml:space="preserve">
0001507 3/19 1196pcs 华兴三B14</t>
        </r>
      </text>
    </comment>
    <comment ref="AI85" authorId="0">
      <text>
        <r>
          <rPr>
            <b/>
            <sz val="12"/>
            <rFont val="宋体"/>
            <charset val="134"/>
          </rPr>
          <t>Administrator:</t>
        </r>
        <r>
          <rPr>
            <sz val="12"/>
            <rFont val="宋体"/>
            <charset val="134"/>
          </rPr>
          <t xml:space="preserve">
2/24 上进口商含UPC贴纸 1196pcs</t>
        </r>
      </text>
    </comment>
    <comment ref="AF86" authorId="0">
      <text>
        <r>
          <rPr>
            <b/>
            <sz val="12"/>
            <rFont val="宋体"/>
            <charset val="134"/>
          </rPr>
          <t>Administrator:</t>
        </r>
        <r>
          <rPr>
            <sz val="12"/>
            <rFont val="宋体"/>
            <charset val="134"/>
          </rPr>
          <t xml:space="preserve">
0001386 3/26 750pcs 华兴三A27</t>
        </r>
      </text>
    </comment>
    <comment ref="AI86" authorId="0">
      <text>
        <r>
          <rPr>
            <b/>
            <sz val="12"/>
            <rFont val="宋体"/>
            <charset val="134"/>
          </rPr>
          <t>Administrator:</t>
        </r>
        <r>
          <rPr>
            <sz val="12"/>
            <rFont val="宋体"/>
            <charset val="134"/>
          </rPr>
          <t xml:space="preserve">
3/7 上UPC贴纸 750pcs</t>
        </r>
      </text>
    </comment>
    <comment ref="AF87" authorId="0">
      <text>
        <r>
          <rPr>
            <b/>
            <sz val="12"/>
            <rFont val="宋体"/>
            <charset val="134"/>
          </rPr>
          <t>Administrator:</t>
        </r>
        <r>
          <rPr>
            <sz val="12"/>
            <rFont val="宋体"/>
            <charset val="134"/>
          </rPr>
          <t xml:space="preserve">
0001899 3/31 142pcs</t>
        </r>
      </text>
    </comment>
    <comment ref="AF88" authorId="0">
      <text>
        <r>
          <rPr>
            <b/>
            <sz val="12"/>
            <rFont val="宋体"/>
            <charset val="134"/>
          </rPr>
          <t>Administrator:</t>
        </r>
        <r>
          <rPr>
            <sz val="12"/>
            <rFont val="宋体"/>
            <charset val="134"/>
          </rPr>
          <t xml:space="preserve">
0001899 3/31 7pcs</t>
        </r>
      </text>
    </comment>
    <comment ref="AF89" authorId="0">
      <text>
        <r>
          <rPr>
            <b/>
            <sz val="12"/>
            <rFont val="宋体"/>
            <charset val="134"/>
          </rPr>
          <t>Administrator:</t>
        </r>
        <r>
          <rPr>
            <sz val="12"/>
            <rFont val="宋体"/>
            <charset val="134"/>
          </rPr>
          <t xml:space="preserve">
0001905 4/2 416pcs 华兴三B14</t>
        </r>
      </text>
    </comment>
    <comment ref="AF90" authorId="0">
      <text>
        <r>
          <rPr>
            <b/>
            <sz val="12"/>
            <rFont val="宋体"/>
            <charset val="134"/>
          </rPr>
          <t>Administrator:</t>
        </r>
        <r>
          <rPr>
            <sz val="12"/>
            <rFont val="宋体"/>
            <charset val="134"/>
          </rPr>
          <t xml:space="preserve">
0001872 4/8 350pcs 华兴三B14
</t>
        </r>
      </text>
    </comment>
    <comment ref="AI90" authorId="0">
      <text>
        <r>
          <rPr>
            <b/>
            <sz val="12"/>
            <rFont val="宋体"/>
            <charset val="134"/>
          </rPr>
          <t>Administrator:</t>
        </r>
        <r>
          <rPr>
            <sz val="12"/>
            <rFont val="宋体"/>
            <charset val="134"/>
          </rPr>
          <t xml:space="preserve">
3/27 上UPC贴纸 2700pcs
     上进口商贴纸 2700pcs</t>
        </r>
      </text>
    </comment>
    <comment ref="AF91" authorId="0">
      <text>
        <r>
          <rPr>
            <b/>
            <sz val="12"/>
            <rFont val="宋体"/>
            <charset val="134"/>
          </rPr>
          <t>Administrator:</t>
        </r>
        <r>
          <rPr>
            <sz val="12"/>
            <rFont val="宋体"/>
            <charset val="134"/>
          </rPr>
          <t xml:space="preserve">
0001872 4/8 200pcs 华兴三B14
</t>
        </r>
      </text>
    </comment>
    <comment ref="AF92" authorId="0">
      <text>
        <r>
          <rPr>
            <b/>
            <sz val="12"/>
            <rFont val="宋体"/>
            <charset val="134"/>
          </rPr>
          <t>Administrator:</t>
        </r>
        <r>
          <rPr>
            <sz val="12"/>
            <rFont val="宋体"/>
            <charset val="134"/>
          </rPr>
          <t xml:space="preserve">
0001872 4/8 250pcs 华兴三B14
</t>
        </r>
      </text>
    </comment>
    <comment ref="AF93" authorId="0">
      <text>
        <r>
          <rPr>
            <b/>
            <sz val="12"/>
            <rFont val="宋体"/>
            <charset val="134"/>
          </rPr>
          <t>Administrator:</t>
        </r>
        <r>
          <rPr>
            <sz val="12"/>
            <rFont val="宋体"/>
            <charset val="134"/>
          </rPr>
          <t xml:space="preserve">
0001872 4/8 900pcs 华兴三B14
</t>
        </r>
      </text>
    </comment>
    <comment ref="AF94" authorId="0">
      <text>
        <r>
          <rPr>
            <b/>
            <sz val="12"/>
            <rFont val="宋体"/>
            <charset val="134"/>
          </rPr>
          <t>Administrator:</t>
        </r>
        <r>
          <rPr>
            <sz val="12"/>
            <rFont val="宋体"/>
            <charset val="134"/>
          </rPr>
          <t xml:space="preserve">
0001872 4/8 950pcs 华兴三B14
0001558 4/10 50pcs 华兴三B14</t>
        </r>
      </text>
    </comment>
    <comment ref="AF95" authorId="0">
      <text>
        <r>
          <rPr>
            <b/>
            <sz val="12"/>
            <rFont val="宋体"/>
            <charset val="134"/>
          </rPr>
          <t>Administrator:</t>
        </r>
        <r>
          <rPr>
            <sz val="12"/>
            <rFont val="宋体"/>
            <charset val="134"/>
          </rPr>
          <t xml:space="preserve">
0001660 4/16 200pcs 华兴三B7</t>
        </r>
      </text>
    </comment>
    <comment ref="AI95" authorId="0">
      <text>
        <r>
          <rPr>
            <b/>
            <sz val="12"/>
            <rFont val="宋体"/>
            <charset val="134"/>
          </rPr>
          <t>Administrator:</t>
        </r>
        <r>
          <rPr>
            <sz val="12"/>
            <rFont val="宋体"/>
            <charset val="134"/>
          </rPr>
          <t xml:space="preserve">
4/1 上UPC贴纸 200pcs</t>
        </r>
      </text>
    </comment>
    <comment ref="AF96" authorId="0">
      <text>
        <r>
          <rPr>
            <b/>
            <sz val="12"/>
            <rFont val="宋体"/>
            <charset val="134"/>
          </rPr>
          <t>Administrator:</t>
        </r>
        <r>
          <rPr>
            <sz val="12"/>
            <rFont val="宋体"/>
            <charset val="134"/>
          </rPr>
          <t xml:space="preserve">
0001618 4/24 2304pcs 华兴三B4</t>
        </r>
      </text>
    </comment>
    <comment ref="AI96" authorId="0">
      <text>
        <r>
          <rPr>
            <b/>
            <sz val="12"/>
            <rFont val="宋体"/>
            <charset val="134"/>
          </rPr>
          <t>Administrator:</t>
        </r>
        <r>
          <rPr>
            <sz val="12"/>
            <rFont val="宋体"/>
            <charset val="134"/>
          </rPr>
          <t xml:space="preserve">
4/7 上客供RFID贴纸 2304pcs</t>
        </r>
      </text>
    </comment>
    <comment ref="AF97" authorId="0">
      <text>
        <r>
          <rPr>
            <b/>
            <sz val="12"/>
            <rFont val="宋体"/>
            <charset val="134"/>
          </rPr>
          <t>Administrator:</t>
        </r>
        <r>
          <rPr>
            <sz val="12"/>
            <rFont val="宋体"/>
            <charset val="134"/>
          </rPr>
          <t xml:space="preserve">
0001618 4/24 1152pcs 华兴三B4</t>
        </r>
      </text>
    </comment>
    <comment ref="AI97" authorId="0">
      <text>
        <r>
          <rPr>
            <b/>
            <sz val="12"/>
            <rFont val="宋体"/>
            <charset val="134"/>
          </rPr>
          <t>Administrator:</t>
        </r>
        <r>
          <rPr>
            <sz val="12"/>
            <rFont val="宋体"/>
            <charset val="134"/>
          </rPr>
          <t xml:space="preserve">
4/7 上客供RFID贴纸 1152pcs</t>
        </r>
      </text>
    </comment>
    <comment ref="AF98" authorId="0">
      <text>
        <r>
          <rPr>
            <b/>
            <sz val="12"/>
            <rFont val="宋体"/>
            <charset val="134"/>
          </rPr>
          <t>Administrator:</t>
        </r>
        <r>
          <rPr>
            <sz val="12"/>
            <rFont val="宋体"/>
            <charset val="134"/>
          </rPr>
          <t xml:space="preserve">
0001660 4/16 260pcs 华兴三B7</t>
        </r>
      </text>
    </comment>
    <comment ref="AI98" authorId="0">
      <text>
        <r>
          <rPr>
            <b/>
            <sz val="12"/>
            <rFont val="宋体"/>
            <charset val="134"/>
          </rPr>
          <t>Administrator:</t>
        </r>
        <r>
          <rPr>
            <sz val="12"/>
            <rFont val="宋体"/>
            <charset val="134"/>
          </rPr>
          <t xml:space="preserve">
3/31 上进口商贴纸 260pcs</t>
        </r>
      </text>
    </comment>
    <comment ref="AF99" authorId="0">
      <text>
        <r>
          <rPr>
            <b/>
            <sz val="12"/>
            <rFont val="宋体"/>
            <charset val="134"/>
          </rPr>
          <t>Administrator:</t>
        </r>
        <r>
          <rPr>
            <sz val="12"/>
            <rFont val="宋体"/>
            <charset val="134"/>
          </rPr>
          <t xml:space="preserve">
0001618 4/24 1008pcs 华兴三B15</t>
        </r>
      </text>
    </comment>
    <comment ref="AI99" authorId="0">
      <text>
        <r>
          <rPr>
            <b/>
            <sz val="12"/>
            <rFont val="宋体"/>
            <charset val="134"/>
          </rPr>
          <t>Administrator:</t>
        </r>
        <r>
          <rPr>
            <sz val="12"/>
            <rFont val="宋体"/>
            <charset val="134"/>
          </rPr>
          <t xml:space="preserve">
4/9 上亚马逊外箱贴纸 84pcs
4/11 上环保标贴纸 1008pcs</t>
        </r>
      </text>
    </comment>
    <comment ref="AF100" authorId="0">
      <text>
        <r>
          <rPr>
            <b/>
            <sz val="12"/>
            <rFont val="宋体"/>
            <charset val="134"/>
          </rPr>
          <t>Administrator:</t>
        </r>
        <r>
          <rPr>
            <sz val="12"/>
            <rFont val="宋体"/>
            <charset val="134"/>
          </rPr>
          <t xml:space="preserve">
0001665 4/18 800pcs 华兴三B4</t>
        </r>
      </text>
    </comment>
    <comment ref="AF101" authorId="0">
      <text>
        <r>
          <rPr>
            <b/>
            <sz val="12"/>
            <rFont val="宋体"/>
            <charset val="134"/>
          </rPr>
          <t>Administrator:</t>
        </r>
        <r>
          <rPr>
            <sz val="12"/>
            <rFont val="宋体"/>
            <charset val="134"/>
          </rPr>
          <t xml:space="preserve">
2000981 5/16 1750pcs  华兴三B15
2000977 5/17  50pcs   华兴三B15</t>
        </r>
      </text>
    </comment>
    <comment ref="AF102" authorId="0">
      <text>
        <r>
          <rPr>
            <b/>
            <sz val="12"/>
            <rFont val="宋体"/>
            <charset val="134"/>
          </rPr>
          <t>Administrator:</t>
        </r>
        <r>
          <rPr>
            <sz val="12"/>
            <rFont val="宋体"/>
            <charset val="134"/>
          </rPr>
          <t xml:space="preserve">
2000941 5/16 16000pcs 莫海军B栋4楼B8区</t>
        </r>
      </text>
    </comment>
    <comment ref="AI102" authorId="0">
      <text>
        <r>
          <rPr>
            <b/>
            <sz val="12"/>
            <rFont val="宋体"/>
            <charset val="134"/>
          </rPr>
          <t>Administrator:</t>
        </r>
        <r>
          <rPr>
            <sz val="12"/>
            <rFont val="宋体"/>
            <charset val="134"/>
          </rPr>
          <t xml:space="preserve">
4/30 上UPC条码贴纸 16000pcs
     上进口商贴纸 16000pcs</t>
        </r>
      </text>
    </comment>
    <comment ref="AF103" authorId="0">
      <text>
        <r>
          <rPr>
            <b/>
            <sz val="12"/>
            <rFont val="宋体"/>
            <charset val="134"/>
          </rPr>
          <t>Administrator:</t>
        </r>
        <r>
          <rPr>
            <sz val="12"/>
            <rFont val="宋体"/>
            <charset val="134"/>
          </rPr>
          <t xml:space="preserve">
2001233 5/15 1500pcs B栋4楼</t>
        </r>
      </text>
    </comment>
    <comment ref="AI103" authorId="0">
      <text>
        <r>
          <rPr>
            <b/>
            <sz val="12"/>
            <rFont val="宋体"/>
            <charset val="134"/>
          </rPr>
          <t>Administrator:</t>
        </r>
        <r>
          <rPr>
            <sz val="12"/>
            <rFont val="宋体"/>
            <charset val="134"/>
          </rPr>
          <t xml:space="preserve">
4/21 上UPC贴纸 1500pcs</t>
        </r>
      </text>
    </comment>
    <comment ref="AF104" authorId="0">
      <text>
        <r>
          <rPr>
            <b/>
            <sz val="12"/>
            <rFont val="宋体"/>
            <charset val="134"/>
          </rPr>
          <t>Administrator:</t>
        </r>
        <r>
          <rPr>
            <sz val="12"/>
            <rFont val="宋体"/>
            <charset val="134"/>
          </rPr>
          <t xml:space="preserve">
2000877 5/20 1000pcs 华兴三B15</t>
        </r>
      </text>
    </comment>
    <comment ref="AI104" authorId="0">
      <text>
        <r>
          <rPr>
            <b/>
            <sz val="12"/>
            <rFont val="宋体"/>
            <charset val="134"/>
          </rPr>
          <t>Administrator:</t>
        </r>
        <r>
          <rPr>
            <sz val="12"/>
            <rFont val="宋体"/>
            <charset val="134"/>
          </rPr>
          <t xml:space="preserve">
5/6 上进口商贴纸 1000pcs</t>
        </r>
      </text>
    </comment>
    <comment ref="AF105" authorId="0">
      <text>
        <r>
          <rPr>
            <b/>
            <sz val="12"/>
            <rFont val="宋体"/>
            <charset val="134"/>
          </rPr>
          <t>Administrator:</t>
        </r>
        <r>
          <rPr>
            <sz val="12"/>
            <rFont val="宋体"/>
            <charset val="134"/>
          </rPr>
          <t xml:space="preserve">
2000800 5/24 1300pcs 已走货</t>
        </r>
      </text>
    </comment>
    <comment ref="AI105" authorId="0">
      <text>
        <r>
          <rPr>
            <b/>
            <sz val="12"/>
            <rFont val="宋体"/>
            <charset val="134"/>
          </rPr>
          <t>Administrator:</t>
        </r>
        <r>
          <rPr>
            <sz val="12"/>
            <rFont val="宋体"/>
            <charset val="134"/>
          </rPr>
          <t xml:space="preserve">
5/12 上日语贴纸 1300pcs
     上6+贴纸 2600pcs</t>
        </r>
      </text>
    </comment>
    <comment ref="AF106" authorId="0">
      <text>
        <r>
          <rPr>
            <b/>
            <sz val="12"/>
            <rFont val="宋体"/>
            <charset val="134"/>
          </rPr>
          <t>Administrator:</t>
        </r>
        <r>
          <rPr>
            <sz val="12"/>
            <rFont val="宋体"/>
            <charset val="134"/>
          </rPr>
          <t xml:space="preserve">
2000654 5/27 12pcs 华兴三B14</t>
        </r>
      </text>
    </comment>
    <comment ref="AI106" authorId="0">
      <text>
        <r>
          <rPr>
            <b/>
            <sz val="12"/>
            <rFont val="宋体"/>
            <charset val="134"/>
          </rPr>
          <t>Administrator:</t>
        </r>
        <r>
          <rPr>
            <sz val="12"/>
            <rFont val="宋体"/>
            <charset val="134"/>
          </rPr>
          <t xml:space="preserve">
5/12 上空白UPC贴纸 48pcs
5/12 上客供亚马逊外箱贴纸 1pcs</t>
        </r>
      </text>
    </comment>
    <comment ref="AI107" authorId="0">
      <text>
        <r>
          <rPr>
            <b/>
            <sz val="12"/>
            <rFont val="宋体"/>
            <charset val="134"/>
          </rPr>
          <t>Administrator:</t>
        </r>
        <r>
          <rPr>
            <sz val="12"/>
            <rFont val="宋体"/>
            <charset val="134"/>
          </rPr>
          <t xml:space="preserve">
5/12 上空白UPC贴纸 48pcs
5/12 上客供亚马逊外箱贴纸 1pcs</t>
        </r>
      </text>
    </comment>
    <comment ref="AF108" authorId="0">
      <text>
        <r>
          <rPr>
            <b/>
            <sz val="12"/>
            <rFont val="宋体"/>
            <charset val="134"/>
          </rPr>
          <t>Administrator:</t>
        </r>
        <r>
          <rPr>
            <sz val="12"/>
            <rFont val="宋体"/>
            <charset val="134"/>
          </rPr>
          <t xml:space="preserve">
2002414 6/4 500pcs  新仓库一A2
</t>
        </r>
      </text>
    </comment>
    <comment ref="AF109" authorId="0">
      <text>
        <r>
          <rPr>
            <b/>
            <sz val="12"/>
            <rFont val="宋体"/>
            <charset val="134"/>
          </rPr>
          <t>Administrator:</t>
        </r>
        <r>
          <rPr>
            <sz val="12"/>
            <rFont val="宋体"/>
            <charset val="134"/>
          </rPr>
          <t xml:space="preserve">
2002373 6/5 208pcs 新仓库一B10</t>
        </r>
      </text>
    </comment>
    <comment ref="AI109" authorId="0">
      <text>
        <r>
          <rPr>
            <b/>
            <sz val="12"/>
            <rFont val="宋体"/>
            <charset val="134"/>
          </rPr>
          <t>Administrator:</t>
        </r>
        <r>
          <rPr>
            <sz val="12"/>
            <rFont val="宋体"/>
            <charset val="134"/>
          </rPr>
          <t xml:space="preserve">
5/14 上进口商贴纸 208pcs</t>
        </r>
      </text>
    </comment>
    <comment ref="AF110" authorId="0">
      <text>
        <r>
          <rPr>
            <b/>
            <sz val="12"/>
            <rFont val="宋体"/>
            <charset val="134"/>
          </rPr>
          <t>Administrator:</t>
        </r>
        <r>
          <rPr>
            <sz val="12"/>
            <rFont val="宋体"/>
            <charset val="134"/>
          </rPr>
          <t xml:space="preserve">
2000814 5/30 120pcs 华兴三B8</t>
        </r>
      </text>
    </comment>
    <comment ref="AI110" authorId="0">
      <text>
        <r>
          <rPr>
            <b/>
            <sz val="12"/>
            <rFont val="宋体"/>
            <charset val="134"/>
          </rPr>
          <t>Administrator:</t>
        </r>
        <r>
          <rPr>
            <sz val="12"/>
            <rFont val="宋体"/>
            <charset val="134"/>
          </rPr>
          <t xml:space="preserve">
5/19 上进口商贴纸 144pcs
     上空白贴纸 288pcs
5/26 上客供亚马逊外箱贴纸 10pcs</t>
        </r>
      </text>
    </comment>
    <comment ref="AF111" authorId="0">
      <text>
        <r>
          <rPr>
            <b/>
            <sz val="12"/>
            <rFont val="宋体"/>
            <charset val="134"/>
          </rPr>
          <t>Administrator:</t>
        </r>
        <r>
          <rPr>
            <sz val="12"/>
            <rFont val="宋体"/>
            <charset val="134"/>
          </rPr>
          <t xml:space="preserve">
2000814 5/30 24pcs 华兴三B8</t>
        </r>
      </text>
    </comment>
    <comment ref="AI111" authorId="0">
      <text>
        <r>
          <rPr>
            <b/>
            <sz val="12"/>
            <rFont val="宋体"/>
            <charset val="134"/>
          </rPr>
          <t>Administrator:</t>
        </r>
        <r>
          <rPr>
            <sz val="12"/>
            <rFont val="宋体"/>
            <charset val="134"/>
          </rPr>
          <t xml:space="preserve">
5/19 上进口商贴纸 144pcs
     上空白贴纸 288pcs
5/26 上客供亚马逊外箱贴纸 2pcs
</t>
        </r>
      </text>
    </comment>
    <comment ref="AF112" authorId="0">
      <text>
        <r>
          <rPr>
            <b/>
            <sz val="12"/>
            <rFont val="宋体"/>
            <charset val="134"/>
          </rPr>
          <t>Administrator:</t>
        </r>
        <r>
          <rPr>
            <sz val="12"/>
            <rFont val="宋体"/>
            <charset val="134"/>
          </rPr>
          <t xml:space="preserve">
2002325 6/7 2900pcs 已走货   </t>
        </r>
      </text>
    </comment>
    <comment ref="AI112" authorId="0">
      <text>
        <r>
          <rPr>
            <b/>
            <sz val="12"/>
            <rFont val="宋体"/>
            <charset val="134"/>
          </rPr>
          <t>Administrator:</t>
        </r>
        <r>
          <rPr>
            <sz val="12"/>
            <rFont val="宋体"/>
            <charset val="134"/>
          </rPr>
          <t xml:space="preserve">
5/21 上UPC贴纸 2900pcs
     上进口商贴纸 2900pcs
5/29 上外箱贴纸 58pcs</t>
        </r>
      </text>
    </comment>
    <comment ref="AF113" authorId="0">
      <text>
        <r>
          <rPr>
            <b/>
            <sz val="12"/>
            <rFont val="宋体"/>
            <charset val="134"/>
          </rPr>
          <t>Administrator:</t>
        </r>
        <r>
          <rPr>
            <sz val="12"/>
            <rFont val="宋体"/>
            <charset val="134"/>
          </rPr>
          <t xml:space="preserve">
2002277 6/9 1116pcs  华兴三B6
2002265 6/10  36pcs  华兴三B6</t>
        </r>
      </text>
    </comment>
    <comment ref="AI113" authorId="0">
      <text>
        <r>
          <rPr>
            <b/>
            <sz val="12"/>
            <rFont val="宋体"/>
            <charset val="134"/>
          </rPr>
          <t>Administrator:</t>
        </r>
        <r>
          <rPr>
            <sz val="12"/>
            <rFont val="宋体"/>
            <charset val="134"/>
          </rPr>
          <t xml:space="preserve">
5/24 上客供RFID贴纸 1152pcs</t>
        </r>
      </text>
    </comment>
    <comment ref="AI114" authorId="0">
      <text>
        <r>
          <rPr>
            <b/>
            <sz val="12"/>
            <rFont val="宋体"/>
            <charset val="134"/>
          </rPr>
          <t>Administrator:</t>
        </r>
        <r>
          <rPr>
            <sz val="12"/>
            <rFont val="宋体"/>
            <charset val="134"/>
          </rPr>
          <t xml:space="preserve">
5/24 上客供RFID贴纸 1152pcs</t>
        </r>
      </text>
    </comment>
    <comment ref="AI115" authorId="0">
      <text>
        <r>
          <rPr>
            <b/>
            <sz val="12"/>
            <rFont val="宋体"/>
            <charset val="134"/>
          </rPr>
          <t>Administrator:</t>
        </r>
        <r>
          <rPr>
            <sz val="12"/>
            <rFont val="宋体"/>
            <charset val="134"/>
          </rPr>
          <t xml:space="preserve">
5/24 上客供RFID贴纸 1152pcs</t>
        </r>
      </text>
    </comment>
    <comment ref="AF116" authorId="0">
      <text>
        <r>
          <rPr>
            <b/>
            <sz val="12"/>
            <rFont val="宋体"/>
            <charset val="134"/>
          </rPr>
          <t>Administrator:</t>
        </r>
        <r>
          <rPr>
            <sz val="12"/>
            <rFont val="宋体"/>
            <charset val="134"/>
          </rPr>
          <t xml:space="preserve">
2002292 6/7 550pcs 华兴三B16
2002265 6/10 50pcs 华兴三B16</t>
        </r>
      </text>
    </comment>
    <comment ref="AI116" authorId="0">
      <text>
        <r>
          <rPr>
            <b/>
            <sz val="12"/>
            <rFont val="宋体"/>
            <charset val="134"/>
          </rPr>
          <t>Administrator:</t>
        </r>
        <r>
          <rPr>
            <sz val="12"/>
            <rFont val="宋体"/>
            <charset val="134"/>
          </rPr>
          <t xml:space="preserve">
5/29 上进口商贴纸 600pcs</t>
        </r>
      </text>
    </comment>
    <comment ref="AF117" authorId="0">
      <text>
        <r>
          <rPr>
            <b/>
            <sz val="12"/>
            <rFont val="宋体"/>
            <charset val="134"/>
          </rPr>
          <t>Administrator:</t>
        </r>
        <r>
          <rPr>
            <sz val="12"/>
            <rFont val="宋体"/>
            <charset val="134"/>
          </rPr>
          <t xml:space="preserve">
2002103 6/17 1768pcs 华兴三B14
2002124 6/18  52pcs  华兴三B14</t>
        </r>
      </text>
    </comment>
    <comment ref="AI117" authorId="0">
      <text>
        <r>
          <rPr>
            <b/>
            <sz val="12"/>
            <rFont val="宋体"/>
            <charset val="134"/>
          </rPr>
          <t>Administrator:</t>
        </r>
        <r>
          <rPr>
            <sz val="12"/>
            <rFont val="宋体"/>
            <charset val="134"/>
          </rPr>
          <t xml:space="preserve">
5/29 上进口商贴纸 1820pcs</t>
        </r>
      </text>
    </comment>
    <comment ref="AF118" authorId="0">
      <text>
        <r>
          <rPr>
            <b/>
            <sz val="12"/>
            <rFont val="宋体"/>
            <charset val="134"/>
          </rPr>
          <t>Administrator:</t>
        </r>
        <r>
          <rPr>
            <sz val="12"/>
            <rFont val="宋体"/>
            <charset val="134"/>
          </rPr>
          <t xml:space="preserve">
2002070 6/20   50pcs 华兴三A23
2002192 6/20 2400pcs 华兴三A23
2002191 6/19 2550pcs 华兴三A23</t>
        </r>
      </text>
    </comment>
    <comment ref="AI118" authorId="0">
      <text>
        <r>
          <rPr>
            <b/>
            <sz val="12"/>
            <rFont val="宋体"/>
            <charset val="134"/>
          </rPr>
          <t>Administrator:</t>
        </r>
        <r>
          <rPr>
            <sz val="12"/>
            <rFont val="宋体"/>
            <charset val="134"/>
          </rPr>
          <t xml:space="preserve">
6/13 上进口商贴纸 5000pcs
     上UPC贴纸 5000pcs</t>
        </r>
      </text>
    </comment>
    <comment ref="AF119" authorId="0">
      <text>
        <r>
          <rPr>
            <b/>
            <sz val="12"/>
            <rFont val="宋体"/>
            <charset val="134"/>
          </rPr>
          <t>Administrator:</t>
        </r>
        <r>
          <rPr>
            <sz val="12"/>
            <rFont val="宋体"/>
            <charset val="134"/>
          </rPr>
          <t xml:space="preserve">
2002060 6/20 3000pcs 华兴三A29</t>
        </r>
      </text>
    </comment>
    <comment ref="AI119" authorId="0">
      <text>
        <r>
          <rPr>
            <b/>
            <sz val="12"/>
            <rFont val="宋体"/>
            <charset val="134"/>
          </rPr>
          <t>Administrator:</t>
        </r>
        <r>
          <rPr>
            <sz val="12"/>
            <rFont val="宋体"/>
            <charset val="134"/>
          </rPr>
          <t xml:space="preserve">
6/10 上进口商贴纸 3000pcs</t>
        </r>
      </text>
    </comment>
    <comment ref="AF120" authorId="0">
      <text>
        <r>
          <rPr>
            <b/>
            <sz val="12"/>
            <rFont val="宋体"/>
            <charset val="134"/>
          </rPr>
          <t>Administrator:</t>
        </r>
        <r>
          <rPr>
            <sz val="12"/>
            <rFont val="宋体"/>
            <charset val="134"/>
          </rPr>
          <t xml:space="preserve">
2002048 6/21 1152pcs 新仓库一B10
</t>
        </r>
      </text>
    </comment>
    <comment ref="AI120" authorId="0">
      <text>
        <r>
          <rPr>
            <b/>
            <sz val="12"/>
            <rFont val="宋体"/>
            <charset val="134"/>
          </rPr>
          <t>Administrator:</t>
        </r>
        <r>
          <rPr>
            <sz val="12"/>
            <rFont val="宋体"/>
            <charset val="134"/>
          </rPr>
          <t xml:space="preserve">
6/6 上客供RFID贴纸 1152pcs</t>
        </r>
      </text>
    </comment>
    <comment ref="AI121" authorId="0">
      <text>
        <r>
          <rPr>
            <b/>
            <sz val="12"/>
            <rFont val="宋体"/>
            <charset val="134"/>
          </rPr>
          <t>Administrator:</t>
        </r>
        <r>
          <rPr>
            <sz val="12"/>
            <rFont val="宋体"/>
            <charset val="134"/>
          </rPr>
          <t xml:space="preserve">
6/6 上客供RFID贴纸 1152pcs</t>
        </r>
      </text>
    </comment>
    <comment ref="AF122" authorId="0">
      <text>
        <r>
          <rPr>
            <b/>
            <sz val="12"/>
            <rFont val="宋体"/>
            <charset val="134"/>
          </rPr>
          <t>Administrator:</t>
        </r>
        <r>
          <rPr>
            <sz val="12"/>
            <rFont val="宋体"/>
            <charset val="134"/>
          </rPr>
          <t xml:space="preserve">
2002048 6/21 2304pcs 新仓库一B10</t>
        </r>
      </text>
    </comment>
    <comment ref="AI122" authorId="0">
      <text>
        <r>
          <rPr>
            <b/>
            <sz val="12"/>
            <rFont val="宋体"/>
            <charset val="134"/>
          </rPr>
          <t>Administrator:</t>
        </r>
        <r>
          <rPr>
            <sz val="12"/>
            <rFont val="宋体"/>
            <charset val="134"/>
          </rPr>
          <t xml:space="preserve">
6/6 上客供RFID贴纸 2304pcs</t>
        </r>
      </text>
    </comment>
    <comment ref="AF123" authorId="0">
      <text>
        <r>
          <rPr>
            <b/>
            <sz val="12"/>
            <rFont val="宋体"/>
            <charset val="134"/>
          </rPr>
          <t>Administrator:</t>
        </r>
        <r>
          <rPr>
            <sz val="12"/>
            <rFont val="宋体"/>
            <charset val="134"/>
          </rPr>
          <t xml:space="preserve">
2002048 6/21 1152pcs 新仓库一B10</t>
        </r>
      </text>
    </comment>
    <comment ref="AI123" authorId="0">
      <text>
        <r>
          <rPr>
            <b/>
            <sz val="12"/>
            <rFont val="宋体"/>
            <charset val="134"/>
          </rPr>
          <t>Administrator:</t>
        </r>
        <r>
          <rPr>
            <sz val="12"/>
            <rFont val="宋体"/>
            <charset val="134"/>
          </rPr>
          <t xml:space="preserve">
6/6 上客供RFID贴纸 1152pcs</t>
        </r>
      </text>
    </comment>
    <comment ref="AF124" authorId="0">
      <text>
        <r>
          <rPr>
            <b/>
            <sz val="12"/>
            <rFont val="宋体"/>
            <charset val="134"/>
          </rPr>
          <t>Administrator:</t>
        </r>
        <r>
          <rPr>
            <sz val="12"/>
            <rFont val="宋体"/>
            <charset val="134"/>
          </rPr>
          <t xml:space="preserve">
3001953 7/1 750pcs</t>
        </r>
      </text>
    </comment>
    <comment ref="AI124" authorId="0">
      <text>
        <r>
          <rPr>
            <b/>
            <sz val="12"/>
            <rFont val="宋体"/>
            <charset val="134"/>
          </rPr>
          <t>Administrator:</t>
        </r>
        <r>
          <rPr>
            <sz val="12"/>
            <rFont val="宋体"/>
            <charset val="134"/>
          </rPr>
          <t xml:space="preserve">
6/13 上荷兰警告语贴纸 750pcs</t>
        </r>
      </text>
    </comment>
    <comment ref="AF125" authorId="0">
      <text>
        <r>
          <rPr>
            <b/>
            <sz val="12"/>
            <rFont val="宋体"/>
            <charset val="134"/>
          </rPr>
          <t>Administrator:</t>
        </r>
        <r>
          <rPr>
            <sz val="12"/>
            <rFont val="宋体"/>
            <charset val="134"/>
          </rPr>
          <t xml:space="preserve">
3001737 7/5 400pcs 华兴三B14</t>
        </r>
      </text>
    </comment>
    <comment ref="AI125" authorId="0">
      <text>
        <r>
          <rPr>
            <b/>
            <sz val="12"/>
            <rFont val="宋体"/>
            <charset val="134"/>
          </rPr>
          <t>Administrator:</t>
        </r>
        <r>
          <rPr>
            <sz val="12"/>
            <rFont val="宋体"/>
            <charset val="134"/>
          </rPr>
          <t xml:space="preserve">
6/17 上UPC贴纸 750pcs
168705/168594/168463共用</t>
        </r>
      </text>
    </comment>
    <comment ref="AI126" authorId="0">
      <text>
        <r>
          <rPr>
            <b/>
            <sz val="12"/>
            <rFont val="宋体"/>
            <charset val="134"/>
          </rPr>
          <t>Administrator:</t>
        </r>
        <r>
          <rPr>
            <sz val="12"/>
            <rFont val="宋体"/>
            <charset val="134"/>
          </rPr>
          <t xml:space="preserve">
6/17 上UPC贴纸 750pcs
168705/168594/168463共用</t>
        </r>
      </text>
    </comment>
    <comment ref="AF127" authorId="0">
      <text>
        <r>
          <rPr>
            <b/>
            <sz val="12"/>
            <rFont val="宋体"/>
            <charset val="134"/>
          </rPr>
          <t>Administrator:</t>
        </r>
        <r>
          <rPr>
            <sz val="12"/>
            <rFont val="宋体"/>
            <charset val="134"/>
          </rPr>
          <t xml:space="preserve">
3001699 7/8  12pcs 莫海军B4楼B9区
3001687 7/8 108pcs 莫海军B4楼B9区</t>
        </r>
      </text>
    </comment>
    <comment ref="AI127" authorId="0">
      <text>
        <r>
          <rPr>
            <b/>
            <sz val="12"/>
            <rFont val="宋体"/>
            <charset val="134"/>
          </rPr>
          <t>Administrator:</t>
        </r>
        <r>
          <rPr>
            <sz val="12"/>
            <rFont val="宋体"/>
            <charset val="134"/>
          </rPr>
          <t xml:space="preserve">
6/13 上空白UPC贴纸 240pcs
6/21 上客供亚马逊外箱贴纸 10pcs
6/26 业务与客人沟通取消铜版纸贴纸</t>
        </r>
      </text>
    </comment>
    <comment ref="AF129" authorId="0">
      <text>
        <r>
          <rPr>
            <b/>
            <sz val="12"/>
            <rFont val="宋体"/>
            <charset val="134"/>
          </rPr>
          <t>Administrator:</t>
        </r>
        <r>
          <rPr>
            <sz val="12"/>
            <rFont val="宋体"/>
            <charset val="134"/>
          </rPr>
          <t xml:space="preserve">
3001890 7/4 15套-散件</t>
        </r>
      </text>
    </comment>
    <comment ref="AF130" authorId="0">
      <text>
        <r>
          <rPr>
            <b/>
            <sz val="12"/>
            <rFont val="宋体"/>
            <charset val="134"/>
          </rPr>
          <t>Administrator:</t>
        </r>
        <r>
          <rPr>
            <sz val="12"/>
            <rFont val="宋体"/>
            <charset val="134"/>
          </rPr>
          <t xml:space="preserve">
3001634 7/11 2171pcs 华兴三A27</t>
        </r>
      </text>
    </comment>
    <comment ref="AI130" authorId="0">
      <text>
        <r>
          <rPr>
            <b/>
            <sz val="12"/>
            <rFont val="宋体"/>
            <charset val="134"/>
          </rPr>
          <t>Administrator:</t>
        </r>
        <r>
          <rPr>
            <sz val="12"/>
            <rFont val="宋体"/>
            <charset val="134"/>
          </rPr>
          <t xml:space="preserve">
6/21 上进口商贴纸 2171pcs
     上EAN条码贴纸 2171pcs
     上PDQ贴纸 167pcs
     上外箱贴纸 324pcs</t>
        </r>
      </text>
    </comment>
    <comment ref="AF131" authorId="0">
      <text>
        <r>
          <rPr>
            <b/>
            <sz val="12"/>
            <rFont val="宋体"/>
            <charset val="134"/>
          </rPr>
          <t>Administrator:</t>
        </r>
        <r>
          <rPr>
            <sz val="12"/>
            <rFont val="宋体"/>
            <charset val="134"/>
          </rPr>
          <t xml:space="preserve">
3001489 7/12 1040pcs 华兴三B10</t>
        </r>
      </text>
    </comment>
    <comment ref="AI131" authorId="0">
      <text>
        <r>
          <rPr>
            <b/>
            <sz val="12"/>
            <rFont val="宋体"/>
            <charset val="134"/>
          </rPr>
          <t>Administrator:</t>
        </r>
        <r>
          <rPr>
            <sz val="12"/>
            <rFont val="宋体"/>
            <charset val="134"/>
          </rPr>
          <t xml:space="preserve">
6/23 上进口商贴纸 1040pcs</t>
        </r>
      </text>
    </comment>
    <comment ref="AF132" authorId="0">
      <text>
        <r>
          <rPr>
            <b/>
            <sz val="12"/>
            <rFont val="宋体"/>
            <charset val="134"/>
          </rPr>
          <t>Administrator:</t>
        </r>
        <r>
          <rPr>
            <sz val="12"/>
            <rFont val="宋体"/>
            <charset val="134"/>
          </rPr>
          <t xml:space="preserve">
3001458 7/15 1200pcs 华兴三B14</t>
        </r>
      </text>
    </comment>
    <comment ref="AI132" authorId="0">
      <text>
        <r>
          <rPr>
            <b/>
            <sz val="12"/>
            <rFont val="宋体"/>
            <charset val="134"/>
          </rPr>
          <t>Administrator:</t>
        </r>
        <r>
          <rPr>
            <sz val="12"/>
            <rFont val="宋体"/>
            <charset val="134"/>
          </rPr>
          <t xml:space="preserve">
6/20 上荷兰语警告语贴纸 1200pcs</t>
        </r>
      </text>
    </comment>
    <comment ref="AF133" authorId="0">
      <text>
        <r>
          <rPr>
            <b/>
            <sz val="12"/>
            <rFont val="宋体"/>
            <charset val="134"/>
          </rPr>
          <t>Administrator:</t>
        </r>
        <r>
          <rPr>
            <sz val="12"/>
            <rFont val="宋体"/>
            <charset val="134"/>
          </rPr>
          <t xml:space="preserve">
3001448 7/15 456pcs 华兴三A22</t>
        </r>
      </text>
    </comment>
    <comment ref="AI134" authorId="0">
      <text>
        <r>
          <rPr>
            <b/>
            <sz val="12"/>
            <rFont val="宋体"/>
            <charset val="134"/>
          </rPr>
          <t>Administrator:</t>
        </r>
        <r>
          <rPr>
            <sz val="12"/>
            <rFont val="宋体"/>
            <charset val="134"/>
          </rPr>
          <t xml:space="preserve">
6/28 上空白UPC贴纸 240pcs</t>
        </r>
      </text>
    </comment>
    <comment ref="AI135" authorId="0">
      <text>
        <r>
          <rPr>
            <b/>
            <sz val="12"/>
            <rFont val="宋体"/>
            <charset val="134"/>
          </rPr>
          <t>Administrator:</t>
        </r>
        <r>
          <rPr>
            <sz val="12"/>
            <rFont val="宋体"/>
            <charset val="134"/>
          </rPr>
          <t xml:space="preserve">
6/28 上空白UPC贴纸 240pcs</t>
        </r>
      </text>
    </comment>
    <comment ref="AI136" authorId="0">
      <text>
        <r>
          <rPr>
            <b/>
            <sz val="12"/>
            <rFont val="宋体"/>
            <charset val="134"/>
          </rPr>
          <t>Administrator:</t>
        </r>
        <r>
          <rPr>
            <sz val="12"/>
            <rFont val="宋体"/>
            <charset val="134"/>
          </rPr>
          <t xml:space="preserve">
6/28 上空白UPC贴纸 240pcs</t>
        </r>
      </text>
    </comment>
    <comment ref="AI137" authorId="0">
      <text>
        <r>
          <rPr>
            <b/>
            <sz val="12"/>
            <rFont val="宋体"/>
            <charset val="134"/>
          </rPr>
          <t>Administrator:</t>
        </r>
        <r>
          <rPr>
            <sz val="12"/>
            <rFont val="宋体"/>
            <charset val="134"/>
          </rPr>
          <t xml:space="preserve">
6/28 上空白UPC贴纸 240pcs</t>
        </r>
      </text>
    </comment>
    <comment ref="AI138" authorId="0">
      <text>
        <r>
          <rPr>
            <b/>
            <sz val="12"/>
            <rFont val="宋体"/>
            <charset val="134"/>
          </rPr>
          <t>Administrator:</t>
        </r>
        <r>
          <rPr>
            <sz val="12"/>
            <rFont val="宋体"/>
            <charset val="134"/>
          </rPr>
          <t xml:space="preserve">
6/28 上空白UPC贴纸 240pcs</t>
        </r>
      </text>
    </comment>
    <comment ref="AI139" authorId="0">
      <text>
        <r>
          <rPr>
            <b/>
            <sz val="12"/>
            <rFont val="宋体"/>
            <charset val="134"/>
          </rPr>
          <t>Administrator:</t>
        </r>
        <r>
          <rPr>
            <sz val="12"/>
            <rFont val="宋体"/>
            <charset val="134"/>
          </rPr>
          <t xml:space="preserve">
6/28 上空白UPC贴纸 240pcs</t>
        </r>
      </text>
    </comment>
    <comment ref="AI140" authorId="0">
      <text>
        <r>
          <rPr>
            <b/>
            <sz val="12"/>
            <rFont val="宋体"/>
            <charset val="134"/>
          </rPr>
          <t>Administrator:</t>
        </r>
        <r>
          <rPr>
            <sz val="12"/>
            <rFont val="宋体"/>
            <charset val="134"/>
          </rPr>
          <t xml:space="preserve">
6/28 上空白UPC贴纸 240pcs</t>
        </r>
      </text>
    </comment>
    <comment ref="AI141" authorId="0">
      <text>
        <r>
          <rPr>
            <b/>
            <sz val="12"/>
            <rFont val="宋体"/>
            <charset val="134"/>
          </rPr>
          <t>Administrator:</t>
        </r>
        <r>
          <rPr>
            <sz val="12"/>
            <rFont val="宋体"/>
            <charset val="134"/>
          </rPr>
          <t xml:space="preserve">
6/28 上空白UPC贴纸 240pcs</t>
        </r>
      </text>
    </comment>
    <comment ref="AI142" authorId="0">
      <text>
        <r>
          <rPr>
            <b/>
            <sz val="12"/>
            <rFont val="宋体"/>
            <charset val="134"/>
          </rPr>
          <t>Administrator:</t>
        </r>
        <r>
          <rPr>
            <sz val="12"/>
            <rFont val="宋体"/>
            <charset val="134"/>
          </rPr>
          <t xml:space="preserve">
6/28 上空白UPC贴纸 240pcs</t>
        </r>
      </text>
    </comment>
    <comment ref="AF143" authorId="0">
      <text>
        <r>
          <rPr>
            <b/>
            <sz val="12"/>
            <rFont val="宋体"/>
            <charset val="134"/>
          </rPr>
          <t>Administrator:</t>
        </r>
        <r>
          <rPr>
            <sz val="12"/>
            <rFont val="宋体"/>
            <charset val="134"/>
          </rPr>
          <t xml:space="preserve">
3002496 7/23 1080pcs 华兴三A16
3002433 7/24  24pcs  华兴三A16</t>
        </r>
      </text>
    </comment>
    <comment ref="AF144" authorId="0">
      <text>
        <r>
          <rPr>
            <b/>
            <sz val="12"/>
            <rFont val="宋体"/>
            <charset val="134"/>
          </rPr>
          <t>Administrator:</t>
        </r>
        <r>
          <rPr>
            <sz val="12"/>
            <rFont val="宋体"/>
            <charset val="134"/>
          </rPr>
          <t xml:space="preserve">
3002518 7/23 200pcs 莫海军B4楼A6区
</t>
        </r>
      </text>
    </comment>
    <comment ref="AI144" authorId="0">
      <text>
        <r>
          <rPr>
            <b/>
            <sz val="12"/>
            <rFont val="宋体"/>
            <charset val="134"/>
          </rPr>
          <t>Administrator:</t>
        </r>
        <r>
          <rPr>
            <sz val="12"/>
            <rFont val="宋体"/>
            <charset val="134"/>
          </rPr>
          <t xml:space="preserve">
6/30 上UPC条码贴纸 200pcs</t>
        </r>
      </text>
    </comment>
    <comment ref="AF145" authorId="0">
      <text>
        <r>
          <rPr>
            <b/>
            <sz val="12"/>
            <rFont val="宋体"/>
            <charset val="134"/>
          </rPr>
          <t>Administrator:</t>
        </r>
        <r>
          <rPr>
            <sz val="12"/>
            <rFont val="宋体"/>
            <charset val="134"/>
          </rPr>
          <t xml:space="preserve">
3002444 7/24  50pcs  华兴三B8
3002433 7/24 5350pcs 华兴三B8</t>
        </r>
      </text>
    </comment>
    <comment ref="AF146" authorId="0">
      <text>
        <r>
          <rPr>
            <b/>
            <sz val="12"/>
            <rFont val="宋体"/>
            <charset val="134"/>
          </rPr>
          <t>Administrator:</t>
        </r>
        <r>
          <rPr>
            <sz val="12"/>
            <rFont val="宋体"/>
            <charset val="134"/>
          </rPr>
          <t xml:space="preserve">
3002503 7/24 400pcs 莫海军B4楼A6区</t>
        </r>
      </text>
    </comment>
    <comment ref="AI146" authorId="0">
      <text>
        <r>
          <rPr>
            <b/>
            <sz val="12"/>
            <rFont val="宋体"/>
            <charset val="134"/>
          </rPr>
          <t>Administrator:</t>
        </r>
        <r>
          <rPr>
            <sz val="12"/>
            <rFont val="宋体"/>
            <charset val="134"/>
          </rPr>
          <t xml:space="preserve">
7/10 上客供价标贴纸 431pcs</t>
        </r>
      </text>
    </comment>
    <comment ref="AF147" authorId="0">
      <text>
        <r>
          <rPr>
            <b/>
            <sz val="12"/>
            <rFont val="宋体"/>
            <charset val="134"/>
          </rPr>
          <t>Administrator:</t>
        </r>
        <r>
          <rPr>
            <sz val="12"/>
            <rFont val="宋体"/>
            <charset val="134"/>
          </rPr>
          <t xml:space="preserve">
3002481 7/26 24pcs 华兴三B11</t>
        </r>
      </text>
    </comment>
    <comment ref="AI147" authorId="0">
      <text>
        <r>
          <rPr>
            <b/>
            <sz val="12"/>
            <rFont val="宋体"/>
            <charset val="134"/>
          </rPr>
          <t>Administrator:</t>
        </r>
        <r>
          <rPr>
            <sz val="12"/>
            <rFont val="宋体"/>
            <charset val="134"/>
          </rPr>
          <t xml:space="preserve">
7/11 上亚马逊外箱贴纸 1pcs</t>
        </r>
      </text>
    </comment>
    <comment ref="AF148" authorId="0">
      <text>
        <r>
          <rPr>
            <b/>
            <sz val="12"/>
            <rFont val="宋体"/>
            <charset val="134"/>
          </rPr>
          <t>Administrator:</t>
        </r>
        <r>
          <rPr>
            <sz val="12"/>
            <rFont val="宋体"/>
            <charset val="134"/>
          </rPr>
          <t xml:space="preserve">
3002154 8/2 600pcs 新仓库一A5</t>
        </r>
      </text>
    </comment>
    <comment ref="AI148" authorId="0">
      <text>
        <r>
          <rPr>
            <b/>
            <sz val="12"/>
            <rFont val="宋体"/>
            <charset val="134"/>
          </rPr>
          <t>Administrator:</t>
        </r>
        <r>
          <rPr>
            <sz val="12"/>
            <rFont val="宋体"/>
            <charset val="134"/>
          </rPr>
          <t xml:space="preserve">
7/16 上客供价格贴纸 660pcs</t>
        </r>
      </text>
    </comment>
    <comment ref="AF149" authorId="0">
      <text>
        <r>
          <rPr>
            <b/>
            <sz val="12"/>
            <rFont val="宋体"/>
            <charset val="134"/>
          </rPr>
          <t>Administrator:</t>
        </r>
        <r>
          <rPr>
            <sz val="12"/>
            <rFont val="宋体"/>
            <charset val="134"/>
          </rPr>
          <t xml:space="preserve">
3002154 8/2 1800pcs 新仓库一A5</t>
        </r>
      </text>
    </comment>
    <comment ref="AI149" authorId="0">
      <text>
        <r>
          <rPr>
            <b/>
            <sz val="12"/>
            <rFont val="宋体"/>
            <charset val="134"/>
          </rPr>
          <t>Administrator:</t>
        </r>
        <r>
          <rPr>
            <sz val="12"/>
            <rFont val="宋体"/>
            <charset val="134"/>
          </rPr>
          <t xml:space="preserve">
7/16 上客供价格贴纸 1980pcs</t>
        </r>
      </text>
    </comment>
    <comment ref="AF150" authorId="0">
      <text>
        <r>
          <rPr>
            <b/>
            <sz val="12"/>
            <rFont val="宋体"/>
            <charset val="134"/>
          </rPr>
          <t>Administrator:</t>
        </r>
        <r>
          <rPr>
            <sz val="12"/>
            <rFont val="宋体"/>
            <charset val="134"/>
          </rPr>
          <t xml:space="preserve">
3002154 8/2 1200pcs 新仓库一A5</t>
        </r>
      </text>
    </comment>
    <comment ref="AI150" authorId="0">
      <text>
        <r>
          <rPr>
            <b/>
            <sz val="12"/>
            <rFont val="宋体"/>
            <charset val="134"/>
          </rPr>
          <t>Administrator:</t>
        </r>
        <r>
          <rPr>
            <sz val="12"/>
            <rFont val="宋体"/>
            <charset val="134"/>
          </rPr>
          <t xml:space="preserve">
7/16 上客供价格贴纸 1320pcs</t>
        </r>
      </text>
    </comment>
    <comment ref="AF151" authorId="0">
      <text>
        <r>
          <rPr>
            <b/>
            <sz val="12"/>
            <rFont val="宋体"/>
            <charset val="134"/>
          </rPr>
          <t>Administrator:</t>
        </r>
        <r>
          <rPr>
            <sz val="12"/>
            <rFont val="宋体"/>
            <charset val="134"/>
          </rPr>
          <t xml:space="preserve">
3002146 8/2 1596pcs 华兴三7</t>
        </r>
      </text>
    </comment>
    <comment ref="AI151" authorId="0">
      <text>
        <r>
          <rPr>
            <b/>
            <sz val="12"/>
            <rFont val="宋体"/>
            <charset val="134"/>
          </rPr>
          <t>Administrator:</t>
        </r>
        <r>
          <rPr>
            <sz val="12"/>
            <rFont val="宋体"/>
            <charset val="134"/>
          </rPr>
          <t xml:space="preserve">
7/16 上客供价格贴纸 1756pcs</t>
        </r>
      </text>
    </comment>
    <comment ref="AF152" authorId="0">
      <text>
        <r>
          <rPr>
            <b/>
            <sz val="12"/>
            <rFont val="宋体"/>
            <charset val="134"/>
          </rPr>
          <t>Administrator:</t>
        </r>
        <r>
          <rPr>
            <sz val="12"/>
            <rFont val="宋体"/>
            <charset val="134"/>
          </rPr>
          <t xml:space="preserve">
3002154 8/2 996pcs 新仓库一A5</t>
        </r>
      </text>
    </comment>
    <comment ref="AI152" authorId="0">
      <text>
        <r>
          <rPr>
            <b/>
            <sz val="12"/>
            <rFont val="宋体"/>
            <charset val="134"/>
          </rPr>
          <t>Administrator:</t>
        </r>
        <r>
          <rPr>
            <sz val="12"/>
            <rFont val="宋体"/>
            <charset val="134"/>
          </rPr>
          <t xml:space="preserve">
7/16 上客供价格贴纸 1096pcs</t>
        </r>
      </text>
    </comment>
    <comment ref="AF153" authorId="0">
      <text>
        <r>
          <rPr>
            <b/>
            <sz val="12"/>
            <rFont val="宋体"/>
            <charset val="134"/>
          </rPr>
          <t>Administrator:</t>
        </r>
        <r>
          <rPr>
            <sz val="12"/>
            <rFont val="宋体"/>
            <charset val="134"/>
          </rPr>
          <t xml:space="preserve">
3002169 8/2 1200pcs 华兴三B11</t>
        </r>
      </text>
    </comment>
    <comment ref="AI153" authorId="0">
      <text>
        <r>
          <rPr>
            <b/>
            <sz val="12"/>
            <rFont val="宋体"/>
            <charset val="134"/>
          </rPr>
          <t>Administrator:</t>
        </r>
        <r>
          <rPr>
            <sz val="12"/>
            <rFont val="宋体"/>
            <charset val="134"/>
          </rPr>
          <t xml:space="preserve">
7/16 上客供价格贴纸 1320pcs</t>
        </r>
      </text>
    </comment>
    <comment ref="AF154" authorId="0">
      <text>
        <r>
          <rPr>
            <b/>
            <sz val="12"/>
            <rFont val="宋体"/>
            <charset val="134"/>
          </rPr>
          <t>Administrator:</t>
        </r>
        <r>
          <rPr>
            <sz val="12"/>
            <rFont val="宋体"/>
            <charset val="134"/>
          </rPr>
          <t xml:space="preserve">
3002146 8/2 996pcs 华兴三A16</t>
        </r>
      </text>
    </comment>
    <comment ref="AI154" authorId="0">
      <text>
        <r>
          <rPr>
            <b/>
            <sz val="12"/>
            <rFont val="宋体"/>
            <charset val="134"/>
          </rPr>
          <t>Administrator:</t>
        </r>
        <r>
          <rPr>
            <sz val="12"/>
            <rFont val="宋体"/>
            <charset val="134"/>
          </rPr>
          <t xml:space="preserve">
7/16 上客供价格贴纸 1096pcs</t>
        </r>
      </text>
    </comment>
    <comment ref="AF155" authorId="0">
      <text>
        <r>
          <rPr>
            <b/>
            <sz val="12"/>
            <rFont val="宋体"/>
            <charset val="134"/>
          </rPr>
          <t>Administrator:</t>
        </r>
        <r>
          <rPr>
            <sz val="12"/>
            <rFont val="宋体"/>
            <charset val="134"/>
          </rPr>
          <t xml:space="preserve">
3002141 8/2 600pcs 华兴三A24</t>
        </r>
      </text>
    </comment>
    <comment ref="AI155" authorId="0">
      <text>
        <r>
          <rPr>
            <b/>
            <sz val="12"/>
            <rFont val="宋体"/>
            <charset val="134"/>
          </rPr>
          <t>Administrator:</t>
        </r>
        <r>
          <rPr>
            <sz val="12"/>
            <rFont val="宋体"/>
            <charset val="134"/>
          </rPr>
          <t xml:space="preserve">
7/16 上客供价格贴纸 660pcs</t>
        </r>
      </text>
    </comment>
    <comment ref="AF156" authorId="0">
      <text>
        <r>
          <rPr>
            <b/>
            <sz val="12"/>
            <rFont val="宋体"/>
            <charset val="134"/>
          </rPr>
          <t>Administrator:</t>
        </r>
        <r>
          <rPr>
            <sz val="12"/>
            <rFont val="宋体"/>
            <charset val="134"/>
          </rPr>
          <t xml:space="preserve">
3002146 8/2 1800pcs 华兴三A12</t>
        </r>
      </text>
    </comment>
    <comment ref="AI156" authorId="0">
      <text>
        <r>
          <rPr>
            <b/>
            <sz val="12"/>
            <rFont val="宋体"/>
            <charset val="134"/>
          </rPr>
          <t>Administrator:</t>
        </r>
        <r>
          <rPr>
            <sz val="12"/>
            <rFont val="宋体"/>
            <charset val="134"/>
          </rPr>
          <t xml:space="preserve">
7/16 上客供价格贴纸 1980pcs</t>
        </r>
      </text>
    </comment>
    <comment ref="AF157" authorId="0">
      <text>
        <r>
          <rPr>
            <b/>
            <sz val="12"/>
            <rFont val="宋体"/>
            <charset val="134"/>
          </rPr>
          <t>Administrator:</t>
        </r>
        <r>
          <rPr>
            <sz val="12"/>
            <rFont val="宋体"/>
            <charset val="134"/>
          </rPr>
          <t xml:space="preserve">
3002154 8/2 1596pcs 新仓库一A5</t>
        </r>
      </text>
    </comment>
    <comment ref="AI157" authorId="0">
      <text>
        <r>
          <rPr>
            <b/>
            <sz val="12"/>
            <rFont val="宋体"/>
            <charset val="134"/>
          </rPr>
          <t>Administrator:</t>
        </r>
        <r>
          <rPr>
            <sz val="12"/>
            <rFont val="宋体"/>
            <charset val="134"/>
          </rPr>
          <t xml:space="preserve">
7/16 上客供价格贴纸 1756pcs</t>
        </r>
      </text>
    </comment>
    <comment ref="AF158" authorId="0">
      <text>
        <r>
          <rPr>
            <b/>
            <sz val="12"/>
            <rFont val="宋体"/>
            <charset val="134"/>
          </rPr>
          <t>Administrator:</t>
        </r>
        <r>
          <rPr>
            <sz val="12"/>
            <rFont val="宋体"/>
            <charset val="134"/>
          </rPr>
          <t xml:space="preserve">
3002021 8/1 896pcs 华兴三A12</t>
        </r>
      </text>
    </comment>
    <comment ref="AI158" authorId="0">
      <text>
        <r>
          <rPr>
            <b/>
            <sz val="12"/>
            <rFont val="宋体"/>
            <charset val="134"/>
          </rPr>
          <t>Administrator:</t>
        </r>
        <r>
          <rPr>
            <sz val="12"/>
            <rFont val="宋体"/>
            <charset val="134"/>
          </rPr>
          <t xml:space="preserve">
7/16 上客供价格贴纸 986pcs</t>
        </r>
      </text>
    </comment>
    <comment ref="AF159" authorId="0">
      <text>
        <r>
          <rPr>
            <b/>
            <sz val="12"/>
            <rFont val="宋体"/>
            <charset val="134"/>
          </rPr>
          <t>Administrator:</t>
        </r>
        <r>
          <rPr>
            <sz val="12"/>
            <rFont val="宋体"/>
            <charset val="134"/>
          </rPr>
          <t xml:space="preserve">
3002021 8/1 1200pcs 华兴三B14</t>
        </r>
      </text>
    </comment>
    <comment ref="AI159" authorId="0">
      <text>
        <r>
          <rPr>
            <b/>
            <sz val="12"/>
            <rFont val="宋体"/>
            <charset val="134"/>
          </rPr>
          <t>Administrator:</t>
        </r>
        <r>
          <rPr>
            <sz val="12"/>
            <rFont val="宋体"/>
            <charset val="134"/>
          </rPr>
          <t xml:space="preserve">
7/16 上客供价格贴纸 1320pcs</t>
        </r>
      </text>
    </comment>
    <comment ref="AF160" authorId="0">
      <text>
        <r>
          <rPr>
            <b/>
            <sz val="12"/>
            <rFont val="宋体"/>
            <charset val="134"/>
          </rPr>
          <t>Administrator:</t>
        </r>
        <r>
          <rPr>
            <sz val="12"/>
            <rFont val="宋体"/>
            <charset val="134"/>
          </rPr>
          <t xml:space="preserve">
3002021 8/1 896pcs 华兴三A15</t>
        </r>
      </text>
    </comment>
    <comment ref="AI160" authorId="0">
      <text>
        <r>
          <rPr>
            <b/>
            <sz val="12"/>
            <rFont val="宋体"/>
            <charset val="134"/>
          </rPr>
          <t>Administrator:</t>
        </r>
        <r>
          <rPr>
            <sz val="12"/>
            <rFont val="宋体"/>
            <charset val="134"/>
          </rPr>
          <t xml:space="preserve">
7/16 上客供价格贴纸 986pcs</t>
        </r>
      </text>
    </comment>
    <comment ref="AF161" authorId="0">
      <text>
        <r>
          <rPr>
            <b/>
            <sz val="12"/>
            <rFont val="宋体"/>
            <charset val="134"/>
          </rPr>
          <t>Administrator:</t>
        </r>
        <r>
          <rPr>
            <sz val="12"/>
            <rFont val="宋体"/>
            <charset val="134"/>
          </rPr>
          <t xml:space="preserve">
3002024 8/1 1200pcs 华兴三A15</t>
        </r>
      </text>
    </comment>
    <comment ref="AI161" authorId="0">
      <text>
        <r>
          <rPr>
            <b/>
            <sz val="12"/>
            <rFont val="宋体"/>
            <charset val="134"/>
          </rPr>
          <t>Administrator:</t>
        </r>
        <r>
          <rPr>
            <sz val="12"/>
            <rFont val="宋体"/>
            <charset val="134"/>
          </rPr>
          <t xml:space="preserve">
7/16 上客供价格贴纸 1320pcs</t>
        </r>
      </text>
    </comment>
    <comment ref="AF162" authorId="0">
      <text>
        <r>
          <rPr>
            <b/>
            <sz val="12"/>
            <rFont val="宋体"/>
            <charset val="134"/>
          </rPr>
          <t>Administrator:</t>
        </r>
        <r>
          <rPr>
            <sz val="12"/>
            <rFont val="宋体"/>
            <charset val="134"/>
          </rPr>
          <t xml:space="preserve">
3002161 8/1 600pcs 华兴三A13</t>
        </r>
      </text>
    </comment>
    <comment ref="AI162" authorId="0">
      <text>
        <r>
          <rPr>
            <b/>
            <sz val="12"/>
            <rFont val="宋体"/>
            <charset val="134"/>
          </rPr>
          <t>Administrator:</t>
        </r>
        <r>
          <rPr>
            <sz val="12"/>
            <rFont val="宋体"/>
            <charset val="134"/>
          </rPr>
          <t xml:space="preserve">
7/16 上客供价格贴纸 660pcs</t>
        </r>
      </text>
    </comment>
    <comment ref="AF163" authorId="0">
      <text>
        <r>
          <rPr>
            <b/>
            <sz val="12"/>
            <rFont val="宋体"/>
            <charset val="134"/>
          </rPr>
          <t>Administrator:</t>
        </r>
        <r>
          <rPr>
            <sz val="12"/>
            <rFont val="宋体"/>
            <charset val="134"/>
          </rPr>
          <t xml:space="preserve">
3002021 8/1 800pcs 华兴三A13</t>
        </r>
      </text>
    </comment>
    <comment ref="AI163" authorId="0">
      <text>
        <r>
          <rPr>
            <b/>
            <sz val="12"/>
            <rFont val="宋体"/>
            <charset val="134"/>
          </rPr>
          <t>Administrator:</t>
        </r>
        <r>
          <rPr>
            <sz val="12"/>
            <rFont val="宋体"/>
            <charset val="134"/>
          </rPr>
          <t xml:space="preserve">
7/16 上客供价格贴纸 880pcs</t>
        </r>
      </text>
    </comment>
    <comment ref="AF164" authorId="0">
      <text>
        <r>
          <rPr>
            <b/>
            <sz val="12"/>
            <rFont val="宋体"/>
            <charset val="134"/>
          </rPr>
          <t>Administrator:</t>
        </r>
        <r>
          <rPr>
            <sz val="12"/>
            <rFont val="宋体"/>
            <charset val="134"/>
          </rPr>
          <t xml:space="preserve">
3002021 8/1 1000pcs 华兴三A14</t>
        </r>
      </text>
    </comment>
    <comment ref="AI164" authorId="0">
      <text>
        <r>
          <rPr>
            <b/>
            <sz val="12"/>
            <rFont val="宋体"/>
            <charset val="134"/>
          </rPr>
          <t>Administrator:</t>
        </r>
        <r>
          <rPr>
            <sz val="12"/>
            <rFont val="宋体"/>
            <charset val="134"/>
          </rPr>
          <t xml:space="preserve">
7/16 上客供价格贴纸 1100pcs</t>
        </r>
      </text>
    </comment>
    <comment ref="AF165" authorId="0">
      <text>
        <r>
          <rPr>
            <b/>
            <sz val="12"/>
            <rFont val="宋体"/>
            <charset val="134"/>
          </rPr>
          <t>Administrator:</t>
        </r>
        <r>
          <rPr>
            <sz val="12"/>
            <rFont val="宋体"/>
            <charset val="134"/>
          </rPr>
          <t xml:space="preserve">
3002024 8/1 600pcs 华兴三A15</t>
        </r>
      </text>
    </comment>
    <comment ref="AI165" authorId="0">
      <text>
        <r>
          <rPr>
            <b/>
            <sz val="12"/>
            <rFont val="宋体"/>
            <charset val="134"/>
          </rPr>
          <t>Administrator:</t>
        </r>
        <r>
          <rPr>
            <sz val="12"/>
            <rFont val="宋体"/>
            <charset val="134"/>
          </rPr>
          <t xml:space="preserve">
7/16 上客供价格贴纸 660pcs</t>
        </r>
      </text>
    </comment>
    <comment ref="AI166" authorId="0">
      <text>
        <r>
          <rPr>
            <b/>
            <sz val="12"/>
            <rFont val="宋体"/>
            <charset val="134"/>
          </rPr>
          <t>Administrator:</t>
        </r>
        <r>
          <rPr>
            <sz val="12"/>
            <rFont val="宋体"/>
            <charset val="134"/>
          </rPr>
          <t xml:space="preserve">
7/16 上客供价格贴纸 660pcs</t>
        </r>
      </text>
    </comment>
    <comment ref="AF167" authorId="0">
      <text>
        <r>
          <rPr>
            <b/>
            <sz val="12"/>
            <rFont val="宋体"/>
            <charset val="134"/>
          </rPr>
          <t>Administrator:</t>
        </r>
        <r>
          <rPr>
            <sz val="12"/>
            <rFont val="宋体"/>
            <charset val="134"/>
          </rPr>
          <t xml:space="preserve">
3002021 8/1 896pcs 华兴三A14</t>
        </r>
      </text>
    </comment>
    <comment ref="AI167" authorId="0">
      <text>
        <r>
          <rPr>
            <b/>
            <sz val="12"/>
            <rFont val="宋体"/>
            <charset val="134"/>
          </rPr>
          <t>Administrator:</t>
        </r>
        <r>
          <rPr>
            <sz val="12"/>
            <rFont val="宋体"/>
            <charset val="134"/>
          </rPr>
          <t xml:space="preserve">
7/16 上客供价格贴纸 986pcs</t>
        </r>
      </text>
    </comment>
    <comment ref="AF168" authorId="0">
      <text>
        <r>
          <rPr>
            <b/>
            <sz val="12"/>
            <rFont val="宋体"/>
            <charset val="134"/>
          </rPr>
          <t>Administrator:</t>
        </r>
        <r>
          <rPr>
            <sz val="12"/>
            <rFont val="宋体"/>
            <charset val="134"/>
          </rPr>
          <t xml:space="preserve">
3002161 8/1 1000pcs 华兴三A13 </t>
        </r>
      </text>
    </comment>
    <comment ref="AI168" authorId="0">
      <text>
        <r>
          <rPr>
            <b/>
            <sz val="12"/>
            <rFont val="宋体"/>
            <charset val="134"/>
          </rPr>
          <t>Administrator:</t>
        </r>
        <r>
          <rPr>
            <sz val="12"/>
            <rFont val="宋体"/>
            <charset val="134"/>
          </rPr>
          <t xml:space="preserve">
7/16 上客供价格贴纸 1100pcs</t>
        </r>
      </text>
    </comment>
    <comment ref="AI169" authorId="0">
      <text>
        <r>
          <rPr>
            <b/>
            <sz val="12"/>
            <rFont val="宋体"/>
            <charset val="134"/>
          </rPr>
          <t>Administrator:</t>
        </r>
        <r>
          <rPr>
            <sz val="12"/>
            <rFont val="宋体"/>
            <charset val="134"/>
          </rPr>
          <t xml:space="preserve">
7/16 上客供价格贴纸 1100pcs</t>
        </r>
      </text>
    </comment>
    <comment ref="AF170" authorId="0">
      <text>
        <r>
          <rPr>
            <b/>
            <sz val="12"/>
            <rFont val="宋体"/>
            <charset val="134"/>
          </rPr>
          <t>Administrator:</t>
        </r>
        <r>
          <rPr>
            <sz val="12"/>
            <rFont val="宋体"/>
            <charset val="134"/>
          </rPr>
          <t xml:space="preserve">
3002141 8/2 950pcs 已走货</t>
        </r>
      </text>
    </comment>
    <comment ref="AF171" authorId="0">
      <text>
        <r>
          <rPr>
            <b/>
            <sz val="12"/>
            <rFont val="宋体"/>
            <charset val="134"/>
          </rPr>
          <t>Administrator:</t>
        </r>
        <r>
          <rPr>
            <sz val="12"/>
            <rFont val="宋体"/>
            <charset val="134"/>
          </rPr>
          <t xml:space="preserve">
3002141 8/2 250pcs 已走货
</t>
        </r>
      </text>
    </comment>
    <comment ref="AI171" authorId="0">
      <text>
        <r>
          <rPr>
            <b/>
            <sz val="12"/>
            <rFont val="宋体"/>
            <charset val="134"/>
          </rPr>
          <t>Administrator:</t>
        </r>
        <r>
          <rPr>
            <sz val="12"/>
            <rFont val="宋体"/>
            <charset val="134"/>
          </rPr>
          <t xml:space="preserve">
7/8 上UPC贴纸 2650pcs
171335/171342共用
7/16 上客供价格贴纸 275pcs</t>
        </r>
      </text>
    </comment>
    <comment ref="AF172" authorId="0">
      <text>
        <r>
          <rPr>
            <b/>
            <sz val="12"/>
            <rFont val="宋体"/>
            <charset val="134"/>
          </rPr>
          <t>Administrator:</t>
        </r>
        <r>
          <rPr>
            <sz val="12"/>
            <rFont val="宋体"/>
            <charset val="134"/>
          </rPr>
          <t xml:space="preserve">
3002141 8/2 950pcs 已走货
</t>
        </r>
      </text>
    </comment>
    <comment ref="AI172" authorId="0">
      <text>
        <r>
          <rPr>
            <b/>
            <sz val="12"/>
            <rFont val="宋体"/>
            <charset val="134"/>
          </rPr>
          <t>Administrator:</t>
        </r>
        <r>
          <rPr>
            <sz val="12"/>
            <rFont val="宋体"/>
            <charset val="134"/>
          </rPr>
          <t xml:space="preserve">
7/8 上UPC贴纸 2650pcs
171335/171342共用
7/16 上客供价格贴纸 1045pcs</t>
        </r>
      </text>
    </comment>
    <comment ref="AF173" authorId="0">
      <text>
        <r>
          <rPr>
            <b/>
            <sz val="12"/>
            <rFont val="宋体"/>
            <charset val="134"/>
          </rPr>
          <t>Administrator:</t>
        </r>
        <r>
          <rPr>
            <sz val="12"/>
            <rFont val="宋体"/>
            <charset val="134"/>
          </rPr>
          <t xml:space="preserve">
3002141 8/2 250pcs 已走货
</t>
        </r>
      </text>
    </comment>
    <comment ref="AI173" authorId="0">
      <text>
        <r>
          <rPr>
            <b/>
            <sz val="12"/>
            <rFont val="宋体"/>
            <charset val="134"/>
          </rPr>
          <t>Administrator:</t>
        </r>
        <r>
          <rPr>
            <sz val="12"/>
            <rFont val="宋体"/>
            <charset val="134"/>
          </rPr>
          <t xml:space="preserve">
7/8 上UPC贴纸 2650pcs
171335/171342共用
7/16 上客供价格贴纸 275pcs</t>
        </r>
      </text>
    </comment>
    <comment ref="AF174" authorId="0">
      <text>
        <r>
          <rPr>
            <b/>
            <sz val="12"/>
            <rFont val="宋体"/>
            <charset val="134"/>
          </rPr>
          <t>Administrator:</t>
        </r>
        <r>
          <rPr>
            <sz val="12"/>
            <rFont val="宋体"/>
            <charset val="134"/>
          </rPr>
          <t xml:space="preserve">
3002141 8/2 150pcs 已走货
</t>
        </r>
      </text>
    </comment>
    <comment ref="AI174" authorId="0">
      <text>
        <r>
          <rPr>
            <b/>
            <sz val="12"/>
            <rFont val="宋体"/>
            <charset val="134"/>
          </rPr>
          <t>Administrator:</t>
        </r>
        <r>
          <rPr>
            <sz val="12"/>
            <rFont val="宋体"/>
            <charset val="134"/>
          </rPr>
          <t xml:space="preserve">
7/8 上UPC贴纸 2650pcs
171335/171342共用
7/16 上客供价格贴纸 165pcs</t>
        </r>
      </text>
    </comment>
    <comment ref="AF175" authorId="0">
      <text>
        <r>
          <rPr>
            <b/>
            <sz val="12"/>
            <rFont val="宋体"/>
            <charset val="134"/>
          </rPr>
          <t>Administrator:</t>
        </r>
        <r>
          <rPr>
            <sz val="12"/>
            <rFont val="宋体"/>
            <charset val="134"/>
          </rPr>
          <t xml:space="preserve">
3002141 8/2 100pcs 已走货
</t>
        </r>
      </text>
    </comment>
    <comment ref="AI175" authorId="0">
      <text>
        <r>
          <rPr>
            <b/>
            <sz val="12"/>
            <rFont val="宋体"/>
            <charset val="134"/>
          </rPr>
          <t>Administrator:</t>
        </r>
        <r>
          <rPr>
            <sz val="12"/>
            <rFont val="宋体"/>
            <charset val="134"/>
          </rPr>
          <t xml:space="preserve">
7/8 上UPC贴纸 2650pcs
171335/171342共用
7/16 上客供价格 贴纸 110pcs</t>
        </r>
      </text>
    </comment>
    <comment ref="AF176" authorId="0">
      <text>
        <r>
          <rPr>
            <b/>
            <sz val="12"/>
            <rFont val="宋体"/>
            <charset val="134"/>
          </rPr>
          <t>Administrator:</t>
        </r>
        <r>
          <rPr>
            <sz val="12"/>
            <rFont val="宋体"/>
            <charset val="134"/>
          </rPr>
          <t xml:space="preserve">
3002387 8/5 2004pcs 莫海军B4楼A7区</t>
        </r>
      </text>
    </comment>
    <comment ref="AI176" authorId="0">
      <text>
        <r>
          <rPr>
            <b/>
            <sz val="12"/>
            <rFont val="宋体"/>
            <charset val="134"/>
          </rPr>
          <t>Administrator:</t>
        </r>
        <r>
          <rPr>
            <sz val="12"/>
            <rFont val="宋体"/>
            <charset val="134"/>
          </rPr>
          <t xml:space="preserve">
7/16 上客供价格贴纸 2100pcs</t>
        </r>
      </text>
    </comment>
    <comment ref="AF177" authorId="0">
      <text>
        <r>
          <rPr>
            <b/>
            <sz val="12"/>
            <rFont val="宋体"/>
            <charset val="134"/>
          </rPr>
          <t>Administrator:</t>
        </r>
        <r>
          <rPr>
            <sz val="12"/>
            <rFont val="宋体"/>
            <charset val="134"/>
          </rPr>
          <t xml:space="preserve">
3002358 8/6 500pcs 华兴三A27</t>
        </r>
      </text>
    </comment>
    <comment ref="AF178" authorId="0">
      <text>
        <r>
          <rPr>
            <b/>
            <sz val="12"/>
            <rFont val="宋体"/>
            <charset val="134"/>
          </rPr>
          <t>Administrator:</t>
        </r>
        <r>
          <rPr>
            <sz val="12"/>
            <rFont val="宋体"/>
            <charset val="134"/>
          </rPr>
          <t xml:space="preserve">
3002319 8/7 2000pcs 莫海军A1楼A6区</t>
        </r>
      </text>
    </comment>
    <comment ref="AI178" authorId="0">
      <text>
        <r>
          <rPr>
            <b/>
            <sz val="12"/>
            <rFont val="宋体"/>
            <charset val="134"/>
          </rPr>
          <t>Administrator:</t>
        </r>
        <r>
          <rPr>
            <sz val="12"/>
            <rFont val="宋体"/>
            <charset val="134"/>
          </rPr>
          <t xml:space="preserve">
7/22 上UPC贴纸 2000pcs</t>
        </r>
      </text>
    </comment>
    <comment ref="AF179" authorId="0">
      <text>
        <r>
          <rPr>
            <b/>
            <sz val="12"/>
            <rFont val="宋体"/>
            <charset val="134"/>
          </rPr>
          <t>Administrator:</t>
        </r>
        <r>
          <rPr>
            <sz val="12"/>
            <rFont val="宋体"/>
            <charset val="134"/>
          </rPr>
          <t xml:space="preserve">
3002319 8/7 304pcs 莫海军A1楼A6区
</t>
        </r>
      </text>
    </comment>
    <comment ref="AI179" authorId="0">
      <text>
        <r>
          <rPr>
            <b/>
            <sz val="12"/>
            <rFont val="宋体"/>
            <charset val="134"/>
          </rPr>
          <t>Administrator:</t>
        </r>
        <r>
          <rPr>
            <sz val="12"/>
            <rFont val="宋体"/>
            <charset val="134"/>
          </rPr>
          <t xml:space="preserve">
7/10 上客供价格贴纸 342pcs</t>
        </r>
      </text>
    </comment>
    <comment ref="AF180" authorId="0">
      <text>
        <r>
          <rPr>
            <b/>
            <sz val="12"/>
            <rFont val="宋体"/>
            <charset val="134"/>
          </rPr>
          <t>Administrator:</t>
        </r>
        <r>
          <rPr>
            <sz val="12"/>
            <rFont val="宋体"/>
            <charset val="134"/>
          </rPr>
          <t xml:space="preserve">
3002348 8/6 800pcs 莫海军A1楼C10区</t>
        </r>
      </text>
    </comment>
    <comment ref="AI180" authorId="0">
      <text>
        <r>
          <rPr>
            <b/>
            <sz val="12"/>
            <rFont val="宋体"/>
            <charset val="134"/>
          </rPr>
          <t>Administrator:</t>
        </r>
        <r>
          <rPr>
            <sz val="12"/>
            <rFont val="宋体"/>
            <charset val="134"/>
          </rPr>
          <t xml:space="preserve">
7/18 上UPC条码贴纸 800pcs
     上进口商贴纸 800pcs</t>
        </r>
      </text>
    </comment>
    <comment ref="AF181" authorId="0">
      <text>
        <r>
          <rPr>
            <b/>
            <sz val="12"/>
            <rFont val="宋体"/>
            <charset val="134"/>
          </rPr>
          <t>Administrator:</t>
        </r>
        <r>
          <rPr>
            <sz val="12"/>
            <rFont val="宋体"/>
            <charset val="134"/>
          </rPr>
          <t xml:space="preserve">
4000273 8/9 5256pcs 莫海军B4楼B1区</t>
        </r>
      </text>
    </comment>
    <comment ref="AI181" authorId="0">
      <text>
        <r>
          <rPr>
            <b/>
            <sz val="12"/>
            <rFont val="宋体"/>
            <charset val="134"/>
          </rPr>
          <t>Administrator:</t>
        </r>
        <r>
          <rPr>
            <sz val="12"/>
            <rFont val="宋体"/>
            <charset val="134"/>
          </rPr>
          <t xml:space="preserve">
7/21 上进口商贴纸 16056pcs
     上空白条码贴纸 16056pcs
7/22 上价格贴纸 16056pcs</t>
        </r>
      </text>
    </comment>
    <comment ref="AF182" authorId="0">
      <text>
        <r>
          <rPr>
            <b/>
            <sz val="12"/>
            <rFont val="宋体"/>
            <charset val="134"/>
          </rPr>
          <t>Administrator:</t>
        </r>
        <r>
          <rPr>
            <sz val="12"/>
            <rFont val="宋体"/>
            <charset val="134"/>
          </rPr>
          <t xml:space="preserve">
4000273 8/9 708pcs 莫海军B4楼B1区
</t>
        </r>
      </text>
    </comment>
    <comment ref="AF183" authorId="0">
      <text>
        <r>
          <rPr>
            <b/>
            <sz val="12"/>
            <rFont val="宋体"/>
            <charset val="134"/>
          </rPr>
          <t>Administrator:</t>
        </r>
        <r>
          <rPr>
            <sz val="12"/>
            <rFont val="宋体"/>
            <charset val="134"/>
          </rPr>
          <t xml:space="preserve">
4000273 8/9 396pcs 莫海军B4楼B1区
</t>
        </r>
      </text>
    </comment>
    <comment ref="AF184" authorId="0">
      <text>
        <r>
          <rPr>
            <b/>
            <sz val="12"/>
            <rFont val="宋体"/>
            <charset val="134"/>
          </rPr>
          <t>Administrator:</t>
        </r>
        <r>
          <rPr>
            <sz val="12"/>
            <rFont val="宋体"/>
            <charset val="134"/>
          </rPr>
          <t xml:space="preserve">
4000273 8/9 480pcs 莫海军B4楼B1区
</t>
        </r>
      </text>
    </comment>
    <comment ref="AF185" authorId="0">
      <text>
        <r>
          <rPr>
            <b/>
            <sz val="12"/>
            <rFont val="宋体"/>
            <charset val="134"/>
          </rPr>
          <t>Administrator:</t>
        </r>
        <r>
          <rPr>
            <sz val="12"/>
            <rFont val="宋体"/>
            <charset val="134"/>
          </rPr>
          <t xml:space="preserve">
4000273 8/9 744pcs 莫海军B4楼B8区
</t>
        </r>
      </text>
    </comment>
    <comment ref="AF186" authorId="0">
      <text>
        <r>
          <rPr>
            <b/>
            <sz val="12"/>
            <rFont val="宋体"/>
            <charset val="134"/>
          </rPr>
          <t>Administrator:</t>
        </r>
        <r>
          <rPr>
            <sz val="12"/>
            <rFont val="宋体"/>
            <charset val="134"/>
          </rPr>
          <t xml:space="preserve">
4000273 8/9 180pcs 莫海军B4楼C8区
</t>
        </r>
      </text>
    </comment>
    <comment ref="AF187" authorId="0">
      <text>
        <r>
          <rPr>
            <b/>
            <sz val="12"/>
            <rFont val="宋体"/>
            <charset val="134"/>
          </rPr>
          <t>Administrator:</t>
        </r>
        <r>
          <rPr>
            <sz val="12"/>
            <rFont val="宋体"/>
            <charset val="134"/>
          </rPr>
          <t xml:space="preserve">
4000273 8/9 120pcs 莫海军B4楼C8区
</t>
        </r>
      </text>
    </comment>
    <comment ref="AF188" authorId="0">
      <text>
        <r>
          <rPr>
            <b/>
            <sz val="12"/>
            <rFont val="宋体"/>
            <charset val="134"/>
          </rPr>
          <t>Administrator:</t>
        </r>
        <r>
          <rPr>
            <sz val="12"/>
            <rFont val="宋体"/>
            <charset val="134"/>
          </rPr>
          <t xml:space="preserve">
4000273 8/9 144pcs 莫海军B4楼C8区
</t>
        </r>
      </text>
    </comment>
    <comment ref="AF189" authorId="0">
      <text>
        <r>
          <rPr>
            <b/>
            <sz val="12"/>
            <rFont val="宋体"/>
            <charset val="134"/>
          </rPr>
          <t>Administrator:</t>
        </r>
        <r>
          <rPr>
            <sz val="12"/>
            <rFont val="宋体"/>
            <charset val="134"/>
          </rPr>
          <t xml:space="preserve">
3002302 8/7 996pcs 莫海军B4楼A1区</t>
        </r>
      </text>
    </comment>
    <comment ref="AI189" authorId="0">
      <text>
        <r>
          <rPr>
            <b/>
            <sz val="12"/>
            <rFont val="宋体"/>
            <charset val="134"/>
          </rPr>
          <t>Administrator:</t>
        </r>
        <r>
          <rPr>
            <sz val="12"/>
            <rFont val="宋体"/>
            <charset val="134"/>
          </rPr>
          <t xml:space="preserve">
7/16 上客供价格贴纸 1096pcs</t>
        </r>
      </text>
    </comment>
    <comment ref="AF190" authorId="0">
      <text>
        <r>
          <rPr>
            <b/>
            <sz val="12"/>
            <rFont val="宋体"/>
            <charset val="134"/>
          </rPr>
          <t>Administrator:</t>
        </r>
        <r>
          <rPr>
            <sz val="12"/>
            <rFont val="宋体"/>
            <charset val="134"/>
          </rPr>
          <t xml:space="preserve">
4000267 8/8 1200pcs 新仓库一B7</t>
        </r>
      </text>
    </comment>
    <comment ref="AI190" authorId="0">
      <text>
        <r>
          <rPr>
            <b/>
            <sz val="12"/>
            <rFont val="宋体"/>
            <charset val="134"/>
          </rPr>
          <t>Administrator:</t>
        </r>
        <r>
          <rPr>
            <sz val="12"/>
            <rFont val="宋体"/>
            <charset val="134"/>
          </rPr>
          <t xml:space="preserve">
7/16 上客供价格贴纸 1320pcs</t>
        </r>
      </text>
    </comment>
    <comment ref="AF191" authorId="0">
      <text>
        <r>
          <rPr>
            <b/>
            <sz val="12"/>
            <rFont val="宋体"/>
            <charset val="134"/>
          </rPr>
          <t>Administrator:</t>
        </r>
        <r>
          <rPr>
            <sz val="12"/>
            <rFont val="宋体"/>
            <charset val="134"/>
          </rPr>
          <t xml:space="preserve">
4000349 8/12 2004pcs 新仓库一B8</t>
        </r>
      </text>
    </comment>
    <comment ref="AI191" authorId="0">
      <text>
        <r>
          <rPr>
            <b/>
            <sz val="12"/>
            <rFont val="宋体"/>
            <charset val="134"/>
          </rPr>
          <t>Administrator:</t>
        </r>
        <r>
          <rPr>
            <sz val="12"/>
            <rFont val="宋体"/>
            <charset val="134"/>
          </rPr>
          <t xml:space="preserve">
7/16 上客供价格贴纸 2100pcs</t>
        </r>
      </text>
    </comment>
    <comment ref="AF192" authorId="0">
      <text>
        <r>
          <rPr>
            <b/>
            <sz val="12"/>
            <rFont val="宋体"/>
            <charset val="134"/>
          </rPr>
          <t>Administrator:</t>
        </r>
        <r>
          <rPr>
            <sz val="12"/>
            <rFont val="宋体"/>
            <charset val="134"/>
          </rPr>
          <t xml:space="preserve">
400320 8/11 507pcs 莫海军B4楼C7区</t>
        </r>
      </text>
    </comment>
    <comment ref="AI192" authorId="0">
      <text>
        <r>
          <rPr>
            <b/>
            <sz val="12"/>
            <rFont val="宋体"/>
            <charset val="134"/>
          </rPr>
          <t>Administrator:</t>
        </r>
        <r>
          <rPr>
            <sz val="12"/>
            <rFont val="宋体"/>
            <charset val="134"/>
          </rPr>
          <t xml:space="preserve">
6/23 上进口商贴纸 507pcs
     上外箱贴纸 78pcs
     上PDQ贴纸 78pcs
     上EAN贴纸 507pcs
     上收藏指南贴纸 507pcs</t>
        </r>
      </text>
    </comment>
    <comment ref="AF193" authorId="0">
      <text>
        <r>
          <rPr>
            <b/>
            <sz val="12"/>
            <rFont val="宋体"/>
            <charset val="134"/>
          </rPr>
          <t>Administrator:</t>
        </r>
        <r>
          <rPr>
            <sz val="12"/>
            <rFont val="宋体"/>
            <charset val="134"/>
          </rPr>
          <t xml:space="preserve">
4000595 8/18 276pcs 华兴三B8</t>
        </r>
      </text>
    </comment>
    <comment ref="AI193" authorId="0">
      <text>
        <r>
          <rPr>
            <b/>
            <sz val="12"/>
            <rFont val="宋体"/>
            <charset val="134"/>
          </rPr>
          <t>Administrator:</t>
        </r>
        <r>
          <rPr>
            <sz val="12"/>
            <rFont val="宋体"/>
            <charset val="134"/>
          </rPr>
          <t xml:space="preserve">
8/1 上进口商贴纸 276pcs
    上空白贴纸 552pcs</t>
        </r>
      </text>
    </comment>
    <comment ref="AF194" authorId="0">
      <text>
        <r>
          <rPr>
            <b/>
            <sz val="12"/>
            <rFont val="宋体"/>
            <charset val="134"/>
          </rPr>
          <t>Administrator:</t>
        </r>
        <r>
          <rPr>
            <sz val="12"/>
            <rFont val="宋体"/>
            <charset val="134"/>
          </rPr>
          <t xml:space="preserve">
4000630 8/20 700pcs 新仓库一B8</t>
        </r>
      </text>
    </comment>
    <comment ref="AI194" authorId="0">
      <text>
        <r>
          <rPr>
            <b/>
            <sz val="12"/>
            <rFont val="宋体"/>
            <charset val="134"/>
          </rPr>
          <t>Administrator:</t>
        </r>
        <r>
          <rPr>
            <sz val="12"/>
            <rFont val="宋体"/>
            <charset val="134"/>
          </rPr>
          <t xml:space="preserve">
7/25 上UPC贴纸  700pcs
     上进口商贴纸 700pcs-供应商做错
7/29 上进口商贴纸 700pcs</t>
        </r>
      </text>
    </comment>
    <comment ref="AF195" authorId="0">
      <text>
        <r>
          <rPr>
            <b/>
            <sz val="12"/>
            <rFont val="宋体"/>
            <charset val="134"/>
          </rPr>
          <t>Administrator:</t>
        </r>
        <r>
          <rPr>
            <sz val="12"/>
            <rFont val="宋体"/>
            <charset val="134"/>
          </rPr>
          <t xml:space="preserve">
4000630 8/20 492pcs 新仓库一B8</t>
        </r>
      </text>
    </comment>
    <comment ref="AI195" authorId="0">
      <text>
        <r>
          <rPr>
            <b/>
            <sz val="12"/>
            <rFont val="宋体"/>
            <charset val="134"/>
          </rPr>
          <t>Administrator:</t>
        </r>
        <r>
          <rPr>
            <sz val="12"/>
            <rFont val="宋体"/>
            <charset val="134"/>
          </rPr>
          <t xml:space="preserve">
7/22 上环保标贴纸 492pcs
7/31 上亚马逊外箱贴纸 41pcs</t>
        </r>
      </text>
    </comment>
    <comment ref="AF196" authorId="0">
      <text>
        <r>
          <rPr>
            <b/>
            <sz val="12"/>
            <rFont val="宋体"/>
            <charset val="134"/>
          </rPr>
          <t>Administrator:</t>
        </r>
        <r>
          <rPr>
            <sz val="12"/>
            <rFont val="宋体"/>
            <charset val="134"/>
          </rPr>
          <t xml:space="preserve">
4000530 8/14 3456pcs 莫海军B4楼C8区</t>
        </r>
      </text>
    </comment>
    <comment ref="AI196" authorId="0">
      <text>
        <r>
          <rPr>
            <b/>
            <sz val="12"/>
            <rFont val="宋体"/>
            <charset val="134"/>
          </rPr>
          <t>Administrator:</t>
        </r>
        <r>
          <rPr>
            <sz val="12"/>
            <rFont val="宋体"/>
            <charset val="134"/>
          </rPr>
          <t xml:space="preserve">
7/28 上客供RFID贴纸 3456pcs</t>
        </r>
      </text>
    </comment>
    <comment ref="AF197" authorId="0">
      <text>
        <r>
          <rPr>
            <b/>
            <sz val="12"/>
            <rFont val="宋体"/>
            <charset val="134"/>
          </rPr>
          <t>Administrator:</t>
        </r>
        <r>
          <rPr>
            <sz val="12"/>
            <rFont val="宋体"/>
            <charset val="134"/>
          </rPr>
          <t xml:space="preserve">
4000530 8/14 6912pcs 莫海军B4楼C8区
</t>
        </r>
      </text>
    </comment>
    <comment ref="AI197" authorId="0">
      <text>
        <r>
          <rPr>
            <b/>
            <sz val="12"/>
            <rFont val="宋体"/>
            <charset val="134"/>
          </rPr>
          <t>Administrator:</t>
        </r>
        <r>
          <rPr>
            <sz val="12"/>
            <rFont val="宋体"/>
            <charset val="134"/>
          </rPr>
          <t xml:space="preserve">
7/28 上客供RFID贴纸 6912pcs</t>
        </r>
      </text>
    </comment>
    <comment ref="AF198" authorId="0">
      <text>
        <r>
          <rPr>
            <b/>
            <sz val="12"/>
            <rFont val="宋体"/>
            <charset val="134"/>
          </rPr>
          <t>Administrator:</t>
        </r>
        <r>
          <rPr>
            <sz val="12"/>
            <rFont val="宋体"/>
            <charset val="134"/>
          </rPr>
          <t xml:space="preserve">
4000530 8/14 2304pcs 莫海军B4楼C8区
</t>
        </r>
      </text>
    </comment>
    <comment ref="AI198" authorId="0">
      <text>
        <r>
          <rPr>
            <b/>
            <sz val="12"/>
            <rFont val="宋体"/>
            <charset val="134"/>
          </rPr>
          <t>Administrator:</t>
        </r>
        <r>
          <rPr>
            <sz val="12"/>
            <rFont val="宋体"/>
            <charset val="134"/>
          </rPr>
          <t xml:space="preserve">
7/28 上客供RFID贴纸 2304pcs</t>
        </r>
      </text>
    </comment>
    <comment ref="AI199" authorId="0">
      <text>
        <r>
          <rPr>
            <b/>
            <sz val="12"/>
            <rFont val="宋体"/>
            <charset val="134"/>
          </rPr>
          <t>Administrator:</t>
        </r>
        <r>
          <rPr>
            <sz val="12"/>
            <rFont val="宋体"/>
            <charset val="134"/>
          </rPr>
          <t xml:space="preserve">
7/28 上客供RFID贴纸 2304pcs</t>
        </r>
      </text>
    </comment>
    <comment ref="AF200" authorId="0">
      <text>
        <r>
          <rPr>
            <b/>
            <sz val="12"/>
            <rFont val="宋体"/>
            <charset val="134"/>
          </rPr>
          <t>Administrator:</t>
        </r>
        <r>
          <rPr>
            <sz val="12"/>
            <rFont val="宋体"/>
            <charset val="134"/>
          </rPr>
          <t xml:space="preserve">
4000530 8/14 1152pcs 莫海军B4楼C8区
</t>
        </r>
      </text>
    </comment>
    <comment ref="AI200" authorId="0">
      <text>
        <r>
          <rPr>
            <b/>
            <sz val="12"/>
            <rFont val="宋体"/>
            <charset val="134"/>
          </rPr>
          <t>Administrator:</t>
        </r>
        <r>
          <rPr>
            <sz val="12"/>
            <rFont val="宋体"/>
            <charset val="134"/>
          </rPr>
          <t xml:space="preserve">
7/28 上客供RFID贴纸 1152pcs</t>
        </r>
      </text>
    </comment>
    <comment ref="AI201" authorId="0">
      <text>
        <r>
          <rPr>
            <b/>
            <sz val="12"/>
            <rFont val="宋体"/>
            <charset val="134"/>
          </rPr>
          <t>Administrator:</t>
        </r>
        <r>
          <rPr>
            <sz val="12"/>
            <rFont val="宋体"/>
            <charset val="134"/>
          </rPr>
          <t xml:space="preserve">
7/28 上客供RFID贴纸 1152pcs</t>
        </r>
      </text>
    </comment>
    <comment ref="AI202" authorId="0">
      <text>
        <r>
          <rPr>
            <b/>
            <sz val="12"/>
            <rFont val="宋体"/>
            <charset val="134"/>
          </rPr>
          <t>Administrator:</t>
        </r>
        <r>
          <rPr>
            <sz val="12"/>
            <rFont val="宋体"/>
            <charset val="134"/>
          </rPr>
          <t xml:space="preserve">
7/28 上客供RFID贴纸 1152pcs</t>
        </r>
      </text>
    </comment>
    <comment ref="AF203" authorId="0">
      <text>
        <r>
          <rPr>
            <b/>
            <sz val="12"/>
            <rFont val="宋体"/>
            <charset val="134"/>
          </rPr>
          <t>Administrator:</t>
        </r>
        <r>
          <rPr>
            <sz val="12"/>
            <rFont val="宋体"/>
            <charset val="134"/>
          </rPr>
          <t xml:space="preserve">
4000176 8/25 468pcs 莫海军B4楼B1区</t>
        </r>
      </text>
    </comment>
    <comment ref="AF204" authorId="0">
      <text>
        <r>
          <rPr>
            <b/>
            <sz val="12"/>
            <rFont val="宋体"/>
            <charset val="134"/>
          </rPr>
          <t>Administrator:</t>
        </r>
        <r>
          <rPr>
            <sz val="12"/>
            <rFont val="宋体"/>
            <charset val="134"/>
          </rPr>
          <t xml:space="preserve">
4000082 8/29 2028pcs 新仓库一B7</t>
        </r>
      </text>
    </comment>
    <comment ref="AI204" authorId="0">
      <text>
        <r>
          <rPr>
            <b/>
            <sz val="12"/>
            <rFont val="宋体"/>
            <charset val="134"/>
          </rPr>
          <t>Administrator:</t>
        </r>
        <r>
          <rPr>
            <sz val="12"/>
            <rFont val="宋体"/>
            <charset val="134"/>
          </rPr>
          <t xml:space="preserve">
7/5 上日语贴纸 2028pcs
    上6+贴纸 2028pcs
7/8 上收藏指南6+贴纸 2028pcs</t>
        </r>
      </text>
    </comment>
    <comment ref="AF205" authorId="0">
      <text>
        <r>
          <rPr>
            <b/>
            <sz val="12"/>
            <rFont val="宋体"/>
            <charset val="134"/>
          </rPr>
          <t>Administrator:</t>
        </r>
        <r>
          <rPr>
            <sz val="12"/>
            <rFont val="宋体"/>
            <charset val="134"/>
          </rPr>
          <t xml:space="preserve">
4000048 9/2 2004pcs 华兴三B11</t>
        </r>
      </text>
    </comment>
    <comment ref="AI205" authorId="0">
      <text>
        <r>
          <rPr>
            <b/>
            <sz val="12"/>
            <rFont val="宋体"/>
            <charset val="134"/>
          </rPr>
          <t>Administrator:</t>
        </r>
        <r>
          <rPr>
            <sz val="12"/>
            <rFont val="宋体"/>
            <charset val="134"/>
          </rPr>
          <t xml:space="preserve">
8/14 上客供价格贴纸 2100pcs</t>
        </r>
      </text>
    </comment>
    <comment ref="AF206" authorId="0">
      <text>
        <r>
          <rPr>
            <b/>
            <sz val="12"/>
            <rFont val="宋体"/>
            <charset val="134"/>
          </rPr>
          <t>Administrator:</t>
        </r>
        <r>
          <rPr>
            <sz val="12"/>
            <rFont val="宋体"/>
            <charset val="134"/>
          </rPr>
          <t xml:space="preserve">
4000101 8/30 600pcs</t>
        </r>
      </text>
    </comment>
    <comment ref="AI206" authorId="0">
      <text>
        <r>
          <rPr>
            <b/>
            <sz val="12"/>
            <rFont val="宋体"/>
            <charset val="134"/>
          </rPr>
          <t>Administrator:</t>
        </r>
        <r>
          <rPr>
            <sz val="12"/>
            <rFont val="宋体"/>
            <charset val="134"/>
          </rPr>
          <t xml:space="preserve">
8/14 上客供价格贴纸 636pcs</t>
        </r>
      </text>
    </comment>
    <comment ref="AF207" authorId="0">
      <text>
        <r>
          <rPr>
            <b/>
            <sz val="12"/>
            <rFont val="宋体"/>
            <charset val="134"/>
          </rPr>
          <t>Administrator:</t>
        </r>
        <r>
          <rPr>
            <sz val="12"/>
            <rFont val="宋体"/>
            <charset val="134"/>
          </rPr>
          <t xml:space="preserve">
4000101 8/30 192pcs</t>
        </r>
      </text>
    </comment>
    <comment ref="AI207" authorId="0">
      <text>
        <r>
          <rPr>
            <b/>
            <sz val="12"/>
            <rFont val="宋体"/>
            <charset val="134"/>
          </rPr>
          <t>Administrator:</t>
        </r>
        <r>
          <rPr>
            <sz val="12"/>
            <rFont val="宋体"/>
            <charset val="134"/>
          </rPr>
          <t xml:space="preserve">
8/14 上客供价格贴纸 244pcs</t>
        </r>
      </text>
    </comment>
    <comment ref="AF208" authorId="0">
      <text>
        <r>
          <rPr>
            <b/>
            <sz val="12"/>
            <rFont val="宋体"/>
            <charset val="134"/>
          </rPr>
          <t>Administrator:</t>
        </r>
        <r>
          <rPr>
            <sz val="12"/>
            <rFont val="宋体"/>
            <charset val="134"/>
          </rPr>
          <t xml:space="preserve">
4000003 9/4 408pcs 华兴三A32</t>
        </r>
      </text>
    </comment>
    <comment ref="AI208" authorId="0">
      <text>
        <r>
          <rPr>
            <b/>
            <sz val="12"/>
            <rFont val="宋体"/>
            <charset val="134"/>
          </rPr>
          <t>Administrator:</t>
        </r>
        <r>
          <rPr>
            <sz val="12"/>
            <rFont val="宋体"/>
            <charset val="134"/>
          </rPr>
          <t xml:space="preserve">
8/14 上客供价格贴纸 440pcs</t>
        </r>
      </text>
    </comment>
    <comment ref="AF209" authorId="0">
      <text>
        <r>
          <rPr>
            <b/>
            <sz val="12"/>
            <rFont val="宋体"/>
            <charset val="134"/>
          </rPr>
          <t>Administrator:</t>
        </r>
        <r>
          <rPr>
            <sz val="12"/>
            <rFont val="宋体"/>
            <charset val="134"/>
          </rPr>
          <t xml:space="preserve">
4000513 9/6 72pcs 华兴三B15</t>
        </r>
      </text>
    </comment>
    <comment ref="AI209" authorId="0">
      <text>
        <r>
          <rPr>
            <b/>
            <sz val="12"/>
            <rFont val="宋体"/>
            <charset val="134"/>
          </rPr>
          <t>Administrator:</t>
        </r>
        <r>
          <rPr>
            <sz val="12"/>
            <rFont val="宋体"/>
            <charset val="134"/>
          </rPr>
          <t xml:space="preserve">
8/18 上客供亚马逊外箱贴纸 6pcs</t>
        </r>
      </text>
    </comment>
    <comment ref="AF210" authorId="0">
      <text>
        <r>
          <rPr>
            <b/>
            <sz val="12"/>
            <rFont val="宋体"/>
            <charset val="134"/>
          </rPr>
          <t>Administrator:</t>
        </r>
        <r>
          <rPr>
            <sz val="12"/>
            <rFont val="宋体"/>
            <charset val="134"/>
          </rPr>
          <t xml:space="preserve">
4000513 9/6 96pcs 华兴三B15</t>
        </r>
      </text>
    </comment>
    <comment ref="AI210" authorId="0">
      <text>
        <r>
          <rPr>
            <b/>
            <sz val="12"/>
            <rFont val="宋体"/>
            <charset val="134"/>
          </rPr>
          <t>Administrator:</t>
        </r>
        <r>
          <rPr>
            <sz val="12"/>
            <rFont val="宋体"/>
            <charset val="134"/>
          </rPr>
          <t xml:space="preserve">
8/18 上客供亚马逊外箱贴纸 8pcs</t>
        </r>
      </text>
    </comment>
    <comment ref="AF211" authorId="0">
      <text>
        <r>
          <rPr>
            <b/>
            <sz val="12"/>
            <rFont val="宋体"/>
            <charset val="134"/>
          </rPr>
          <t>Administrator:</t>
        </r>
        <r>
          <rPr>
            <sz val="12"/>
            <rFont val="宋体"/>
            <charset val="134"/>
          </rPr>
          <t xml:space="preserve">
4000513 9/6 60pcs 华兴三B15
</t>
        </r>
      </text>
    </comment>
    <comment ref="AI211" authorId="0">
      <text>
        <r>
          <rPr>
            <b/>
            <sz val="12"/>
            <rFont val="宋体"/>
            <charset val="134"/>
          </rPr>
          <t>Administrator:</t>
        </r>
        <r>
          <rPr>
            <sz val="12"/>
            <rFont val="宋体"/>
            <charset val="134"/>
          </rPr>
          <t xml:space="preserve">
8/18 上客供亚马逊外箱贴纸 5pcs</t>
        </r>
      </text>
    </comment>
    <comment ref="AF212" authorId="0">
      <text>
        <r>
          <rPr>
            <b/>
            <sz val="12"/>
            <rFont val="宋体"/>
            <charset val="134"/>
          </rPr>
          <t>Administrator:</t>
        </r>
        <r>
          <rPr>
            <sz val="12"/>
            <rFont val="宋体"/>
            <charset val="134"/>
          </rPr>
          <t xml:space="preserve">
4000513 9/6 24pcs 华兴三B15
</t>
        </r>
      </text>
    </comment>
    <comment ref="AI212" authorId="0">
      <text>
        <r>
          <rPr>
            <b/>
            <sz val="12"/>
            <rFont val="宋体"/>
            <charset val="134"/>
          </rPr>
          <t>Administrator:</t>
        </r>
        <r>
          <rPr>
            <sz val="12"/>
            <rFont val="宋体"/>
            <charset val="134"/>
          </rPr>
          <t xml:space="preserve">
8/18 上客供亚马逊外箱贴纸 2pcs</t>
        </r>
      </text>
    </comment>
    <comment ref="AF213" authorId="0">
      <text>
        <r>
          <rPr>
            <b/>
            <sz val="12"/>
            <rFont val="宋体"/>
            <charset val="134"/>
          </rPr>
          <t>Administrator:</t>
        </r>
        <r>
          <rPr>
            <sz val="12"/>
            <rFont val="宋体"/>
            <charset val="134"/>
          </rPr>
          <t xml:space="preserve">
4000513 9/6 12pcs 华兴三B15
</t>
        </r>
      </text>
    </comment>
    <comment ref="AI213" authorId="0">
      <text>
        <r>
          <rPr>
            <b/>
            <sz val="12"/>
            <rFont val="宋体"/>
            <charset val="134"/>
          </rPr>
          <t>Administrator:</t>
        </r>
        <r>
          <rPr>
            <sz val="12"/>
            <rFont val="宋体"/>
            <charset val="134"/>
          </rPr>
          <t xml:space="preserve">
8/18 上客供亚马逊外箱贴纸 1pcs</t>
        </r>
      </text>
    </comment>
    <comment ref="AF214" authorId="0">
      <text>
        <r>
          <rPr>
            <b/>
            <sz val="12"/>
            <rFont val="宋体"/>
            <charset val="134"/>
          </rPr>
          <t>Administrator:</t>
        </r>
        <r>
          <rPr>
            <sz val="12"/>
            <rFont val="宋体"/>
            <charset val="134"/>
          </rPr>
          <t xml:space="preserve">
4000513 9/6 36pcs 华兴三B15
</t>
        </r>
      </text>
    </comment>
    <comment ref="AI214" authorId="0">
      <text>
        <r>
          <rPr>
            <b/>
            <sz val="12"/>
            <rFont val="宋体"/>
            <charset val="134"/>
          </rPr>
          <t>Administrator:</t>
        </r>
        <r>
          <rPr>
            <sz val="12"/>
            <rFont val="宋体"/>
            <charset val="134"/>
          </rPr>
          <t xml:space="preserve">
8/18 上客供亚马逊外箱贴纸 3pcs</t>
        </r>
      </text>
    </comment>
    <comment ref="AF215" authorId="0">
      <text>
        <r>
          <rPr>
            <b/>
            <sz val="12"/>
            <rFont val="宋体"/>
            <charset val="134"/>
          </rPr>
          <t>Administrator:</t>
        </r>
        <r>
          <rPr>
            <sz val="12"/>
            <rFont val="宋体"/>
            <charset val="134"/>
          </rPr>
          <t xml:space="preserve">
4000513 9/6 48pcs 华兴三B15
</t>
        </r>
      </text>
    </comment>
    <comment ref="AI215" authorId="0">
      <text>
        <r>
          <rPr>
            <b/>
            <sz val="12"/>
            <rFont val="宋体"/>
            <charset val="134"/>
          </rPr>
          <t>Administrator:</t>
        </r>
        <r>
          <rPr>
            <sz val="12"/>
            <rFont val="宋体"/>
            <charset val="134"/>
          </rPr>
          <t xml:space="preserve">
8/18 上客供亚马逊外箱贴纸 4pcs</t>
        </r>
      </text>
    </comment>
    <comment ref="AF216" authorId="0">
      <text>
        <r>
          <rPr>
            <b/>
            <sz val="12"/>
            <rFont val="宋体"/>
            <charset val="134"/>
          </rPr>
          <t>Administrator:</t>
        </r>
        <r>
          <rPr>
            <sz val="12"/>
            <rFont val="宋体"/>
            <charset val="134"/>
          </rPr>
          <t xml:space="preserve">
4000379 9/4 1152pcs 华兴三B5</t>
        </r>
      </text>
    </comment>
    <comment ref="AI216" authorId="0">
      <text>
        <r>
          <rPr>
            <b/>
            <sz val="12"/>
            <rFont val="宋体"/>
            <charset val="134"/>
          </rPr>
          <t>Administrator:</t>
        </r>
        <r>
          <rPr>
            <sz val="12"/>
            <rFont val="宋体"/>
            <charset val="134"/>
          </rPr>
          <t xml:space="preserve">
8/14 上客供RFID贴纸 1152pcs</t>
        </r>
      </text>
    </comment>
    <comment ref="AI217" authorId="0">
      <text>
        <r>
          <rPr>
            <b/>
            <sz val="12"/>
            <rFont val="宋体"/>
            <charset val="134"/>
          </rPr>
          <t>Administrator:</t>
        </r>
        <r>
          <rPr>
            <sz val="12"/>
            <rFont val="宋体"/>
            <charset val="134"/>
          </rPr>
          <t xml:space="preserve">
8/14 上客供RFID贴纸 1152pcs</t>
        </r>
      </text>
    </comment>
    <comment ref="AI218" authorId="0">
      <text>
        <r>
          <rPr>
            <b/>
            <sz val="12"/>
            <rFont val="宋体"/>
            <charset val="134"/>
          </rPr>
          <t>Administrator:</t>
        </r>
        <r>
          <rPr>
            <sz val="12"/>
            <rFont val="宋体"/>
            <charset val="134"/>
          </rPr>
          <t xml:space="preserve">
8/14 上客供RFID贴纸 1152pcs</t>
        </r>
      </text>
    </comment>
    <comment ref="AI219" authorId="0">
      <text>
        <r>
          <rPr>
            <b/>
            <sz val="12"/>
            <rFont val="宋体"/>
            <charset val="134"/>
          </rPr>
          <t>Administrator:</t>
        </r>
        <r>
          <rPr>
            <sz val="12"/>
            <rFont val="宋体"/>
            <charset val="134"/>
          </rPr>
          <t xml:space="preserve">
8/29 上客供RFID贴纸 1152pcs</t>
        </r>
      </text>
    </comment>
    <comment ref="AI220" authorId="0">
      <text>
        <r>
          <rPr>
            <b/>
            <sz val="12"/>
            <rFont val="宋体"/>
            <charset val="134"/>
          </rPr>
          <t>Administrator:</t>
        </r>
        <r>
          <rPr>
            <sz val="12"/>
            <rFont val="宋体"/>
            <charset val="134"/>
          </rPr>
          <t xml:space="preserve">
8/29 上客供RFID贴纸 1152pcs</t>
        </r>
      </text>
    </comment>
    <comment ref="AI221" authorId="0">
      <text>
        <r>
          <rPr>
            <b/>
            <sz val="12"/>
            <rFont val="宋体"/>
            <charset val="134"/>
          </rPr>
          <t>Administrator:</t>
        </r>
        <r>
          <rPr>
            <sz val="12"/>
            <rFont val="宋体"/>
            <charset val="134"/>
          </rPr>
          <t xml:space="preserve">
8/29 上客供RFID贴纸 1152pcs</t>
        </r>
      </text>
    </comment>
    <comment ref="AI222" authorId="0">
      <text>
        <r>
          <rPr>
            <b/>
            <sz val="12"/>
            <rFont val="宋体"/>
            <charset val="134"/>
          </rPr>
          <t>Administrator:</t>
        </r>
        <r>
          <rPr>
            <sz val="12"/>
            <rFont val="宋体"/>
            <charset val="134"/>
          </rPr>
          <t xml:space="preserve">
8/29 上客供RFID贴纸 1152pcs</t>
        </r>
      </text>
    </comment>
    <comment ref="AF223" authorId="0">
      <text>
        <r>
          <rPr>
            <b/>
            <sz val="12"/>
            <rFont val="宋体"/>
            <charset val="134"/>
          </rPr>
          <t>Administrator:</t>
        </r>
        <r>
          <rPr>
            <sz val="12"/>
            <rFont val="宋体"/>
            <charset val="134"/>
          </rPr>
          <t xml:space="preserve">
4000008 9/4 660个-3箱
#1-#22各30各</t>
        </r>
      </text>
    </comment>
    <comment ref="AF224" authorId="0">
      <text>
        <r>
          <rPr>
            <b/>
            <sz val="12"/>
            <rFont val="宋体"/>
            <charset val="134"/>
          </rPr>
          <t>Administrator:</t>
        </r>
        <r>
          <rPr>
            <sz val="12"/>
            <rFont val="宋体"/>
            <charset val="134"/>
          </rPr>
          <t xml:space="preserve">
4000437 9/15 600pcs 莫海军B4楼B1区
</t>
        </r>
      </text>
    </comment>
    <comment ref="AI224" authorId="0">
      <text>
        <r>
          <rPr>
            <b/>
            <sz val="12"/>
            <rFont val="宋体"/>
            <charset val="134"/>
          </rPr>
          <t>Administrator:</t>
        </r>
        <r>
          <rPr>
            <sz val="12"/>
            <rFont val="宋体"/>
            <charset val="134"/>
          </rPr>
          <t xml:space="preserve">
8/14 上客供价格贴纸 630pcs</t>
        </r>
      </text>
    </comment>
    <comment ref="AF225" authorId="0">
      <text>
        <r>
          <rPr>
            <b/>
            <sz val="12"/>
            <rFont val="宋体"/>
            <charset val="134"/>
          </rPr>
          <t>Administrator:</t>
        </r>
        <r>
          <rPr>
            <sz val="12"/>
            <rFont val="宋体"/>
            <charset val="134"/>
          </rPr>
          <t xml:space="preserve">
4000437 9/15 1800pcs 莫海军B4楼B1区
</t>
        </r>
      </text>
    </comment>
    <comment ref="AF226" authorId="0">
      <text>
        <r>
          <rPr>
            <b/>
            <sz val="12"/>
            <rFont val="宋体"/>
            <charset val="134"/>
          </rPr>
          <t>Administrator:</t>
        </r>
        <r>
          <rPr>
            <sz val="12"/>
            <rFont val="宋体"/>
            <charset val="134"/>
          </rPr>
          <t xml:space="preserve">
4000437 9/15 700pcs 莫海军B4楼B1区
</t>
        </r>
      </text>
    </comment>
    <comment ref="AF227" authorId="0">
      <text>
        <r>
          <rPr>
            <b/>
            <sz val="12"/>
            <rFont val="宋体"/>
            <charset val="134"/>
          </rPr>
          <t>Administrator:</t>
        </r>
        <r>
          <rPr>
            <sz val="12"/>
            <rFont val="宋体"/>
            <charset val="134"/>
          </rPr>
          <t xml:space="preserve">
4000437 9/15 400pcs 莫海军B4楼A1区
</t>
        </r>
      </text>
    </comment>
    <comment ref="AF228" authorId="0">
      <text>
        <r>
          <rPr>
            <b/>
            <sz val="12"/>
            <rFont val="宋体"/>
            <charset val="134"/>
          </rPr>
          <t>Administrator:</t>
        </r>
        <r>
          <rPr>
            <sz val="12"/>
            <rFont val="宋体"/>
            <charset val="134"/>
          </rPr>
          <t xml:space="preserve">
5000455 10/8 1508pcs 莫海军B4楼C4区</t>
        </r>
      </text>
    </comment>
    <comment ref="AI228" authorId="0">
      <text>
        <r>
          <rPr>
            <b/>
            <sz val="12"/>
            <rFont val="宋体"/>
            <charset val="134"/>
          </rPr>
          <t>Administrator:</t>
        </r>
        <r>
          <rPr>
            <sz val="12"/>
            <rFont val="宋体"/>
            <charset val="134"/>
          </rPr>
          <t xml:space="preserve">
9/11 上进口商贴纸 1508pcs</t>
        </r>
      </text>
    </comment>
    <comment ref="AF229" authorId="0">
      <text>
        <r>
          <rPr>
            <b/>
            <sz val="12"/>
            <rFont val="宋体"/>
            <charset val="134"/>
          </rPr>
          <t>Administrator:</t>
        </r>
        <r>
          <rPr>
            <sz val="12"/>
            <rFont val="宋体"/>
            <charset val="134"/>
          </rPr>
          <t xml:space="preserve">
5000459 9/30 600pcs 华兴三A17</t>
        </r>
      </text>
    </comment>
    <comment ref="AI229" authorId="0">
      <text>
        <r>
          <rPr>
            <b/>
            <sz val="12"/>
            <rFont val="宋体"/>
            <charset val="134"/>
          </rPr>
          <t>Administrator:</t>
        </r>
        <r>
          <rPr>
            <sz val="12"/>
            <rFont val="宋体"/>
            <charset val="134"/>
          </rPr>
          <t xml:space="preserve">
9/12 上客供价格贴纸 630pcs</t>
        </r>
      </text>
    </comment>
    <comment ref="AF230" authorId="0">
      <text>
        <r>
          <rPr>
            <b/>
            <sz val="12"/>
            <rFont val="宋体"/>
            <charset val="134"/>
          </rPr>
          <t>Administrator:</t>
        </r>
        <r>
          <rPr>
            <sz val="12"/>
            <rFont val="宋体"/>
            <charset val="134"/>
          </rPr>
          <t xml:space="preserve">
5000459 9/30 720pcs 华兴三B8
5000446 10/7 12pcs  华兴三B8
</t>
        </r>
      </text>
    </comment>
    <comment ref="AI230" authorId="0">
      <text>
        <r>
          <rPr>
            <b/>
            <sz val="12"/>
            <rFont val="宋体"/>
            <charset val="134"/>
          </rPr>
          <t>Administrator:</t>
        </r>
        <r>
          <rPr>
            <sz val="12"/>
            <rFont val="宋体"/>
            <charset val="134"/>
          </rPr>
          <t xml:space="preserve">
9/9 上环保标贴纸 732pcs
9/18 上亚马逊外箱贴纸 61pcs</t>
        </r>
      </text>
    </comment>
    <comment ref="AF231" authorId="0">
      <text>
        <r>
          <rPr>
            <b/>
            <sz val="12"/>
            <rFont val="宋体"/>
            <charset val="134"/>
          </rPr>
          <t>Administrator:</t>
        </r>
        <r>
          <rPr>
            <sz val="12"/>
            <rFont val="宋体"/>
            <charset val="134"/>
          </rPr>
          <t xml:space="preserve">
5000594 10/17 650pcs 华兴三B14</t>
        </r>
      </text>
    </comment>
    <comment ref="AI231" authorId="0">
      <text>
        <r>
          <rPr>
            <b/>
            <sz val="12"/>
            <rFont val="宋体"/>
            <charset val="134"/>
          </rPr>
          <t>Administrator:</t>
        </r>
        <r>
          <rPr>
            <sz val="12"/>
            <rFont val="宋体"/>
            <charset val="134"/>
          </rPr>
          <t xml:space="preserve">
9/23 上UPC贴纸 650pcs</t>
        </r>
      </text>
    </comment>
    <comment ref="AF232" authorId="0">
      <text>
        <r>
          <rPr>
            <b/>
            <sz val="12"/>
            <rFont val="宋体"/>
            <charset val="134"/>
          </rPr>
          <t>Administrator:</t>
        </r>
        <r>
          <rPr>
            <sz val="12"/>
            <rFont val="宋体"/>
            <charset val="134"/>
          </rPr>
          <t xml:space="preserve">
5000161 10/23 520pcs 华兴一B3</t>
        </r>
      </text>
    </comment>
    <comment ref="AF233" authorId="0">
      <text>
        <r>
          <rPr>
            <b/>
            <sz val="12"/>
            <rFont val="宋体"/>
            <charset val="134"/>
          </rPr>
          <t>Administrator:</t>
        </r>
        <r>
          <rPr>
            <sz val="12"/>
            <rFont val="宋体"/>
            <charset val="134"/>
          </rPr>
          <t xml:space="preserve">
11/12 湖南直接寄深圳雨禾</t>
        </r>
      </text>
    </comment>
    <comment ref="AF234" authorId="0">
      <text>
        <r>
          <rPr>
            <b/>
            <sz val="12"/>
            <rFont val="宋体"/>
            <charset val="134"/>
          </rPr>
          <t>Administrator:</t>
        </r>
        <r>
          <rPr>
            <sz val="12"/>
            <rFont val="宋体"/>
            <charset val="134"/>
          </rPr>
          <t xml:space="preserve">
消耗取消单4500128257  516pcs
1200339 11/8 84pcs 华兴三B13</t>
        </r>
      </text>
    </comment>
    <comment ref="AI234" authorId="0">
      <text>
        <r>
          <rPr>
            <b/>
            <sz val="12"/>
            <rFont val="宋体"/>
            <charset val="134"/>
          </rPr>
          <t>Administrator:</t>
        </r>
        <r>
          <rPr>
            <sz val="12"/>
            <rFont val="宋体"/>
            <charset val="134"/>
          </rPr>
          <t xml:space="preserve">
10/17 上客供价格贴纸 630pcs</t>
        </r>
      </text>
    </comment>
    <comment ref="AF235" authorId="0">
      <text>
        <r>
          <rPr>
            <b/>
            <sz val="12"/>
            <rFont val="宋体"/>
            <charset val="134"/>
          </rPr>
          <t>Administrator:</t>
        </r>
        <r>
          <rPr>
            <sz val="12"/>
            <rFont val="宋体"/>
            <charset val="134"/>
          </rPr>
          <t xml:space="preserve">
1200446 11/19 2622pcs 华兴三B11</t>
        </r>
      </text>
    </comment>
    <comment ref="AI235" authorId="0">
      <text>
        <r>
          <rPr>
            <b/>
            <sz val="12"/>
            <rFont val="宋体"/>
            <charset val="134"/>
          </rPr>
          <t>Administrator:</t>
        </r>
        <r>
          <rPr>
            <sz val="12"/>
            <rFont val="宋体"/>
            <charset val="134"/>
          </rPr>
          <t xml:space="preserve">
11/6 上PDQ折页 3635pcs
     上WIC贴纸 21810pcs</t>
        </r>
      </text>
    </comment>
    <comment ref="AF236" authorId="0">
      <text>
        <r>
          <rPr>
            <b/>
            <sz val="12"/>
            <rFont val="宋体"/>
            <charset val="134"/>
          </rPr>
          <t>Administrator:</t>
        </r>
        <r>
          <rPr>
            <sz val="12"/>
            <rFont val="宋体"/>
            <charset val="134"/>
          </rPr>
          <t xml:space="preserve">
1200446 11/19 2208pcs 华兴三B11</t>
        </r>
      </text>
    </comment>
    <comment ref="AI236" authorId="0">
      <text>
        <r>
          <rPr>
            <b/>
            <sz val="12"/>
            <rFont val="宋体"/>
            <charset val="134"/>
          </rPr>
          <t>Administrator:</t>
        </r>
        <r>
          <rPr>
            <sz val="12"/>
            <rFont val="宋体"/>
            <charset val="134"/>
          </rPr>
          <t xml:space="preserve">
11/6 上PDQ折页 3635pcs
     上WIC贴纸 21810pcs</t>
        </r>
      </text>
    </comment>
    <comment ref="AF237" authorId="0">
      <text>
        <r>
          <rPr>
            <b/>
            <sz val="12"/>
            <rFont val="宋体"/>
            <charset val="134"/>
          </rPr>
          <t>Administrator:</t>
        </r>
        <r>
          <rPr>
            <sz val="12"/>
            <rFont val="宋体"/>
            <charset val="134"/>
          </rPr>
          <t xml:space="preserve">
1200498 11/24 6006pcs 华兴三B14</t>
        </r>
      </text>
    </comment>
    <comment ref="AI237" authorId="0">
      <text>
        <r>
          <rPr>
            <b/>
            <sz val="12"/>
            <rFont val="宋体"/>
            <charset val="134"/>
          </rPr>
          <t>Administrator:</t>
        </r>
        <r>
          <rPr>
            <sz val="12"/>
            <rFont val="宋体"/>
            <charset val="134"/>
          </rPr>
          <t xml:space="preserve">
11/4 上韩语警语贴纸 6006pcs</t>
        </r>
      </text>
    </comment>
    <comment ref="AF238" authorId="0">
      <text>
        <r>
          <rPr>
            <b/>
            <sz val="12"/>
            <rFont val="宋体"/>
            <charset val="134"/>
          </rPr>
          <t>Administrator:</t>
        </r>
        <r>
          <rPr>
            <sz val="12"/>
            <rFont val="宋体"/>
            <charset val="134"/>
          </rPr>
          <t xml:space="preserve">
1200547 11/27 2544pcs 华兴三B7</t>
        </r>
      </text>
    </comment>
    <comment ref="AI238" authorId="0">
      <text>
        <r>
          <rPr>
            <b/>
            <sz val="12"/>
            <rFont val="宋体"/>
            <charset val="134"/>
          </rPr>
          <t>Administrator:</t>
        </r>
        <r>
          <rPr>
            <sz val="12"/>
            <rFont val="宋体"/>
            <charset val="134"/>
          </rPr>
          <t xml:space="preserve">
11/6 上PDQ折页 3635pcs
     上WIC贴纸 21810pcs</t>
        </r>
      </text>
    </comment>
    <comment ref="AF239" authorId="0">
      <text>
        <r>
          <rPr>
            <b/>
            <sz val="12"/>
            <rFont val="宋体"/>
            <charset val="134"/>
          </rPr>
          <t>Administrator:</t>
        </r>
        <r>
          <rPr>
            <sz val="12"/>
            <rFont val="宋体"/>
            <charset val="134"/>
          </rPr>
          <t xml:space="preserve">
1200547 11/27 3426pcs 华兴三B7
</t>
        </r>
      </text>
    </comment>
    <comment ref="AI239" authorId="0">
      <text>
        <r>
          <rPr>
            <b/>
            <sz val="12"/>
            <rFont val="宋体"/>
            <charset val="134"/>
          </rPr>
          <t>Administrator:</t>
        </r>
        <r>
          <rPr>
            <sz val="12"/>
            <rFont val="宋体"/>
            <charset val="134"/>
          </rPr>
          <t xml:space="preserve">
11/6 上PDQ折页 3635pcs
     上WIC贴纸 21810pcs</t>
        </r>
      </text>
    </comment>
    <comment ref="AF240" authorId="0">
      <text>
        <r>
          <rPr>
            <b/>
            <sz val="12"/>
            <rFont val="宋体"/>
            <charset val="134"/>
          </rPr>
          <t>Administrator:</t>
        </r>
        <r>
          <rPr>
            <sz val="12"/>
            <rFont val="宋体"/>
            <charset val="134"/>
          </rPr>
          <t xml:space="preserve">
1200547 11/27 2694pcs 华兴三B7
</t>
        </r>
      </text>
    </comment>
    <comment ref="AI240" authorId="0">
      <text>
        <r>
          <rPr>
            <b/>
            <sz val="12"/>
            <rFont val="宋体"/>
            <charset val="134"/>
          </rPr>
          <t>Administrator:</t>
        </r>
        <r>
          <rPr>
            <sz val="12"/>
            <rFont val="宋体"/>
            <charset val="134"/>
          </rPr>
          <t xml:space="preserve">
11/6 上PDQ折页 3635pcs
     上WIC贴纸 21810pcs</t>
        </r>
      </text>
    </comment>
    <comment ref="AF241" authorId="0">
      <text>
        <r>
          <rPr>
            <b/>
            <sz val="12"/>
            <rFont val="宋体"/>
            <charset val="134"/>
          </rPr>
          <t>Administrator:</t>
        </r>
        <r>
          <rPr>
            <sz val="12"/>
            <rFont val="宋体"/>
            <charset val="134"/>
          </rPr>
          <t xml:space="preserve">
1200547 11/27 2202pcs 华兴三B7
</t>
        </r>
      </text>
    </comment>
    <comment ref="AI241" authorId="0">
      <text>
        <r>
          <rPr>
            <b/>
            <sz val="12"/>
            <rFont val="宋体"/>
            <charset val="134"/>
          </rPr>
          <t>Administrator:</t>
        </r>
        <r>
          <rPr>
            <sz val="12"/>
            <rFont val="宋体"/>
            <charset val="134"/>
          </rPr>
          <t xml:space="preserve">
11/6 上PDQ折页 3635pcs
     上WIC贴纸 21810pcs</t>
        </r>
      </text>
    </comment>
    <comment ref="AF242" authorId="0">
      <text>
        <r>
          <rPr>
            <b/>
            <sz val="12"/>
            <rFont val="宋体"/>
            <charset val="134"/>
          </rPr>
          <t>Administrator:</t>
        </r>
        <r>
          <rPr>
            <sz val="12"/>
            <rFont val="宋体"/>
            <charset val="134"/>
          </rPr>
          <t xml:space="preserve">
1200547 11/27 924pcs 华兴三B7
</t>
        </r>
      </text>
    </comment>
    <comment ref="AI242" authorId="0">
      <text>
        <r>
          <rPr>
            <b/>
            <sz val="12"/>
            <rFont val="宋体"/>
            <charset val="134"/>
          </rPr>
          <t>Administrator:</t>
        </r>
        <r>
          <rPr>
            <sz val="12"/>
            <rFont val="宋体"/>
            <charset val="134"/>
          </rPr>
          <t xml:space="preserve">
11/6 上PDQ折页 3635pcs
     上WIC贴纸 21810pcs</t>
        </r>
      </text>
    </comment>
    <comment ref="AF243" authorId="0">
      <text>
        <r>
          <rPr>
            <b/>
            <sz val="12"/>
            <rFont val="宋体"/>
            <charset val="134"/>
          </rPr>
          <t>Administrator:</t>
        </r>
        <r>
          <rPr>
            <sz val="12"/>
            <rFont val="宋体"/>
            <charset val="134"/>
          </rPr>
          <t xml:space="preserve">
1200547 11/27 3246pcs 华兴三B7
</t>
        </r>
      </text>
    </comment>
    <comment ref="AI243" authorId="0">
      <text>
        <r>
          <rPr>
            <b/>
            <sz val="12"/>
            <rFont val="宋体"/>
            <charset val="134"/>
          </rPr>
          <t>Administrator:</t>
        </r>
        <r>
          <rPr>
            <sz val="12"/>
            <rFont val="宋体"/>
            <charset val="134"/>
          </rPr>
          <t xml:space="preserve">
11/6 上PDQ折页 3635pcs
     上WIC贴纸 21810pcs</t>
        </r>
      </text>
    </comment>
    <comment ref="AF244" authorId="0">
      <text>
        <r>
          <rPr>
            <b/>
            <sz val="12"/>
            <rFont val="宋体"/>
            <charset val="134"/>
          </rPr>
          <t>Administrator:</t>
        </r>
        <r>
          <rPr>
            <sz val="12"/>
            <rFont val="宋体"/>
            <charset val="134"/>
          </rPr>
          <t xml:space="preserve">
1200547 11/27 1926pcs 华兴三B7
1200564 11/29  18pcs  华兴三B7</t>
        </r>
      </text>
    </comment>
    <comment ref="AI244" authorId="0">
      <text>
        <r>
          <rPr>
            <b/>
            <sz val="12"/>
            <rFont val="宋体"/>
            <charset val="134"/>
          </rPr>
          <t>Administrator:</t>
        </r>
        <r>
          <rPr>
            <sz val="12"/>
            <rFont val="宋体"/>
            <charset val="134"/>
          </rPr>
          <t xml:space="preserve">
11/6 上PDQ折页 3635pcs
     上WIC贴纸 21810pcs</t>
        </r>
      </text>
    </comment>
    <comment ref="AF245" authorId="0">
      <text>
        <r>
          <rPr>
            <b/>
            <sz val="12"/>
            <rFont val="宋体"/>
            <charset val="134"/>
          </rPr>
          <t>Administrator:</t>
        </r>
        <r>
          <rPr>
            <sz val="12"/>
            <rFont val="宋体"/>
            <charset val="134"/>
          </rPr>
          <t xml:space="preserve">
1200208 12/8 2004pcs 华兴三B15</t>
        </r>
      </text>
    </comment>
    <comment ref="AI245" authorId="0">
      <text>
        <r>
          <rPr>
            <b/>
            <sz val="12"/>
            <rFont val="宋体"/>
            <charset val="134"/>
          </rPr>
          <t>Administrator:</t>
        </r>
        <r>
          <rPr>
            <sz val="12"/>
            <rFont val="宋体"/>
            <charset val="134"/>
          </rPr>
          <t xml:space="preserve">
11/21 上客供价格贴纸 2100pcs</t>
        </r>
      </text>
    </comment>
    <comment ref="AF246" authorId="0">
      <text>
        <r>
          <rPr>
            <b/>
            <sz val="12"/>
            <rFont val="宋体"/>
            <charset val="134"/>
          </rPr>
          <t>Administrator:</t>
        </r>
        <r>
          <rPr>
            <sz val="12"/>
            <rFont val="宋体"/>
            <charset val="134"/>
          </rPr>
          <t xml:space="preserve">
1200564 11/29 400pcs</t>
        </r>
      </text>
    </comment>
    <comment ref="AI246" authorId="0">
      <text>
        <r>
          <rPr>
            <b/>
            <sz val="12"/>
            <rFont val="宋体"/>
            <charset val="134"/>
          </rPr>
          <t>Administrator:</t>
        </r>
        <r>
          <rPr>
            <sz val="12"/>
            <rFont val="宋体"/>
            <charset val="134"/>
          </rPr>
          <t xml:space="preserve">
11/17 上进口商贴纸 4000pcs
      上UPC贴纸 4000pcs
181141/179365共用</t>
        </r>
      </text>
    </comment>
    <comment ref="AF247" authorId="0">
      <text>
        <r>
          <rPr>
            <b/>
            <sz val="12"/>
            <rFont val="宋体"/>
            <charset val="134"/>
          </rPr>
          <t>Administrator:</t>
        </r>
        <r>
          <rPr>
            <sz val="12"/>
            <rFont val="宋体"/>
            <charset val="134"/>
          </rPr>
          <t xml:space="preserve">
1200648 12/4 996pcs 华兴三A22</t>
        </r>
      </text>
    </comment>
    <comment ref="AI247" authorId="0">
      <text>
        <r>
          <rPr>
            <b/>
            <sz val="12"/>
            <rFont val="宋体"/>
            <charset val="134"/>
          </rPr>
          <t>Administrator:</t>
        </r>
        <r>
          <rPr>
            <sz val="12"/>
            <rFont val="宋体"/>
            <charset val="134"/>
          </rPr>
          <t xml:space="preserve">
11/17 上空白贴纸 7992pcs
183797/183798/183806/183810共用
11/24 上客供价格贴纸 1096pcs</t>
        </r>
      </text>
    </comment>
    <comment ref="AF248" authorId="0">
      <text>
        <r>
          <rPr>
            <b/>
            <sz val="12"/>
            <rFont val="宋体"/>
            <charset val="134"/>
          </rPr>
          <t>Administrator:</t>
        </r>
        <r>
          <rPr>
            <sz val="12"/>
            <rFont val="宋体"/>
            <charset val="134"/>
          </rPr>
          <t xml:space="preserve">
1200648 12/4 1200pcs 华兴三A22</t>
        </r>
      </text>
    </comment>
    <comment ref="AI248" authorId="0">
      <text>
        <r>
          <rPr>
            <b/>
            <sz val="12"/>
            <rFont val="宋体"/>
            <charset val="134"/>
          </rPr>
          <t>Administrator:</t>
        </r>
        <r>
          <rPr>
            <sz val="12"/>
            <rFont val="宋体"/>
            <charset val="134"/>
          </rPr>
          <t xml:space="preserve">
11/17 上空白贴纸 7992pcs
183797/183798/183806/183810共用
11/24 上客供价格贴纸 1320pcs</t>
        </r>
      </text>
    </comment>
    <comment ref="AF249" authorId="0">
      <text>
        <r>
          <rPr>
            <b/>
            <sz val="12"/>
            <rFont val="宋体"/>
            <charset val="134"/>
          </rPr>
          <t>Administrator:</t>
        </r>
        <r>
          <rPr>
            <sz val="12"/>
            <rFont val="宋体"/>
            <charset val="134"/>
          </rPr>
          <t xml:space="preserve">
1200200 12/6 250pcs B4楼A2区</t>
        </r>
      </text>
    </comment>
    <comment ref="AF250" authorId="0">
      <text>
        <r>
          <rPr>
            <b/>
            <sz val="12"/>
            <rFont val="宋体"/>
            <charset val="134"/>
          </rPr>
          <t>Administrator:</t>
        </r>
        <r>
          <rPr>
            <sz val="12"/>
            <rFont val="宋体"/>
            <charset val="134"/>
          </rPr>
          <t xml:space="preserve">
1200761 12/12 12pcs B4楼A8区</t>
        </r>
      </text>
    </comment>
    <comment ref="AI250" authorId="0">
      <text>
        <r>
          <rPr>
            <b/>
            <sz val="12"/>
            <rFont val="宋体"/>
            <charset val="134"/>
          </rPr>
          <t>Administrator:</t>
        </r>
        <r>
          <rPr>
            <sz val="12"/>
            <rFont val="宋体"/>
            <charset val="134"/>
          </rPr>
          <t xml:space="preserve">
11/27 上客供亚马逊外箱贴纸 1pcs</t>
        </r>
      </text>
    </comment>
    <comment ref="AF251" authorId="0">
      <text>
        <r>
          <rPr>
            <b/>
            <sz val="12"/>
            <rFont val="宋体"/>
            <charset val="134"/>
          </rPr>
          <t>Administrator:</t>
        </r>
        <r>
          <rPr>
            <sz val="12"/>
            <rFont val="宋体"/>
            <charset val="134"/>
          </rPr>
          <t xml:space="preserve">
1200761 12/12 24pcs B4楼A8区</t>
        </r>
      </text>
    </comment>
    <comment ref="AI251" authorId="0">
      <text>
        <r>
          <rPr>
            <b/>
            <sz val="12"/>
            <rFont val="宋体"/>
            <charset val="134"/>
          </rPr>
          <t>Administrator:</t>
        </r>
        <r>
          <rPr>
            <sz val="12"/>
            <rFont val="宋体"/>
            <charset val="134"/>
          </rPr>
          <t xml:space="preserve">
11/27 上客供亚马逊外箱贴纸 2pcs</t>
        </r>
      </text>
    </comment>
    <comment ref="AF252" authorId="0">
      <text>
        <r>
          <rPr>
            <b/>
            <sz val="12"/>
            <rFont val="宋体"/>
            <charset val="134"/>
          </rPr>
          <t>Administrator:</t>
        </r>
        <r>
          <rPr>
            <sz val="12"/>
            <rFont val="宋体"/>
            <charset val="134"/>
          </rPr>
          <t xml:space="preserve">
1200761 12/12 48pcs B4楼A8区</t>
        </r>
      </text>
    </comment>
    <comment ref="AI252" authorId="0">
      <text>
        <r>
          <rPr>
            <b/>
            <sz val="12"/>
            <rFont val="宋体"/>
            <charset val="134"/>
          </rPr>
          <t>Administrator:</t>
        </r>
        <r>
          <rPr>
            <sz val="12"/>
            <rFont val="宋体"/>
            <charset val="134"/>
          </rPr>
          <t xml:space="preserve">
11/27 上客供亚马逊外箱贴纸 4pcs</t>
        </r>
      </text>
    </comment>
    <comment ref="AF253" authorId="0">
      <text>
        <r>
          <rPr>
            <b/>
            <sz val="12"/>
            <rFont val="宋体"/>
            <charset val="134"/>
          </rPr>
          <t>Administrator:</t>
        </r>
        <r>
          <rPr>
            <sz val="12"/>
            <rFont val="宋体"/>
            <charset val="134"/>
          </rPr>
          <t xml:space="preserve">
1200761 12/12 12pcs B4楼A8区</t>
        </r>
      </text>
    </comment>
    <comment ref="AI253" authorId="0">
      <text>
        <r>
          <rPr>
            <b/>
            <sz val="12"/>
            <rFont val="宋体"/>
            <charset val="134"/>
          </rPr>
          <t>Administrator:</t>
        </r>
        <r>
          <rPr>
            <sz val="12"/>
            <rFont val="宋体"/>
            <charset val="134"/>
          </rPr>
          <t xml:space="preserve">
11/27 上客供亚马逊外箱贴纸 1pcs</t>
        </r>
      </text>
    </comment>
    <comment ref="AI254" authorId="0">
      <text>
        <r>
          <rPr>
            <b/>
            <sz val="12"/>
            <rFont val="宋体"/>
            <charset val="134"/>
          </rPr>
          <t>Administrator:</t>
        </r>
        <r>
          <rPr>
            <sz val="12"/>
            <rFont val="宋体"/>
            <charset val="134"/>
          </rPr>
          <t xml:space="preserve">
11/27 上客供亚马逊外箱贴纸 1pcs</t>
        </r>
      </text>
    </comment>
    <comment ref="AF255" authorId="0">
      <text>
        <r>
          <rPr>
            <b/>
            <sz val="12"/>
            <rFont val="宋体"/>
            <charset val="134"/>
          </rPr>
          <t>Administrator:</t>
        </r>
        <r>
          <rPr>
            <sz val="12"/>
            <rFont val="宋体"/>
            <charset val="134"/>
          </rPr>
          <t xml:space="preserve">
1200792 12/15 2250pcs B4楼A9区</t>
        </r>
      </text>
    </comment>
    <comment ref="AF256" authorId="0">
      <text>
        <r>
          <rPr>
            <b/>
            <sz val="12"/>
            <rFont val="宋体"/>
            <charset val="134"/>
          </rPr>
          <t>Administrator:</t>
        </r>
        <r>
          <rPr>
            <sz val="12"/>
            <rFont val="宋体"/>
            <charset val="134"/>
          </rPr>
          <t xml:space="preserve">
1600041 12/23   50pcs B4楼B1区
1600038 12/23 3550pcs B4楼B1区</t>
        </r>
      </text>
    </comment>
    <comment ref="AI256" authorId="0">
      <text>
        <r>
          <rPr>
            <b/>
            <sz val="12"/>
            <rFont val="宋体"/>
            <charset val="134"/>
          </rPr>
          <t>Administrator:</t>
        </r>
        <r>
          <rPr>
            <sz val="12"/>
            <rFont val="宋体"/>
            <charset val="134"/>
          </rPr>
          <t xml:space="preserve">
11/17 上进口商贴纸 4000pcs
      上UPC贴纸 4000pcs
181141/179365共用</t>
        </r>
      </text>
    </comment>
    <comment ref="AF257" authorId="0">
      <text>
        <r>
          <rPr>
            <b/>
            <sz val="12"/>
            <rFont val="宋体"/>
            <charset val="134"/>
          </rPr>
          <t>Administrator:</t>
        </r>
        <r>
          <rPr>
            <sz val="12"/>
            <rFont val="宋体"/>
            <charset val="134"/>
          </rPr>
          <t xml:space="preserve">
1600125 12/27 996pcs 华兴三B14</t>
        </r>
      </text>
    </comment>
    <comment ref="AI257" authorId="0">
      <text>
        <r>
          <rPr>
            <b/>
            <sz val="12"/>
            <rFont val="宋体"/>
            <charset val="134"/>
          </rPr>
          <t>Administrator:</t>
        </r>
        <r>
          <rPr>
            <sz val="12"/>
            <rFont val="宋体"/>
            <charset val="134"/>
          </rPr>
          <t xml:space="preserve">
11/17 上空白贴纸 7992pcs
183797/183798/183806/183810共用
12/15 上客供价格贴纸 1096pcs
</t>
        </r>
      </text>
    </comment>
    <comment ref="AF258" authorId="0">
      <text>
        <r>
          <rPr>
            <b/>
            <sz val="12"/>
            <rFont val="宋体"/>
            <charset val="134"/>
          </rPr>
          <t>Administrator:</t>
        </r>
        <r>
          <rPr>
            <sz val="12"/>
            <rFont val="宋体"/>
            <charset val="134"/>
          </rPr>
          <t xml:space="preserve">
1600135 12/29 804pcs 华兴三B14</t>
        </r>
      </text>
    </comment>
    <comment ref="AI258" authorId="0">
      <text>
        <r>
          <rPr>
            <b/>
            <sz val="12"/>
            <rFont val="宋体"/>
            <charset val="134"/>
          </rPr>
          <t>Administrator:</t>
        </r>
        <r>
          <rPr>
            <sz val="12"/>
            <rFont val="宋体"/>
            <charset val="134"/>
          </rPr>
          <t xml:space="preserve">
11/17 上空白贴纸 7992pcs
183797/183798/183806/183810共用
12/15 上客供价格贴纸 885pcs</t>
        </r>
      </text>
    </comment>
    <comment ref="AF259" authorId="0">
      <text>
        <r>
          <rPr>
            <b/>
            <sz val="12"/>
            <rFont val="宋体"/>
            <charset val="134"/>
          </rPr>
          <t>Administrator:</t>
        </r>
        <r>
          <rPr>
            <sz val="12"/>
            <rFont val="宋体"/>
            <charset val="134"/>
          </rPr>
          <t xml:space="preserve">
1600954 1/2 2004pcs 华兴三A15</t>
        </r>
      </text>
    </comment>
    <comment ref="AI259" authorId="0">
      <text>
        <r>
          <rPr>
            <b/>
            <sz val="12"/>
            <rFont val="宋体"/>
            <charset val="134"/>
          </rPr>
          <t>Administrator:</t>
        </r>
        <r>
          <rPr>
            <sz val="12"/>
            <rFont val="宋体"/>
            <charset val="134"/>
          </rPr>
          <t xml:space="preserve">
12/15 上客供价格贴纸 2100pcs</t>
        </r>
      </text>
    </comment>
    <comment ref="AF260" authorId="0">
      <text>
        <r>
          <rPr>
            <b/>
            <sz val="12"/>
            <rFont val="宋体"/>
            <charset val="134"/>
          </rPr>
          <t>Administrator:</t>
        </r>
        <r>
          <rPr>
            <sz val="12"/>
            <rFont val="宋体"/>
            <charset val="134"/>
          </rPr>
          <t xml:space="preserve">
1601063 1/9 804pcs 走货</t>
        </r>
      </text>
    </comment>
    <comment ref="AI260" authorId="0">
      <text>
        <r>
          <rPr>
            <b/>
            <sz val="12"/>
            <rFont val="宋体"/>
            <charset val="134"/>
          </rPr>
          <t>Administrator:</t>
        </r>
        <r>
          <rPr>
            <sz val="12"/>
            <rFont val="宋体"/>
            <charset val="134"/>
          </rPr>
          <t xml:space="preserve">
12/15 上客供价格贴纸 885pcs
12/23 上空白贴纸 7992pcs
187228/187231/187232/187236共用</t>
        </r>
      </text>
    </comment>
    <comment ref="AF261" authorId="0">
      <text>
        <r>
          <rPr>
            <b/>
            <sz val="12"/>
            <rFont val="宋体"/>
            <charset val="134"/>
          </rPr>
          <t>Administrator:</t>
        </r>
        <r>
          <rPr>
            <sz val="12"/>
            <rFont val="宋体"/>
            <charset val="134"/>
          </rPr>
          <t xml:space="preserve">
1601063 1/9 996pcs 华兴三A29</t>
        </r>
      </text>
    </comment>
    <comment ref="AI261" authorId="0">
      <text>
        <r>
          <rPr>
            <b/>
            <sz val="12"/>
            <rFont val="宋体"/>
            <charset val="134"/>
          </rPr>
          <t>Administrator:</t>
        </r>
        <r>
          <rPr>
            <sz val="12"/>
            <rFont val="宋体"/>
            <charset val="134"/>
          </rPr>
          <t xml:space="preserve">
12/15 上客供价格贴纸 1096pcs
12/23 上空白贴纸 7992pcs
187228/187231/187232/187236共用
</t>
        </r>
      </text>
    </comment>
    <comment ref="AI262" authorId="0">
      <text>
        <r>
          <rPr>
            <b/>
            <sz val="12"/>
            <rFont val="宋体"/>
            <charset val="134"/>
          </rPr>
          <t>Administrator:</t>
        </r>
        <r>
          <rPr>
            <sz val="12"/>
            <rFont val="宋体"/>
            <charset val="134"/>
          </rPr>
          <t xml:space="preserve">
12/15 上客供价格贴纸 1096pcs
12/23 上空白贴纸 7992pcs
187228/187231/187232/187236共用
</t>
        </r>
      </text>
    </comment>
    <comment ref="AF263" authorId="0">
      <text>
        <r>
          <rPr>
            <b/>
            <sz val="12"/>
            <rFont val="宋体"/>
            <charset val="134"/>
          </rPr>
          <t>Administrator:</t>
        </r>
        <r>
          <rPr>
            <sz val="12"/>
            <rFont val="宋体"/>
            <charset val="134"/>
          </rPr>
          <t xml:space="preserve">
1601063 1/9 1200pcs 走货</t>
        </r>
      </text>
    </comment>
    <comment ref="AI263" authorId="0">
      <text>
        <r>
          <rPr>
            <b/>
            <sz val="12"/>
            <rFont val="宋体"/>
            <charset val="134"/>
          </rPr>
          <t>Administrator:</t>
        </r>
        <r>
          <rPr>
            <sz val="12"/>
            <rFont val="宋体"/>
            <charset val="134"/>
          </rPr>
          <t xml:space="preserve">
12/15 上客供价格贴纸 1320pcs
12/23 上空白贴纸 7992pcs
187228/187231/187232/187236共用
</t>
        </r>
      </text>
    </comment>
    <comment ref="AF264" authorId="0">
      <text>
        <r>
          <rPr>
            <b/>
            <sz val="12"/>
            <rFont val="宋体"/>
            <charset val="134"/>
          </rPr>
          <t>Administrator:</t>
        </r>
        <r>
          <rPr>
            <sz val="12"/>
            <rFont val="宋体"/>
            <charset val="134"/>
          </rPr>
          <t xml:space="preserve">
1600978 1/4 12pcs 华兴三B14</t>
        </r>
      </text>
    </comment>
    <comment ref="AI264" authorId="0">
      <text>
        <r>
          <rPr>
            <b/>
            <sz val="12"/>
            <rFont val="宋体"/>
            <charset val="134"/>
          </rPr>
          <t>Administrator:</t>
        </r>
        <r>
          <rPr>
            <sz val="12"/>
            <rFont val="宋体"/>
            <charset val="134"/>
          </rPr>
          <t xml:space="preserve">
12/23 上客供亚马逊外箱贴纸 1pcs</t>
        </r>
      </text>
    </comment>
    <comment ref="AF265" authorId="0">
      <text>
        <r>
          <rPr>
            <b/>
            <sz val="12"/>
            <rFont val="宋体"/>
            <charset val="134"/>
          </rPr>
          <t>Administrator:</t>
        </r>
        <r>
          <rPr>
            <sz val="12"/>
            <rFont val="宋体"/>
            <charset val="134"/>
          </rPr>
          <t xml:space="preserve">
1601070 1/10 48pcs 华兴三B14</t>
        </r>
      </text>
    </comment>
    <comment ref="AI265" authorId="0">
      <text>
        <r>
          <rPr>
            <b/>
            <sz val="12"/>
            <rFont val="宋体"/>
            <charset val="134"/>
          </rPr>
          <t>Administrator:</t>
        </r>
        <r>
          <rPr>
            <sz val="12"/>
            <rFont val="宋体"/>
            <charset val="134"/>
          </rPr>
          <t xml:space="preserve">
1/5 上客供亚马逊外箱贴纸 4pcs</t>
        </r>
      </text>
    </comment>
    <comment ref="AF266" authorId="0">
      <text>
        <r>
          <rPr>
            <b/>
            <sz val="12"/>
            <rFont val="宋体"/>
            <charset val="134"/>
          </rPr>
          <t>Administrator:</t>
        </r>
        <r>
          <rPr>
            <sz val="12"/>
            <rFont val="宋体"/>
            <charset val="134"/>
          </rPr>
          <t xml:space="preserve">
1601070 1/10 264pcs 华兴三B8</t>
        </r>
      </text>
    </comment>
    <comment ref="AI266" authorId="0">
      <text>
        <r>
          <rPr>
            <b/>
            <sz val="12"/>
            <rFont val="宋体"/>
            <charset val="134"/>
          </rPr>
          <t>Administrator:</t>
        </r>
        <r>
          <rPr>
            <sz val="12"/>
            <rFont val="宋体"/>
            <charset val="134"/>
          </rPr>
          <t xml:space="preserve">
1/5 上客供亚马逊外箱贴纸 22pcs</t>
        </r>
      </text>
    </comment>
    <comment ref="AF267" authorId="0">
      <text>
        <r>
          <rPr>
            <b/>
            <sz val="12"/>
            <rFont val="宋体"/>
            <charset val="134"/>
          </rPr>
          <t>Administrator:</t>
        </r>
        <r>
          <rPr>
            <sz val="12"/>
            <rFont val="宋体"/>
            <charset val="134"/>
          </rPr>
          <t xml:space="preserve">
1601070 1/10 276pcs 华兴三B8</t>
        </r>
      </text>
    </comment>
    <comment ref="AI267" authorId="0">
      <text>
        <r>
          <rPr>
            <b/>
            <sz val="12"/>
            <rFont val="宋体"/>
            <charset val="134"/>
          </rPr>
          <t>Administrator:</t>
        </r>
        <r>
          <rPr>
            <sz val="12"/>
            <rFont val="宋体"/>
            <charset val="134"/>
          </rPr>
          <t xml:space="preserve">
1/5 上客供亚马逊外箱贴纸 23pcs</t>
        </r>
      </text>
    </comment>
    <comment ref="AF268" authorId="0">
      <text>
        <r>
          <rPr>
            <b/>
            <sz val="12"/>
            <rFont val="宋体"/>
            <charset val="134"/>
          </rPr>
          <t>Administrator:</t>
        </r>
        <r>
          <rPr>
            <sz val="12"/>
            <rFont val="宋体"/>
            <charset val="134"/>
          </rPr>
          <t xml:space="preserve">
1601070 1/10 24pcs 华兴三B14</t>
        </r>
      </text>
    </comment>
    <comment ref="AI268" authorId="0">
      <text>
        <r>
          <rPr>
            <b/>
            <sz val="12"/>
            <rFont val="宋体"/>
            <charset val="134"/>
          </rPr>
          <t>Administrator:</t>
        </r>
        <r>
          <rPr>
            <sz val="12"/>
            <rFont val="宋体"/>
            <charset val="134"/>
          </rPr>
          <t xml:space="preserve">
1/5 上客供亚马逊外箱贴纸 2pcs</t>
        </r>
      </text>
    </comment>
    <comment ref="AF269" authorId="0">
      <text>
        <r>
          <rPr>
            <b/>
            <sz val="12"/>
            <rFont val="宋体"/>
            <charset val="134"/>
          </rPr>
          <t>Administrator:</t>
        </r>
        <r>
          <rPr>
            <sz val="12"/>
            <rFont val="宋体"/>
            <charset val="134"/>
          </rPr>
          <t xml:space="preserve">
1600978 1/4 12pcs 华兴三B14</t>
        </r>
      </text>
    </comment>
    <comment ref="AI269" authorId="0">
      <text>
        <r>
          <rPr>
            <b/>
            <sz val="12"/>
            <rFont val="宋体"/>
            <charset val="134"/>
          </rPr>
          <t>Administrator:</t>
        </r>
        <r>
          <rPr>
            <sz val="12"/>
            <rFont val="宋体"/>
            <charset val="134"/>
          </rPr>
          <t xml:space="preserve">
12/23 上客供亚马逊外箱贴纸 1pcs</t>
        </r>
      </text>
    </comment>
    <comment ref="AI270" authorId="0">
      <text>
        <r>
          <rPr>
            <b/>
            <sz val="12"/>
            <rFont val="宋体"/>
            <charset val="134"/>
          </rPr>
          <t>Administrator:</t>
        </r>
        <r>
          <rPr>
            <sz val="12"/>
            <rFont val="宋体"/>
            <charset val="134"/>
          </rPr>
          <t xml:space="preserve">
12/23 上客供亚马逊外箱贴纸 1pcs</t>
        </r>
      </text>
    </comment>
    <comment ref="AI271" authorId="0">
      <text>
        <r>
          <rPr>
            <b/>
            <sz val="12"/>
            <rFont val="宋体"/>
            <charset val="134"/>
          </rPr>
          <t>Administrator:</t>
        </r>
        <r>
          <rPr>
            <sz val="12"/>
            <rFont val="宋体"/>
            <charset val="134"/>
          </rPr>
          <t xml:space="preserve">
12/23 上客供亚马逊外箱贴纸 1pcs</t>
        </r>
      </text>
    </comment>
    <comment ref="AF272" authorId="0">
      <text>
        <r>
          <rPr>
            <b/>
            <sz val="12"/>
            <rFont val="宋体"/>
            <charset val="134"/>
          </rPr>
          <t>Administrator:</t>
        </r>
        <r>
          <rPr>
            <sz val="12"/>
            <rFont val="宋体"/>
            <charset val="134"/>
          </rPr>
          <t xml:space="preserve">
1601236 1/22 600pcs 华兴三B13</t>
        </r>
      </text>
    </comment>
    <comment ref="AI272" authorId="0">
      <text>
        <r>
          <rPr>
            <b/>
            <sz val="12"/>
            <rFont val="宋体"/>
            <charset val="134"/>
          </rPr>
          <t>Administrator:</t>
        </r>
        <r>
          <rPr>
            <sz val="12"/>
            <rFont val="宋体"/>
            <charset val="134"/>
          </rPr>
          <t xml:space="preserve">
1/9 上UPC贴纸 600pcs</t>
        </r>
      </text>
    </comment>
    <comment ref="AF273" authorId="0">
      <text>
        <r>
          <rPr>
            <b/>
            <sz val="12"/>
            <rFont val="宋体"/>
            <charset val="134"/>
          </rPr>
          <t>Administrator:</t>
        </r>
        <r>
          <rPr>
            <sz val="12"/>
            <rFont val="宋体"/>
            <charset val="134"/>
          </rPr>
          <t xml:space="preserve">
5000252 1/27 4500pcs 华兴三A24</t>
        </r>
      </text>
    </comment>
    <comment ref="AF274" authorId="0">
      <text>
        <r>
          <rPr>
            <b/>
            <sz val="12"/>
            <rFont val="宋体"/>
            <charset val="134"/>
          </rPr>
          <t>Administrator:</t>
        </r>
        <r>
          <rPr>
            <sz val="12"/>
            <rFont val="宋体"/>
            <charset val="134"/>
          </rPr>
          <t xml:space="preserve">
5000252 1/27 1992pcs 华兴三B16
1405695 1/29   24pcs 华兴三B16</t>
        </r>
      </text>
    </comment>
    <comment ref="AI274" authorId="0">
      <text>
        <r>
          <rPr>
            <b/>
            <sz val="12"/>
            <rFont val="宋体"/>
            <charset val="134"/>
          </rPr>
          <t>Administrator:</t>
        </r>
        <r>
          <rPr>
            <sz val="12"/>
            <rFont val="宋体"/>
            <charset val="134"/>
          </rPr>
          <t xml:space="preserve">
1/5 上客供价格贴纸 2100pcs</t>
        </r>
      </text>
    </comment>
    <comment ref="AF275" authorId="0">
      <text>
        <r>
          <rPr>
            <b/>
            <sz val="12"/>
            <rFont val="宋体"/>
            <charset val="134"/>
          </rPr>
          <t>Administrator:</t>
        </r>
        <r>
          <rPr>
            <sz val="12"/>
            <rFont val="宋体"/>
            <charset val="134"/>
          </rPr>
          <t xml:space="preserve">
1405621 2/4 48pcs 华兴三B14</t>
        </r>
      </text>
    </comment>
    <comment ref="AI275" authorId="0">
      <text>
        <r>
          <rPr>
            <b/>
            <sz val="12"/>
            <rFont val="宋体"/>
            <charset val="134"/>
          </rPr>
          <t>Administrator:</t>
        </r>
        <r>
          <rPr>
            <sz val="12"/>
            <rFont val="宋体"/>
            <charset val="134"/>
          </rPr>
          <t xml:space="preserve">
1/28 上客供亚马逊外箱贴纸 4pcs</t>
        </r>
      </text>
    </comment>
    <comment ref="AF276" authorId="0">
      <text>
        <r>
          <rPr>
            <b/>
            <sz val="12"/>
            <rFont val="宋体"/>
            <charset val="134"/>
          </rPr>
          <t>Administrator:</t>
        </r>
        <r>
          <rPr>
            <sz val="12"/>
            <rFont val="宋体"/>
            <charset val="134"/>
          </rPr>
          <t xml:space="preserve">
1405621 2/4 12pcs 华兴三B14
</t>
        </r>
      </text>
    </comment>
    <comment ref="AI276" authorId="0">
      <text>
        <r>
          <rPr>
            <b/>
            <sz val="12"/>
            <rFont val="宋体"/>
            <charset val="134"/>
          </rPr>
          <t>Administrator:</t>
        </r>
        <r>
          <rPr>
            <sz val="12"/>
            <rFont val="宋体"/>
            <charset val="134"/>
          </rPr>
          <t xml:space="preserve">
1/28 上客供亚马逊外箱贴纸 1pcs</t>
        </r>
      </text>
    </comment>
    <comment ref="AI277" authorId="0">
      <text>
        <r>
          <rPr>
            <b/>
            <sz val="12"/>
            <rFont val="宋体"/>
            <charset val="134"/>
          </rPr>
          <t>Administrator:</t>
        </r>
        <r>
          <rPr>
            <sz val="12"/>
            <rFont val="宋体"/>
            <charset val="134"/>
          </rPr>
          <t xml:space="preserve">
1/28 上客供亚马逊外箱贴纸 1pcs</t>
        </r>
      </text>
    </comment>
    <comment ref="AI278" authorId="0">
      <text>
        <r>
          <rPr>
            <b/>
            <sz val="12"/>
            <rFont val="宋体"/>
            <charset val="134"/>
          </rPr>
          <t>Administrator:</t>
        </r>
        <r>
          <rPr>
            <sz val="12"/>
            <rFont val="宋体"/>
            <charset val="134"/>
          </rPr>
          <t xml:space="preserve">
1/28 上客供亚马逊外箱贴纸 1pcs</t>
        </r>
      </text>
    </comment>
    <comment ref="AF279" authorId="0">
      <text>
        <r>
          <rPr>
            <b/>
            <sz val="12"/>
            <rFont val="宋体"/>
            <charset val="134"/>
          </rPr>
          <t>Administrator:</t>
        </r>
        <r>
          <rPr>
            <sz val="12"/>
            <rFont val="宋体"/>
            <charset val="134"/>
          </rPr>
          <t xml:space="preserve">
1405586 2/6 612pcs 华兴三B14</t>
        </r>
      </text>
    </comment>
    <comment ref="AI279" authorId="0">
      <text>
        <r>
          <rPr>
            <b/>
            <sz val="12"/>
            <rFont val="宋体"/>
            <charset val="134"/>
          </rPr>
          <t>Administrator:</t>
        </r>
        <r>
          <rPr>
            <sz val="12"/>
            <rFont val="宋体"/>
            <charset val="134"/>
          </rPr>
          <t xml:space="preserve">
1/28 上客供亚马逊外箱贴纸 51pcs</t>
        </r>
      </text>
    </comment>
    <comment ref="AF280" authorId="0">
      <text>
        <r>
          <rPr>
            <b/>
            <sz val="12"/>
            <rFont val="宋体"/>
            <charset val="134"/>
          </rPr>
          <t>Administrator:</t>
        </r>
        <r>
          <rPr>
            <sz val="12"/>
            <rFont val="宋体"/>
            <charset val="134"/>
          </rPr>
          <t xml:space="preserve">
1405586 2/6 228pcs 华兴三B14</t>
        </r>
      </text>
    </comment>
    <comment ref="AI280" authorId="0">
      <text>
        <r>
          <rPr>
            <b/>
            <sz val="12"/>
            <rFont val="宋体"/>
            <charset val="134"/>
          </rPr>
          <t>Administrator:</t>
        </r>
        <r>
          <rPr>
            <sz val="12"/>
            <rFont val="宋体"/>
            <charset val="134"/>
          </rPr>
          <t xml:space="preserve">
1/30 上客供亚马逊外箱贴纸 19pcs</t>
        </r>
      </text>
    </comment>
    <comment ref="AF281" authorId="0">
      <text>
        <r>
          <rPr>
            <b/>
            <sz val="12"/>
            <rFont val="宋体"/>
            <charset val="134"/>
          </rPr>
          <t>Administrator:</t>
        </r>
        <r>
          <rPr>
            <sz val="12"/>
            <rFont val="宋体"/>
            <charset val="134"/>
          </rPr>
          <t xml:space="preserve">
1405586 2/6 36pcs 华兴三B14</t>
        </r>
      </text>
    </comment>
    <comment ref="AI281" authorId="0">
      <text>
        <r>
          <rPr>
            <b/>
            <sz val="12"/>
            <rFont val="宋体"/>
            <charset val="134"/>
          </rPr>
          <t>Administrator:</t>
        </r>
        <r>
          <rPr>
            <sz val="12"/>
            <rFont val="宋体"/>
            <charset val="134"/>
          </rPr>
          <t xml:space="preserve">
1/30 上客供亚马逊外箱贴纸 3pcs</t>
        </r>
      </text>
    </comment>
    <comment ref="AF282" authorId="0">
      <text>
        <r>
          <rPr>
            <b/>
            <sz val="12"/>
            <rFont val="宋体"/>
            <charset val="134"/>
          </rPr>
          <t>Administrator:</t>
        </r>
        <r>
          <rPr>
            <sz val="12"/>
            <rFont val="宋体"/>
            <charset val="134"/>
          </rPr>
          <t xml:space="preserve">
1405586 2/6 252pcs 华兴三B14</t>
        </r>
      </text>
    </comment>
    <comment ref="AI282" authorId="0">
      <text>
        <r>
          <rPr>
            <b/>
            <sz val="12"/>
            <rFont val="宋体"/>
            <charset val="134"/>
          </rPr>
          <t>Administrator:</t>
        </r>
        <r>
          <rPr>
            <sz val="12"/>
            <rFont val="宋体"/>
            <charset val="134"/>
          </rPr>
          <t xml:space="preserve">
1/30 上客供亚马逊外箱贴纸 21pcs</t>
        </r>
      </text>
    </comment>
    <comment ref="AF283" authorId="0">
      <text>
        <r>
          <rPr>
            <b/>
            <sz val="12"/>
            <rFont val="宋体"/>
            <charset val="134"/>
          </rPr>
          <t>Administrator:</t>
        </r>
        <r>
          <rPr>
            <sz val="12"/>
            <rFont val="宋体"/>
            <charset val="134"/>
          </rPr>
          <t xml:space="preserve">
1405586 2/6 84pcs 华兴三B14</t>
        </r>
      </text>
    </comment>
    <comment ref="AI283" authorId="0">
      <text>
        <r>
          <rPr>
            <b/>
            <sz val="12"/>
            <rFont val="宋体"/>
            <charset val="134"/>
          </rPr>
          <t>Administrator:</t>
        </r>
        <r>
          <rPr>
            <sz val="12"/>
            <rFont val="宋体"/>
            <charset val="134"/>
          </rPr>
          <t xml:space="preserve">
1/30 上客供亚马逊外箱贴纸 7pcs</t>
        </r>
      </text>
    </comment>
    <comment ref="AF284" authorId="0">
      <text>
        <r>
          <rPr>
            <b/>
            <sz val="12"/>
            <rFont val="宋体"/>
            <charset val="134"/>
          </rPr>
          <t>Administrator:</t>
        </r>
        <r>
          <rPr>
            <sz val="12"/>
            <rFont val="宋体"/>
            <charset val="134"/>
          </rPr>
          <t xml:space="preserve">
3/19 1405249 600pcs B栋4楼C5区</t>
        </r>
      </text>
    </comment>
    <comment ref="AI284" authorId="0">
      <text>
        <r>
          <rPr>
            <b/>
            <sz val="12"/>
            <rFont val="宋体"/>
            <charset val="134"/>
          </rPr>
          <t>Administrator:</t>
        </r>
        <r>
          <rPr>
            <sz val="12"/>
            <rFont val="宋体"/>
            <charset val="134"/>
          </rPr>
          <t xml:space="preserve">
3/10 上客供价格贴纸600pcs</t>
        </r>
      </text>
    </comment>
    <comment ref="AF285" authorId="0">
      <text>
        <r>
          <rPr>
            <b/>
            <sz val="12"/>
            <rFont val="宋体"/>
            <charset val="134"/>
          </rPr>
          <t>Administrator:</t>
        </r>
        <r>
          <rPr>
            <sz val="12"/>
            <rFont val="宋体"/>
            <charset val="134"/>
          </rPr>
          <t xml:space="preserve">
3/19 1405249 2004pcs B栋4楼C6区
</t>
        </r>
      </text>
    </comment>
    <comment ref="AI285" authorId="0">
      <text>
        <r>
          <rPr>
            <b/>
            <sz val="12"/>
            <rFont val="宋体"/>
            <charset val="134"/>
          </rPr>
          <t>Administrator:</t>
        </r>
        <r>
          <rPr>
            <sz val="12"/>
            <rFont val="宋体"/>
            <charset val="134"/>
          </rPr>
          <t xml:space="preserve">
1/16 上客供价格贴纸 2100pcs</t>
        </r>
      </text>
    </comment>
    <comment ref="AF286" authorId="0">
      <text>
        <r>
          <rPr>
            <b/>
            <sz val="12"/>
            <rFont val="宋体"/>
            <charset val="134"/>
          </rPr>
          <t>Administrator:</t>
        </r>
        <r>
          <rPr>
            <sz val="12"/>
            <rFont val="宋体"/>
            <charset val="134"/>
          </rPr>
          <t xml:space="preserve">
4/3 1405383 5967pcs新仓库B6
4/6 1405360 39pcs新仓库B6
</t>
        </r>
      </text>
    </comment>
    <comment ref="AI286" authorId="0">
      <text>
        <r>
          <rPr>
            <b/>
            <sz val="12"/>
            <rFont val="宋体"/>
            <charset val="134"/>
          </rPr>
          <t>Administrator:</t>
        </r>
        <r>
          <rPr>
            <sz val="12"/>
            <rFont val="宋体"/>
            <charset val="134"/>
          </rPr>
          <t xml:space="preserve">
3/14 上韩语贴纸 6006pcs</t>
        </r>
      </text>
    </comment>
    <comment ref="AF287" authorId="0">
      <text>
        <r>
          <rPr>
            <b/>
            <sz val="12"/>
            <rFont val="宋体"/>
            <charset val="134"/>
          </rPr>
          <t>Administrator:</t>
        </r>
        <r>
          <rPr>
            <sz val="9"/>
            <rFont val="宋体"/>
            <charset val="134"/>
          </rPr>
          <t xml:space="preserve">
</t>
        </r>
        <r>
          <rPr>
            <sz val="12"/>
            <rFont val="宋体"/>
            <charset val="134"/>
          </rPr>
          <t>4/10 1405975 1272pcs华兴三楼A18
4/11 1405977 6720pcs 华兴三楼A18</t>
        </r>
      </text>
    </comment>
    <comment ref="AI287" authorId="0">
      <text>
        <r>
          <rPr>
            <b/>
            <sz val="12"/>
            <rFont val="宋体"/>
            <charset val="134"/>
          </rPr>
          <t>Administrator:</t>
        </r>
        <r>
          <rPr>
            <sz val="12"/>
            <rFont val="宋体"/>
            <charset val="134"/>
          </rPr>
          <t xml:space="preserve">
3/18 上客供价格贴纸 8792pcs
3/23 上空白贴纸 109176pcs
194771/194772/194773/194774/194774/194775/194777/193772/193773共用</t>
        </r>
      </text>
    </comment>
    <comment ref="AI288" authorId="0">
      <text>
        <r>
          <rPr>
            <b/>
            <sz val="12"/>
            <rFont val="宋体"/>
            <charset val="134"/>
          </rPr>
          <t>Administrator:</t>
        </r>
        <r>
          <rPr>
            <sz val="12"/>
            <rFont val="宋体"/>
            <charset val="134"/>
          </rPr>
          <t xml:space="preserve">
3/18 上客供价格贴纸 8792pcs
3/23 上空白贴纸 109176pcs
194771/194772/194773/194774/194774/194775/194777/193772/193773共用
</t>
        </r>
      </text>
    </comment>
    <comment ref="AF289" authorId="0">
      <text>
        <r>
          <rPr>
            <b/>
            <sz val="12"/>
            <rFont val="宋体"/>
            <charset val="134"/>
          </rPr>
          <t>Administrator:</t>
        </r>
        <r>
          <rPr>
            <sz val="12"/>
            <rFont val="宋体"/>
            <charset val="134"/>
          </rPr>
          <t xml:space="preserve">
4/11 1405932 1300pcs</t>
        </r>
      </text>
    </comment>
    <comment ref="AF290" authorId="0">
      <text>
        <r>
          <rPr>
            <b/>
            <sz val="12"/>
            <rFont val="宋体"/>
            <charset val="134"/>
          </rPr>
          <t>Administrator:</t>
        </r>
        <r>
          <rPr>
            <sz val="12"/>
            <rFont val="宋体"/>
            <charset val="134"/>
          </rPr>
          <t xml:space="preserve">
1405899 4/16 2196pcs 华兴三B5</t>
        </r>
      </text>
    </comment>
    <comment ref="AI290" authorId="0">
      <text>
        <r>
          <rPr>
            <b/>
            <sz val="12"/>
            <rFont val="宋体"/>
            <charset val="134"/>
          </rPr>
          <t>Administrator:</t>
        </r>
        <r>
          <rPr>
            <sz val="12"/>
            <rFont val="宋体"/>
            <charset val="134"/>
          </rPr>
          <t xml:space="preserve">
3/10 上客供价格贴纸 2416pcs
3/23 上空白贴纸 109176pcs
194771/194772/194773/194774/194774/194775/194777/193772/193773共用
</t>
        </r>
      </text>
    </comment>
    <comment ref="AF291" authorId="0">
      <text>
        <r>
          <rPr>
            <b/>
            <sz val="12"/>
            <rFont val="宋体"/>
            <charset val="134"/>
          </rPr>
          <t>Administrator:</t>
        </r>
        <r>
          <rPr>
            <sz val="12"/>
            <rFont val="宋体"/>
            <charset val="134"/>
          </rPr>
          <t xml:space="preserve">
1405899 4/16 2400pcs 华兴三B12</t>
        </r>
      </text>
    </comment>
    <comment ref="AI291" authorId="0">
      <text>
        <r>
          <rPr>
            <b/>
            <sz val="12"/>
            <rFont val="宋体"/>
            <charset val="134"/>
          </rPr>
          <t>Administrator:</t>
        </r>
        <r>
          <rPr>
            <sz val="12"/>
            <rFont val="宋体"/>
            <charset val="134"/>
          </rPr>
          <t xml:space="preserve">
3/10 上客供价格贴纸 2640pcs
3/23 上空白贴纸 109176pcs
194771/194772/194773/194774/194774/194775/194777/193772/193773共用
</t>
        </r>
      </text>
    </comment>
    <comment ref="AF292" authorId="1">
      <text>
        <r>
          <rPr>
            <b/>
            <sz val="12"/>
            <rFont val="宋体"/>
            <charset val="134"/>
          </rPr>
          <t>DELL:</t>
        </r>
        <r>
          <rPr>
            <sz val="12"/>
            <rFont val="宋体"/>
            <charset val="134"/>
          </rPr>
          <t xml:space="preserve">
1403832 4/22 2004pcs</t>
        </r>
      </text>
    </comment>
    <comment ref="AI292" authorId="0">
      <text>
        <r>
          <rPr>
            <b/>
            <sz val="12"/>
            <rFont val="宋体"/>
            <charset val="134"/>
          </rPr>
          <t>Administrator:</t>
        </r>
        <r>
          <rPr>
            <sz val="12"/>
            <rFont val="宋体"/>
            <charset val="134"/>
          </rPr>
          <t xml:space="preserve">
3/10 上客供价格贴纸 2100pcs</t>
        </r>
      </text>
    </comment>
    <comment ref="AF293" authorId="0">
      <text>
        <r>
          <rPr>
            <b/>
            <sz val="12"/>
            <rFont val="宋体"/>
            <charset val="134"/>
          </rPr>
          <t>Administrator:</t>
        </r>
        <r>
          <rPr>
            <sz val="12"/>
            <rFont val="宋体"/>
            <charset val="134"/>
          </rPr>
          <t xml:space="preserve">
3/27 1405206 2000pcs B栋四楼A9区</t>
        </r>
      </text>
    </comment>
    <comment ref="AF294" authorId="0">
      <text>
        <r>
          <rPr>
            <b/>
            <sz val="12"/>
            <rFont val="宋体"/>
            <charset val="134"/>
          </rPr>
          <t>Administrator:</t>
        </r>
        <r>
          <rPr>
            <sz val="12"/>
            <rFont val="宋体"/>
            <charset val="134"/>
          </rPr>
          <t xml:space="preserve">
3/30 1405450 2196pcs 华兴三楼B12</t>
        </r>
      </text>
    </comment>
    <comment ref="AI294" authorId="0">
      <text>
        <r>
          <rPr>
            <b/>
            <sz val="12"/>
            <rFont val="宋体"/>
            <charset val="134"/>
          </rPr>
          <t>Administrator:</t>
        </r>
        <r>
          <rPr>
            <sz val="12"/>
            <rFont val="宋体"/>
            <charset val="134"/>
          </rPr>
          <t xml:space="preserve">
3/6 上空白贴纸 18384pcs
 193766/193767/193768/193769共用
3/10 上客供价格贴纸 2416pcs</t>
        </r>
      </text>
    </comment>
    <comment ref="AF295" authorId="0">
      <text>
        <r>
          <rPr>
            <b/>
            <sz val="12"/>
            <rFont val="宋体"/>
            <charset val="134"/>
          </rPr>
          <t>Administrator:</t>
        </r>
        <r>
          <rPr>
            <sz val="12"/>
            <rFont val="宋体"/>
            <charset val="134"/>
          </rPr>
          <t xml:space="preserve">
3/30 1405450 2400pcs华兴三楼B15</t>
        </r>
      </text>
    </comment>
    <comment ref="AI295" authorId="0">
      <text>
        <r>
          <rPr>
            <b/>
            <sz val="12"/>
            <rFont val="宋体"/>
            <charset val="134"/>
          </rPr>
          <t>Administrator:</t>
        </r>
        <r>
          <rPr>
            <sz val="12"/>
            <rFont val="宋体"/>
            <charset val="134"/>
          </rPr>
          <t xml:space="preserve">
3/6 上空白贴纸 18384pcs
 193766/193767/193768/193769共用
3/10 上客供价格贴纸 2640pcs</t>
        </r>
      </text>
    </comment>
    <comment ref="AF296" authorId="0">
      <text>
        <r>
          <rPr>
            <b/>
            <sz val="12"/>
            <rFont val="宋体"/>
            <charset val="134"/>
          </rPr>
          <t>Administrator:</t>
        </r>
        <r>
          <rPr>
            <sz val="12"/>
            <rFont val="宋体"/>
            <charset val="134"/>
          </rPr>
          <t xml:space="preserve">
3/31 1405458 3600pcs 新仓库B6</t>
        </r>
      </text>
    </comment>
    <comment ref="AF297" authorId="0">
      <text>
        <r>
          <rPr>
            <b/>
            <sz val="12"/>
            <rFont val="宋体"/>
            <charset val="134"/>
          </rPr>
          <t>Administrator:</t>
        </r>
        <r>
          <rPr>
            <sz val="12"/>
            <rFont val="宋体"/>
            <charset val="134"/>
          </rPr>
          <t xml:space="preserve">
3/30 1405450 2196pcs 华兴三楼A24</t>
        </r>
      </text>
    </comment>
    <comment ref="AI297" authorId="0">
      <text>
        <r>
          <rPr>
            <b/>
            <sz val="12"/>
            <rFont val="宋体"/>
            <charset val="134"/>
          </rPr>
          <t>Administrator:</t>
        </r>
        <r>
          <rPr>
            <sz val="12"/>
            <rFont val="宋体"/>
            <charset val="134"/>
          </rPr>
          <t xml:space="preserve">
3/6 上空白贴纸 18384pcs
 193766/193767/193768/193769共用
3/10 上客供价格贴纸 2416pcs</t>
        </r>
      </text>
    </comment>
    <comment ref="AF298" authorId="0">
      <text>
        <r>
          <rPr>
            <b/>
            <sz val="12"/>
            <rFont val="宋体"/>
            <charset val="134"/>
          </rPr>
          <t>Administrator:</t>
        </r>
        <r>
          <rPr>
            <sz val="12"/>
            <rFont val="宋体"/>
            <charset val="134"/>
          </rPr>
          <t xml:space="preserve">
3/30 1405450 2400pcs 华兴三楼A24
</t>
        </r>
      </text>
    </comment>
    <comment ref="AI298" authorId="0">
      <text>
        <r>
          <rPr>
            <b/>
            <sz val="12"/>
            <rFont val="宋体"/>
            <charset val="134"/>
          </rPr>
          <t>Administrator:</t>
        </r>
        <r>
          <rPr>
            <sz val="12"/>
            <rFont val="宋体"/>
            <charset val="134"/>
          </rPr>
          <t xml:space="preserve">
3/6 上空白贴纸 18384pcs
 193766/193767/193768/193769共用
3/10 上客供价格贴纸 2640pcs</t>
        </r>
      </text>
    </comment>
    <comment ref="AF299" authorId="0">
      <text>
        <r>
          <rPr>
            <b/>
            <sz val="12"/>
            <rFont val="宋体"/>
            <charset val="134"/>
          </rPr>
          <t>Administrator:</t>
        </r>
        <r>
          <rPr>
            <sz val="12"/>
            <rFont val="宋体"/>
            <charset val="134"/>
          </rPr>
          <t xml:space="preserve">
3/26 1405203 1332pcs</t>
        </r>
      </text>
    </comment>
    <comment ref="AI299" authorId="0">
      <text>
        <r>
          <rPr>
            <b/>
            <sz val="12"/>
            <rFont val="宋体"/>
            <charset val="134"/>
          </rPr>
          <t>Administrator:</t>
        </r>
        <r>
          <rPr>
            <sz val="12"/>
            <rFont val="宋体"/>
            <charset val="134"/>
          </rPr>
          <t xml:space="preserve">
3/12 上WIC贴纸 9996pcs
     上PDQ折页 1666pcs</t>
        </r>
      </text>
    </comment>
    <comment ref="AF300" authorId="0">
      <text>
        <r>
          <rPr>
            <b/>
            <sz val="12"/>
            <rFont val="宋体"/>
            <charset val="134"/>
          </rPr>
          <t>Administrator:</t>
        </r>
        <r>
          <rPr>
            <sz val="12"/>
            <rFont val="宋体"/>
            <charset val="134"/>
          </rPr>
          <t xml:space="preserve">
3/26 1405203 132pcs</t>
        </r>
      </text>
    </comment>
    <comment ref="AI300" authorId="0">
      <text>
        <r>
          <rPr>
            <b/>
            <sz val="12"/>
            <rFont val="宋体"/>
            <charset val="134"/>
          </rPr>
          <t>Administrator:</t>
        </r>
        <r>
          <rPr>
            <sz val="12"/>
            <rFont val="宋体"/>
            <charset val="134"/>
          </rPr>
          <t xml:space="preserve">
3/12 上WIC贴纸 9996pcs
     上PDQ折页 1666pcs</t>
        </r>
      </text>
    </comment>
    <comment ref="AF301" authorId="0">
      <text>
        <r>
          <rPr>
            <b/>
            <sz val="12"/>
            <rFont val="宋体"/>
            <charset val="134"/>
          </rPr>
          <t>Administrator:</t>
        </r>
        <r>
          <rPr>
            <sz val="12"/>
            <rFont val="宋体"/>
            <charset val="134"/>
          </rPr>
          <t xml:space="preserve">
3/26 1405203 1968pcs</t>
        </r>
      </text>
    </comment>
    <comment ref="AI301" authorId="0">
      <text>
        <r>
          <rPr>
            <b/>
            <sz val="12"/>
            <rFont val="宋体"/>
            <charset val="134"/>
          </rPr>
          <t>Administrator:</t>
        </r>
        <r>
          <rPr>
            <sz val="12"/>
            <rFont val="宋体"/>
            <charset val="134"/>
          </rPr>
          <t xml:space="preserve">
3/12 上WIC贴纸 9996pcs
     上PDQ折页 1666pcs</t>
        </r>
      </text>
    </comment>
    <comment ref="AF302" authorId="0">
      <text>
        <r>
          <rPr>
            <b/>
            <sz val="12"/>
            <rFont val="宋体"/>
            <charset val="134"/>
          </rPr>
          <t>Administrator:</t>
        </r>
        <r>
          <rPr>
            <sz val="12"/>
            <rFont val="宋体"/>
            <charset val="134"/>
          </rPr>
          <t xml:space="preserve">
3/26 1405203 1464pcs</t>
        </r>
      </text>
    </comment>
    <comment ref="AI302" authorId="0">
      <text>
        <r>
          <rPr>
            <b/>
            <sz val="12"/>
            <rFont val="宋体"/>
            <charset val="134"/>
          </rPr>
          <t>Administrator:</t>
        </r>
        <r>
          <rPr>
            <sz val="12"/>
            <rFont val="宋体"/>
            <charset val="134"/>
          </rPr>
          <t xml:space="preserve">
3/12 上WIC贴纸 9996pcs
     上PDQ折页 1666pcs</t>
        </r>
      </text>
    </comment>
    <comment ref="AF303" authorId="0">
      <text>
        <r>
          <rPr>
            <b/>
            <sz val="12"/>
            <rFont val="宋体"/>
            <charset val="134"/>
          </rPr>
          <t>Administrator:</t>
        </r>
        <r>
          <rPr>
            <sz val="12"/>
            <rFont val="宋体"/>
            <charset val="134"/>
          </rPr>
          <t xml:space="preserve">
3/26 1405203 1032pcs</t>
        </r>
      </text>
    </comment>
    <comment ref="AI303" authorId="0">
      <text>
        <r>
          <rPr>
            <b/>
            <sz val="12"/>
            <rFont val="宋体"/>
            <charset val="134"/>
          </rPr>
          <t>Administrator:</t>
        </r>
        <r>
          <rPr>
            <sz val="12"/>
            <rFont val="宋体"/>
            <charset val="134"/>
          </rPr>
          <t xml:space="preserve">
3/12 上WIC贴纸 9996pcs
     上PDQ折页 1666pcs</t>
        </r>
      </text>
    </comment>
    <comment ref="AF304" authorId="0">
      <text>
        <r>
          <rPr>
            <b/>
            <sz val="12"/>
            <rFont val="宋体"/>
            <charset val="134"/>
          </rPr>
          <t>Administrator:</t>
        </r>
        <r>
          <rPr>
            <sz val="12"/>
            <rFont val="宋体"/>
            <charset val="134"/>
          </rPr>
          <t xml:space="preserve">
3/26 1405203 372pcs</t>
        </r>
      </text>
    </comment>
    <comment ref="AI304" authorId="0">
      <text>
        <r>
          <rPr>
            <b/>
            <sz val="12"/>
            <rFont val="宋体"/>
            <charset val="134"/>
          </rPr>
          <t>Administrator:</t>
        </r>
        <r>
          <rPr>
            <sz val="12"/>
            <rFont val="宋体"/>
            <charset val="134"/>
          </rPr>
          <t xml:space="preserve">
3/12 上WIC贴纸 9996pcs
     上PDQ折页 1666pcs</t>
        </r>
      </text>
    </comment>
    <comment ref="AF305" authorId="0">
      <text>
        <r>
          <rPr>
            <b/>
            <sz val="12"/>
            <rFont val="宋体"/>
            <charset val="134"/>
          </rPr>
          <t>Administrator:</t>
        </r>
        <r>
          <rPr>
            <sz val="12"/>
            <rFont val="宋体"/>
            <charset val="134"/>
          </rPr>
          <t xml:space="preserve">
3/26 1405203 1404pcs</t>
        </r>
      </text>
    </comment>
    <comment ref="AI305" authorId="0">
      <text>
        <r>
          <rPr>
            <b/>
            <sz val="12"/>
            <rFont val="宋体"/>
            <charset val="134"/>
          </rPr>
          <t>Administrator:</t>
        </r>
        <r>
          <rPr>
            <sz val="12"/>
            <rFont val="宋体"/>
            <charset val="134"/>
          </rPr>
          <t xml:space="preserve">
3/12 上WIC贴纸 9996pcs
     上PDQ折页 1666pcs</t>
        </r>
      </text>
    </comment>
    <comment ref="AF306" authorId="0">
      <text>
        <r>
          <rPr>
            <b/>
            <sz val="12"/>
            <rFont val="宋体"/>
            <charset val="134"/>
          </rPr>
          <t>Administrator:</t>
        </r>
        <r>
          <rPr>
            <sz val="12"/>
            <rFont val="宋体"/>
            <charset val="134"/>
          </rPr>
          <t xml:space="preserve">
3/26 1405203 108pcs</t>
        </r>
      </text>
    </comment>
    <comment ref="AI306" authorId="0">
      <text>
        <r>
          <rPr>
            <b/>
            <sz val="12"/>
            <rFont val="宋体"/>
            <charset val="134"/>
          </rPr>
          <t>Administrator:</t>
        </r>
        <r>
          <rPr>
            <sz val="12"/>
            <rFont val="宋体"/>
            <charset val="134"/>
          </rPr>
          <t xml:space="preserve">
3/12 上WIC贴纸 9996pcs
     上PDQ折页 1666pcs</t>
        </r>
      </text>
    </comment>
    <comment ref="AF307" authorId="0">
      <text>
        <r>
          <rPr>
            <b/>
            <sz val="12"/>
            <rFont val="宋体"/>
            <charset val="134"/>
          </rPr>
          <t>Administrator:</t>
        </r>
        <r>
          <rPr>
            <sz val="12"/>
            <rFont val="宋体"/>
            <charset val="134"/>
          </rPr>
          <t xml:space="preserve">
3/26 1405203 2148pcs 	B栋四楼A9区</t>
        </r>
      </text>
    </comment>
    <comment ref="AI307" authorId="0">
      <text>
        <r>
          <rPr>
            <b/>
            <sz val="12"/>
            <rFont val="宋体"/>
            <charset val="134"/>
          </rPr>
          <t>Administrator:</t>
        </r>
        <r>
          <rPr>
            <sz val="12"/>
            <rFont val="宋体"/>
            <charset val="134"/>
          </rPr>
          <t xml:space="preserve">
3/12 上WIC贴纸 9996pcs
     上PDQ折页 1666pcs</t>
        </r>
      </text>
    </comment>
    <comment ref="AF308" authorId="1">
      <text>
        <r>
          <rPr>
            <b/>
            <sz val="12"/>
            <rFont val="宋体"/>
            <charset val="134"/>
          </rPr>
          <t>DELL:</t>
        </r>
        <r>
          <rPr>
            <sz val="12"/>
            <rFont val="宋体"/>
            <charset val="134"/>
          </rPr>
          <t xml:space="preserve">
1403872 4/25 312pcs新仓库C1</t>
        </r>
      </text>
    </comment>
    <comment ref="AF309" authorId="1">
      <text>
        <r>
          <rPr>
            <b/>
            <sz val="12"/>
            <rFont val="宋体"/>
            <charset val="134"/>
          </rPr>
          <t>DELL:</t>
        </r>
        <r>
          <rPr>
            <sz val="12"/>
            <rFont val="宋体"/>
            <charset val="134"/>
          </rPr>
          <t xml:space="preserve">
1403872 4/25 1300pcs新仓库C1</t>
        </r>
      </text>
    </comment>
    <comment ref="AI309" authorId="0">
      <text>
        <r>
          <rPr>
            <b/>
            <sz val="12"/>
            <rFont val="宋体"/>
            <charset val="134"/>
          </rPr>
          <t>Administrator:</t>
        </r>
        <r>
          <rPr>
            <sz val="12"/>
            <rFont val="宋体"/>
            <charset val="134"/>
          </rPr>
          <t xml:space="preserve">
3/23 上客供价格贴纸 1365pcs
4/18 上警告语贴纸 1300pcs</t>
        </r>
      </text>
    </comment>
    <comment ref="AF310" authorId="1">
      <text>
        <r>
          <rPr>
            <b/>
            <sz val="12"/>
            <rFont val="宋体"/>
            <charset val="134"/>
          </rPr>
          <t>DELL:</t>
        </r>
        <r>
          <rPr>
            <sz val="12"/>
            <rFont val="宋体"/>
            <charset val="134"/>
          </rPr>
          <t xml:space="preserve">
1403898 4/24 48pcs 新仓库B3区</t>
        </r>
      </text>
    </comment>
    <comment ref="AI310" authorId="0">
      <text>
        <r>
          <rPr>
            <b/>
            <sz val="12"/>
            <rFont val="宋体"/>
            <charset val="134"/>
          </rPr>
          <t>Administrator:</t>
        </r>
        <r>
          <rPr>
            <sz val="12"/>
            <rFont val="宋体"/>
            <charset val="134"/>
          </rPr>
          <t xml:space="preserve">
4/14 上客供外箱条码贴纸 2pcs</t>
        </r>
      </text>
    </comment>
    <comment ref="AI311" authorId="0">
      <text>
        <r>
          <rPr>
            <b/>
            <sz val="12"/>
            <rFont val="宋体"/>
            <charset val="134"/>
          </rPr>
          <t>Administrator:</t>
        </r>
        <r>
          <rPr>
            <sz val="12"/>
            <rFont val="宋体"/>
            <charset val="134"/>
          </rPr>
          <t xml:space="preserve">
4/14 上客供外箱条码贴纸 2pcs</t>
        </r>
      </text>
    </comment>
    <comment ref="AI312" authorId="0">
      <text>
        <r>
          <rPr>
            <b/>
            <sz val="12"/>
            <rFont val="宋体"/>
            <charset val="134"/>
          </rPr>
          <t>Administrator:</t>
        </r>
        <r>
          <rPr>
            <sz val="12"/>
            <rFont val="宋体"/>
            <charset val="134"/>
          </rPr>
          <t xml:space="preserve">
4/14 上客供外箱条码贴纸 2pcs</t>
        </r>
      </text>
    </comment>
    <comment ref="AF313" authorId="1">
      <text>
        <r>
          <rPr>
            <b/>
            <sz val="12"/>
            <rFont val="宋体"/>
            <charset val="134"/>
          </rPr>
          <t>DELL:</t>
        </r>
        <r>
          <rPr>
            <sz val="12"/>
            <rFont val="宋体"/>
            <charset val="134"/>
          </rPr>
          <t xml:space="preserve">
1403898 4/24 96pcs 新仓库B3区</t>
        </r>
      </text>
    </comment>
    <comment ref="AI313" authorId="0">
      <text>
        <r>
          <rPr>
            <b/>
            <sz val="12"/>
            <rFont val="宋体"/>
            <charset val="134"/>
          </rPr>
          <t>Administrator:</t>
        </r>
        <r>
          <rPr>
            <sz val="12"/>
            <rFont val="宋体"/>
            <charset val="134"/>
          </rPr>
          <t xml:space="preserve">
4/14 上客供外箱条码贴纸 4pcs</t>
        </r>
      </text>
    </comment>
    <comment ref="AF314" authorId="1">
      <text>
        <r>
          <rPr>
            <b/>
            <sz val="12"/>
            <rFont val="宋体"/>
            <charset val="134"/>
          </rPr>
          <t>DELL:</t>
        </r>
        <r>
          <rPr>
            <sz val="12"/>
            <rFont val="宋体"/>
            <charset val="134"/>
          </rPr>
          <t xml:space="preserve">
1403898 4/24 96pcs 新仓库A6区</t>
        </r>
      </text>
    </comment>
    <comment ref="AF315" authorId="1">
      <text>
        <r>
          <rPr>
            <b/>
            <sz val="12"/>
            <rFont val="宋体"/>
            <charset val="134"/>
          </rPr>
          <t>DELL:</t>
        </r>
        <r>
          <rPr>
            <sz val="12"/>
            <rFont val="宋体"/>
            <charset val="134"/>
          </rPr>
          <t xml:space="preserve">
1403861 4/25 192pcs华兴3楼A19</t>
        </r>
      </text>
    </comment>
    <comment ref="AI315" authorId="0">
      <text>
        <r>
          <rPr>
            <b/>
            <sz val="12"/>
            <rFont val="宋体"/>
            <charset val="134"/>
          </rPr>
          <t>Administrator:</t>
        </r>
        <r>
          <rPr>
            <sz val="12"/>
            <rFont val="宋体"/>
            <charset val="134"/>
          </rPr>
          <t xml:space="preserve">
3/30 上WIC贴纸 4536pcs
4/2上PDQ折页贴纸756pcs</t>
        </r>
      </text>
    </comment>
    <comment ref="AF316" authorId="1">
      <text>
        <r>
          <rPr>
            <b/>
            <sz val="12"/>
            <rFont val="宋体"/>
            <charset val="134"/>
          </rPr>
          <t>DELL:</t>
        </r>
        <r>
          <rPr>
            <sz val="12"/>
            <rFont val="宋体"/>
            <charset val="134"/>
          </rPr>
          <t xml:space="preserve">
1403861 4/25 222pcs华兴3楼A19
</t>
        </r>
      </text>
    </comment>
    <comment ref="AF317" authorId="1">
      <text>
        <r>
          <rPr>
            <b/>
            <sz val="12"/>
            <rFont val="宋体"/>
            <charset val="134"/>
          </rPr>
          <t>DELL:</t>
        </r>
        <r>
          <rPr>
            <sz val="12"/>
            <rFont val="宋体"/>
            <charset val="134"/>
          </rPr>
          <t xml:space="preserve">
1403861 4/25 876pcs华兴3楼A19
</t>
        </r>
      </text>
    </comment>
    <comment ref="AF318" authorId="1">
      <text>
        <r>
          <rPr>
            <b/>
            <sz val="12"/>
            <rFont val="宋体"/>
            <charset val="134"/>
          </rPr>
          <t>DELL:</t>
        </r>
        <r>
          <rPr>
            <sz val="12"/>
            <rFont val="宋体"/>
            <charset val="134"/>
          </rPr>
          <t xml:space="preserve">
1403861 4/25 240pcs华兴3楼A19
</t>
        </r>
      </text>
    </comment>
    <comment ref="AF319" authorId="1">
      <text>
        <r>
          <rPr>
            <b/>
            <sz val="12"/>
            <rFont val="宋体"/>
            <charset val="134"/>
          </rPr>
          <t>DELL:</t>
        </r>
        <r>
          <rPr>
            <sz val="12"/>
            <rFont val="宋体"/>
            <charset val="134"/>
          </rPr>
          <t xml:space="preserve">
1403861 4/25 870pcs华兴3楼A19
</t>
        </r>
      </text>
    </comment>
    <comment ref="AF320" authorId="1">
      <text>
        <r>
          <rPr>
            <b/>
            <sz val="12"/>
            <rFont val="宋体"/>
            <charset val="134"/>
          </rPr>
          <t>DELL:</t>
        </r>
        <r>
          <rPr>
            <sz val="12"/>
            <rFont val="宋体"/>
            <charset val="134"/>
          </rPr>
          <t xml:space="preserve">
1403861 4/25 540pcs华兴3楼A19
</t>
        </r>
      </text>
    </comment>
    <comment ref="AF322" authorId="1">
      <text>
        <r>
          <rPr>
            <b/>
            <sz val="12"/>
            <rFont val="宋体"/>
            <charset val="134"/>
          </rPr>
          <t>DELL:</t>
        </r>
        <r>
          <rPr>
            <sz val="12"/>
            <rFont val="宋体"/>
            <charset val="134"/>
          </rPr>
          <t xml:space="preserve">
1403861 4/25 438pcs华兴3楼A19
</t>
        </r>
      </text>
    </comment>
    <comment ref="AF323" authorId="1">
      <text>
        <r>
          <rPr>
            <b/>
            <sz val="12"/>
            <rFont val="宋体"/>
            <charset val="134"/>
          </rPr>
          <t>DELL:</t>
        </r>
        <r>
          <rPr>
            <sz val="12"/>
            <rFont val="宋体"/>
            <charset val="134"/>
          </rPr>
          <t xml:space="preserve">
1403861 4/25 804pcs华兴3楼A19
</t>
        </r>
      </text>
    </comment>
    <comment ref="AF324" authorId="1">
      <text>
        <r>
          <rPr>
            <b/>
            <sz val="12"/>
            <rFont val="宋体"/>
            <charset val="134"/>
          </rPr>
          <t>DELL:</t>
        </r>
        <r>
          <rPr>
            <sz val="12"/>
            <rFont val="宋体"/>
            <charset val="134"/>
          </rPr>
          <t xml:space="preserve">
1403887 4/26 2196pcs华兴3楼B10
</t>
        </r>
      </text>
    </comment>
    <comment ref="AI324" authorId="0">
      <text>
        <r>
          <rPr>
            <b/>
            <sz val="12"/>
            <rFont val="宋体"/>
            <charset val="134"/>
          </rPr>
          <t>Administrator:</t>
        </r>
        <r>
          <rPr>
            <sz val="12"/>
            <rFont val="宋体"/>
            <charset val="134"/>
          </rPr>
          <t xml:space="preserve">
3/18 上客供价格贴纸2416pcs
4/9 上空白贴纸9192pcs
4500195559/4500195560共用
</t>
        </r>
      </text>
    </comment>
    <comment ref="AF325" authorId="1">
      <text>
        <r>
          <rPr>
            <b/>
            <sz val="12"/>
            <rFont val="宋体"/>
            <charset val="134"/>
          </rPr>
          <t>DELL:</t>
        </r>
        <r>
          <rPr>
            <sz val="12"/>
            <rFont val="宋体"/>
            <charset val="134"/>
          </rPr>
          <t xml:space="preserve">
1403887 4/26 2400pcs华兴3楼A20
</t>
        </r>
      </text>
    </comment>
    <comment ref="AI325" authorId="0">
      <text>
        <r>
          <rPr>
            <b/>
            <sz val="12"/>
            <rFont val="宋体"/>
            <charset val="134"/>
          </rPr>
          <t>Administrator:</t>
        </r>
        <r>
          <rPr>
            <sz val="12"/>
            <rFont val="宋体"/>
            <charset val="134"/>
          </rPr>
          <t xml:space="preserve">
3/18 上客供价格贴纸2640pcs
4/9 上空白贴纸9192pcs
4500195559/4500195560共用
</t>
        </r>
      </text>
    </comment>
    <comment ref="AF326" authorId="0">
      <text>
        <r>
          <rPr>
            <b/>
            <sz val="12"/>
            <rFont val="宋体"/>
            <charset val="134"/>
          </rPr>
          <t>Administrator:</t>
        </r>
        <r>
          <rPr>
            <sz val="12"/>
            <rFont val="宋体"/>
            <charset val="134"/>
          </rPr>
          <t xml:space="preserve">
5/8 1403418 8016PCS直走
</t>
        </r>
      </text>
    </comment>
    <comment ref="AI326" authorId="0">
      <text>
        <r>
          <rPr>
            <b/>
            <sz val="12"/>
            <rFont val="宋体"/>
            <charset val="134"/>
          </rPr>
          <t>Administrator:</t>
        </r>
        <r>
          <rPr>
            <sz val="12"/>
            <rFont val="宋体"/>
            <charset val="134"/>
          </rPr>
          <t xml:space="preserve">
3/23 上空白贴纸 109176pcs
194771/194772/194773/194774/194774/194775/194777/193772/193773共用
4/20 上客供价格贴纸 8818pcs</t>
        </r>
      </text>
    </comment>
    <comment ref="AF327" authorId="0">
      <text>
        <r>
          <rPr>
            <b/>
            <sz val="12"/>
            <rFont val="宋体"/>
            <charset val="134"/>
          </rPr>
          <t>Administrator:</t>
        </r>
        <r>
          <rPr>
            <sz val="12"/>
            <rFont val="宋体"/>
            <charset val="134"/>
          </rPr>
          <t xml:space="preserve">
5/8 1403413 7992pcs直走</t>
        </r>
      </text>
    </comment>
    <comment ref="AI327" authorId="0">
      <text>
        <r>
          <rPr>
            <b/>
            <sz val="12"/>
            <rFont val="宋体"/>
            <charset val="134"/>
          </rPr>
          <t>Administrator:</t>
        </r>
        <r>
          <rPr>
            <sz val="12"/>
            <rFont val="宋体"/>
            <charset val="134"/>
          </rPr>
          <t xml:space="preserve">
3/23 上空白贴纸 109176pcs
194771/194772/194773/194774/194774/194775/194777/193772/193773共用
4/20 上客供价格贴纸 8792pcs
</t>
        </r>
      </text>
    </comment>
    <comment ref="AF328" authorId="0">
      <text>
        <r>
          <rPr>
            <b/>
            <sz val="12"/>
            <rFont val="宋体"/>
            <charset val="134"/>
          </rPr>
          <t>Administrator:</t>
        </r>
        <r>
          <rPr>
            <sz val="12"/>
            <rFont val="宋体"/>
            <charset val="134"/>
          </rPr>
          <t xml:space="preserve">
5/16 1403589 1200pcs</t>
        </r>
      </text>
    </comment>
    <comment ref="AI328" authorId="1">
      <text>
        <r>
          <rPr>
            <b/>
            <sz val="12"/>
            <rFont val="宋体"/>
            <charset val="134"/>
          </rPr>
          <t>DELL:</t>
        </r>
        <r>
          <rPr>
            <sz val="12"/>
            <rFont val="宋体"/>
            <charset val="134"/>
          </rPr>
          <t xml:space="preserve">
3/23 上客供价格贴纸 1260pcs
5/11 上警告语贴纸1200pcs</t>
        </r>
      </text>
    </comment>
    <comment ref="AF329" authorId="0">
      <text>
        <r>
          <rPr>
            <b/>
            <sz val="12"/>
            <rFont val="宋体"/>
            <charset val="134"/>
          </rPr>
          <t>Administrator:</t>
        </r>
        <r>
          <rPr>
            <sz val="12"/>
            <rFont val="宋体"/>
            <charset val="134"/>
          </rPr>
          <t xml:space="preserve">
5/13 1405972 1400pcs</t>
        </r>
      </text>
    </comment>
    <comment ref="AI329" authorId="1">
      <text>
        <r>
          <rPr>
            <b/>
            <sz val="12"/>
            <rFont val="宋体"/>
            <charset val="134"/>
          </rPr>
          <t>DELL:</t>
        </r>
        <r>
          <rPr>
            <sz val="12"/>
            <rFont val="宋体"/>
            <charset val="134"/>
          </rPr>
          <t xml:space="preserve">
3/23 上客供价格贴纸 1470pcs</t>
        </r>
      </text>
    </comment>
    <comment ref="AF330" authorId="0">
      <text>
        <r>
          <rPr>
            <b/>
            <sz val="12"/>
            <rFont val="宋体"/>
            <charset val="134"/>
          </rPr>
          <t>Administrator:</t>
        </r>
        <r>
          <rPr>
            <sz val="12"/>
            <rFont val="宋体"/>
            <charset val="134"/>
          </rPr>
          <t xml:space="preserve">
5/16 1403616 2196pcs</t>
        </r>
      </text>
    </comment>
    <comment ref="AI330" authorId="0">
      <text>
        <r>
          <rPr>
            <b/>
            <sz val="12"/>
            <rFont val="宋体"/>
            <charset val="134"/>
          </rPr>
          <t>Administrator:</t>
        </r>
        <r>
          <rPr>
            <sz val="12"/>
            <rFont val="宋体"/>
            <charset val="134"/>
          </rPr>
          <t xml:space="preserve">
4/20 上客供价格贴纸 2416pcs
4/27 上空白贴纸18384pcs
4500200296/4500200297/4500200300/4500200301共用</t>
        </r>
      </text>
    </comment>
    <comment ref="AF331" authorId="0">
      <text>
        <r>
          <rPr>
            <b/>
            <sz val="12"/>
            <rFont val="宋体"/>
            <charset val="134"/>
          </rPr>
          <t>Administrator:</t>
        </r>
        <r>
          <rPr>
            <sz val="12"/>
            <rFont val="宋体"/>
            <charset val="134"/>
          </rPr>
          <t xml:space="preserve">
5/16 1403616 2400pcs</t>
        </r>
      </text>
    </comment>
    <comment ref="AI331" authorId="0">
      <text>
        <r>
          <rPr>
            <b/>
            <sz val="12"/>
            <rFont val="宋体"/>
            <charset val="134"/>
          </rPr>
          <t>Administrator:</t>
        </r>
        <r>
          <rPr>
            <sz val="12"/>
            <rFont val="宋体"/>
            <charset val="134"/>
          </rPr>
          <t xml:space="preserve">
4/20 上客供价格贴纸 2640pcs
4/27 上空白贴纸18384pcs
4500200296/4500200297/4500200300/4500200301共用
</t>
        </r>
      </text>
    </comment>
    <comment ref="AF332" authorId="0">
      <text>
        <r>
          <rPr>
            <b/>
            <sz val="12"/>
            <rFont val="宋体"/>
            <charset val="134"/>
          </rPr>
          <t>Administrator:</t>
        </r>
        <r>
          <rPr>
            <sz val="12"/>
            <rFont val="宋体"/>
            <charset val="134"/>
          </rPr>
          <t xml:space="preserve">
5/18 1403618 2004pcs新B1</t>
        </r>
      </text>
    </comment>
    <comment ref="AI332" authorId="0">
      <text>
        <r>
          <rPr>
            <b/>
            <sz val="12"/>
            <rFont val="宋体"/>
            <charset val="134"/>
          </rPr>
          <t>Administrator:</t>
        </r>
        <r>
          <rPr>
            <sz val="12"/>
            <rFont val="宋体"/>
            <charset val="134"/>
          </rPr>
          <t xml:space="preserve">
4/14 上客供价格贴纸 2100pcs</t>
        </r>
      </text>
    </comment>
    <comment ref="AF333" authorId="2">
      <text>
        <r>
          <rPr>
            <b/>
            <sz val="9"/>
            <rFont val="宋体"/>
            <charset val="0"/>
          </rPr>
          <t>龙丽娟:</t>
        </r>
        <r>
          <rPr>
            <sz val="9"/>
            <rFont val="宋体"/>
            <charset val="0"/>
          </rPr>
          <t xml:space="preserve">
5/30 2800079 2196pcs新2A9</t>
        </r>
      </text>
    </comment>
    <comment ref="AI333" authorId="0">
      <text>
        <r>
          <rPr>
            <b/>
            <sz val="12"/>
            <rFont val="宋体"/>
            <charset val="134"/>
          </rPr>
          <t>Administrator:</t>
        </r>
        <r>
          <rPr>
            <sz val="12"/>
            <rFont val="宋体"/>
            <charset val="134"/>
          </rPr>
          <t xml:space="preserve">
4/20 上客供价格贴纸 2416pcs
4/27 上空白贴纸18384pcs
4500200296/4500200297/4500200300/4500200301共用
</t>
        </r>
      </text>
    </comment>
    <comment ref="AF334" authorId="2">
      <text>
        <r>
          <rPr>
            <b/>
            <sz val="9"/>
            <rFont val="宋体"/>
            <charset val="0"/>
          </rPr>
          <t>龙丽娟:</t>
        </r>
        <r>
          <rPr>
            <sz val="9"/>
            <rFont val="宋体"/>
            <charset val="0"/>
          </rPr>
          <t xml:space="preserve">
5/30 2800079 2400pcs新2A9</t>
        </r>
      </text>
    </comment>
    <comment ref="AI334" authorId="0">
      <text>
        <r>
          <rPr>
            <b/>
            <sz val="12"/>
            <rFont val="宋体"/>
            <charset val="134"/>
          </rPr>
          <t>Administrator:</t>
        </r>
        <r>
          <rPr>
            <sz val="12"/>
            <rFont val="宋体"/>
            <charset val="134"/>
          </rPr>
          <t xml:space="preserve">
4/20 上客供价格贴纸 2640pcs
4/27 上空白贴纸18384pcs
4500200296/4500200297/4500200300/4500200301共用
</t>
        </r>
      </text>
    </comment>
    <comment ref="AF335" authorId="2">
      <text>
        <r>
          <rPr>
            <b/>
            <sz val="9"/>
            <rFont val="宋体"/>
            <charset val="0"/>
          </rPr>
          <t>龙丽娟:</t>
        </r>
        <r>
          <rPr>
            <sz val="9"/>
            <rFont val="宋体"/>
            <charset val="0"/>
          </rPr>
          <t xml:space="preserve">
5/28 2800056 5000pcs</t>
        </r>
      </text>
    </comment>
    <comment ref="AF336" authorId="2">
      <text>
        <r>
          <rPr>
            <b/>
            <sz val="9"/>
            <rFont val="宋体"/>
            <charset val="0"/>
          </rPr>
          <t>龙丽娟:</t>
        </r>
        <r>
          <rPr>
            <sz val="9"/>
            <rFont val="宋体"/>
            <charset val="0"/>
          </rPr>
          <t xml:space="preserve">
5/30 2800079 2196pcs新2A9</t>
        </r>
      </text>
    </comment>
    <comment ref="AI336" authorId="0">
      <text>
        <r>
          <rPr>
            <b/>
            <sz val="12"/>
            <rFont val="宋体"/>
            <charset val="134"/>
          </rPr>
          <t>Administrator:</t>
        </r>
        <r>
          <rPr>
            <sz val="12"/>
            <rFont val="宋体"/>
            <charset val="134"/>
          </rPr>
          <t xml:space="preserve">
3/23 上空白贴纸 109176pcs
194771/194772/194773/194774/194774/194775/194777/193772/193773共用
4/20 上客供价格贴纸 9900pcs</t>
        </r>
      </text>
    </comment>
    <comment ref="AI337" authorId="0">
      <text>
        <r>
          <rPr>
            <b/>
            <sz val="12"/>
            <rFont val="宋体"/>
            <charset val="134"/>
          </rPr>
          <t>Administrator:</t>
        </r>
        <r>
          <rPr>
            <sz val="12"/>
            <rFont val="宋体"/>
            <charset val="134"/>
          </rPr>
          <t xml:space="preserve">
3/23 上空白贴纸 109176pcs
194771/194772/194773/194774/194774/194775/194777/193772/193773共用
4/20 上客供价格贴纸 9900pcs</t>
        </r>
      </text>
    </comment>
    <comment ref="AF338" authorId="2">
      <text>
        <r>
          <rPr>
            <b/>
            <sz val="9"/>
            <rFont val="宋体"/>
            <charset val="0"/>
          </rPr>
          <t>龙丽娟:</t>
        </r>
        <r>
          <rPr>
            <sz val="9"/>
            <rFont val="宋体"/>
            <charset val="0"/>
          </rPr>
          <t xml:space="preserve">
2801181 6/10 312PCS欣泰B2</t>
        </r>
      </text>
    </comment>
    <comment ref="AF339" authorId="2">
      <text>
        <r>
          <rPr>
            <b/>
            <sz val="9"/>
            <rFont val="宋体"/>
            <charset val="0"/>
          </rPr>
          <t>龙丽娟:</t>
        </r>
        <r>
          <rPr>
            <sz val="9"/>
            <rFont val="宋体"/>
            <charset val="0"/>
          </rPr>
          <t xml:space="preserve">
2801181 6/10 138PCS欣泰B2</t>
        </r>
      </text>
    </comment>
    <comment ref="AF340" authorId="2">
      <text>
        <r>
          <rPr>
            <b/>
            <sz val="9"/>
            <rFont val="宋体"/>
            <charset val="0"/>
          </rPr>
          <t>龙丽娟:</t>
        </r>
        <r>
          <rPr>
            <sz val="9"/>
            <rFont val="宋体"/>
            <charset val="0"/>
          </rPr>
          <t xml:space="preserve">
2801181 6/10 450PCS欣泰B2</t>
        </r>
      </text>
    </comment>
    <comment ref="AF341" authorId="2">
      <text>
        <r>
          <rPr>
            <b/>
            <sz val="9"/>
            <rFont val="宋体"/>
            <charset val="0"/>
          </rPr>
          <t>龙丽娟:</t>
        </r>
        <r>
          <rPr>
            <sz val="9"/>
            <rFont val="宋体"/>
            <charset val="0"/>
          </rPr>
          <t xml:space="preserve">
2801181 6/10 384PCS欣泰B2</t>
        </r>
      </text>
    </comment>
    <comment ref="AF342" authorId="2">
      <text>
        <r>
          <rPr>
            <b/>
            <sz val="9"/>
            <rFont val="宋体"/>
            <charset val="0"/>
          </rPr>
          <t>龙丽娟:</t>
        </r>
        <r>
          <rPr>
            <sz val="9"/>
            <rFont val="宋体"/>
            <charset val="0"/>
          </rPr>
          <t xml:space="preserve">
2801181 6/10 588PCS欣泰B2</t>
        </r>
      </text>
    </comment>
    <comment ref="AF343" authorId="2">
      <text>
        <r>
          <rPr>
            <b/>
            <sz val="9"/>
            <rFont val="宋体"/>
            <charset val="0"/>
          </rPr>
          <t>龙丽娟:</t>
        </r>
        <r>
          <rPr>
            <sz val="9"/>
            <rFont val="宋体"/>
            <charset val="0"/>
          </rPr>
          <t xml:space="preserve">
2801181 6/10 66PCS欣泰B2</t>
        </r>
      </text>
    </comment>
    <comment ref="AF344" authorId="2">
      <text>
        <r>
          <rPr>
            <b/>
            <sz val="9"/>
            <rFont val="宋体"/>
            <charset val="0"/>
          </rPr>
          <t>龙丽娟:</t>
        </r>
        <r>
          <rPr>
            <sz val="9"/>
            <rFont val="宋体"/>
            <charset val="0"/>
          </rPr>
          <t xml:space="preserve">
2801181 6/10 276PCS欣泰B2</t>
        </r>
      </text>
    </comment>
    <comment ref="AF345" authorId="2">
      <text>
        <r>
          <rPr>
            <b/>
            <sz val="9"/>
            <rFont val="宋体"/>
            <charset val="0"/>
          </rPr>
          <t>龙丽娟:</t>
        </r>
        <r>
          <rPr>
            <sz val="9"/>
            <rFont val="宋体"/>
            <charset val="0"/>
          </rPr>
          <t xml:space="preserve">
6/17 2201074  500pcs欣泰c4</t>
        </r>
      </text>
    </comment>
    <comment ref="AF346" authorId="2">
      <text>
        <r>
          <rPr>
            <b/>
            <sz val="9"/>
            <rFont val="宋体"/>
            <charset val="0"/>
          </rPr>
          <t>龙丽娟:</t>
        </r>
        <r>
          <rPr>
            <sz val="9"/>
            <rFont val="宋体"/>
            <charset val="0"/>
          </rPr>
          <t xml:space="preserve">
6/17 2201074  600pcs欣泰b4</t>
        </r>
      </text>
    </comment>
    <comment ref="AI346" authorId="0">
      <text>
        <r>
          <rPr>
            <b/>
            <sz val="12"/>
            <rFont val="宋体"/>
            <charset val="134"/>
          </rPr>
          <t>Administrator:</t>
        </r>
        <r>
          <rPr>
            <sz val="12"/>
            <rFont val="宋体"/>
            <charset val="134"/>
          </rPr>
          <t xml:space="preserve">
5/14 上客供价格贴纸630pcs</t>
        </r>
      </text>
    </comment>
    <comment ref="AF347" authorId="2">
      <text>
        <r>
          <rPr>
            <b/>
            <sz val="9"/>
            <rFont val="宋体"/>
            <charset val="0"/>
          </rPr>
          <t>龙丽娟:</t>
        </r>
        <r>
          <rPr>
            <sz val="9"/>
            <rFont val="宋体"/>
            <charset val="0"/>
          </rPr>
          <t xml:space="preserve">
7/3 2201211 492PCS顶均B1</t>
        </r>
      </text>
    </comment>
    <comment ref="AI347" authorId="2">
      <text>
        <r>
          <rPr>
            <b/>
            <sz val="9"/>
            <rFont val="宋体"/>
            <charset val="0"/>
          </rPr>
          <t>龙丽娟:</t>
        </r>
        <r>
          <rPr>
            <sz val="9"/>
            <rFont val="宋体"/>
            <charset val="0"/>
          </rPr>
          <t xml:space="preserve">
6/5上环保标贴纸492pcs</t>
        </r>
      </text>
    </comment>
    <comment ref="AO347" authorId="2">
      <text>
        <r>
          <rPr>
            <b/>
            <sz val="9"/>
            <rFont val="宋体"/>
            <charset val="0"/>
          </rPr>
          <t>陈炎:</t>
        </r>
        <r>
          <rPr>
            <sz val="9"/>
            <rFont val="宋体"/>
            <charset val="0"/>
          </rPr>
          <t xml:space="preserve">
MA  3L(无barcode)  收缩膜(新FR/DK/UK，翻单4500204860</t>
        </r>
      </text>
    </comment>
    <comment ref="AI348" authorId="2">
      <text>
        <r>
          <rPr>
            <b/>
            <sz val="9"/>
            <rFont val="宋体"/>
            <charset val="0"/>
          </rPr>
          <t>龙丽娟:</t>
        </r>
        <r>
          <rPr>
            <sz val="9"/>
            <rFont val="宋体"/>
            <charset val="0"/>
          </rPr>
          <t xml:space="preserve">
6/10 上客供价格贴纸 630pcs</t>
        </r>
      </text>
    </comment>
    <comment ref="AI349" authorId="2">
      <text>
        <r>
          <rPr>
            <b/>
            <sz val="9"/>
            <rFont val="宋体"/>
            <charset val="0"/>
          </rPr>
          <t>龙丽娟:</t>
        </r>
        <r>
          <rPr>
            <sz val="9"/>
            <rFont val="宋体"/>
            <charset val="0"/>
          </rPr>
          <t xml:space="preserve">
7/9 上客供价格贴纸 2469pcs</t>
        </r>
        <r>
          <rPr>
            <b/>
            <sz val="9"/>
            <rFont val="宋体"/>
            <charset val="0"/>
          </rPr>
          <t xml:space="preserve">
龙丽娟:</t>
        </r>
        <r>
          <rPr>
            <sz val="9"/>
            <rFont val="宋体"/>
            <charset val="0"/>
          </rPr>
          <t xml:space="preserve">
7/16上空白贴纸22500pcs
212370/212372/212378/212379/212384/386/212389/212394共用</t>
        </r>
      </text>
    </comment>
    <comment ref="AI350"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I351"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I352"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F353" authorId="2">
      <text>
        <r>
          <rPr>
            <b/>
            <sz val="9"/>
            <rFont val="宋体"/>
            <charset val="0"/>
          </rPr>
          <t>龙丽娟:</t>
        </r>
        <r>
          <rPr>
            <sz val="9"/>
            <rFont val="宋体"/>
            <charset val="0"/>
          </rPr>
          <t xml:space="preserve">
8/1 1001594 24pcs欣泰c5</t>
        </r>
      </text>
    </comment>
    <comment ref="AI353" authorId="2">
      <text>
        <r>
          <rPr>
            <b/>
            <sz val="9"/>
            <rFont val="宋体"/>
            <charset val="0"/>
          </rPr>
          <t>龙丽娟:</t>
        </r>
        <r>
          <rPr>
            <sz val="9"/>
            <rFont val="宋体"/>
            <charset val="0"/>
          </rPr>
          <t xml:space="preserve">
7/11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F354" authorId="2">
      <text>
        <r>
          <rPr>
            <b/>
            <sz val="9"/>
            <rFont val="宋体"/>
            <charset val="0"/>
          </rPr>
          <t>龙丽娟:</t>
        </r>
        <r>
          <rPr>
            <sz val="9"/>
            <rFont val="宋体"/>
            <charset val="0"/>
          </rPr>
          <t xml:space="preserve">
8/1 1001594 2280pcs欣泰c4</t>
        </r>
        <r>
          <rPr>
            <b/>
            <sz val="9"/>
            <rFont val="宋体"/>
            <charset val="0"/>
          </rPr>
          <t xml:space="preserve">
龙丽娟:</t>
        </r>
        <r>
          <rPr>
            <sz val="9"/>
            <rFont val="宋体"/>
            <charset val="0"/>
          </rPr>
          <t xml:space="preserve">
8/4 1001558 720pcs馥通c8</t>
        </r>
      </text>
    </comment>
    <comment ref="AI354"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I355" authorId="2">
      <text>
        <r>
          <rPr>
            <b/>
            <sz val="9"/>
            <rFont val="宋体"/>
            <charset val="0"/>
          </rPr>
          <t>龙丽娟:</t>
        </r>
        <r>
          <rPr>
            <sz val="9"/>
            <rFont val="宋体"/>
            <charset val="0"/>
          </rPr>
          <t xml:space="preserve">
6/27收到亚马逊贴纸41pcs</t>
        </r>
        <r>
          <rPr>
            <b/>
            <sz val="9"/>
            <rFont val="宋体"/>
            <charset val="0"/>
          </rPr>
          <t xml:space="preserve">
龙丽娟:</t>
        </r>
        <r>
          <rPr>
            <sz val="9"/>
            <rFont val="宋体"/>
            <charset val="0"/>
          </rPr>
          <t xml:space="preserve">
7/8上环保标贴纸492pcs</t>
        </r>
      </text>
    </comment>
    <comment ref="AO355" authorId="2">
      <text>
        <r>
          <rPr>
            <b/>
            <sz val="9"/>
            <rFont val="宋体"/>
            <charset val="0"/>
          </rPr>
          <t>陈炎:</t>
        </r>
        <r>
          <rPr>
            <sz val="9"/>
            <rFont val="宋体"/>
            <charset val="0"/>
          </rPr>
          <t xml:space="preserve">
MA  3L(无barcode)  收缩膜(新FR/DK/UK，翻单4500204860</t>
        </r>
      </text>
    </comment>
    <comment ref="AF356" authorId="2">
      <text>
        <r>
          <rPr>
            <b/>
            <sz val="9"/>
            <rFont val="宋体"/>
            <charset val="0"/>
          </rPr>
          <t>龙丽娟:</t>
        </r>
        <r>
          <rPr>
            <sz val="9"/>
            <rFont val="宋体"/>
            <charset val="0"/>
          </rPr>
          <t xml:space="preserve">
8/6 1001544 3000PCS欣泰A4</t>
        </r>
      </text>
    </comment>
    <comment ref="AI356"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F357" authorId="2">
      <text>
        <r>
          <rPr>
            <b/>
            <sz val="9"/>
            <rFont val="宋体"/>
            <charset val="0"/>
          </rPr>
          <t>龙丽娟:</t>
        </r>
        <r>
          <rPr>
            <sz val="9"/>
            <rFont val="宋体"/>
            <charset val="0"/>
          </rPr>
          <t xml:space="preserve">
8/6 1001301 3000pcs钜顺A4</t>
        </r>
      </text>
    </comment>
    <comment ref="AI357" authorId="2">
      <text>
        <r>
          <rPr>
            <b/>
            <sz val="9"/>
            <rFont val="宋体"/>
            <charset val="0"/>
          </rPr>
          <t>龙丽娟:</t>
        </r>
        <r>
          <rPr>
            <sz val="9"/>
            <rFont val="宋体"/>
            <charset val="0"/>
          </rPr>
          <t xml:space="preserve">
7/9 上客供价格贴纸 3300pcs</t>
        </r>
        <r>
          <rPr>
            <b/>
            <sz val="9"/>
            <rFont val="宋体"/>
            <charset val="0"/>
          </rPr>
          <t xml:space="preserve">
龙丽娟:</t>
        </r>
        <r>
          <rPr>
            <sz val="9"/>
            <rFont val="宋体"/>
            <charset val="0"/>
          </rPr>
          <t xml:space="preserve">
7/16上空白贴纸22500pcs
212370/212372/212378/212379/212384/386/212389/212394共用</t>
        </r>
      </text>
    </comment>
    <comment ref="AF358" authorId="2">
      <text>
        <r>
          <rPr>
            <b/>
            <sz val="9"/>
            <rFont val="宋体"/>
            <charset val="0"/>
          </rPr>
          <t>龙丽娟:</t>
        </r>
        <r>
          <rPr>
            <sz val="9"/>
            <rFont val="宋体"/>
            <charset val="0"/>
          </rPr>
          <t xml:space="preserve">
8/8  1001529 1500pcs欣泰二楼B1</t>
        </r>
      </text>
    </comment>
    <comment ref="AI358" authorId="2">
      <text>
        <r>
          <rPr>
            <b/>
            <sz val="9"/>
            <rFont val="宋体"/>
            <charset val="0"/>
          </rPr>
          <t>龙丽娟:</t>
        </r>
        <r>
          <rPr>
            <sz val="9"/>
            <rFont val="宋体"/>
            <charset val="0"/>
          </rPr>
          <t xml:space="preserve">
7/16 上WIC折页 13248pcs</t>
        </r>
      </text>
    </comment>
    <comment ref="AF359" authorId="2">
      <text>
        <r>
          <rPr>
            <b/>
            <sz val="9"/>
            <rFont val="宋体"/>
            <charset val="0"/>
          </rPr>
          <t>龙丽娟:</t>
        </r>
        <r>
          <rPr>
            <sz val="9"/>
            <rFont val="宋体"/>
            <charset val="0"/>
          </rPr>
          <t xml:space="preserve">
8/8  1001529 924pcs欣泰二楼B1</t>
        </r>
      </text>
    </comment>
    <comment ref="AF360" authorId="2">
      <text>
        <r>
          <rPr>
            <b/>
            <sz val="9"/>
            <rFont val="宋体"/>
            <charset val="0"/>
          </rPr>
          <t>龙丽娟:</t>
        </r>
        <r>
          <rPr>
            <sz val="9"/>
            <rFont val="宋体"/>
            <charset val="0"/>
          </rPr>
          <t xml:space="preserve">
8/8  1001529 2340pcs欣泰二楼B1</t>
        </r>
      </text>
    </comment>
    <comment ref="AF361" authorId="2">
      <text>
        <r>
          <rPr>
            <b/>
            <sz val="9"/>
            <rFont val="宋体"/>
            <charset val="0"/>
          </rPr>
          <t>龙丽娟:</t>
        </r>
        <r>
          <rPr>
            <sz val="9"/>
            <rFont val="宋体"/>
            <charset val="0"/>
          </rPr>
          <t xml:space="preserve">
8/8  1001529 1020pcs欣泰二楼B1</t>
        </r>
      </text>
    </comment>
    <comment ref="AF362" authorId="2">
      <text>
        <r>
          <rPr>
            <b/>
            <sz val="9"/>
            <rFont val="宋体"/>
            <charset val="0"/>
          </rPr>
          <t>龙丽娟:</t>
        </r>
        <r>
          <rPr>
            <sz val="9"/>
            <rFont val="宋体"/>
            <charset val="0"/>
          </rPr>
          <t xml:space="preserve">
8/8  1001529 2376pcs欣泰二楼B1</t>
        </r>
      </text>
    </comment>
    <comment ref="AF363" authorId="2">
      <text>
        <r>
          <rPr>
            <b/>
            <sz val="9"/>
            <rFont val="宋体"/>
            <charset val="0"/>
          </rPr>
          <t>龙丽娟:</t>
        </r>
        <r>
          <rPr>
            <sz val="9"/>
            <rFont val="宋体"/>
            <charset val="0"/>
          </rPr>
          <t xml:space="preserve">
8/8  1001529 1008pcs欣泰二楼B1</t>
        </r>
      </text>
    </comment>
    <comment ref="AF364" authorId="2">
      <text>
        <r>
          <rPr>
            <b/>
            <sz val="9"/>
            <rFont val="宋体"/>
            <charset val="0"/>
          </rPr>
          <t>龙丽娟:</t>
        </r>
        <r>
          <rPr>
            <sz val="9"/>
            <rFont val="宋体"/>
            <charset val="0"/>
          </rPr>
          <t xml:space="preserve">
8/8  1001529 1200pcs欣泰二楼B1</t>
        </r>
      </text>
    </comment>
    <comment ref="AF365" authorId="2">
      <text>
        <r>
          <rPr>
            <b/>
            <sz val="9"/>
            <rFont val="宋体"/>
            <charset val="0"/>
          </rPr>
          <t>龙丽娟:</t>
        </r>
        <r>
          <rPr>
            <sz val="9"/>
            <rFont val="宋体"/>
            <charset val="0"/>
          </rPr>
          <t xml:space="preserve">
8/8  1001529 1602pcs欣泰二楼B1</t>
        </r>
      </text>
    </comment>
    <comment ref="AF366" authorId="2">
      <text>
        <r>
          <rPr>
            <b/>
            <sz val="9"/>
            <rFont val="宋体"/>
            <charset val="0"/>
          </rPr>
          <t>龙丽娟:</t>
        </r>
        <r>
          <rPr>
            <sz val="9"/>
            <rFont val="宋体"/>
            <charset val="0"/>
          </rPr>
          <t xml:space="preserve">
8/8  1001529 1278pcs欣泰二楼B1</t>
        </r>
      </text>
    </comment>
    <comment ref="AI367" authorId="2">
      <text>
        <r>
          <rPr>
            <b/>
            <sz val="9"/>
            <rFont val="宋体"/>
            <charset val="0"/>
          </rPr>
          <t>龙丽娟:</t>
        </r>
        <r>
          <rPr>
            <sz val="9"/>
            <rFont val="宋体"/>
            <charset val="0"/>
          </rPr>
          <t xml:space="preserve">
7/9 上客供价格贴纸 630pcs</t>
        </r>
      </text>
    </comment>
  </commentList>
</comments>
</file>

<file path=xl/comments3.xml><?xml version="1.0" encoding="utf-8"?>
<comments xmlns="http://schemas.openxmlformats.org/spreadsheetml/2006/main">
  <authors>
    <author>Administrator</author>
    <author>DELL</author>
    <author>Unknown User</author>
  </authors>
  <commentList>
    <comment ref="AF7" authorId="0">
      <text>
        <r>
          <rPr>
            <b/>
            <sz val="12"/>
            <rFont val="宋体"/>
            <charset val="134"/>
          </rPr>
          <t>Administrator:</t>
        </r>
        <r>
          <rPr>
            <sz val="12"/>
            <rFont val="宋体"/>
            <charset val="134"/>
          </rPr>
          <t xml:space="preserve">
1002028 8/26 4852pcs 张泉三B6（东莞混装）
1002555 8/28 107pcs 车间补数
剩余数量东莞生产</t>
        </r>
      </text>
    </comment>
    <comment ref="AI7" authorId="0">
      <text>
        <r>
          <rPr>
            <b/>
            <sz val="12"/>
            <rFont val="宋体"/>
            <charset val="134"/>
          </rPr>
          <t>Administrator:</t>
        </r>
        <r>
          <rPr>
            <sz val="12"/>
            <rFont val="宋体"/>
            <charset val="134"/>
          </rPr>
          <t xml:space="preserve">
8/11 收到KM外箱贴纸 490pcs
8/21 收到白色防盗贴纸 6370pcs</t>
        </r>
      </text>
    </comment>
    <comment ref="AF8" authorId="0">
      <text>
        <r>
          <rPr>
            <b/>
            <sz val="12"/>
            <rFont val="宋体"/>
            <charset val="134"/>
          </rPr>
          <t>Administrator:</t>
        </r>
        <r>
          <rPr>
            <sz val="12"/>
            <rFont val="宋体"/>
            <charset val="134"/>
          </rPr>
          <t xml:space="preserve">
1002028 8/26 300pcs 张泉三B6（东莞混装）
剩余数量东莞生产</t>
        </r>
      </text>
    </comment>
    <comment ref="AI8" authorId="0">
      <text>
        <r>
          <rPr>
            <b/>
            <sz val="12"/>
            <rFont val="宋体"/>
            <charset val="134"/>
          </rPr>
          <t>Administrator:</t>
        </r>
        <r>
          <rPr>
            <sz val="12"/>
            <rFont val="宋体"/>
            <charset val="134"/>
          </rPr>
          <t xml:space="preserve">
8/11 收到KM外箱贴纸 54pcs
8/21 收到白色防盗贴纸 702pcs
</t>
        </r>
      </text>
    </comment>
    <comment ref="AF9" authorId="0">
      <text>
        <r>
          <rPr>
            <b/>
            <sz val="12"/>
            <rFont val="宋体"/>
            <charset val="134"/>
          </rPr>
          <t>Administrator:</t>
        </r>
        <r>
          <rPr>
            <sz val="12"/>
            <rFont val="宋体"/>
            <charset val="134"/>
          </rPr>
          <t xml:space="preserve">
1002228 9/6 22464pcs 莫海军B4楼C1区
1002235 9/8 11232pcs 莫海军B4楼C1区
1002233 9/8 56160pcs 莫海军B4楼C1区
1003824 9/9 18148pcs 莫海军B4楼A4区
</t>
        </r>
      </text>
    </comment>
    <comment ref="AI9" authorId="0">
      <text>
        <r>
          <rPr>
            <b/>
            <sz val="12"/>
            <rFont val="宋体"/>
            <charset val="134"/>
          </rPr>
          <t>Administrator:</t>
        </r>
        <r>
          <rPr>
            <sz val="12"/>
            <rFont val="宋体"/>
            <charset val="134"/>
          </rPr>
          <t xml:space="preserve">
8/11 上背身UPC贴纸 4154pcs
8/26 上客供外箱条码贴纸 4196pcs
7/28 上Event label贴纸 2885pcs
8/8  上Event label贴纸 1269pcs 增加数量</t>
        </r>
      </text>
    </comment>
    <comment ref="AF10" authorId="0">
      <text>
        <r>
          <rPr>
            <b/>
            <sz val="12"/>
            <rFont val="宋体"/>
            <charset val="134"/>
          </rPr>
          <t>Administrator:</t>
        </r>
        <r>
          <rPr>
            <sz val="12"/>
            <rFont val="宋体"/>
            <charset val="134"/>
          </rPr>
          <t xml:space="preserve">
1003867 9/13 1508pcs 华兴一F3</t>
        </r>
      </text>
    </comment>
    <comment ref="AI10" authorId="0">
      <text>
        <r>
          <rPr>
            <b/>
            <sz val="12"/>
            <rFont val="宋体"/>
            <charset val="134"/>
          </rPr>
          <t>Administrator:</t>
        </r>
        <r>
          <rPr>
            <sz val="12"/>
            <rFont val="宋体"/>
            <charset val="134"/>
          </rPr>
          <t xml:space="preserve">
8/21 上白色防盗贴纸 1508pcs
8/29 上KM外箱贴纸 116pcs</t>
        </r>
      </text>
    </comment>
    <comment ref="AF11" authorId="0">
      <text>
        <r>
          <rPr>
            <b/>
            <sz val="12"/>
            <rFont val="宋体"/>
            <charset val="134"/>
          </rPr>
          <t>Administrator:</t>
        </r>
        <r>
          <rPr>
            <sz val="12"/>
            <rFont val="宋体"/>
            <charset val="134"/>
          </rPr>
          <t xml:space="preserve">
1003886 9/15 3094pcs 莫海军B4楼B1区
</t>
        </r>
      </text>
    </comment>
    <comment ref="AI11" authorId="0">
      <text>
        <r>
          <rPr>
            <b/>
            <sz val="12"/>
            <rFont val="宋体"/>
            <charset val="134"/>
          </rPr>
          <t>Administrator:</t>
        </r>
        <r>
          <rPr>
            <sz val="12"/>
            <rFont val="宋体"/>
            <charset val="134"/>
          </rPr>
          <t xml:space="preserve">
8/21 上白色防盗贴纸 3094pcs
8/29 上KM外箱贴纸 238pcs
</t>
        </r>
      </text>
    </comment>
    <comment ref="AF12" authorId="0">
      <text>
        <r>
          <rPr>
            <b/>
            <sz val="12"/>
            <rFont val="宋体"/>
            <charset val="134"/>
          </rPr>
          <t>Administrator:</t>
        </r>
        <r>
          <rPr>
            <sz val="12"/>
            <rFont val="宋体"/>
            <charset val="134"/>
          </rPr>
          <t xml:space="preserve">
1003867 9/13 130pcs 华兴一F3</t>
        </r>
      </text>
    </comment>
    <comment ref="AI12" authorId="0">
      <text>
        <r>
          <rPr>
            <b/>
            <sz val="12"/>
            <rFont val="宋体"/>
            <charset val="134"/>
          </rPr>
          <t>Administrator:</t>
        </r>
        <r>
          <rPr>
            <sz val="12"/>
            <rFont val="宋体"/>
            <charset val="134"/>
          </rPr>
          <t xml:space="preserve">
8/21 上白色防盗贴纸 130pcs
8/29 上KM外箱贴纸 10pcs
</t>
        </r>
      </text>
    </comment>
    <comment ref="AF13" authorId="0">
      <text>
        <r>
          <rPr>
            <b/>
            <sz val="12"/>
            <rFont val="宋体"/>
            <charset val="134"/>
          </rPr>
          <t>Administrator:</t>
        </r>
        <r>
          <rPr>
            <sz val="12"/>
            <rFont val="宋体"/>
            <charset val="134"/>
          </rPr>
          <t xml:space="preserve">
1003886 9/15 3750pcs 莫海军B4楼A5区</t>
        </r>
      </text>
    </comment>
    <comment ref="AI13" authorId="0">
      <text>
        <r>
          <rPr>
            <b/>
            <sz val="12"/>
            <rFont val="宋体"/>
            <charset val="134"/>
          </rPr>
          <t>Administrator:</t>
        </r>
        <r>
          <rPr>
            <sz val="12"/>
            <rFont val="宋体"/>
            <charset val="134"/>
          </rPr>
          <t xml:space="preserve">
8/30 上1张日语警语贴纸 3750pcs</t>
        </r>
      </text>
    </comment>
    <comment ref="AF14" authorId="0">
      <text>
        <r>
          <rPr>
            <b/>
            <sz val="12"/>
            <rFont val="宋体"/>
            <charset val="134"/>
          </rPr>
          <t>Administrator:</t>
        </r>
        <r>
          <rPr>
            <sz val="12"/>
            <rFont val="宋体"/>
            <charset val="134"/>
          </rPr>
          <t xml:space="preserve">
1003473 9/16 1250pcs 华兴三A32</t>
        </r>
      </text>
    </comment>
    <comment ref="AI14" authorId="0">
      <text>
        <r>
          <rPr>
            <b/>
            <sz val="9"/>
            <rFont val="宋体"/>
            <charset val="134"/>
          </rPr>
          <t>Administrator:</t>
        </r>
        <r>
          <rPr>
            <sz val="9"/>
            <rFont val="宋体"/>
            <charset val="134"/>
          </rPr>
          <t xml:space="preserve">
8/19 上客人通用进口商贴纸 1250pcs</t>
        </r>
      </text>
    </comment>
    <comment ref="AF15" authorId="0">
      <text>
        <r>
          <rPr>
            <b/>
            <sz val="12"/>
            <rFont val="宋体"/>
            <charset val="134"/>
          </rPr>
          <t>Administrator:</t>
        </r>
        <r>
          <rPr>
            <sz val="12"/>
            <rFont val="宋体"/>
            <charset val="134"/>
          </rPr>
          <t xml:space="preserve">
1003481 9/16 2691pcs 莫海军B4楼B4区</t>
        </r>
      </text>
    </comment>
    <comment ref="AF16" authorId="0">
      <text>
        <r>
          <rPr>
            <b/>
            <sz val="12"/>
            <rFont val="宋体"/>
            <charset val="134"/>
          </rPr>
          <t>Administrator:</t>
        </r>
        <r>
          <rPr>
            <sz val="12"/>
            <rFont val="宋体"/>
            <charset val="134"/>
          </rPr>
          <t xml:space="preserve">
1003462 9/19 4784pcs 华兴三B17</t>
        </r>
      </text>
    </comment>
    <comment ref="AF17" authorId="0">
      <text>
        <r>
          <rPr>
            <b/>
            <sz val="12"/>
            <rFont val="宋体"/>
            <charset val="134"/>
          </rPr>
          <t>Administrator:</t>
        </r>
        <r>
          <rPr>
            <sz val="12"/>
            <rFont val="宋体"/>
            <charset val="134"/>
          </rPr>
          <t xml:space="preserve">
1003462 9/19 960pcs 华兴三B17</t>
        </r>
      </text>
    </comment>
    <comment ref="AI17" authorId="0">
      <text>
        <r>
          <rPr>
            <b/>
            <sz val="12"/>
            <rFont val="宋体"/>
            <charset val="134"/>
          </rPr>
          <t>Administrator:</t>
        </r>
        <r>
          <rPr>
            <sz val="12"/>
            <rFont val="宋体"/>
            <charset val="134"/>
          </rPr>
          <t xml:space="preserve">
9/2 上客供RFID贴纸 960pcs
9/8 上布标贴纸 960pcs</t>
        </r>
      </text>
    </comment>
    <comment ref="AF18" authorId="0">
      <text>
        <r>
          <rPr>
            <b/>
            <sz val="12"/>
            <rFont val="宋体"/>
            <charset val="134"/>
          </rPr>
          <t>Administrator:</t>
        </r>
        <r>
          <rPr>
            <sz val="12"/>
            <rFont val="宋体"/>
            <charset val="134"/>
          </rPr>
          <t xml:space="preserve">
1003462 9/19 520pcs 华兴三B17</t>
        </r>
      </text>
    </comment>
    <comment ref="AI18" authorId="0">
      <text>
        <r>
          <rPr>
            <b/>
            <sz val="12"/>
            <rFont val="宋体"/>
            <charset val="134"/>
          </rPr>
          <t>Administrator:</t>
        </r>
        <r>
          <rPr>
            <sz val="12"/>
            <rFont val="宋体"/>
            <charset val="134"/>
          </rPr>
          <t xml:space="preserve">
9/9 上进口商贴纸 520pcs</t>
        </r>
      </text>
    </comment>
    <comment ref="AF19" authorId="0">
      <text>
        <r>
          <rPr>
            <b/>
            <sz val="12"/>
            <rFont val="宋体"/>
            <charset val="134"/>
          </rPr>
          <t>Administrator:</t>
        </r>
        <r>
          <rPr>
            <sz val="12"/>
            <rFont val="宋体"/>
            <charset val="134"/>
          </rPr>
          <t xml:space="preserve">
1003462 9/19 520pcs 华兴三B17</t>
        </r>
      </text>
    </comment>
    <comment ref="AI19" authorId="0">
      <text>
        <r>
          <rPr>
            <b/>
            <sz val="12"/>
            <rFont val="宋体"/>
            <charset val="134"/>
          </rPr>
          <t>Administrator:</t>
        </r>
        <r>
          <rPr>
            <sz val="12"/>
            <rFont val="宋体"/>
            <charset val="134"/>
          </rPr>
          <t xml:space="preserve">
12/12 收到通用贴纸 520pcs-陈新亦</t>
        </r>
      </text>
    </comment>
    <comment ref="AF20" authorId="0">
      <text>
        <r>
          <rPr>
            <b/>
            <sz val="12"/>
            <rFont val="宋体"/>
            <charset val="134"/>
          </rPr>
          <t>Administrator:</t>
        </r>
        <r>
          <rPr>
            <sz val="12"/>
            <rFont val="宋体"/>
            <charset val="134"/>
          </rPr>
          <t xml:space="preserve">
10003886 9/15 390pcs A栋一楼</t>
        </r>
      </text>
    </comment>
    <comment ref="AF21" authorId="0">
      <text>
        <r>
          <rPr>
            <b/>
            <sz val="12"/>
            <rFont val="宋体"/>
            <charset val="134"/>
          </rPr>
          <t>Administrator:</t>
        </r>
        <r>
          <rPr>
            <sz val="12"/>
            <rFont val="宋体"/>
            <charset val="134"/>
          </rPr>
          <t xml:space="preserve">
10003886 9/15 1500pcs A栋一楼</t>
        </r>
      </text>
    </comment>
    <comment ref="AF22" authorId="0">
      <text>
        <r>
          <rPr>
            <b/>
            <sz val="12"/>
            <rFont val="宋体"/>
            <charset val="134"/>
          </rPr>
          <t>Administrator:</t>
        </r>
        <r>
          <rPr>
            <sz val="12"/>
            <rFont val="宋体"/>
            <charset val="134"/>
          </rPr>
          <t xml:space="preserve">
1003502 9/22 208pcs 莫海军B4楼A2区</t>
        </r>
      </text>
    </comment>
    <comment ref="AI22" authorId="0">
      <text>
        <r>
          <rPr>
            <b/>
            <sz val="12"/>
            <rFont val="宋体"/>
            <charset val="134"/>
          </rPr>
          <t>Administrator:</t>
        </r>
        <r>
          <rPr>
            <sz val="12"/>
            <rFont val="宋体"/>
            <charset val="134"/>
          </rPr>
          <t xml:space="preserve">
9/19 上UPC贴纸 208pcs</t>
        </r>
      </text>
    </comment>
    <comment ref="AF23" authorId="0">
      <text>
        <r>
          <rPr>
            <b/>
            <sz val="12"/>
            <rFont val="宋体"/>
            <charset val="134"/>
          </rPr>
          <t>Administrator:</t>
        </r>
        <r>
          <rPr>
            <sz val="12"/>
            <rFont val="宋体"/>
            <charset val="134"/>
          </rPr>
          <t xml:space="preserve">
1003502 9/22 3601pcs 莫海军B4楼B3区</t>
        </r>
      </text>
    </comment>
    <comment ref="AI23" authorId="0">
      <text>
        <r>
          <rPr>
            <b/>
            <sz val="12"/>
            <rFont val="宋体"/>
            <charset val="134"/>
          </rPr>
          <t>Administrator:</t>
        </r>
        <r>
          <rPr>
            <sz val="12"/>
            <rFont val="宋体"/>
            <charset val="134"/>
          </rPr>
          <t xml:space="preserve">
8/21 上多语折叠警语贴纸 3601pcs</t>
        </r>
      </text>
    </comment>
    <comment ref="AF24" authorId="0">
      <text>
        <r>
          <rPr>
            <b/>
            <sz val="12"/>
            <rFont val="宋体"/>
            <charset val="134"/>
          </rPr>
          <t>Administrator:</t>
        </r>
        <r>
          <rPr>
            <sz val="12"/>
            <rFont val="宋体"/>
            <charset val="134"/>
          </rPr>
          <t xml:space="preserve">
1003506 9/23 700pcs 莫海军B4楼B4区</t>
        </r>
      </text>
    </comment>
    <comment ref="AF25" authorId="0">
      <text>
        <r>
          <rPr>
            <b/>
            <sz val="12"/>
            <rFont val="宋体"/>
            <charset val="134"/>
          </rPr>
          <t>Administrator:</t>
        </r>
        <r>
          <rPr>
            <sz val="12"/>
            <rFont val="宋体"/>
            <charset val="134"/>
          </rPr>
          <t xml:space="preserve">
1003547 9/30 21975pcs 莫海军B4楼A6区
</t>
        </r>
      </text>
    </comment>
    <comment ref="AI25" authorId="0">
      <text>
        <r>
          <rPr>
            <b/>
            <sz val="12"/>
            <rFont val="宋体"/>
            <charset val="134"/>
          </rPr>
          <t>Administrator:</t>
        </r>
        <r>
          <rPr>
            <sz val="12"/>
            <rFont val="宋体"/>
            <charset val="134"/>
          </rPr>
          <t xml:space="preserve">
9/2 上Event label贴纸 2090pcs
177334/177333共用
9/5 上客供外箱条码贴纸 888pcs</t>
        </r>
      </text>
    </comment>
    <comment ref="AF26" authorId="0">
      <text>
        <r>
          <rPr>
            <b/>
            <sz val="12"/>
            <rFont val="宋体"/>
            <charset val="134"/>
          </rPr>
          <t>Administrator:</t>
        </r>
        <r>
          <rPr>
            <sz val="12"/>
            <rFont val="宋体"/>
            <charset val="134"/>
          </rPr>
          <t xml:space="preserve">
1003531 9/27 960pcs B栋四楼B1</t>
        </r>
      </text>
    </comment>
    <comment ref="AI26" authorId="0">
      <text>
        <r>
          <rPr>
            <b/>
            <sz val="12"/>
            <rFont val="宋体"/>
            <charset val="134"/>
          </rPr>
          <t>Administrator:</t>
        </r>
        <r>
          <rPr>
            <sz val="12"/>
            <rFont val="宋体"/>
            <charset val="134"/>
          </rPr>
          <t xml:space="preserve">
9/2 上客供RFID贴纸 960pcs
</t>
        </r>
      </text>
    </comment>
    <comment ref="AF27" authorId="0">
      <text>
        <r>
          <rPr>
            <b/>
            <sz val="12"/>
            <rFont val="宋体"/>
            <charset val="134"/>
          </rPr>
          <t>Administrator:</t>
        </r>
        <r>
          <rPr>
            <sz val="12"/>
            <rFont val="宋体"/>
            <charset val="134"/>
          </rPr>
          <t xml:space="preserve">
1003531 9/27 960pcs B栋四楼B1</t>
        </r>
      </text>
    </comment>
    <comment ref="AI27" authorId="0">
      <text>
        <r>
          <rPr>
            <b/>
            <sz val="12"/>
            <rFont val="宋体"/>
            <charset val="134"/>
          </rPr>
          <t>Administrator:</t>
        </r>
        <r>
          <rPr>
            <sz val="12"/>
            <rFont val="宋体"/>
            <charset val="134"/>
          </rPr>
          <t xml:space="preserve">
9/2 上客供RFID贴纸 960pcs
</t>
        </r>
      </text>
    </comment>
    <comment ref="AF28" authorId="0">
      <text>
        <r>
          <rPr>
            <b/>
            <sz val="12"/>
            <rFont val="宋体"/>
            <charset val="134"/>
          </rPr>
          <t>Administrator:</t>
        </r>
        <r>
          <rPr>
            <sz val="12"/>
            <rFont val="宋体"/>
            <charset val="134"/>
          </rPr>
          <t xml:space="preserve">
1003531 9/27 960pcs B栋四楼B1</t>
        </r>
      </text>
    </comment>
    <comment ref="AI28" authorId="0">
      <text>
        <r>
          <rPr>
            <b/>
            <sz val="12"/>
            <rFont val="宋体"/>
            <charset val="134"/>
          </rPr>
          <t>Administrator:</t>
        </r>
        <r>
          <rPr>
            <sz val="12"/>
            <rFont val="宋体"/>
            <charset val="134"/>
          </rPr>
          <t xml:space="preserve">
9/2 上客供RFID贴纸 960pcs
</t>
        </r>
      </text>
    </comment>
    <comment ref="AF29" authorId="0">
      <text>
        <r>
          <rPr>
            <b/>
            <sz val="12"/>
            <rFont val="宋体"/>
            <charset val="134"/>
          </rPr>
          <t>Administrator:</t>
        </r>
        <r>
          <rPr>
            <sz val="12"/>
            <rFont val="宋体"/>
            <charset val="134"/>
          </rPr>
          <t xml:space="preserve">
1003547 9/30 11296pcs 莫海军B4楼B10区
</t>
        </r>
      </text>
    </comment>
    <comment ref="AI29" authorId="0">
      <text>
        <r>
          <rPr>
            <b/>
            <sz val="12"/>
            <rFont val="宋体"/>
            <charset val="134"/>
          </rPr>
          <t>Administrator:</t>
        </r>
        <r>
          <rPr>
            <sz val="12"/>
            <rFont val="宋体"/>
            <charset val="134"/>
          </rPr>
          <t xml:space="preserve">
8/30 上粉色艾利贴纸 6458pcs
177088/177091/177093/177094共用
9/2 上客供RFID贴纸 11296pcs</t>
        </r>
      </text>
    </comment>
    <comment ref="AF30" authorId="0">
      <text>
        <r>
          <rPr>
            <b/>
            <sz val="12"/>
            <rFont val="宋体"/>
            <charset val="134"/>
          </rPr>
          <t>Administrator:</t>
        </r>
        <r>
          <rPr>
            <sz val="12"/>
            <rFont val="宋体"/>
            <charset val="134"/>
          </rPr>
          <t xml:space="preserve">
1003554 10/7 117pcs 莫海军B4楼B7区</t>
        </r>
      </text>
    </comment>
    <comment ref="AI30" authorId="0">
      <text>
        <r>
          <rPr>
            <b/>
            <sz val="12"/>
            <rFont val="宋体"/>
            <charset val="134"/>
          </rPr>
          <t>Administrator:</t>
        </r>
        <r>
          <rPr>
            <sz val="12"/>
            <rFont val="宋体"/>
            <charset val="134"/>
          </rPr>
          <t xml:space="preserve">
9/18 上KM外箱贴纸 9pcs</t>
        </r>
      </text>
    </comment>
    <comment ref="AF31" authorId="0">
      <text>
        <r>
          <rPr>
            <b/>
            <sz val="12"/>
            <rFont val="宋体"/>
            <charset val="134"/>
          </rPr>
          <t>Administrator:</t>
        </r>
        <r>
          <rPr>
            <sz val="12"/>
            <rFont val="宋体"/>
            <charset val="134"/>
          </rPr>
          <t xml:space="preserve">
1003554 10/7 3900pcs 莫海军B4楼B7区</t>
        </r>
      </text>
    </comment>
    <comment ref="AI31" authorId="0">
      <text>
        <r>
          <rPr>
            <b/>
            <sz val="12"/>
            <rFont val="宋体"/>
            <charset val="134"/>
          </rPr>
          <t>Administrator:</t>
        </r>
        <r>
          <rPr>
            <sz val="12"/>
            <rFont val="宋体"/>
            <charset val="134"/>
          </rPr>
          <t xml:space="preserve">
9/18 上KM外箱贴纸 300pcs</t>
        </r>
      </text>
    </comment>
    <comment ref="AF32" authorId="0">
      <text>
        <r>
          <rPr>
            <b/>
            <sz val="12"/>
            <rFont val="宋体"/>
            <charset val="134"/>
          </rPr>
          <t>Administrator:</t>
        </r>
        <r>
          <rPr>
            <sz val="12"/>
            <rFont val="宋体"/>
            <charset val="134"/>
          </rPr>
          <t xml:space="preserve">
1003556 10/7 143pcs 莫海军B4楼B7区</t>
        </r>
      </text>
    </comment>
    <comment ref="AI32" authorId="0">
      <text>
        <r>
          <rPr>
            <b/>
            <sz val="12"/>
            <rFont val="宋体"/>
            <charset val="134"/>
          </rPr>
          <t>Administrator:</t>
        </r>
        <r>
          <rPr>
            <sz val="12"/>
            <rFont val="宋体"/>
            <charset val="134"/>
          </rPr>
          <t xml:space="preserve">
9/26 上KM外箱贴纸 11pcs</t>
        </r>
      </text>
    </comment>
    <comment ref="AF33" authorId="0">
      <text>
        <r>
          <rPr>
            <b/>
            <sz val="12"/>
            <rFont val="宋体"/>
            <charset val="134"/>
          </rPr>
          <t>Administrator:</t>
        </r>
        <r>
          <rPr>
            <sz val="12"/>
            <rFont val="宋体"/>
            <charset val="134"/>
          </rPr>
          <t xml:space="preserve">
1003559 10/8 2223pcs 莫海军B4楼B9区</t>
        </r>
      </text>
    </comment>
    <comment ref="AI33" authorId="0">
      <text>
        <r>
          <rPr>
            <b/>
            <sz val="12"/>
            <rFont val="宋体"/>
            <charset val="134"/>
          </rPr>
          <t>Administrator:</t>
        </r>
        <r>
          <rPr>
            <sz val="12"/>
            <rFont val="宋体"/>
            <charset val="134"/>
          </rPr>
          <t xml:space="preserve">
9/26 上KM外箱贴纸 171pcs</t>
        </r>
      </text>
    </comment>
    <comment ref="AF34" authorId="0">
      <text>
        <r>
          <rPr>
            <b/>
            <sz val="12"/>
            <rFont val="宋体"/>
            <charset val="134"/>
          </rPr>
          <t>Administrator:</t>
        </r>
        <r>
          <rPr>
            <sz val="12"/>
            <rFont val="宋体"/>
            <charset val="134"/>
          </rPr>
          <t xml:space="preserve">
1003583 10/11 13056pcs 莫海军B4楼B4区
1003590 10/13   672pcs 莫海军B4楼B4区
</t>
        </r>
      </text>
    </comment>
    <comment ref="AI34" authorId="0">
      <text>
        <r>
          <rPr>
            <b/>
            <sz val="12"/>
            <rFont val="宋体"/>
            <charset val="134"/>
          </rPr>
          <t>Administrator:</t>
        </r>
        <r>
          <rPr>
            <sz val="12"/>
            <rFont val="宋体"/>
            <charset val="134"/>
          </rPr>
          <t xml:space="preserve">
8/30 上粉色艾利贴纸 6458pcs
177088/177091/177093/177094共用
9/2 上客供RFID贴纸 13728pcs
</t>
        </r>
      </text>
    </comment>
    <comment ref="AF35" authorId="0">
      <text>
        <r>
          <rPr>
            <b/>
            <sz val="12"/>
            <rFont val="宋体"/>
            <charset val="134"/>
          </rPr>
          <t>Administrator:</t>
        </r>
        <r>
          <rPr>
            <sz val="12"/>
            <rFont val="宋体"/>
            <charset val="134"/>
          </rPr>
          <t xml:space="preserve">
1003581 10/10 8160pcs  莫海军B4楼C5区
1003583 10/11 6208pcs  莫海军B4楼C6区
</t>
        </r>
      </text>
    </comment>
    <comment ref="AI35" authorId="0">
      <text>
        <r>
          <rPr>
            <b/>
            <sz val="12"/>
            <rFont val="宋体"/>
            <charset val="134"/>
          </rPr>
          <t>Administrator:</t>
        </r>
        <r>
          <rPr>
            <sz val="12"/>
            <rFont val="宋体"/>
            <charset val="134"/>
          </rPr>
          <t xml:space="preserve">
8/30 上粉色艾利贴纸 6458pcs
177088/177091/177093/177094共用
9/2 上客供RFID贴纸 14368pcs
</t>
        </r>
      </text>
    </comment>
    <comment ref="AF36" authorId="0">
      <text>
        <r>
          <rPr>
            <b/>
            <sz val="12"/>
            <rFont val="宋体"/>
            <charset val="134"/>
          </rPr>
          <t>Administrator:</t>
        </r>
        <r>
          <rPr>
            <sz val="12"/>
            <rFont val="宋体"/>
            <charset val="134"/>
          </rPr>
          <t xml:space="preserve">
1003581 10/10 960pcs 莫海军B4楼B9区</t>
        </r>
      </text>
    </comment>
    <comment ref="AI36" authorId="0">
      <text>
        <r>
          <rPr>
            <b/>
            <sz val="12"/>
            <rFont val="宋体"/>
            <charset val="134"/>
          </rPr>
          <t>Administrator:</t>
        </r>
        <r>
          <rPr>
            <sz val="12"/>
            <rFont val="宋体"/>
            <charset val="134"/>
          </rPr>
          <t xml:space="preserve">
9/2 上客供RFID贴纸 960pcs
</t>
        </r>
      </text>
    </comment>
    <comment ref="AF37" authorId="0">
      <text>
        <r>
          <rPr>
            <b/>
            <sz val="12"/>
            <rFont val="宋体"/>
            <charset val="134"/>
          </rPr>
          <t>Administrator:</t>
        </r>
        <r>
          <rPr>
            <sz val="12"/>
            <rFont val="宋体"/>
            <charset val="134"/>
          </rPr>
          <t xml:space="preserve">
1003591 10/13 2500pcs 华兴一F4</t>
        </r>
      </text>
    </comment>
    <comment ref="AI37" authorId="0">
      <text>
        <r>
          <rPr>
            <b/>
            <sz val="12"/>
            <rFont val="宋体"/>
            <charset val="134"/>
          </rPr>
          <t>Administrator:</t>
        </r>
        <r>
          <rPr>
            <sz val="12"/>
            <rFont val="宋体"/>
            <charset val="134"/>
          </rPr>
          <t xml:space="preserve">
9/16 上客人通用进口商贴纸 2500pcs</t>
        </r>
      </text>
    </comment>
    <comment ref="AF38" authorId="0">
      <text>
        <r>
          <rPr>
            <b/>
            <sz val="12"/>
            <rFont val="宋体"/>
            <charset val="134"/>
          </rPr>
          <t>Administrator:</t>
        </r>
        <r>
          <rPr>
            <sz val="12"/>
            <rFont val="宋体"/>
            <charset val="134"/>
          </rPr>
          <t xml:space="preserve">
1003615 10/15 22500pcs  莫海军B4楼B4区
1003618 10/16  7775pcs  莫海军B4楼B4区</t>
        </r>
      </text>
    </comment>
    <comment ref="AI38" authorId="0">
      <text>
        <r>
          <rPr>
            <b/>
            <sz val="12"/>
            <rFont val="宋体"/>
            <charset val="134"/>
          </rPr>
          <t>Administrator:</t>
        </r>
        <r>
          <rPr>
            <sz val="12"/>
            <rFont val="宋体"/>
            <charset val="134"/>
          </rPr>
          <t xml:space="preserve">
9/2 上Event label贴纸 2090pcs
177334/177333共用
9/12 上客供外箱条码贴纸 1223pcs</t>
        </r>
      </text>
    </comment>
    <comment ref="AF39" authorId="0">
      <text>
        <r>
          <rPr>
            <b/>
            <sz val="12"/>
            <rFont val="宋体"/>
            <charset val="134"/>
          </rPr>
          <t>Administrator:</t>
        </r>
        <r>
          <rPr>
            <sz val="12"/>
            <rFont val="宋体"/>
            <charset val="134"/>
          </rPr>
          <t xml:space="preserve">
1003615 10/15 14850pcs 莫海军B4楼A6区
1003605 10/14  6750pcs 莫海军B4楼A4区</t>
        </r>
      </text>
    </comment>
    <comment ref="AI39" authorId="0">
      <text>
        <r>
          <rPr>
            <b/>
            <sz val="12"/>
            <rFont val="宋体"/>
            <charset val="134"/>
          </rPr>
          <t>Administrator:</t>
        </r>
        <r>
          <rPr>
            <sz val="12"/>
            <rFont val="宋体"/>
            <charset val="134"/>
          </rPr>
          <t xml:space="preserve">
9/23 上客供外箱条码贴纸 873pcs</t>
        </r>
      </text>
    </comment>
    <comment ref="AF40" authorId="0">
      <text>
        <r>
          <rPr>
            <b/>
            <sz val="12"/>
            <rFont val="宋体"/>
            <charset val="134"/>
          </rPr>
          <t>Administrator:</t>
        </r>
        <r>
          <rPr>
            <sz val="12"/>
            <rFont val="宋体"/>
            <charset val="134"/>
          </rPr>
          <t xml:space="preserve">
1003594 10/13 169pcs 莫海军B4楼B4区</t>
        </r>
      </text>
    </comment>
    <comment ref="AI40" authorId="0">
      <text>
        <r>
          <rPr>
            <b/>
            <sz val="12"/>
            <rFont val="宋体"/>
            <charset val="134"/>
          </rPr>
          <t>Administrator:</t>
        </r>
        <r>
          <rPr>
            <sz val="12"/>
            <rFont val="宋体"/>
            <charset val="134"/>
          </rPr>
          <t xml:space="preserve">
9/26 上KM外箱贴纸 13pcs</t>
        </r>
      </text>
    </comment>
    <comment ref="AF41" authorId="0">
      <text>
        <r>
          <rPr>
            <b/>
            <sz val="12"/>
            <rFont val="宋体"/>
            <charset val="134"/>
          </rPr>
          <t>Administrator:</t>
        </r>
        <r>
          <rPr>
            <sz val="12"/>
            <rFont val="宋体"/>
            <charset val="134"/>
          </rPr>
          <t xml:space="preserve">
1003633 10/20 13500pcs A栋一楼B8区
1003632 10/20 45650pcs A栋一楼C8区</t>
        </r>
      </text>
    </comment>
    <comment ref="AI41" authorId="0">
      <text>
        <r>
          <rPr>
            <b/>
            <sz val="12"/>
            <rFont val="宋体"/>
            <charset val="134"/>
          </rPr>
          <t>Administrator:</t>
        </r>
        <r>
          <rPr>
            <sz val="12"/>
            <rFont val="宋体"/>
            <charset val="134"/>
          </rPr>
          <t xml:space="preserve">
9/23 上客供外箱条码贴纸 2390pcs</t>
        </r>
      </text>
    </comment>
    <comment ref="AF42" authorId="0">
      <text>
        <r>
          <rPr>
            <b/>
            <sz val="12"/>
            <rFont val="宋体"/>
            <charset val="134"/>
          </rPr>
          <t>Administrator:</t>
        </r>
        <r>
          <rPr>
            <sz val="12"/>
            <rFont val="宋体"/>
            <charset val="134"/>
          </rPr>
          <t xml:space="preserve">
1003594 10/13 4550pcs 莫海军B4楼B4区</t>
        </r>
      </text>
    </comment>
    <comment ref="AI42" authorId="0">
      <text>
        <r>
          <rPr>
            <b/>
            <sz val="12"/>
            <rFont val="宋体"/>
            <charset val="134"/>
          </rPr>
          <t>Administrator:</t>
        </r>
        <r>
          <rPr>
            <sz val="12"/>
            <rFont val="宋体"/>
            <charset val="134"/>
          </rPr>
          <t xml:space="preserve">
9/26 上KM外箱贴纸 350pcs</t>
        </r>
      </text>
    </comment>
    <comment ref="AF43" authorId="0">
      <text>
        <r>
          <rPr>
            <b/>
            <sz val="12"/>
            <rFont val="宋体"/>
            <charset val="134"/>
          </rPr>
          <t>Administrator:</t>
        </r>
        <r>
          <rPr>
            <sz val="12"/>
            <rFont val="宋体"/>
            <charset val="134"/>
          </rPr>
          <t xml:space="preserve">
1003650 10/23 16544pcs B4楼B9区</t>
        </r>
      </text>
    </comment>
    <comment ref="AI43" authorId="0">
      <text>
        <r>
          <rPr>
            <b/>
            <sz val="12"/>
            <rFont val="宋体"/>
            <charset val="134"/>
          </rPr>
          <t>Administrator:</t>
        </r>
        <r>
          <rPr>
            <sz val="12"/>
            <rFont val="宋体"/>
            <charset val="134"/>
          </rPr>
          <t xml:space="preserve">
8/30 上粉色艾利贴纸 6458pcs
177088/177091/177093/177094共用
9/2 上客供RFID贴纸 16544pcs
</t>
        </r>
      </text>
    </comment>
    <comment ref="AF44" authorId="0">
      <text>
        <r>
          <rPr>
            <b/>
            <sz val="12"/>
            <rFont val="宋体"/>
            <charset val="134"/>
          </rPr>
          <t>Administrator:</t>
        </r>
        <r>
          <rPr>
            <sz val="12"/>
            <rFont val="宋体"/>
            <charset val="134"/>
          </rPr>
          <t xml:space="preserve">
1003695 10/23 16640pcs B4楼C8区
1003650 10/23  3840pcs B4楼C8区</t>
        </r>
      </text>
    </comment>
    <comment ref="AI44" authorId="0">
      <text>
        <r>
          <rPr>
            <b/>
            <sz val="12"/>
            <rFont val="宋体"/>
            <charset val="134"/>
          </rPr>
          <t>Administrator:</t>
        </r>
        <r>
          <rPr>
            <sz val="12"/>
            <rFont val="宋体"/>
            <charset val="134"/>
          </rPr>
          <t xml:space="preserve">
8/30 上粉色艾利贴纸 6458pcs
177088/177091/177093/177094共用
9/2 上客供RFID贴纸 20480pcs
</t>
        </r>
      </text>
    </comment>
    <comment ref="AF45" authorId="0">
      <text>
        <r>
          <rPr>
            <b/>
            <sz val="12"/>
            <rFont val="宋体"/>
            <charset val="134"/>
          </rPr>
          <t>Administrator:</t>
        </r>
        <r>
          <rPr>
            <sz val="12"/>
            <rFont val="宋体"/>
            <charset val="134"/>
          </rPr>
          <t xml:space="preserve">
1003650 10/23 960pcs B4楼A9区</t>
        </r>
      </text>
    </comment>
    <comment ref="AI45" authorId="0">
      <text>
        <r>
          <rPr>
            <b/>
            <sz val="12"/>
            <rFont val="宋体"/>
            <charset val="134"/>
          </rPr>
          <t>Administrator:</t>
        </r>
        <r>
          <rPr>
            <sz val="12"/>
            <rFont val="宋体"/>
            <charset val="134"/>
          </rPr>
          <t xml:space="preserve">
9/2 上客供RFID贴纸 960pcs
</t>
        </r>
      </text>
    </comment>
    <comment ref="AF46" authorId="0">
      <text>
        <r>
          <rPr>
            <b/>
            <sz val="12"/>
            <rFont val="宋体"/>
            <charset val="134"/>
          </rPr>
          <t>Administrator:</t>
        </r>
        <r>
          <rPr>
            <sz val="12"/>
            <rFont val="宋体"/>
            <charset val="134"/>
          </rPr>
          <t xml:space="preserve">
1003650 10/23 960pcs B4楼A9区</t>
        </r>
      </text>
    </comment>
    <comment ref="AI46" authorId="0">
      <text>
        <r>
          <rPr>
            <b/>
            <sz val="12"/>
            <rFont val="宋体"/>
            <charset val="134"/>
          </rPr>
          <t>Administrator:</t>
        </r>
        <r>
          <rPr>
            <sz val="12"/>
            <rFont val="宋体"/>
            <charset val="134"/>
          </rPr>
          <t xml:space="preserve">
9/2 上客供RFID贴纸 960pcs
</t>
        </r>
      </text>
    </comment>
    <comment ref="AF47" authorId="0">
      <text>
        <r>
          <rPr>
            <b/>
            <sz val="12"/>
            <rFont val="宋体"/>
            <charset val="134"/>
          </rPr>
          <t>Administrator:</t>
        </r>
        <r>
          <rPr>
            <sz val="12"/>
            <rFont val="宋体"/>
            <charset val="134"/>
          </rPr>
          <t xml:space="preserve">
1003662 10/27 364pcs B4楼A9区</t>
        </r>
      </text>
    </comment>
    <comment ref="AI47" authorId="0">
      <text>
        <r>
          <rPr>
            <b/>
            <sz val="12"/>
            <rFont val="宋体"/>
            <charset val="134"/>
          </rPr>
          <t>Administrator:</t>
        </r>
        <r>
          <rPr>
            <sz val="12"/>
            <rFont val="宋体"/>
            <charset val="134"/>
          </rPr>
          <t xml:space="preserve">
10/13 上警语帖纸 364pcs</t>
        </r>
      </text>
    </comment>
    <comment ref="AF48" authorId="0">
      <text>
        <r>
          <rPr>
            <b/>
            <sz val="12"/>
            <rFont val="宋体"/>
            <charset val="134"/>
          </rPr>
          <t>Administrator:</t>
        </r>
        <r>
          <rPr>
            <sz val="12"/>
            <rFont val="宋体"/>
            <charset val="134"/>
          </rPr>
          <t xml:space="preserve">
1003700 10/25 78pcs B4楼C8区</t>
        </r>
      </text>
    </comment>
    <comment ref="AI48" authorId="0">
      <text>
        <r>
          <rPr>
            <b/>
            <sz val="12"/>
            <rFont val="宋体"/>
            <charset val="134"/>
          </rPr>
          <t>Administrator:</t>
        </r>
        <r>
          <rPr>
            <sz val="12"/>
            <rFont val="宋体"/>
            <charset val="134"/>
          </rPr>
          <t xml:space="preserve">
10/8 上白色防盗贴纸 78pcs
10/13 上KM外箱贴纸 6pcs</t>
        </r>
      </text>
    </comment>
    <comment ref="AF49" authorId="0">
      <text>
        <r>
          <rPr>
            <b/>
            <sz val="12"/>
            <rFont val="宋体"/>
            <charset val="134"/>
          </rPr>
          <t>Administrator:</t>
        </r>
        <r>
          <rPr>
            <sz val="12"/>
            <rFont val="宋体"/>
            <charset val="134"/>
          </rPr>
          <t xml:space="preserve">
1003700 10/25 1482pcs B4楼C8区</t>
        </r>
      </text>
    </comment>
    <comment ref="AI49" authorId="0">
      <text>
        <r>
          <rPr>
            <b/>
            <sz val="12"/>
            <rFont val="宋体"/>
            <charset val="134"/>
          </rPr>
          <t>Administrator:</t>
        </r>
        <r>
          <rPr>
            <sz val="12"/>
            <rFont val="宋体"/>
            <charset val="134"/>
          </rPr>
          <t xml:space="preserve">
10/8 上白色防盗贴纸 1482pcs
10/13 上KM外箱贴纸 114pcs(供应商做错）
10/21 上KM外箱贴纸 114pcs</t>
        </r>
      </text>
    </comment>
    <comment ref="AF50" authorId="0">
      <text>
        <r>
          <rPr>
            <b/>
            <sz val="12"/>
            <rFont val="宋体"/>
            <charset val="134"/>
          </rPr>
          <t>Administrator:</t>
        </r>
        <r>
          <rPr>
            <sz val="12"/>
            <rFont val="宋体"/>
            <charset val="134"/>
          </rPr>
          <t xml:space="preserve">
1003655 10/25 7776pcs B4楼C8区
1003662 10/27 5760pcs B4楼C8区</t>
        </r>
      </text>
    </comment>
    <comment ref="AI50" authorId="0">
      <text>
        <r>
          <rPr>
            <b/>
            <sz val="12"/>
            <rFont val="宋体"/>
            <charset val="134"/>
          </rPr>
          <t>Administrator:</t>
        </r>
        <r>
          <rPr>
            <sz val="12"/>
            <rFont val="宋体"/>
            <charset val="134"/>
          </rPr>
          <t xml:space="preserve">
8/30 上粉色艾利贴纸 6458pcs
177088/177091/177093/177094共用
9/2 上客供RFID贴纸 13536pcs
</t>
        </r>
      </text>
    </comment>
    <comment ref="AF51" authorId="0">
      <text>
        <r>
          <rPr>
            <b/>
            <sz val="12"/>
            <rFont val="宋体"/>
            <charset val="134"/>
          </rPr>
          <t>Administrator:</t>
        </r>
        <r>
          <rPr>
            <sz val="12"/>
            <rFont val="宋体"/>
            <charset val="134"/>
          </rPr>
          <t xml:space="preserve">
1003662 10/27 13376pcs B4楼C10区</t>
        </r>
      </text>
    </comment>
    <comment ref="AI51" authorId="0">
      <text>
        <r>
          <rPr>
            <b/>
            <sz val="12"/>
            <rFont val="宋体"/>
            <charset val="134"/>
          </rPr>
          <t>Administrator:</t>
        </r>
        <r>
          <rPr>
            <sz val="12"/>
            <rFont val="宋体"/>
            <charset val="134"/>
          </rPr>
          <t xml:space="preserve">
8/30 上粉色艾利贴纸 6458pcs
177088/177091/177093/177094共用
9/2 上客供RFID贴纸 13376pcs
</t>
        </r>
      </text>
    </comment>
    <comment ref="AF52" authorId="0">
      <text>
        <r>
          <rPr>
            <b/>
            <sz val="12"/>
            <rFont val="宋体"/>
            <charset val="134"/>
          </rPr>
          <t>Administrator:</t>
        </r>
        <r>
          <rPr>
            <sz val="12"/>
            <rFont val="宋体"/>
            <charset val="134"/>
          </rPr>
          <t xml:space="preserve">
1003662 10/27 960pcs B4楼A8区</t>
        </r>
      </text>
    </comment>
    <comment ref="AI52" authorId="0">
      <text>
        <r>
          <rPr>
            <b/>
            <sz val="12"/>
            <rFont val="宋体"/>
            <charset val="134"/>
          </rPr>
          <t>Administrator:</t>
        </r>
        <r>
          <rPr>
            <sz val="12"/>
            <rFont val="宋体"/>
            <charset val="134"/>
          </rPr>
          <t xml:space="preserve">
9/8 上客供RFID贴纸 960pcs</t>
        </r>
      </text>
    </comment>
    <comment ref="AF53" authorId="0">
      <text>
        <r>
          <rPr>
            <b/>
            <sz val="12"/>
            <rFont val="宋体"/>
            <charset val="134"/>
          </rPr>
          <t>Administrator:</t>
        </r>
        <r>
          <rPr>
            <sz val="12"/>
            <rFont val="宋体"/>
            <charset val="134"/>
          </rPr>
          <t xml:space="preserve">
1003684 10/31 1000pcs B4楼B8区</t>
        </r>
      </text>
    </comment>
    <comment ref="AI53" authorId="0">
      <text>
        <r>
          <rPr>
            <b/>
            <sz val="12"/>
            <rFont val="宋体"/>
            <charset val="134"/>
          </rPr>
          <t>Administrator:</t>
        </r>
        <r>
          <rPr>
            <sz val="12"/>
            <rFont val="宋体"/>
            <charset val="134"/>
          </rPr>
          <t xml:space="preserve">
9/29 上进口商贴纸 1000pcs
10/30 上EAN条码贴纸 1000pcs
生产做错1L，跟客人沟通用1L+贴纸</t>
        </r>
      </text>
    </comment>
    <comment ref="AF54" authorId="0">
      <text>
        <r>
          <rPr>
            <b/>
            <sz val="12"/>
            <rFont val="宋体"/>
            <charset val="134"/>
          </rPr>
          <t>Administrator:</t>
        </r>
        <r>
          <rPr>
            <sz val="12"/>
            <rFont val="宋体"/>
            <charset val="134"/>
          </rPr>
          <t xml:space="preserve">
1002608 10/30 29750pcs B4楼B10区</t>
        </r>
      </text>
    </comment>
    <comment ref="AI54" authorId="0">
      <text>
        <r>
          <rPr>
            <b/>
            <sz val="12"/>
            <rFont val="宋体"/>
            <charset val="134"/>
          </rPr>
          <t>Administrator:</t>
        </r>
        <r>
          <rPr>
            <sz val="12"/>
            <rFont val="宋体"/>
            <charset val="134"/>
          </rPr>
          <t xml:space="preserve">
9/23 上客供外箱条码贴纸 1202pcs</t>
        </r>
      </text>
    </comment>
    <comment ref="AF55" authorId="0">
      <text>
        <r>
          <rPr>
            <b/>
            <sz val="12"/>
            <rFont val="宋体"/>
            <charset val="134"/>
          </rPr>
          <t>Administrator:</t>
        </r>
        <r>
          <rPr>
            <sz val="12"/>
            <rFont val="宋体"/>
            <charset val="134"/>
          </rPr>
          <t xml:space="preserve">
1003684 10/31 12600pcs B4楼B8区</t>
        </r>
      </text>
    </comment>
    <comment ref="AI55" authorId="0">
      <text>
        <r>
          <rPr>
            <b/>
            <sz val="12"/>
            <rFont val="宋体"/>
            <charset val="134"/>
          </rPr>
          <t>Administrator:</t>
        </r>
        <r>
          <rPr>
            <sz val="12"/>
            <rFont val="宋体"/>
            <charset val="134"/>
          </rPr>
          <t xml:space="preserve">
10/8 上客供外箱条码贴纸 509pcs</t>
        </r>
      </text>
    </comment>
    <comment ref="AF56" authorId="0">
      <text>
        <r>
          <rPr>
            <b/>
            <sz val="12"/>
            <rFont val="宋体"/>
            <charset val="134"/>
          </rPr>
          <t>Administrator:</t>
        </r>
        <r>
          <rPr>
            <sz val="12"/>
            <rFont val="宋体"/>
            <charset val="134"/>
          </rPr>
          <t xml:space="preserve">
1003684 10/31 1638pcs B4楼B8区</t>
        </r>
      </text>
    </comment>
    <comment ref="AI56" authorId="0">
      <text>
        <r>
          <rPr>
            <b/>
            <sz val="12"/>
            <rFont val="宋体"/>
            <charset val="134"/>
          </rPr>
          <t>Administrator:</t>
        </r>
        <r>
          <rPr>
            <sz val="12"/>
            <rFont val="宋体"/>
            <charset val="134"/>
          </rPr>
          <t xml:space="preserve">
10/8 上白色防盗贴纸 1638pcs
10/15 上KM外箱贴纸 126pcs</t>
        </r>
      </text>
    </comment>
    <comment ref="AF57" authorId="0">
      <text>
        <r>
          <rPr>
            <b/>
            <sz val="12"/>
            <rFont val="宋体"/>
            <charset val="134"/>
          </rPr>
          <t>Administrator:</t>
        </r>
        <r>
          <rPr>
            <sz val="12"/>
            <rFont val="宋体"/>
            <charset val="134"/>
          </rPr>
          <t xml:space="preserve">
1003684 10/31 130pcs B4楼B区</t>
        </r>
      </text>
    </comment>
    <comment ref="AI57" authorId="0">
      <text>
        <r>
          <rPr>
            <b/>
            <sz val="12"/>
            <rFont val="宋体"/>
            <charset val="134"/>
          </rPr>
          <t>Administrator:</t>
        </r>
        <r>
          <rPr>
            <sz val="12"/>
            <rFont val="宋体"/>
            <charset val="134"/>
          </rPr>
          <t xml:space="preserve">
10/8 上白色防盗贴纸 130pcs
10/15 上KM外箱贴纸 10pcs</t>
        </r>
      </text>
    </comment>
    <comment ref="AF58" authorId="0">
      <text>
        <r>
          <rPr>
            <b/>
            <sz val="12"/>
            <rFont val="宋体"/>
            <charset val="134"/>
          </rPr>
          <t>Administrator:</t>
        </r>
        <r>
          <rPr>
            <sz val="12"/>
            <rFont val="宋体"/>
            <charset val="134"/>
          </rPr>
          <t xml:space="preserve">
1002608 10/30 3000pcs B4楼C8区</t>
        </r>
      </text>
    </comment>
    <comment ref="AI58" authorId="0">
      <text>
        <r>
          <rPr>
            <b/>
            <sz val="12"/>
            <rFont val="宋体"/>
            <charset val="134"/>
          </rPr>
          <t>Administrator:</t>
        </r>
        <r>
          <rPr>
            <sz val="12"/>
            <rFont val="宋体"/>
            <charset val="134"/>
          </rPr>
          <t xml:space="preserve">
9/30 上客供亚马逊外箱贴纸 250pcs
10/13 上空白帖纸 6000pcs</t>
        </r>
      </text>
    </comment>
    <comment ref="AF59" authorId="0">
      <text>
        <r>
          <rPr>
            <b/>
            <sz val="12"/>
            <rFont val="宋体"/>
            <charset val="134"/>
          </rPr>
          <t>Administrator:</t>
        </r>
        <r>
          <rPr>
            <sz val="12"/>
            <rFont val="宋体"/>
            <charset val="134"/>
          </rPr>
          <t xml:space="preserve">
1002608 10/30 4500pcs B4楼B10区
1003684 10/31 2250pcs B4楼A8区
1003689 11/3  4500pcs B4楼A8区
1003676 11/4 27000pcs B4楼A8区
1002620 11/5 6750pcs  B4楼C9区
1003679 11/5 9000pcs  B4楼C9区
1002625  11/6 27500pcs B4楼C9区
</t>
        </r>
      </text>
    </comment>
    <comment ref="AI59" authorId="0">
      <text>
        <r>
          <rPr>
            <b/>
            <sz val="12"/>
            <rFont val="宋体"/>
            <charset val="134"/>
          </rPr>
          <t>Administrator:</t>
        </r>
        <r>
          <rPr>
            <sz val="12"/>
            <rFont val="宋体"/>
            <charset val="134"/>
          </rPr>
          <t xml:space="preserve">
10/22 上客供外箱条码贴纸 3293pcs</t>
        </r>
      </text>
    </comment>
    <comment ref="AF60" authorId="0">
      <text>
        <r>
          <rPr>
            <b/>
            <sz val="12"/>
            <rFont val="宋体"/>
            <charset val="134"/>
          </rPr>
          <t>Administrator:</t>
        </r>
        <r>
          <rPr>
            <sz val="12"/>
            <rFont val="宋体"/>
            <charset val="134"/>
          </rPr>
          <t xml:space="preserve">
1003670 11/4  930pcs 华兴一F12
1003668 11/4 2880pcs 华兴一F12</t>
        </r>
      </text>
    </comment>
    <comment ref="AF61" authorId="0">
      <text>
        <r>
          <rPr>
            <b/>
            <sz val="12"/>
            <rFont val="宋体"/>
            <charset val="134"/>
          </rPr>
          <t>Administrator:</t>
        </r>
        <r>
          <rPr>
            <sz val="12"/>
            <rFont val="宋体"/>
            <charset val="134"/>
          </rPr>
          <t xml:space="preserve">
1003689 11/3 9480pcs B4楼B9区</t>
        </r>
      </text>
    </comment>
    <comment ref="AF62" authorId="0">
      <text>
        <r>
          <rPr>
            <b/>
            <sz val="12"/>
            <rFont val="宋体"/>
            <charset val="134"/>
          </rPr>
          <t>Administrator:</t>
        </r>
        <r>
          <rPr>
            <sz val="12"/>
            <rFont val="宋体"/>
            <charset val="134"/>
          </rPr>
          <t xml:space="preserve">
1003689 11/3 5190pcs B4楼C8区</t>
        </r>
      </text>
    </comment>
    <comment ref="AF63" authorId="0">
      <text>
        <r>
          <rPr>
            <b/>
            <sz val="12"/>
            <rFont val="宋体"/>
            <charset val="134"/>
          </rPr>
          <t>Administrator:</t>
        </r>
        <r>
          <rPr>
            <sz val="12"/>
            <rFont val="宋体"/>
            <charset val="134"/>
          </rPr>
          <t xml:space="preserve">
1003668 11/4 3030pcs 华兴一F12</t>
        </r>
      </text>
    </comment>
    <comment ref="AF64" authorId="0">
      <text>
        <r>
          <rPr>
            <b/>
            <sz val="12"/>
            <rFont val="宋体"/>
            <charset val="134"/>
          </rPr>
          <t>Administrator:</t>
        </r>
        <r>
          <rPr>
            <sz val="12"/>
            <rFont val="宋体"/>
            <charset val="134"/>
          </rPr>
          <t xml:space="preserve">
1003689 11/3 780pcs B4楼B9区</t>
        </r>
      </text>
    </comment>
    <comment ref="AI64" authorId="0">
      <text>
        <r>
          <rPr>
            <b/>
            <sz val="12"/>
            <rFont val="宋体"/>
            <charset val="134"/>
          </rPr>
          <t>Administrator:</t>
        </r>
        <r>
          <rPr>
            <sz val="12"/>
            <rFont val="宋体"/>
            <charset val="134"/>
          </rPr>
          <t xml:space="preserve">
9/18 上客供警语贴纸贴球底部 808pcs
     上客供警语贴纸贴收藏指南 810pcs</t>
        </r>
      </text>
    </comment>
    <comment ref="AF65" authorId="0">
      <text>
        <r>
          <rPr>
            <b/>
            <sz val="12"/>
            <rFont val="宋体"/>
            <charset val="134"/>
          </rPr>
          <t>Administrator:</t>
        </r>
        <r>
          <rPr>
            <sz val="12"/>
            <rFont val="宋体"/>
            <charset val="134"/>
          </rPr>
          <t xml:space="preserve">
1003679 11/5 960pcs B4楼C9区</t>
        </r>
      </text>
    </comment>
    <comment ref="AI65" authorId="0">
      <text>
        <r>
          <rPr>
            <b/>
            <sz val="12"/>
            <rFont val="宋体"/>
            <charset val="134"/>
          </rPr>
          <t>Administrator:</t>
        </r>
        <r>
          <rPr>
            <sz val="12"/>
            <rFont val="宋体"/>
            <charset val="134"/>
          </rPr>
          <t xml:space="preserve">
10/17 上客供RFID贴纸 960pcs</t>
        </r>
      </text>
    </comment>
    <comment ref="AF66" authorId="0">
      <text>
        <r>
          <rPr>
            <b/>
            <sz val="12"/>
            <rFont val="宋体"/>
            <charset val="134"/>
          </rPr>
          <t>Administrator:</t>
        </r>
        <r>
          <rPr>
            <sz val="12"/>
            <rFont val="宋体"/>
            <charset val="134"/>
          </rPr>
          <t xml:space="preserve">
1002625 11/6 960pcs B4楼A9区</t>
        </r>
      </text>
    </comment>
    <comment ref="AI66" authorId="0">
      <text>
        <r>
          <rPr>
            <b/>
            <sz val="12"/>
            <rFont val="宋体"/>
            <charset val="134"/>
          </rPr>
          <t>Administrator:</t>
        </r>
        <r>
          <rPr>
            <sz val="12"/>
            <rFont val="宋体"/>
            <charset val="134"/>
          </rPr>
          <t xml:space="preserve">
10/17 上客供RFID贴纸 960pcs</t>
        </r>
      </text>
    </comment>
    <comment ref="AF67" authorId="0">
      <text>
        <r>
          <rPr>
            <b/>
            <sz val="12"/>
            <rFont val="宋体"/>
            <charset val="134"/>
          </rPr>
          <t>Administrator:</t>
        </r>
        <r>
          <rPr>
            <sz val="12"/>
            <rFont val="宋体"/>
            <charset val="134"/>
          </rPr>
          <t xml:space="preserve">
1002620 11/5 960pcs B4楼B9区</t>
        </r>
      </text>
    </comment>
    <comment ref="AI67" authorId="0">
      <text>
        <r>
          <rPr>
            <b/>
            <sz val="12"/>
            <rFont val="宋体"/>
            <charset val="134"/>
          </rPr>
          <t>Administrator:</t>
        </r>
        <r>
          <rPr>
            <sz val="12"/>
            <rFont val="宋体"/>
            <charset val="134"/>
          </rPr>
          <t xml:space="preserve">
10/17 上客供RFID贴纸 960pcs</t>
        </r>
      </text>
    </comment>
    <comment ref="AF68" authorId="0">
      <text>
        <r>
          <rPr>
            <b/>
            <sz val="12"/>
            <rFont val="宋体"/>
            <charset val="134"/>
          </rPr>
          <t>Administrator:</t>
        </r>
        <r>
          <rPr>
            <sz val="12"/>
            <rFont val="宋体"/>
            <charset val="134"/>
          </rPr>
          <t xml:space="preserve">
1002625 11/6 504pcs B4楼B9区</t>
        </r>
      </text>
    </comment>
    <comment ref="AI68" authorId="0">
      <text>
        <r>
          <rPr>
            <b/>
            <sz val="12"/>
            <rFont val="宋体"/>
            <charset val="134"/>
          </rPr>
          <t>Administrator:</t>
        </r>
        <r>
          <rPr>
            <sz val="12"/>
            <rFont val="宋体"/>
            <charset val="134"/>
          </rPr>
          <t xml:space="preserve">
10/22 上客人白色Cat label 504pcs</t>
        </r>
      </text>
    </comment>
    <comment ref="AF69" authorId="0">
      <text>
        <r>
          <rPr>
            <b/>
            <sz val="12"/>
            <rFont val="宋体"/>
            <charset val="134"/>
          </rPr>
          <t>Administrator:</t>
        </r>
        <r>
          <rPr>
            <sz val="12"/>
            <rFont val="宋体"/>
            <charset val="134"/>
          </rPr>
          <t xml:space="preserve">
0004891 9/15 50套散件</t>
        </r>
      </text>
    </comment>
    <comment ref="AF70" authorId="0">
      <text>
        <r>
          <rPr>
            <b/>
            <sz val="12"/>
            <rFont val="宋体"/>
            <charset val="134"/>
          </rPr>
          <t>Administrator:</t>
        </r>
        <r>
          <rPr>
            <sz val="12"/>
            <rFont val="宋体"/>
            <charset val="134"/>
          </rPr>
          <t xml:space="preserve">
1002660 11/11 17350pcs B4楼A7区</t>
        </r>
      </text>
    </comment>
    <comment ref="AI70" authorId="0">
      <text>
        <r>
          <rPr>
            <b/>
            <sz val="12"/>
            <rFont val="宋体"/>
            <charset val="134"/>
          </rPr>
          <t>Administrator:</t>
        </r>
        <r>
          <rPr>
            <sz val="12"/>
            <rFont val="宋体"/>
            <charset val="134"/>
          </rPr>
          <t xml:space="preserve">
10/17 上客供外箱条码贴纸 701pcs</t>
        </r>
      </text>
    </comment>
    <comment ref="AF71" authorId="0">
      <text>
        <r>
          <rPr>
            <b/>
            <sz val="12"/>
            <rFont val="宋体"/>
            <charset val="134"/>
          </rPr>
          <t>Administrator:</t>
        </r>
        <r>
          <rPr>
            <sz val="12"/>
            <rFont val="宋体"/>
            <charset val="134"/>
          </rPr>
          <t xml:space="preserve">
1002656 11/10 2080pcs B4楼B9区</t>
        </r>
      </text>
    </comment>
    <comment ref="AF72" authorId="0">
      <text>
        <r>
          <rPr>
            <b/>
            <sz val="12"/>
            <rFont val="宋体"/>
            <charset val="134"/>
          </rPr>
          <t>Administrator:</t>
        </r>
        <r>
          <rPr>
            <sz val="12"/>
            <rFont val="宋体"/>
            <charset val="134"/>
          </rPr>
          <t xml:space="preserve">
1002656 11/10 1131pcs B4楼A9区</t>
        </r>
      </text>
    </comment>
    <comment ref="AF73" authorId="0">
      <text>
        <r>
          <rPr>
            <b/>
            <sz val="12"/>
            <rFont val="宋体"/>
            <charset val="134"/>
          </rPr>
          <t>Administrator:</t>
        </r>
        <r>
          <rPr>
            <sz val="12"/>
            <rFont val="宋体"/>
            <charset val="134"/>
          </rPr>
          <t xml:space="preserve">
1002652 11/10 6318pcs B4楼B8区</t>
        </r>
      </text>
    </comment>
    <comment ref="AI73" authorId="0">
      <text>
        <r>
          <rPr>
            <b/>
            <sz val="12"/>
            <rFont val="宋体"/>
            <charset val="134"/>
          </rPr>
          <t>Administrator:</t>
        </r>
        <r>
          <rPr>
            <sz val="12"/>
            <rFont val="宋体"/>
            <charset val="134"/>
          </rPr>
          <t xml:space="preserve">
10/8 上白色防盗贴纸 6318pcs
10/22 上KM外箱贴纸 486pcs</t>
        </r>
      </text>
    </comment>
    <comment ref="AF74" authorId="0">
      <text>
        <r>
          <rPr>
            <b/>
            <sz val="12"/>
            <rFont val="宋体"/>
            <charset val="134"/>
          </rPr>
          <t>Administrator:</t>
        </r>
        <r>
          <rPr>
            <sz val="12"/>
            <rFont val="宋体"/>
            <charset val="134"/>
          </rPr>
          <t xml:space="preserve">
1002652 11/10 702pcs B4楼B9区</t>
        </r>
      </text>
    </comment>
    <comment ref="AI74" authorId="0">
      <text>
        <r>
          <rPr>
            <b/>
            <sz val="12"/>
            <rFont val="宋体"/>
            <charset val="134"/>
          </rPr>
          <t>Administrator:</t>
        </r>
        <r>
          <rPr>
            <sz val="12"/>
            <rFont val="宋体"/>
            <charset val="134"/>
          </rPr>
          <t xml:space="preserve">
10/8 上白色防盗贴纸 702pcs
10/22 上KM外箱贴纸 54pcs</t>
        </r>
      </text>
    </comment>
    <comment ref="AF75" authorId="0">
      <text>
        <r>
          <rPr>
            <b/>
            <sz val="12"/>
            <rFont val="宋体"/>
            <charset val="134"/>
          </rPr>
          <t>Administrator:</t>
        </r>
        <r>
          <rPr>
            <sz val="12"/>
            <rFont val="宋体"/>
            <charset val="134"/>
          </rPr>
          <t xml:space="preserve">
1003689 11/3 360pcs B4楼B9区</t>
        </r>
      </text>
    </comment>
    <comment ref="AF76" authorId="0">
      <text>
        <r>
          <rPr>
            <b/>
            <sz val="12"/>
            <rFont val="宋体"/>
            <charset val="134"/>
          </rPr>
          <t>Administrator:</t>
        </r>
        <r>
          <rPr>
            <sz val="12"/>
            <rFont val="宋体"/>
            <charset val="134"/>
          </rPr>
          <t xml:space="preserve">
1003689 11/3 120pcs A栋一楼</t>
        </r>
      </text>
    </comment>
    <comment ref="AF77" authorId="0">
      <text>
        <r>
          <rPr>
            <b/>
            <sz val="12"/>
            <rFont val="宋体"/>
            <charset val="134"/>
          </rPr>
          <t>Administrator:</t>
        </r>
        <r>
          <rPr>
            <sz val="12"/>
            <rFont val="宋体"/>
            <charset val="134"/>
          </rPr>
          <t xml:space="preserve">
1003651 10/23 5套</t>
        </r>
      </text>
    </comment>
    <comment ref="AF78" authorId="0">
      <text>
        <r>
          <rPr>
            <b/>
            <sz val="12"/>
            <rFont val="宋体"/>
            <charset val="134"/>
          </rPr>
          <t>Administrator:</t>
        </r>
        <r>
          <rPr>
            <sz val="12"/>
            <rFont val="宋体"/>
            <charset val="134"/>
          </rPr>
          <t xml:space="preserve">
1002691 11/13 13900pcs B4楼B8区</t>
        </r>
      </text>
    </comment>
    <comment ref="AI78" authorId="0">
      <text>
        <r>
          <rPr>
            <b/>
            <sz val="12"/>
            <rFont val="宋体"/>
            <charset val="134"/>
          </rPr>
          <t>Administrator:</t>
        </r>
        <r>
          <rPr>
            <sz val="12"/>
            <rFont val="宋体"/>
            <charset val="134"/>
          </rPr>
          <t xml:space="preserve">
10/17 上客供外箱条码贴纸 561pcs</t>
        </r>
      </text>
    </comment>
    <comment ref="AF79" authorId="0">
      <text>
        <r>
          <rPr>
            <b/>
            <sz val="12"/>
            <rFont val="宋体"/>
            <charset val="134"/>
          </rPr>
          <t>Administrator:</t>
        </r>
        <r>
          <rPr>
            <sz val="12"/>
            <rFont val="宋体"/>
            <charset val="134"/>
          </rPr>
          <t xml:space="preserve">
1002691 11/13 611pcs B4楼A9区</t>
        </r>
      </text>
    </comment>
    <comment ref="AI79" authorId="0">
      <text>
        <r>
          <rPr>
            <b/>
            <sz val="12"/>
            <rFont val="宋体"/>
            <charset val="134"/>
          </rPr>
          <t>Administrator:</t>
        </r>
        <r>
          <rPr>
            <sz val="12"/>
            <rFont val="宋体"/>
            <charset val="134"/>
          </rPr>
          <t xml:space="preserve">
9/29 上警告语贴纸 611pcs</t>
        </r>
      </text>
    </comment>
    <comment ref="AF80" authorId="0">
      <text>
        <r>
          <rPr>
            <b/>
            <sz val="12"/>
            <rFont val="宋体"/>
            <charset val="134"/>
          </rPr>
          <t>Administrator:</t>
        </r>
        <r>
          <rPr>
            <sz val="12"/>
            <rFont val="宋体"/>
            <charset val="134"/>
          </rPr>
          <t xml:space="preserve">
1003023 11/13 1925pcs B4楼A9区</t>
        </r>
      </text>
    </comment>
    <comment ref="AI80" authorId="0">
      <text>
        <r>
          <rPr>
            <b/>
            <sz val="12"/>
            <rFont val="宋体"/>
            <charset val="134"/>
          </rPr>
          <t>Administrator:</t>
        </r>
        <r>
          <rPr>
            <sz val="12"/>
            <rFont val="宋体"/>
            <charset val="134"/>
          </rPr>
          <t xml:space="preserve">
10/23 上DE警语贴纸 1925pcs
      上产品图片贴纸 154pcs</t>
        </r>
      </text>
    </comment>
    <comment ref="AF81" authorId="0">
      <text>
        <r>
          <rPr>
            <b/>
            <sz val="12"/>
            <rFont val="宋体"/>
            <charset val="134"/>
          </rPr>
          <t>Administrator:</t>
        </r>
        <r>
          <rPr>
            <sz val="12"/>
            <rFont val="宋体"/>
            <charset val="134"/>
          </rPr>
          <t xml:space="preserve">
1003676 11/4 750pcs B4楼A9区
</t>
        </r>
      </text>
    </comment>
    <comment ref="AF82" authorId="0">
      <text>
        <r>
          <rPr>
            <b/>
            <sz val="12"/>
            <rFont val="宋体"/>
            <charset val="134"/>
          </rPr>
          <t>Administrator:</t>
        </r>
        <r>
          <rPr>
            <sz val="12"/>
            <rFont val="宋体"/>
            <charset val="134"/>
          </rPr>
          <t xml:space="preserve">
1003028 11/15 1664pcs 华兴三B16</t>
        </r>
      </text>
    </comment>
    <comment ref="AI82" authorId="0">
      <text>
        <r>
          <rPr>
            <b/>
            <sz val="12"/>
            <rFont val="宋体"/>
            <charset val="134"/>
          </rPr>
          <t>Administrator:</t>
        </r>
        <r>
          <rPr>
            <sz val="12"/>
            <rFont val="宋体"/>
            <charset val="134"/>
          </rPr>
          <t xml:space="preserve">
10/22 上进口商贴纸 4836pcs</t>
        </r>
      </text>
    </comment>
    <comment ref="AF83" authorId="0">
      <text>
        <r>
          <rPr>
            <b/>
            <sz val="12"/>
            <rFont val="宋体"/>
            <charset val="134"/>
          </rPr>
          <t>Administrator:</t>
        </r>
        <r>
          <rPr>
            <sz val="12"/>
            <rFont val="宋体"/>
            <charset val="134"/>
          </rPr>
          <t xml:space="preserve">
1003028 11/15 1456pcs 华兴三B16</t>
        </r>
      </text>
    </comment>
    <comment ref="AF84" authorId="0">
      <text>
        <r>
          <rPr>
            <b/>
            <sz val="12"/>
            <rFont val="宋体"/>
            <charset val="134"/>
          </rPr>
          <t>Administrator:</t>
        </r>
        <r>
          <rPr>
            <sz val="12"/>
            <rFont val="宋体"/>
            <charset val="134"/>
          </rPr>
          <t xml:space="preserve">
1003028 11/15 1196pcs 华兴三B16</t>
        </r>
      </text>
    </comment>
    <comment ref="AF85" authorId="0">
      <text>
        <r>
          <rPr>
            <b/>
            <sz val="12"/>
            <rFont val="宋体"/>
            <charset val="134"/>
          </rPr>
          <t>Administrator:</t>
        </r>
        <r>
          <rPr>
            <sz val="12"/>
            <rFont val="宋体"/>
            <charset val="134"/>
          </rPr>
          <t xml:space="preserve">
1003028 11/15 520pcs 华兴三B16</t>
        </r>
      </text>
    </comment>
    <comment ref="AF86" authorId="0">
      <text>
        <r>
          <rPr>
            <b/>
            <sz val="12"/>
            <rFont val="宋体"/>
            <charset val="134"/>
          </rPr>
          <t>Administrator:</t>
        </r>
        <r>
          <rPr>
            <sz val="12"/>
            <rFont val="宋体"/>
            <charset val="134"/>
          </rPr>
          <t xml:space="preserve">
1002691 11/13 780pcs B4楼A9区</t>
        </r>
      </text>
    </comment>
    <comment ref="AI86" authorId="0">
      <text>
        <r>
          <rPr>
            <b/>
            <sz val="12"/>
            <rFont val="宋体"/>
            <charset val="134"/>
          </rPr>
          <t>Administrator:</t>
        </r>
        <r>
          <rPr>
            <sz val="12"/>
            <rFont val="宋体"/>
            <charset val="134"/>
          </rPr>
          <t xml:space="preserve">
10/30 上多语警语可折叠贴纸 780pcs</t>
        </r>
      </text>
    </comment>
    <comment ref="AF87" authorId="0">
      <text>
        <r>
          <rPr>
            <b/>
            <sz val="12"/>
            <rFont val="宋体"/>
            <charset val="134"/>
          </rPr>
          <t>Administrator:</t>
        </r>
        <r>
          <rPr>
            <sz val="12"/>
            <rFont val="宋体"/>
            <charset val="134"/>
          </rPr>
          <t xml:space="preserve">
1003016 11/17 960pcs 华兴三B1</t>
        </r>
      </text>
    </comment>
    <comment ref="AI87" authorId="0">
      <text>
        <r>
          <rPr>
            <b/>
            <sz val="12"/>
            <rFont val="宋体"/>
            <charset val="134"/>
          </rPr>
          <t>Administrator:</t>
        </r>
        <r>
          <rPr>
            <sz val="12"/>
            <rFont val="宋体"/>
            <charset val="134"/>
          </rPr>
          <t xml:space="preserve">
10/31 上客供RFID帖纸 960pcs</t>
        </r>
      </text>
    </comment>
    <comment ref="AF88" authorId="0">
      <text>
        <r>
          <rPr>
            <b/>
            <sz val="12"/>
            <rFont val="宋体"/>
            <charset val="134"/>
          </rPr>
          <t>Administrator:</t>
        </r>
        <r>
          <rPr>
            <sz val="12"/>
            <rFont val="宋体"/>
            <charset val="134"/>
          </rPr>
          <t xml:space="preserve">
1003016 11/17 960pcs 华兴三B1</t>
        </r>
      </text>
    </comment>
    <comment ref="AI88" authorId="0">
      <text>
        <r>
          <rPr>
            <b/>
            <sz val="12"/>
            <rFont val="宋体"/>
            <charset val="134"/>
          </rPr>
          <t>Administrator:</t>
        </r>
        <r>
          <rPr>
            <sz val="12"/>
            <rFont val="宋体"/>
            <charset val="134"/>
          </rPr>
          <t xml:space="preserve">
10/31 上客供RFID帖纸 960pcs</t>
        </r>
      </text>
    </comment>
    <comment ref="AF89" authorId="0">
      <text>
        <r>
          <rPr>
            <b/>
            <sz val="12"/>
            <rFont val="宋体"/>
            <charset val="134"/>
          </rPr>
          <t>Administrator:</t>
        </r>
        <r>
          <rPr>
            <sz val="12"/>
            <rFont val="宋体"/>
            <charset val="134"/>
          </rPr>
          <t xml:space="preserve">
1003016 11/17 960pcs 华兴三B1</t>
        </r>
      </text>
    </comment>
    <comment ref="AI89" authorId="0">
      <text>
        <r>
          <rPr>
            <b/>
            <sz val="12"/>
            <rFont val="宋体"/>
            <charset val="134"/>
          </rPr>
          <t>Administrator:</t>
        </r>
        <r>
          <rPr>
            <sz val="12"/>
            <rFont val="宋体"/>
            <charset val="134"/>
          </rPr>
          <t xml:space="preserve">
10/31 上客供RFID帖纸 960pcs</t>
        </r>
      </text>
    </comment>
    <comment ref="AF90" authorId="0">
      <text>
        <r>
          <rPr>
            <b/>
            <sz val="12"/>
            <rFont val="宋体"/>
            <charset val="134"/>
          </rPr>
          <t>Administrator:</t>
        </r>
        <r>
          <rPr>
            <sz val="12"/>
            <rFont val="宋体"/>
            <charset val="134"/>
          </rPr>
          <t xml:space="preserve">
1002999 11/18 19125pcs B4楼A6区</t>
        </r>
      </text>
    </comment>
    <comment ref="AI90" authorId="0">
      <text>
        <r>
          <rPr>
            <b/>
            <sz val="12"/>
            <rFont val="宋体"/>
            <charset val="134"/>
          </rPr>
          <t>Administrator:</t>
        </r>
        <r>
          <rPr>
            <sz val="12"/>
            <rFont val="宋体"/>
            <charset val="134"/>
          </rPr>
          <t xml:space="preserve">
10/27 上客供外箱条码帖纸 773pcs</t>
        </r>
      </text>
    </comment>
    <comment ref="AF91" authorId="0">
      <text>
        <r>
          <rPr>
            <b/>
            <sz val="12"/>
            <rFont val="宋体"/>
            <charset val="134"/>
          </rPr>
          <t>Administrator:</t>
        </r>
        <r>
          <rPr>
            <sz val="12"/>
            <rFont val="宋体"/>
            <charset val="134"/>
          </rPr>
          <t xml:space="preserve">
1002959 11/20 600pcs B4楼B10区</t>
        </r>
      </text>
    </comment>
    <comment ref="AI91" authorId="0">
      <text>
        <r>
          <rPr>
            <b/>
            <sz val="12"/>
            <rFont val="宋体"/>
            <charset val="134"/>
          </rPr>
          <t>Administrator:</t>
        </r>
        <r>
          <rPr>
            <sz val="12"/>
            <rFont val="宋体"/>
            <charset val="134"/>
          </rPr>
          <t xml:space="preserve">
10/22 上环保标贴纸 600pcs
10/28 上亚马逊外箱贴纸 50pcs
11/6 上环保贴纸 600pcs</t>
        </r>
      </text>
    </comment>
    <comment ref="AF92" authorId="0">
      <text>
        <r>
          <rPr>
            <b/>
            <sz val="12"/>
            <rFont val="宋体"/>
            <charset val="134"/>
          </rPr>
          <t>Administrator:</t>
        </r>
        <r>
          <rPr>
            <sz val="12"/>
            <rFont val="宋体"/>
            <charset val="134"/>
          </rPr>
          <t xml:space="preserve">
1002953 11/19 2370pcs B4楼A1区</t>
        </r>
      </text>
    </comment>
    <comment ref="AF93" authorId="0">
      <text>
        <r>
          <rPr>
            <b/>
            <sz val="12"/>
            <rFont val="宋体"/>
            <charset val="134"/>
          </rPr>
          <t>Administrator:</t>
        </r>
        <r>
          <rPr>
            <sz val="12"/>
            <rFont val="宋体"/>
            <charset val="134"/>
          </rPr>
          <t xml:space="preserve">
1003016 11/17 960pcs 华兴三B1</t>
        </r>
      </text>
    </comment>
    <comment ref="AI93" authorId="0">
      <text>
        <r>
          <rPr>
            <b/>
            <sz val="12"/>
            <rFont val="宋体"/>
            <charset val="134"/>
          </rPr>
          <t>Administrator:</t>
        </r>
        <r>
          <rPr>
            <sz val="12"/>
            <rFont val="宋体"/>
            <charset val="134"/>
          </rPr>
          <t xml:space="preserve">
10/31 上客供RFID帖纸 960pcs</t>
        </r>
      </text>
    </comment>
    <comment ref="AF94" authorId="0">
      <text>
        <r>
          <rPr>
            <b/>
            <sz val="12"/>
            <rFont val="宋体"/>
            <charset val="134"/>
          </rPr>
          <t>Administrator:</t>
        </r>
        <r>
          <rPr>
            <sz val="12"/>
            <rFont val="宋体"/>
            <charset val="134"/>
          </rPr>
          <t xml:space="preserve">
1002999 11/18 624pcs B4楼A7区</t>
        </r>
      </text>
    </comment>
    <comment ref="AI94" authorId="0">
      <text>
        <r>
          <rPr>
            <b/>
            <sz val="12"/>
            <rFont val="宋体"/>
            <charset val="134"/>
          </rPr>
          <t>Administrator:</t>
        </r>
        <r>
          <rPr>
            <sz val="12"/>
            <rFont val="宋体"/>
            <charset val="134"/>
          </rPr>
          <t xml:space="preserve">
10/23 上进口商贴纸 624pcs</t>
        </r>
      </text>
    </comment>
    <comment ref="AF95" authorId="0">
      <text>
        <r>
          <rPr>
            <b/>
            <sz val="12"/>
            <rFont val="宋体"/>
            <charset val="134"/>
          </rPr>
          <t>Administrator:</t>
        </r>
        <r>
          <rPr>
            <sz val="12"/>
            <rFont val="宋体"/>
            <charset val="134"/>
          </rPr>
          <t xml:space="preserve">
1002999 11/18 1300pcs B4楼A7区</t>
        </r>
      </text>
    </comment>
    <comment ref="AF96" authorId="0">
      <text>
        <r>
          <rPr>
            <b/>
            <sz val="12"/>
            <rFont val="宋体"/>
            <charset val="134"/>
          </rPr>
          <t>Administrator:</t>
        </r>
        <r>
          <rPr>
            <sz val="12"/>
            <rFont val="宋体"/>
            <charset val="134"/>
          </rPr>
          <t xml:space="preserve">
1002999 11/18 1950pcs B4楼B5区</t>
        </r>
      </text>
    </comment>
    <comment ref="AF97" authorId="0">
      <text>
        <r>
          <rPr>
            <b/>
            <sz val="12"/>
            <rFont val="宋体"/>
            <charset val="134"/>
          </rPr>
          <t>Administrator:</t>
        </r>
        <r>
          <rPr>
            <sz val="12"/>
            <rFont val="宋体"/>
            <charset val="134"/>
          </rPr>
          <t xml:space="preserve">
1003028 11/15 1170pcs 华兴三B14</t>
        </r>
      </text>
    </comment>
    <comment ref="AI97" authorId="0">
      <text>
        <r>
          <rPr>
            <b/>
            <sz val="12"/>
            <rFont val="宋体"/>
            <charset val="134"/>
          </rPr>
          <t>Administrator:</t>
        </r>
        <r>
          <rPr>
            <sz val="12"/>
            <rFont val="宋体"/>
            <charset val="134"/>
          </rPr>
          <t xml:space="preserve">
11/6 上警告语贴纸 1170pcs</t>
        </r>
      </text>
    </comment>
    <comment ref="AF98" authorId="0">
      <text>
        <r>
          <rPr>
            <b/>
            <sz val="12"/>
            <rFont val="宋体"/>
            <charset val="134"/>
          </rPr>
          <t>Administrator:</t>
        </r>
        <r>
          <rPr>
            <sz val="12"/>
            <rFont val="宋体"/>
            <charset val="134"/>
          </rPr>
          <t xml:space="preserve">
1002959 11/20 504pcs B4楼B10区
</t>
        </r>
      </text>
    </comment>
    <comment ref="AI98" authorId="0">
      <text>
        <r>
          <rPr>
            <b/>
            <sz val="12"/>
            <rFont val="宋体"/>
            <charset val="134"/>
          </rPr>
          <t>Administrator:</t>
        </r>
        <r>
          <rPr>
            <sz val="12"/>
            <rFont val="宋体"/>
            <charset val="134"/>
          </rPr>
          <t xml:space="preserve">
11/6 上环保标贴纸 2100pcs
181123/181162共用</t>
        </r>
      </text>
    </comment>
    <comment ref="AF99" authorId="0">
      <text>
        <r>
          <rPr>
            <b/>
            <sz val="12"/>
            <rFont val="宋体"/>
            <charset val="134"/>
          </rPr>
          <t>Administrator:</t>
        </r>
        <r>
          <rPr>
            <sz val="12"/>
            <rFont val="宋体"/>
            <charset val="134"/>
          </rPr>
          <t xml:space="preserve">
1002959 11/20 504pcs B4楼B10区
</t>
        </r>
      </text>
    </comment>
    <comment ref="AI99" authorId="0">
      <text>
        <r>
          <rPr>
            <b/>
            <sz val="12"/>
            <rFont val="宋体"/>
            <charset val="134"/>
          </rPr>
          <t>Administrator:</t>
        </r>
        <r>
          <rPr>
            <sz val="12"/>
            <rFont val="宋体"/>
            <charset val="134"/>
          </rPr>
          <t xml:space="preserve">
11/6 上环保标贴纸 2100pcs
181123/181162共用</t>
        </r>
      </text>
    </comment>
    <comment ref="AF100" authorId="0">
      <text>
        <r>
          <rPr>
            <b/>
            <sz val="12"/>
            <rFont val="宋体"/>
            <charset val="134"/>
          </rPr>
          <t>Administrator:</t>
        </r>
        <r>
          <rPr>
            <sz val="12"/>
            <rFont val="宋体"/>
            <charset val="134"/>
          </rPr>
          <t xml:space="preserve">
1003028 11/15 130pcs 华兴三B14</t>
        </r>
      </text>
    </comment>
    <comment ref="AI100" authorId="0">
      <text>
        <r>
          <rPr>
            <b/>
            <sz val="12"/>
            <rFont val="宋体"/>
            <charset val="134"/>
          </rPr>
          <t>Administrator:</t>
        </r>
        <r>
          <rPr>
            <sz val="12"/>
            <rFont val="宋体"/>
            <charset val="134"/>
          </rPr>
          <t xml:space="preserve">
11/4 上进口商贴纸 310pcs</t>
        </r>
      </text>
    </comment>
    <comment ref="AF101" authorId="0">
      <text>
        <r>
          <rPr>
            <b/>
            <sz val="12"/>
            <rFont val="宋体"/>
            <charset val="134"/>
          </rPr>
          <t>Administrator:</t>
        </r>
        <r>
          <rPr>
            <sz val="12"/>
            <rFont val="宋体"/>
            <charset val="134"/>
          </rPr>
          <t xml:space="preserve">
1003016 11/17 180pcs 华兴三B8</t>
        </r>
      </text>
    </comment>
    <comment ref="AF102" authorId="0">
      <text>
        <r>
          <rPr>
            <b/>
            <sz val="12"/>
            <rFont val="宋体"/>
            <charset val="134"/>
          </rPr>
          <t>Administrator:</t>
        </r>
        <r>
          <rPr>
            <sz val="12"/>
            <rFont val="宋体"/>
            <charset val="134"/>
          </rPr>
          <t xml:space="preserve">
1002959 11/20 588pcs B4楼B10区
</t>
        </r>
      </text>
    </comment>
    <comment ref="AI102" authorId="0">
      <text>
        <r>
          <rPr>
            <b/>
            <sz val="12"/>
            <rFont val="宋体"/>
            <charset val="134"/>
          </rPr>
          <t>Administrator:</t>
        </r>
        <r>
          <rPr>
            <sz val="12"/>
            <rFont val="宋体"/>
            <charset val="134"/>
          </rPr>
          <t xml:space="preserve">
11/6 上环保标贴纸 2100pcs
181123/181162共用
11/12 上亚马逊外箱贴纸 49pcs</t>
        </r>
      </text>
    </comment>
    <comment ref="AF103" authorId="0">
      <text>
        <r>
          <rPr>
            <b/>
            <sz val="12"/>
            <rFont val="宋体"/>
            <charset val="134"/>
          </rPr>
          <t>Administrator:</t>
        </r>
        <r>
          <rPr>
            <sz val="12"/>
            <rFont val="宋体"/>
            <charset val="134"/>
          </rPr>
          <t xml:space="preserve">
1002966 11/21 504pcs B4楼B9区</t>
        </r>
      </text>
    </comment>
    <comment ref="AI103" authorId="0">
      <text>
        <r>
          <rPr>
            <b/>
            <sz val="12"/>
            <rFont val="宋体"/>
            <charset val="134"/>
          </rPr>
          <t>Administrator:</t>
        </r>
        <r>
          <rPr>
            <sz val="12"/>
            <rFont val="宋体"/>
            <charset val="134"/>
          </rPr>
          <t xml:space="preserve">
11/6 上环保标贴纸 2100pcs
181123/181162共用
11/12 上亚马逊外箱贴纸 42pcs</t>
        </r>
      </text>
    </comment>
    <comment ref="AF104" authorId="0">
      <text>
        <r>
          <rPr>
            <b/>
            <sz val="12"/>
            <rFont val="宋体"/>
            <charset val="134"/>
          </rPr>
          <t>Administrator:</t>
        </r>
        <r>
          <rPr>
            <sz val="12"/>
            <rFont val="宋体"/>
            <charset val="134"/>
          </rPr>
          <t xml:space="preserve">
1002966 11/21 3150pcs B4楼B9区</t>
        </r>
      </text>
    </comment>
    <comment ref="AF105" authorId="0">
      <text>
        <r>
          <rPr>
            <b/>
            <sz val="12"/>
            <rFont val="宋体"/>
            <charset val="134"/>
          </rPr>
          <t>Administrator:</t>
        </r>
        <r>
          <rPr>
            <sz val="12"/>
            <rFont val="宋体"/>
            <charset val="134"/>
          </rPr>
          <t xml:space="preserve">
1002966 11/21 1850pcs B4楼B10区</t>
        </r>
      </text>
    </comment>
    <comment ref="AF106" authorId="0">
      <text>
        <r>
          <rPr>
            <b/>
            <sz val="12"/>
            <rFont val="宋体"/>
            <charset val="134"/>
          </rPr>
          <t>Administrator:</t>
        </r>
        <r>
          <rPr>
            <sz val="12"/>
            <rFont val="宋体"/>
            <charset val="134"/>
          </rPr>
          <t xml:space="preserve">
1002698 11/26 408pcs B4楼B9区</t>
        </r>
      </text>
    </comment>
    <comment ref="AI106" authorId="0">
      <text>
        <r>
          <rPr>
            <b/>
            <sz val="12"/>
            <rFont val="宋体"/>
            <charset val="134"/>
          </rPr>
          <t>Administrator:</t>
        </r>
        <r>
          <rPr>
            <sz val="12"/>
            <rFont val="宋体"/>
            <charset val="134"/>
          </rPr>
          <t xml:space="preserve">
11/14 上进口商贴纸 408pcs
11/19 上QR code贴纸 408pcs</t>
        </r>
      </text>
    </comment>
    <comment ref="AF107" authorId="0">
      <text>
        <r>
          <rPr>
            <b/>
            <sz val="12"/>
            <rFont val="宋体"/>
            <charset val="134"/>
          </rPr>
          <t>Administrator:</t>
        </r>
        <r>
          <rPr>
            <sz val="12"/>
            <rFont val="宋体"/>
            <charset val="134"/>
          </rPr>
          <t xml:space="preserve">
1003070 11/29 3250pcs</t>
        </r>
      </text>
    </comment>
    <comment ref="AI107" authorId="0">
      <text>
        <r>
          <rPr>
            <b/>
            <sz val="12"/>
            <rFont val="宋体"/>
            <charset val="134"/>
          </rPr>
          <t>Administrator:</t>
        </r>
        <r>
          <rPr>
            <sz val="12"/>
            <rFont val="宋体"/>
            <charset val="134"/>
          </rPr>
          <t xml:space="preserve">
10/21 上警告语进口商贴纸 3250pcs</t>
        </r>
      </text>
    </comment>
    <comment ref="AF108" authorId="0">
      <text>
        <r>
          <rPr>
            <b/>
            <sz val="12"/>
            <rFont val="宋体"/>
            <charset val="134"/>
          </rPr>
          <t>Administrator:</t>
        </r>
        <r>
          <rPr>
            <sz val="12"/>
            <rFont val="宋体"/>
            <charset val="134"/>
          </rPr>
          <t xml:space="preserve">
1003070 11/29 611pcs</t>
        </r>
      </text>
    </comment>
    <comment ref="AI108" authorId="0">
      <text>
        <r>
          <rPr>
            <b/>
            <sz val="12"/>
            <rFont val="宋体"/>
            <charset val="134"/>
          </rPr>
          <t>Administrator:</t>
        </r>
        <r>
          <rPr>
            <sz val="12"/>
            <rFont val="宋体"/>
            <charset val="134"/>
          </rPr>
          <t xml:space="preserve">
10/25 上瑞典语警告语贴纸 611pcs</t>
        </r>
      </text>
    </comment>
    <comment ref="AF109" authorId="0">
      <text>
        <r>
          <rPr>
            <b/>
            <sz val="12"/>
            <rFont val="宋体"/>
            <charset val="134"/>
          </rPr>
          <t>Administrator:</t>
        </r>
        <r>
          <rPr>
            <sz val="12"/>
            <rFont val="宋体"/>
            <charset val="134"/>
          </rPr>
          <t xml:space="preserve">
1002698 11/26 960pcs B4楼A9区</t>
        </r>
      </text>
    </comment>
    <comment ref="AI109" authorId="0">
      <text>
        <r>
          <rPr>
            <b/>
            <sz val="12"/>
            <rFont val="宋体"/>
            <charset val="134"/>
          </rPr>
          <t>Administrator:</t>
        </r>
        <r>
          <rPr>
            <sz val="12"/>
            <rFont val="宋体"/>
            <charset val="134"/>
          </rPr>
          <t xml:space="preserve">
11/21 上客供RFID贴纸 960pcs</t>
        </r>
      </text>
    </comment>
    <comment ref="AF110" authorId="0">
      <text>
        <r>
          <rPr>
            <b/>
            <sz val="12"/>
            <rFont val="宋体"/>
            <charset val="134"/>
          </rPr>
          <t>Administrator:</t>
        </r>
        <r>
          <rPr>
            <sz val="12"/>
            <rFont val="宋体"/>
            <charset val="134"/>
          </rPr>
          <t xml:space="preserve">
1002698 11/26 960pcs B4楼A9区</t>
        </r>
      </text>
    </comment>
    <comment ref="AI110" authorId="0">
      <text>
        <r>
          <rPr>
            <b/>
            <sz val="12"/>
            <rFont val="宋体"/>
            <charset val="134"/>
          </rPr>
          <t>Administrator:</t>
        </r>
        <r>
          <rPr>
            <sz val="12"/>
            <rFont val="宋体"/>
            <charset val="134"/>
          </rPr>
          <t xml:space="preserve">
11/21 上客供RFID贴纸 960pcs</t>
        </r>
      </text>
    </comment>
    <comment ref="AF111" authorId="0">
      <text>
        <r>
          <rPr>
            <b/>
            <sz val="12"/>
            <rFont val="宋体"/>
            <charset val="134"/>
          </rPr>
          <t>Administrator:</t>
        </r>
        <r>
          <rPr>
            <sz val="12"/>
            <rFont val="宋体"/>
            <charset val="134"/>
          </rPr>
          <t xml:space="preserve">
1002698 11/26 960pcs B4楼A9区</t>
        </r>
      </text>
    </comment>
    <comment ref="AI111" authorId="0">
      <text>
        <r>
          <rPr>
            <b/>
            <sz val="12"/>
            <rFont val="宋体"/>
            <charset val="134"/>
          </rPr>
          <t>Administrator:</t>
        </r>
        <r>
          <rPr>
            <sz val="12"/>
            <rFont val="宋体"/>
            <charset val="134"/>
          </rPr>
          <t xml:space="preserve">
11/21 上客供RFID贴纸 960pcs</t>
        </r>
      </text>
    </comment>
    <comment ref="AF112" authorId="0">
      <text>
        <r>
          <rPr>
            <b/>
            <sz val="12"/>
            <rFont val="宋体"/>
            <charset val="134"/>
          </rPr>
          <t>Administrator:</t>
        </r>
        <r>
          <rPr>
            <sz val="12"/>
            <rFont val="宋体"/>
            <charset val="134"/>
          </rPr>
          <t xml:space="preserve">
1003070 11/29 1209pcs</t>
        </r>
      </text>
    </comment>
    <comment ref="AI112" authorId="0">
      <text>
        <r>
          <rPr>
            <b/>
            <sz val="12"/>
            <rFont val="宋体"/>
            <charset val="134"/>
          </rPr>
          <t>Administrator:</t>
        </r>
        <r>
          <rPr>
            <sz val="12"/>
            <rFont val="宋体"/>
            <charset val="134"/>
          </rPr>
          <t xml:space="preserve">
11/17 上进口商贴纸 1209pcs</t>
        </r>
      </text>
    </comment>
    <comment ref="AF113" authorId="0">
      <text>
        <r>
          <rPr>
            <b/>
            <sz val="12"/>
            <rFont val="宋体"/>
            <charset val="134"/>
          </rPr>
          <t>Administrator:</t>
        </r>
        <r>
          <rPr>
            <sz val="12"/>
            <rFont val="宋体"/>
            <charset val="134"/>
          </rPr>
          <t xml:space="preserve">
1003070 11/29 195pcs</t>
        </r>
      </text>
    </comment>
    <comment ref="AI113" authorId="0">
      <text>
        <r>
          <rPr>
            <b/>
            <sz val="12"/>
            <rFont val="宋体"/>
            <charset val="134"/>
          </rPr>
          <t>Administrator:</t>
        </r>
        <r>
          <rPr>
            <sz val="12"/>
            <rFont val="宋体"/>
            <charset val="134"/>
          </rPr>
          <t xml:space="preserve">
10/25 上警告语/客人进口商地址贴纸 195pcs</t>
        </r>
      </text>
    </comment>
    <comment ref="AF114" authorId="0">
      <text>
        <r>
          <rPr>
            <b/>
            <sz val="12"/>
            <rFont val="宋体"/>
            <charset val="134"/>
          </rPr>
          <t>Administrator:</t>
        </r>
        <r>
          <rPr>
            <sz val="12"/>
            <rFont val="宋体"/>
            <charset val="134"/>
          </rPr>
          <t xml:space="preserve">
1003070 11/29 400pcs</t>
        </r>
      </text>
    </comment>
    <comment ref="AI114" authorId="0">
      <text>
        <r>
          <rPr>
            <b/>
            <sz val="12"/>
            <rFont val="宋体"/>
            <charset val="134"/>
          </rPr>
          <t>Administrator:</t>
        </r>
        <r>
          <rPr>
            <sz val="12"/>
            <rFont val="宋体"/>
            <charset val="134"/>
          </rPr>
          <t xml:space="preserve">
11/17 上进口商贴纸 5400pcs
      上UPC贴纸 5400pcs
181141/179365共用</t>
        </r>
      </text>
    </comment>
    <comment ref="AF115" authorId="0">
      <text>
        <r>
          <rPr>
            <b/>
            <sz val="12"/>
            <rFont val="宋体"/>
            <charset val="134"/>
          </rPr>
          <t>Administrator:</t>
        </r>
        <r>
          <rPr>
            <sz val="12"/>
            <rFont val="宋体"/>
            <charset val="134"/>
          </rPr>
          <t xml:space="preserve">
1002677 11/25 15015pcs B4楼A7区</t>
        </r>
      </text>
    </comment>
    <comment ref="AI115" authorId="0">
      <text>
        <r>
          <rPr>
            <b/>
            <sz val="12"/>
            <rFont val="宋体"/>
            <charset val="134"/>
          </rPr>
          <t>Administrator:</t>
        </r>
        <r>
          <rPr>
            <sz val="12"/>
            <rFont val="宋体"/>
            <charset val="134"/>
          </rPr>
          <t xml:space="preserve">
10/17 上客供防串码贴纸 1拖13 15015pcs
10/16 上年龄贴纸 15015pcs</t>
        </r>
      </text>
    </comment>
    <comment ref="AF116" authorId="0">
      <text>
        <r>
          <rPr>
            <b/>
            <sz val="12"/>
            <rFont val="宋体"/>
            <charset val="134"/>
          </rPr>
          <t>Administrator:</t>
        </r>
        <r>
          <rPr>
            <sz val="12"/>
            <rFont val="宋体"/>
            <charset val="134"/>
          </rPr>
          <t xml:space="preserve">
1003118 12/5 572pcs 华兴三B13</t>
        </r>
      </text>
    </comment>
    <comment ref="AI116" authorId="0">
      <text>
        <r>
          <rPr>
            <b/>
            <sz val="12"/>
            <rFont val="宋体"/>
            <charset val="134"/>
          </rPr>
          <t>Administrator:</t>
        </r>
        <r>
          <rPr>
            <sz val="12"/>
            <rFont val="宋体"/>
            <charset val="134"/>
          </rPr>
          <t xml:space="preserve">
11/24 上德意警告语贴纸 572pcs</t>
        </r>
      </text>
    </comment>
    <comment ref="AF117" authorId="0">
      <text>
        <r>
          <rPr>
            <b/>
            <sz val="12"/>
            <rFont val="宋体"/>
            <charset val="134"/>
          </rPr>
          <t>Administrator:</t>
        </r>
        <r>
          <rPr>
            <sz val="12"/>
            <rFont val="宋体"/>
            <charset val="134"/>
          </rPr>
          <t xml:space="preserve">
1003111 12/4 17850pcs B4楼B8区</t>
        </r>
      </text>
    </comment>
    <comment ref="AI117" authorId="0">
      <text>
        <r>
          <rPr>
            <b/>
            <sz val="12"/>
            <rFont val="宋体"/>
            <charset val="134"/>
          </rPr>
          <t>Administrator:</t>
        </r>
        <r>
          <rPr>
            <sz val="12"/>
            <rFont val="宋体"/>
            <charset val="134"/>
          </rPr>
          <t xml:space="preserve">
11/6 上客供外箱条码贴纸 721pcs</t>
        </r>
      </text>
    </comment>
    <comment ref="AF118" authorId="0">
      <text>
        <r>
          <rPr>
            <b/>
            <sz val="12"/>
            <rFont val="宋体"/>
            <charset val="134"/>
          </rPr>
          <t>Administrator:</t>
        </r>
        <r>
          <rPr>
            <sz val="12"/>
            <rFont val="宋体"/>
            <charset val="134"/>
          </rPr>
          <t xml:space="preserve">
1003089 12/2 960pcs B4楼B9区</t>
        </r>
      </text>
    </comment>
    <comment ref="AI118" authorId="0">
      <text>
        <r>
          <rPr>
            <b/>
            <sz val="12"/>
            <rFont val="宋体"/>
            <charset val="134"/>
          </rPr>
          <t>Administrator:</t>
        </r>
        <r>
          <rPr>
            <sz val="12"/>
            <rFont val="宋体"/>
            <charset val="134"/>
          </rPr>
          <t xml:space="preserve">
11/21 上客供RFID贴纸 960pcs</t>
        </r>
      </text>
    </comment>
    <comment ref="AF119" authorId="0">
      <text>
        <r>
          <rPr>
            <b/>
            <sz val="12"/>
            <rFont val="宋体"/>
            <charset val="134"/>
          </rPr>
          <t>Administrator:</t>
        </r>
        <r>
          <rPr>
            <sz val="12"/>
            <rFont val="宋体"/>
            <charset val="134"/>
          </rPr>
          <t xml:space="preserve">
1002959 11/20 588pcs B4楼B10区
</t>
        </r>
      </text>
    </comment>
    <comment ref="AI119" authorId="0">
      <text>
        <r>
          <rPr>
            <b/>
            <sz val="12"/>
            <rFont val="宋体"/>
            <charset val="134"/>
          </rPr>
          <t>Administrator:</t>
        </r>
        <r>
          <rPr>
            <sz val="12"/>
            <rFont val="宋体"/>
            <charset val="134"/>
          </rPr>
          <t xml:space="preserve">
11/12 上亚马逊外箱贴纸 49pcs
11/13 上环保标贴纸 588pcs</t>
        </r>
      </text>
    </comment>
    <comment ref="AF120" authorId="0">
      <text>
        <r>
          <rPr>
            <b/>
            <sz val="12"/>
            <rFont val="宋体"/>
            <charset val="134"/>
          </rPr>
          <t>Administrator:</t>
        </r>
        <r>
          <rPr>
            <sz val="12"/>
            <rFont val="宋体"/>
            <charset val="134"/>
          </rPr>
          <t xml:space="preserve">
1003089 12/3 4560pcs B4楼B7区</t>
        </r>
      </text>
    </comment>
    <comment ref="AI120" authorId="0">
      <text>
        <r>
          <rPr>
            <b/>
            <sz val="12"/>
            <rFont val="宋体"/>
            <charset val="134"/>
          </rPr>
          <t>Administrator:</t>
        </r>
        <r>
          <rPr>
            <sz val="12"/>
            <rFont val="宋体"/>
            <charset val="134"/>
          </rPr>
          <t xml:space="preserve">
10/30 上德语警告语贴纸 4560pcs
11/24 上客供价格贴纸 4560pcs</t>
        </r>
      </text>
    </comment>
    <comment ref="AF121" authorId="0">
      <text>
        <r>
          <rPr>
            <b/>
            <sz val="12"/>
            <rFont val="宋体"/>
            <charset val="134"/>
          </rPr>
          <t>Administrator:</t>
        </r>
        <r>
          <rPr>
            <sz val="12"/>
            <rFont val="宋体"/>
            <charset val="134"/>
          </rPr>
          <t xml:space="preserve">
1003089 12/3 507pcs B4楼B9区</t>
        </r>
      </text>
    </comment>
    <comment ref="AI121" authorId="0">
      <text>
        <r>
          <rPr>
            <b/>
            <sz val="12"/>
            <rFont val="宋体"/>
            <charset val="134"/>
          </rPr>
          <t>Administrator:</t>
        </r>
        <r>
          <rPr>
            <sz val="12"/>
            <rFont val="宋体"/>
            <charset val="134"/>
          </rPr>
          <t xml:space="preserve">
11/24 上可折叠贴纸 1017pcs</t>
        </r>
      </text>
    </comment>
    <comment ref="AF122" authorId="0">
      <text>
        <r>
          <rPr>
            <b/>
            <sz val="12"/>
            <rFont val="宋体"/>
            <charset val="134"/>
          </rPr>
          <t>Administrator:</t>
        </r>
        <r>
          <rPr>
            <sz val="12"/>
            <rFont val="宋体"/>
            <charset val="134"/>
          </rPr>
          <t xml:space="preserve">
1003136 12/8 510pcs 华兴三B8</t>
        </r>
      </text>
    </comment>
    <comment ref="AF123" authorId="0">
      <text>
        <r>
          <rPr>
            <b/>
            <sz val="12"/>
            <rFont val="宋体"/>
            <charset val="134"/>
          </rPr>
          <t>Administrator:</t>
        </r>
        <r>
          <rPr>
            <sz val="12"/>
            <rFont val="宋体"/>
            <charset val="134"/>
          </rPr>
          <t xml:space="preserve">
1003111 12/4 3601pcs B4楼A8区</t>
        </r>
      </text>
    </comment>
    <comment ref="AI123" authorId="0">
      <text>
        <r>
          <rPr>
            <b/>
            <sz val="12"/>
            <rFont val="宋体"/>
            <charset val="134"/>
          </rPr>
          <t>Administrator:</t>
        </r>
        <r>
          <rPr>
            <sz val="12"/>
            <rFont val="宋体"/>
            <charset val="134"/>
          </rPr>
          <t xml:space="preserve">
11/26 上多语警语折叠贴纸 3601pcs</t>
        </r>
      </text>
    </comment>
    <comment ref="AF124" authorId="0">
      <text>
        <r>
          <rPr>
            <b/>
            <sz val="12"/>
            <rFont val="宋体"/>
            <charset val="134"/>
          </rPr>
          <t>Administrator:</t>
        </r>
        <r>
          <rPr>
            <sz val="12"/>
            <rFont val="宋体"/>
            <charset val="134"/>
          </rPr>
          <t xml:space="preserve">
1003211 12/11 1001pcs B4楼B9区</t>
        </r>
      </text>
    </comment>
    <comment ref="AI124" authorId="0">
      <text>
        <r>
          <rPr>
            <b/>
            <sz val="12"/>
            <rFont val="宋体"/>
            <charset val="134"/>
          </rPr>
          <t>Administrator:</t>
        </r>
        <r>
          <rPr>
            <sz val="12"/>
            <rFont val="宋体"/>
            <charset val="134"/>
          </rPr>
          <t xml:space="preserve">
12/8  上客供防串码贴纸1拖13 1001pcs
11/21 上年龄贴纸 1000pcs</t>
        </r>
      </text>
    </comment>
    <comment ref="AF125" authorId="0">
      <text>
        <r>
          <rPr>
            <b/>
            <sz val="12"/>
            <rFont val="宋体"/>
            <charset val="134"/>
          </rPr>
          <t>Administrator:</t>
        </r>
        <r>
          <rPr>
            <sz val="12"/>
            <rFont val="宋体"/>
            <charset val="134"/>
          </rPr>
          <t xml:space="preserve">
1003146 12/9 960pcs B4楼B5区</t>
        </r>
      </text>
    </comment>
    <comment ref="AI125" authorId="0">
      <text>
        <r>
          <rPr>
            <b/>
            <sz val="12"/>
            <rFont val="宋体"/>
            <charset val="134"/>
          </rPr>
          <t>Administrator:</t>
        </r>
        <r>
          <rPr>
            <sz val="12"/>
            <rFont val="宋体"/>
            <charset val="134"/>
          </rPr>
          <t xml:space="preserve">
11/21 上客供RFID贴纸 960pcs</t>
        </r>
      </text>
    </comment>
    <comment ref="AF126" authorId="0">
      <text>
        <r>
          <rPr>
            <b/>
            <sz val="12"/>
            <rFont val="宋体"/>
            <charset val="134"/>
          </rPr>
          <t>Administrator:</t>
        </r>
        <r>
          <rPr>
            <sz val="12"/>
            <rFont val="宋体"/>
            <charset val="134"/>
          </rPr>
          <t xml:space="preserve">
1003146 12/9 960pcs B4楼B5区</t>
        </r>
      </text>
    </comment>
    <comment ref="AI126" authorId="0">
      <text>
        <r>
          <rPr>
            <b/>
            <sz val="12"/>
            <rFont val="宋体"/>
            <charset val="134"/>
          </rPr>
          <t>Administrator:</t>
        </r>
        <r>
          <rPr>
            <sz val="12"/>
            <rFont val="宋体"/>
            <charset val="134"/>
          </rPr>
          <t xml:space="preserve">
11/21 上客供RFID贴纸 960pcs</t>
        </r>
      </text>
    </comment>
    <comment ref="AF127" authorId="0">
      <text>
        <r>
          <rPr>
            <b/>
            <sz val="12"/>
            <rFont val="宋体"/>
            <charset val="134"/>
          </rPr>
          <t>Administrator:</t>
        </r>
        <r>
          <rPr>
            <sz val="12"/>
            <rFont val="宋体"/>
            <charset val="134"/>
          </rPr>
          <t xml:space="preserve">
1003146 12/9 960pcs B4楼B5区</t>
        </r>
      </text>
    </comment>
    <comment ref="AI127" authorId="0">
      <text>
        <r>
          <rPr>
            <b/>
            <sz val="12"/>
            <rFont val="宋体"/>
            <charset val="134"/>
          </rPr>
          <t>Administrator:</t>
        </r>
        <r>
          <rPr>
            <sz val="12"/>
            <rFont val="宋体"/>
            <charset val="134"/>
          </rPr>
          <t xml:space="preserve">
11/21 上客供RFID贴纸 960pcs</t>
        </r>
      </text>
    </comment>
    <comment ref="AF128" authorId="0">
      <text>
        <r>
          <rPr>
            <b/>
            <sz val="12"/>
            <rFont val="宋体"/>
            <charset val="134"/>
          </rPr>
          <t>Administrator:</t>
        </r>
        <r>
          <rPr>
            <sz val="12"/>
            <rFont val="宋体"/>
            <charset val="134"/>
          </rPr>
          <t xml:space="preserve">
1003146 12/9 960pcs B4楼B5区</t>
        </r>
      </text>
    </comment>
    <comment ref="AI128" authorId="0">
      <text>
        <r>
          <rPr>
            <b/>
            <sz val="12"/>
            <rFont val="宋体"/>
            <charset val="134"/>
          </rPr>
          <t>Administrator:</t>
        </r>
        <r>
          <rPr>
            <sz val="12"/>
            <rFont val="宋体"/>
            <charset val="134"/>
          </rPr>
          <t xml:space="preserve">
11/21 上客供RFID贴纸 960pcs</t>
        </r>
      </text>
    </comment>
    <comment ref="AF129" authorId="0">
      <text>
        <r>
          <rPr>
            <b/>
            <sz val="12"/>
            <rFont val="宋体"/>
            <charset val="134"/>
          </rPr>
          <t>Administrator:</t>
        </r>
        <r>
          <rPr>
            <sz val="12"/>
            <rFont val="宋体"/>
            <charset val="134"/>
          </rPr>
          <t xml:space="preserve">
1003173 12/16 12pcs B4楼A8区</t>
        </r>
      </text>
    </comment>
    <comment ref="AI129" authorId="0">
      <text>
        <r>
          <rPr>
            <b/>
            <sz val="12"/>
            <rFont val="宋体"/>
            <charset val="134"/>
          </rPr>
          <t>Administrator:</t>
        </r>
        <r>
          <rPr>
            <sz val="12"/>
            <rFont val="宋体"/>
            <charset val="134"/>
          </rPr>
          <t xml:space="preserve">
11/27 上客供亚马逊外箱贴纸 1pcs
12/3 上空白贴纸 120pcs</t>
        </r>
      </text>
    </comment>
    <comment ref="AF130" authorId="0">
      <text>
        <r>
          <rPr>
            <b/>
            <sz val="12"/>
            <rFont val="宋体"/>
            <charset val="134"/>
          </rPr>
          <t>Administrator:</t>
        </r>
        <r>
          <rPr>
            <sz val="12"/>
            <rFont val="宋体"/>
            <charset val="134"/>
          </rPr>
          <t xml:space="preserve">
1003173 12/16 12pcs B4楼A8区</t>
        </r>
      </text>
    </comment>
    <comment ref="AI130" authorId="0">
      <text>
        <r>
          <rPr>
            <b/>
            <sz val="12"/>
            <rFont val="宋体"/>
            <charset val="134"/>
          </rPr>
          <t>Administrator:</t>
        </r>
        <r>
          <rPr>
            <sz val="12"/>
            <rFont val="宋体"/>
            <charset val="134"/>
          </rPr>
          <t xml:space="preserve">
11/27 上客供亚马逊外箱贴纸 1pcs
12/3 上空白贴纸 120pcs</t>
        </r>
      </text>
    </comment>
    <comment ref="AF131" authorId="0">
      <text>
        <r>
          <rPr>
            <b/>
            <sz val="12"/>
            <rFont val="宋体"/>
            <charset val="134"/>
          </rPr>
          <t>Administrator:</t>
        </r>
        <r>
          <rPr>
            <sz val="12"/>
            <rFont val="宋体"/>
            <charset val="134"/>
          </rPr>
          <t xml:space="preserve">
1003173 12/16 12pcs B4楼A8区</t>
        </r>
      </text>
    </comment>
    <comment ref="AI131" authorId="0">
      <text>
        <r>
          <rPr>
            <b/>
            <sz val="12"/>
            <rFont val="宋体"/>
            <charset val="134"/>
          </rPr>
          <t>Administrator:</t>
        </r>
        <r>
          <rPr>
            <sz val="12"/>
            <rFont val="宋体"/>
            <charset val="134"/>
          </rPr>
          <t xml:space="preserve">
11/27 上客供亚马逊外箱贴纸 1pcs
12/3 上空白贴纸 120pcs</t>
        </r>
      </text>
    </comment>
    <comment ref="AF132" authorId="0">
      <text>
        <r>
          <rPr>
            <b/>
            <sz val="12"/>
            <rFont val="宋体"/>
            <charset val="134"/>
          </rPr>
          <t>Administrator:</t>
        </r>
        <r>
          <rPr>
            <sz val="12"/>
            <rFont val="宋体"/>
            <charset val="134"/>
          </rPr>
          <t xml:space="preserve">
1003173 12/16 12pcs B4楼A8区</t>
        </r>
      </text>
    </comment>
    <comment ref="AI132" authorId="0">
      <text>
        <r>
          <rPr>
            <b/>
            <sz val="12"/>
            <rFont val="宋体"/>
            <charset val="134"/>
          </rPr>
          <t>Administrator:</t>
        </r>
        <r>
          <rPr>
            <sz val="12"/>
            <rFont val="宋体"/>
            <charset val="134"/>
          </rPr>
          <t xml:space="preserve">
11/27 上客供亚马逊外箱贴纸 1pcs
12/3 上空白贴纸 120pcs</t>
        </r>
      </text>
    </comment>
    <comment ref="AF133" authorId="0">
      <text>
        <r>
          <rPr>
            <b/>
            <sz val="12"/>
            <rFont val="宋体"/>
            <charset val="134"/>
          </rPr>
          <t>Administrator:</t>
        </r>
        <r>
          <rPr>
            <sz val="12"/>
            <rFont val="宋体"/>
            <charset val="134"/>
          </rPr>
          <t xml:space="preserve">
1003173 12/16 12pcs B4楼A8区</t>
        </r>
      </text>
    </comment>
    <comment ref="AI133" authorId="0">
      <text>
        <r>
          <rPr>
            <b/>
            <sz val="12"/>
            <rFont val="宋体"/>
            <charset val="134"/>
          </rPr>
          <t>Administrator:</t>
        </r>
        <r>
          <rPr>
            <sz val="12"/>
            <rFont val="宋体"/>
            <charset val="134"/>
          </rPr>
          <t xml:space="preserve">
11/27 上客供亚马逊外箱贴纸 1pcs
12/3 上空白贴纸 120pcs</t>
        </r>
      </text>
    </comment>
    <comment ref="AF134" authorId="0">
      <text>
        <r>
          <rPr>
            <b/>
            <sz val="12"/>
            <rFont val="宋体"/>
            <charset val="134"/>
          </rPr>
          <t>Administrator:</t>
        </r>
        <r>
          <rPr>
            <sz val="12"/>
            <rFont val="宋体"/>
            <charset val="134"/>
          </rPr>
          <t xml:space="preserve">
1003146 12/9 960pcs B4楼B5区</t>
        </r>
      </text>
    </comment>
    <comment ref="AI134" authorId="0">
      <text>
        <r>
          <rPr>
            <b/>
            <sz val="12"/>
            <rFont val="宋体"/>
            <charset val="134"/>
          </rPr>
          <t>Administrator:</t>
        </r>
        <r>
          <rPr>
            <sz val="12"/>
            <rFont val="宋体"/>
            <charset val="134"/>
          </rPr>
          <t xml:space="preserve">
11/21 上客供RFID贴纸 960pcs</t>
        </r>
      </text>
    </comment>
    <comment ref="AF135" authorId="0">
      <text>
        <r>
          <rPr>
            <b/>
            <sz val="12"/>
            <rFont val="宋体"/>
            <charset val="134"/>
          </rPr>
          <t>Administrator:</t>
        </r>
        <r>
          <rPr>
            <sz val="12"/>
            <rFont val="宋体"/>
            <charset val="134"/>
          </rPr>
          <t xml:space="preserve">
1003245 12/15 30套散件</t>
        </r>
      </text>
    </comment>
    <comment ref="AF136" authorId="0">
      <text>
        <r>
          <rPr>
            <b/>
            <sz val="12"/>
            <rFont val="宋体"/>
            <charset val="134"/>
          </rPr>
          <t>Administrator:</t>
        </r>
        <r>
          <rPr>
            <sz val="12"/>
            <rFont val="宋体"/>
            <charset val="134"/>
          </rPr>
          <t xml:space="preserve">
1003173 12/16 390pcs A栋一楼</t>
        </r>
      </text>
    </comment>
    <comment ref="AF137" authorId="0">
      <text>
        <r>
          <rPr>
            <b/>
            <sz val="12"/>
            <rFont val="宋体"/>
            <charset val="134"/>
          </rPr>
          <t>Administrator:</t>
        </r>
        <r>
          <rPr>
            <sz val="12"/>
            <rFont val="宋体"/>
            <charset val="134"/>
          </rPr>
          <t xml:space="preserve">
1003173 12/16 1500pcs A栋一楼</t>
        </r>
      </text>
    </comment>
    <comment ref="AF138" authorId="0">
      <text>
        <r>
          <rPr>
            <b/>
            <sz val="12"/>
            <rFont val="宋体"/>
            <charset val="134"/>
          </rPr>
          <t>Administrator:</t>
        </r>
        <r>
          <rPr>
            <sz val="12"/>
            <rFont val="宋体"/>
            <charset val="134"/>
          </rPr>
          <t xml:space="preserve">
1003150 12/9 13500pcs B4楼B4区
1003170 12/10 7500pcs B4楼B4区</t>
        </r>
      </text>
    </comment>
    <comment ref="AI138" authorId="0">
      <text>
        <r>
          <rPr>
            <b/>
            <sz val="12"/>
            <rFont val="宋体"/>
            <charset val="134"/>
          </rPr>
          <t>Administrator:</t>
        </r>
        <r>
          <rPr>
            <sz val="12"/>
            <rFont val="宋体"/>
            <charset val="134"/>
          </rPr>
          <t xml:space="preserve">
11/6 上客供外箱条码贴纸 848pcs</t>
        </r>
      </text>
    </comment>
    <comment ref="AF139" authorId="0">
      <text>
        <r>
          <rPr>
            <b/>
            <sz val="12"/>
            <rFont val="宋体"/>
            <charset val="134"/>
          </rPr>
          <t>Administrator:</t>
        </r>
        <r>
          <rPr>
            <sz val="12"/>
            <rFont val="宋体"/>
            <charset val="134"/>
          </rPr>
          <t xml:space="preserve">
1003173 12/16 450pcs B4楼A8区</t>
        </r>
      </text>
    </comment>
    <comment ref="AI139" authorId="0">
      <text>
        <r>
          <rPr>
            <b/>
            <sz val="12"/>
            <rFont val="宋体"/>
            <charset val="134"/>
          </rPr>
          <t>Administrator:</t>
        </r>
        <r>
          <rPr>
            <sz val="12"/>
            <rFont val="宋体"/>
            <charset val="134"/>
          </rPr>
          <t xml:space="preserve">
12/2 上客供价格贴纸 481pcs
12/8 上进口商贴纸 450pcs
     上UPC贴纸 450pcs</t>
        </r>
      </text>
    </comment>
    <comment ref="AF140" authorId="0">
      <text>
        <r>
          <rPr>
            <b/>
            <sz val="12"/>
            <rFont val="宋体"/>
            <charset val="134"/>
          </rPr>
          <t>Administrator:</t>
        </r>
        <r>
          <rPr>
            <sz val="12"/>
            <rFont val="宋体"/>
            <charset val="134"/>
          </rPr>
          <t xml:space="preserve">
1003233 12/13 13000pcs 华兴三A26</t>
        </r>
      </text>
    </comment>
    <comment ref="AI140" authorId="0">
      <text>
        <r>
          <rPr>
            <b/>
            <sz val="12"/>
            <rFont val="宋体"/>
            <charset val="134"/>
          </rPr>
          <t>Administrator:</t>
        </r>
        <r>
          <rPr>
            <sz val="12"/>
            <rFont val="宋体"/>
            <charset val="134"/>
          </rPr>
          <t xml:space="preserve">
11/6 上进口商贴纸 13000pcs
     上UPC条码贴纸 13000pcs</t>
        </r>
      </text>
    </comment>
    <comment ref="AF141" authorId="0">
      <text>
        <r>
          <rPr>
            <b/>
            <sz val="12"/>
            <rFont val="宋体"/>
            <charset val="134"/>
          </rPr>
          <t>Administrator:</t>
        </r>
        <r>
          <rPr>
            <sz val="12"/>
            <rFont val="宋体"/>
            <charset val="134"/>
          </rPr>
          <t xml:space="preserve">
1003237 12/13 1500pcs B4楼B3区</t>
        </r>
      </text>
    </comment>
    <comment ref="AI141" authorId="0">
      <text>
        <r>
          <rPr>
            <b/>
            <sz val="12"/>
            <rFont val="宋体"/>
            <charset val="134"/>
          </rPr>
          <t>Administrator:</t>
        </r>
        <r>
          <rPr>
            <sz val="12"/>
            <rFont val="宋体"/>
            <charset val="134"/>
          </rPr>
          <t xml:space="preserve">
11/28 上进口商贴纸 4000pcs
      上UPC贴纸 4000pcs
184316/184355/184422共用</t>
        </r>
      </text>
    </comment>
    <comment ref="AF142" authorId="0">
      <text>
        <r>
          <rPr>
            <b/>
            <sz val="12"/>
            <rFont val="宋体"/>
            <charset val="134"/>
          </rPr>
          <t>Administrator:</t>
        </r>
        <r>
          <rPr>
            <sz val="12"/>
            <rFont val="宋体"/>
            <charset val="134"/>
          </rPr>
          <t xml:space="preserve">
1003237 12/13 1250pcs B4楼B5区</t>
        </r>
      </text>
    </comment>
    <comment ref="AI142" authorId="0">
      <text>
        <r>
          <rPr>
            <b/>
            <sz val="12"/>
            <rFont val="宋体"/>
            <charset val="134"/>
          </rPr>
          <t>Administrator:</t>
        </r>
        <r>
          <rPr>
            <sz val="12"/>
            <rFont val="宋体"/>
            <charset val="134"/>
          </rPr>
          <t xml:space="preserve">
11/28 上进口商贴纸 4000pcs
      上UPC贴纸 4000pcs
184316/184355/184422共用</t>
        </r>
      </text>
    </comment>
    <comment ref="AF143" authorId="0">
      <text>
        <r>
          <rPr>
            <b/>
            <sz val="12"/>
            <rFont val="宋体"/>
            <charset val="134"/>
          </rPr>
          <t>Administrator:</t>
        </r>
        <r>
          <rPr>
            <sz val="12"/>
            <rFont val="宋体"/>
            <charset val="134"/>
          </rPr>
          <t xml:space="preserve">
1003237 12/13 1250pcs B4楼B5区</t>
        </r>
      </text>
    </comment>
    <comment ref="AI143" authorId="0">
      <text>
        <r>
          <rPr>
            <b/>
            <sz val="12"/>
            <rFont val="宋体"/>
            <charset val="134"/>
          </rPr>
          <t>Administrator:</t>
        </r>
        <r>
          <rPr>
            <sz val="12"/>
            <rFont val="宋体"/>
            <charset val="134"/>
          </rPr>
          <t xml:space="preserve">
11/28 上进口商贴纸 4000pcs
      上UPC贴纸 4000pcs
184316/184355/184422共用</t>
        </r>
      </text>
    </comment>
    <comment ref="AF144" authorId="0">
      <text>
        <r>
          <rPr>
            <b/>
            <sz val="12"/>
            <rFont val="宋体"/>
            <charset val="134"/>
          </rPr>
          <t xml:space="preserve">Administrator:
</t>
        </r>
        <r>
          <rPr>
            <sz val="12"/>
            <rFont val="宋体"/>
            <charset val="134"/>
          </rPr>
          <t>1002629 12/19 300pcs B4楼B5区</t>
        </r>
      </text>
    </comment>
    <comment ref="AI144" authorId="0">
      <text>
        <r>
          <rPr>
            <b/>
            <sz val="12"/>
            <rFont val="宋体"/>
            <charset val="134"/>
          </rPr>
          <t>Administrator:</t>
        </r>
        <r>
          <rPr>
            <sz val="12"/>
            <rFont val="宋体"/>
            <charset val="134"/>
          </rPr>
          <t xml:space="preserve">
12/5 上EAN贴纸 300pcs
     上警告语贴纸 300pcs</t>
        </r>
      </text>
    </comment>
    <comment ref="AF145" authorId="0">
      <text>
        <r>
          <rPr>
            <b/>
            <sz val="12"/>
            <rFont val="宋体"/>
            <charset val="134"/>
          </rPr>
          <t>Administrator:</t>
        </r>
        <r>
          <rPr>
            <sz val="12"/>
            <rFont val="宋体"/>
            <charset val="134"/>
          </rPr>
          <t xml:space="preserve">
1003180 12/17 2750pcs B4楼C8区</t>
        </r>
      </text>
    </comment>
    <comment ref="AI145" authorId="0">
      <text>
        <r>
          <rPr>
            <b/>
            <sz val="12"/>
            <rFont val="宋体"/>
            <charset val="134"/>
          </rPr>
          <t>Administrator:</t>
        </r>
        <r>
          <rPr>
            <sz val="12"/>
            <rFont val="宋体"/>
            <charset val="134"/>
          </rPr>
          <t xml:space="preserve">
12/9 上进口商贴纸 2750pcs
     上UPC贴纸 2750pcs
12/10 上外箱贴纸 110pcs</t>
        </r>
      </text>
    </comment>
    <comment ref="AF146" authorId="0">
      <text>
        <r>
          <rPr>
            <b/>
            <sz val="12"/>
            <rFont val="宋体"/>
            <charset val="134"/>
          </rPr>
          <t>Administrator:</t>
        </r>
        <r>
          <rPr>
            <sz val="12"/>
            <rFont val="宋体"/>
            <charset val="134"/>
          </rPr>
          <t xml:space="preserve">
1002629 12/19 5000pcs B4楼A5区</t>
        </r>
      </text>
    </comment>
    <comment ref="AI146" authorId="0">
      <text>
        <r>
          <rPr>
            <b/>
            <sz val="12"/>
            <rFont val="宋体"/>
            <charset val="134"/>
          </rPr>
          <t>Administrator:</t>
        </r>
        <r>
          <rPr>
            <sz val="12"/>
            <rFont val="宋体"/>
            <charset val="134"/>
          </rPr>
          <t xml:space="preserve">
11/17 上进口商贴纸 5400pcs
      上UPC贴纸 5400pcs
181141/179365共用</t>
        </r>
      </text>
    </comment>
    <comment ref="AF147" authorId="0">
      <text>
        <r>
          <rPr>
            <b/>
            <sz val="12"/>
            <rFont val="宋体"/>
            <charset val="134"/>
          </rPr>
          <t>Administrator:</t>
        </r>
        <r>
          <rPr>
            <sz val="12"/>
            <rFont val="宋体"/>
            <charset val="134"/>
          </rPr>
          <t xml:space="preserve">
1003170 12/10 1800pcs B4楼B9区
1003250 12/16 5208pcs B4楼A8区
</t>
        </r>
      </text>
    </comment>
    <comment ref="AI147" authorId="0">
      <text>
        <r>
          <rPr>
            <b/>
            <sz val="12"/>
            <rFont val="宋体"/>
            <charset val="134"/>
          </rPr>
          <t>Administrator:</t>
        </r>
        <r>
          <rPr>
            <sz val="12"/>
            <rFont val="宋体"/>
            <charset val="134"/>
          </rPr>
          <t xml:space="preserve">
12/3 上WIC贴贴纸 32040pcs</t>
        </r>
      </text>
    </comment>
    <comment ref="AF148" authorId="0">
      <text>
        <r>
          <rPr>
            <b/>
            <sz val="12"/>
            <rFont val="宋体"/>
            <charset val="134"/>
          </rPr>
          <t>Administrator:</t>
        </r>
        <r>
          <rPr>
            <sz val="12"/>
            <rFont val="宋体"/>
            <charset val="134"/>
          </rPr>
          <t xml:space="preserve">
1002186 12/22 300pcs</t>
        </r>
      </text>
    </comment>
    <comment ref="AF149" authorId="0">
      <text>
        <r>
          <rPr>
            <b/>
            <sz val="12"/>
            <rFont val="宋体"/>
            <charset val="134"/>
          </rPr>
          <t>Administrator:</t>
        </r>
        <r>
          <rPr>
            <sz val="12"/>
            <rFont val="宋体"/>
            <charset val="134"/>
          </rPr>
          <t xml:space="preserve">
1002186 12/22 12600pcs 
1002196 12/23 12432pcs</t>
        </r>
      </text>
    </comment>
    <comment ref="AI149" authorId="0">
      <text>
        <r>
          <rPr>
            <b/>
            <sz val="12"/>
            <rFont val="宋体"/>
            <charset val="134"/>
          </rPr>
          <t>Administrator:</t>
        </r>
        <r>
          <rPr>
            <sz val="12"/>
            <rFont val="宋体"/>
            <charset val="134"/>
          </rPr>
          <t xml:space="preserve">
12/3 上WIC贴贴纸 32040pcs</t>
        </r>
      </text>
    </comment>
    <comment ref="AF150" authorId="0">
      <text>
        <r>
          <rPr>
            <b/>
            <sz val="12"/>
            <rFont val="宋体"/>
            <charset val="134"/>
          </rPr>
          <t>Administrator:</t>
        </r>
        <r>
          <rPr>
            <sz val="12"/>
            <rFont val="宋体"/>
            <charset val="134"/>
          </rPr>
          <t xml:space="preserve">
1002176 12/24 168pcs A栋一楼</t>
        </r>
      </text>
    </comment>
    <comment ref="AF151" authorId="0">
      <text>
        <r>
          <rPr>
            <b/>
            <sz val="12"/>
            <rFont val="宋体"/>
            <charset val="134"/>
          </rPr>
          <t>Administrator:</t>
        </r>
        <r>
          <rPr>
            <sz val="12"/>
            <rFont val="宋体"/>
            <charset val="134"/>
          </rPr>
          <t xml:space="preserve">
1003758 12/31 17套散件</t>
        </r>
      </text>
    </comment>
    <comment ref="AF152" authorId="0">
      <text>
        <r>
          <rPr>
            <b/>
            <sz val="12"/>
            <rFont val="宋体"/>
            <charset val="134"/>
          </rPr>
          <t>Administrator:</t>
        </r>
        <r>
          <rPr>
            <sz val="12"/>
            <rFont val="宋体"/>
            <charset val="134"/>
          </rPr>
          <t xml:space="preserve">
1002196 12/23 3000pcs</t>
        </r>
      </text>
    </comment>
    <comment ref="AI152" authorId="0">
      <text>
        <r>
          <rPr>
            <b/>
            <sz val="12"/>
            <rFont val="宋体"/>
            <charset val="134"/>
          </rPr>
          <t>Administrator:</t>
        </r>
        <r>
          <rPr>
            <sz val="12"/>
            <rFont val="宋体"/>
            <charset val="134"/>
          </rPr>
          <t xml:space="preserve">
12/8 上进口商贴纸（含客户条码） 3000pcs</t>
        </r>
      </text>
    </comment>
    <comment ref="AF153" authorId="0">
      <text>
        <r>
          <rPr>
            <b/>
            <sz val="12"/>
            <rFont val="宋体"/>
            <charset val="134"/>
          </rPr>
          <t>Administrator:</t>
        </r>
        <r>
          <rPr>
            <sz val="12"/>
            <rFont val="宋体"/>
            <charset val="134"/>
          </rPr>
          <t xml:space="preserve">
1002186 12/22 7000pcs</t>
        </r>
      </text>
    </comment>
    <comment ref="AI153" authorId="0">
      <text>
        <r>
          <rPr>
            <b/>
            <sz val="12"/>
            <rFont val="宋体"/>
            <charset val="134"/>
          </rPr>
          <t>Administrator:</t>
        </r>
        <r>
          <rPr>
            <sz val="12"/>
            <rFont val="宋体"/>
            <charset val="134"/>
          </rPr>
          <t xml:space="preserve">
12/8 上进口商贴纸（含客户条码） 7000pcs</t>
        </r>
      </text>
    </comment>
    <comment ref="AF154" authorId="0">
      <text>
        <r>
          <rPr>
            <b/>
            <sz val="12"/>
            <rFont val="宋体"/>
            <charset val="134"/>
          </rPr>
          <t>Administrator:</t>
        </r>
        <r>
          <rPr>
            <sz val="12"/>
            <rFont val="宋体"/>
            <charset val="134"/>
          </rPr>
          <t xml:space="preserve">
1002511 12/25 2250pcs B4楼A9区</t>
        </r>
      </text>
    </comment>
    <comment ref="AF155" authorId="0">
      <text>
        <r>
          <rPr>
            <b/>
            <sz val="12"/>
            <rFont val="宋体"/>
            <charset val="134"/>
          </rPr>
          <t>Administrator:</t>
        </r>
        <r>
          <rPr>
            <sz val="12"/>
            <rFont val="宋体"/>
            <charset val="134"/>
          </rPr>
          <t xml:space="preserve">
1002511 12/25 960pcs B4楼B9区</t>
        </r>
      </text>
    </comment>
    <comment ref="AI155" authorId="0">
      <text>
        <r>
          <rPr>
            <b/>
            <sz val="12"/>
            <rFont val="宋体"/>
            <charset val="134"/>
          </rPr>
          <t>Administrator:</t>
        </r>
        <r>
          <rPr>
            <sz val="12"/>
            <rFont val="宋体"/>
            <charset val="134"/>
          </rPr>
          <t xml:space="preserve">
11/21 上客供RFID贴纸 960pcs</t>
        </r>
      </text>
    </comment>
    <comment ref="AF156" authorId="0">
      <text>
        <r>
          <rPr>
            <b/>
            <sz val="12"/>
            <rFont val="宋体"/>
            <charset val="134"/>
          </rPr>
          <t>Administrator:</t>
        </r>
        <r>
          <rPr>
            <sz val="12"/>
            <rFont val="宋体"/>
            <charset val="134"/>
          </rPr>
          <t xml:space="preserve">
1002511 12/25 960pcs B4楼B9区</t>
        </r>
      </text>
    </comment>
    <comment ref="AI156" authorId="0">
      <text>
        <r>
          <rPr>
            <b/>
            <sz val="12"/>
            <rFont val="宋体"/>
            <charset val="134"/>
          </rPr>
          <t>Administrator:</t>
        </r>
        <r>
          <rPr>
            <sz val="12"/>
            <rFont val="宋体"/>
            <charset val="134"/>
          </rPr>
          <t xml:space="preserve">
11/21 上客供RFID贴纸 960pcs</t>
        </r>
      </text>
    </comment>
    <comment ref="AF157" authorId="0">
      <text>
        <r>
          <rPr>
            <b/>
            <sz val="12"/>
            <rFont val="宋体"/>
            <charset val="134"/>
          </rPr>
          <t>Administrator:</t>
        </r>
        <r>
          <rPr>
            <sz val="12"/>
            <rFont val="宋体"/>
            <charset val="134"/>
          </rPr>
          <t xml:space="preserve">
1002518 12/26 1890pcs B4楼B9区</t>
        </r>
      </text>
    </comment>
    <comment ref="AI157" authorId="0">
      <text>
        <r>
          <rPr>
            <b/>
            <sz val="12"/>
            <rFont val="宋体"/>
            <charset val="134"/>
          </rPr>
          <t>Administrator:</t>
        </r>
        <r>
          <rPr>
            <sz val="12"/>
            <rFont val="宋体"/>
            <charset val="134"/>
          </rPr>
          <t xml:space="preserve">
11/27 上客供RFID贴纸 1890pcs</t>
        </r>
      </text>
    </comment>
    <comment ref="AF158" authorId="0">
      <text>
        <r>
          <rPr>
            <b/>
            <sz val="12"/>
            <rFont val="宋体"/>
            <charset val="134"/>
          </rPr>
          <t>Administrator:</t>
        </r>
        <r>
          <rPr>
            <sz val="12"/>
            <rFont val="宋体"/>
            <charset val="134"/>
          </rPr>
          <t xml:space="preserve">
1002511 12/25 832pcs B4楼A9区</t>
        </r>
      </text>
    </comment>
    <comment ref="AI158" authorId="0">
      <text>
        <r>
          <rPr>
            <b/>
            <sz val="12"/>
            <rFont val="宋体"/>
            <charset val="134"/>
          </rPr>
          <t>Administrator:</t>
        </r>
        <r>
          <rPr>
            <sz val="12"/>
            <rFont val="宋体"/>
            <charset val="134"/>
          </rPr>
          <t xml:space="preserve">
12/10 上款号贴纸 832pcs
      上警语贴纸 832pcs</t>
        </r>
      </text>
    </comment>
    <comment ref="AF159" authorId="0">
      <text>
        <r>
          <rPr>
            <b/>
            <sz val="12"/>
            <rFont val="宋体"/>
            <charset val="134"/>
          </rPr>
          <t>Administrator:</t>
        </r>
        <r>
          <rPr>
            <sz val="12"/>
            <rFont val="宋体"/>
            <charset val="134"/>
          </rPr>
          <t xml:space="preserve">
1003758 12/31 4590pcs B4楼B4区</t>
        </r>
      </text>
    </comment>
    <comment ref="AI159" authorId="0">
      <text>
        <r>
          <rPr>
            <b/>
            <sz val="12"/>
            <rFont val="宋体"/>
            <charset val="134"/>
          </rPr>
          <t>Administrator:</t>
        </r>
        <r>
          <rPr>
            <sz val="12"/>
            <rFont val="宋体"/>
            <charset val="134"/>
          </rPr>
          <t xml:space="preserve">
12/8 上客供RFID贴纸 4590pcs</t>
        </r>
      </text>
    </comment>
    <comment ref="AF160" authorId="0">
      <text>
        <r>
          <rPr>
            <b/>
            <sz val="12"/>
            <rFont val="宋体"/>
            <charset val="134"/>
          </rPr>
          <t>Administrator:</t>
        </r>
        <r>
          <rPr>
            <sz val="12"/>
            <rFont val="宋体"/>
            <charset val="134"/>
          </rPr>
          <t xml:space="preserve">
1003758 12/31 4200pcs B4楼B4区</t>
        </r>
      </text>
    </comment>
    <comment ref="AI160" authorId="0">
      <text>
        <r>
          <rPr>
            <b/>
            <sz val="12"/>
            <rFont val="宋体"/>
            <charset val="134"/>
          </rPr>
          <t>Administrator:</t>
        </r>
        <r>
          <rPr>
            <sz val="12"/>
            <rFont val="宋体"/>
            <charset val="134"/>
          </rPr>
          <t xml:space="preserve">
12/8 上客供RFID贴纸 4200pcs</t>
        </r>
      </text>
    </comment>
    <comment ref="AF161" authorId="0">
      <text>
        <r>
          <rPr>
            <b/>
            <sz val="12"/>
            <rFont val="宋体"/>
            <charset val="134"/>
          </rPr>
          <t>Administrator:</t>
        </r>
        <r>
          <rPr>
            <sz val="12"/>
            <rFont val="宋体"/>
            <charset val="134"/>
          </rPr>
          <t xml:space="preserve">
1003758 12/31 2000pcs B栋4楼A9区</t>
        </r>
      </text>
    </comment>
    <comment ref="AI161" authorId="0">
      <text>
        <r>
          <rPr>
            <b/>
            <sz val="12"/>
            <rFont val="宋体"/>
            <charset val="134"/>
          </rPr>
          <t>Administrator:</t>
        </r>
        <r>
          <rPr>
            <sz val="12"/>
            <rFont val="宋体"/>
            <charset val="134"/>
          </rPr>
          <t xml:space="preserve">
12/17 上进口商贴纸 2000pcs</t>
        </r>
      </text>
    </comment>
    <comment ref="AF162" authorId="0">
      <text>
        <r>
          <rPr>
            <b/>
            <sz val="12"/>
            <rFont val="宋体"/>
            <charset val="134"/>
          </rPr>
          <t>Administrator:</t>
        </r>
        <r>
          <rPr>
            <sz val="12"/>
            <rFont val="宋体"/>
            <charset val="134"/>
          </rPr>
          <t xml:space="preserve">
1003758 12/31 2400pcs B栋四楼A9</t>
        </r>
      </text>
    </comment>
    <comment ref="AI162" authorId="0">
      <text>
        <r>
          <rPr>
            <b/>
            <sz val="12"/>
            <rFont val="宋体"/>
            <charset val="134"/>
          </rPr>
          <t>Administrator:</t>
        </r>
        <r>
          <rPr>
            <sz val="12"/>
            <rFont val="宋体"/>
            <charset val="134"/>
          </rPr>
          <t xml:space="preserve">
12/16 上进口商贴纸 2400pcs
      上UPC贴纸 2400pcs</t>
        </r>
      </text>
    </comment>
    <comment ref="AF163" authorId="0">
      <text>
        <r>
          <rPr>
            <b/>
            <sz val="12"/>
            <rFont val="宋体"/>
            <charset val="134"/>
          </rPr>
          <t>Administrator:</t>
        </r>
        <r>
          <rPr>
            <sz val="12"/>
            <rFont val="宋体"/>
            <charset val="134"/>
          </rPr>
          <t xml:space="preserve">
1003758 12/31 3450pcs B栋四楼B5</t>
        </r>
      </text>
    </comment>
    <comment ref="AI163" authorId="0">
      <text>
        <r>
          <rPr>
            <b/>
            <sz val="12"/>
            <rFont val="宋体"/>
            <charset val="134"/>
          </rPr>
          <t>Administrator:</t>
        </r>
        <r>
          <rPr>
            <sz val="12"/>
            <rFont val="宋体"/>
            <charset val="134"/>
          </rPr>
          <t xml:space="preserve">
12/8 上客供RFID贴纸 3450pcs</t>
        </r>
      </text>
    </comment>
    <comment ref="AF164" authorId="0">
      <text>
        <r>
          <rPr>
            <b/>
            <sz val="12"/>
            <rFont val="宋体"/>
            <charset val="134"/>
          </rPr>
          <t>Administrator:</t>
        </r>
        <r>
          <rPr>
            <sz val="12"/>
            <rFont val="宋体"/>
            <charset val="134"/>
          </rPr>
          <t xml:space="preserve">
1003758 12/31 12pcs B栋四楼B1</t>
        </r>
      </text>
    </comment>
    <comment ref="AI164" authorId="0">
      <text>
        <r>
          <rPr>
            <b/>
            <sz val="12"/>
            <rFont val="宋体"/>
            <charset val="134"/>
          </rPr>
          <t>Administrator:</t>
        </r>
        <r>
          <rPr>
            <sz val="12"/>
            <rFont val="宋体"/>
            <charset val="134"/>
          </rPr>
          <t xml:space="preserve">
12/23 上空白贴纸 24pcs
12/23 收到客供亚马逊外箱贴纸 1pcs</t>
        </r>
      </text>
    </comment>
    <comment ref="AF165" authorId="0">
      <text>
        <r>
          <rPr>
            <b/>
            <sz val="12"/>
            <rFont val="宋体"/>
            <charset val="134"/>
          </rPr>
          <t>Administrator:</t>
        </r>
        <r>
          <rPr>
            <sz val="12"/>
            <rFont val="宋体"/>
            <charset val="134"/>
          </rPr>
          <t xml:space="preserve">
1003758 12/31 6210pcs B栋四楼A4</t>
        </r>
      </text>
    </comment>
    <comment ref="AI165" authorId="0">
      <text>
        <r>
          <rPr>
            <b/>
            <sz val="12"/>
            <rFont val="宋体"/>
            <charset val="134"/>
          </rPr>
          <t>Administrator:</t>
        </r>
        <r>
          <rPr>
            <sz val="12"/>
            <rFont val="宋体"/>
            <charset val="134"/>
          </rPr>
          <t xml:space="preserve">
12/15 上客供RFID贴纸 6210pcs</t>
        </r>
      </text>
    </comment>
    <comment ref="AF166" authorId="0">
      <text>
        <r>
          <rPr>
            <b/>
            <sz val="12"/>
            <rFont val="宋体"/>
            <charset val="134"/>
          </rPr>
          <t>Administrator:</t>
        </r>
        <r>
          <rPr>
            <sz val="12"/>
            <rFont val="宋体"/>
            <charset val="134"/>
          </rPr>
          <t xml:space="preserve">
1003731 1/6 960pcs B4楼C5区</t>
        </r>
      </text>
    </comment>
    <comment ref="AI166" authorId="0">
      <text>
        <r>
          <rPr>
            <b/>
            <sz val="12"/>
            <rFont val="宋体"/>
            <charset val="134"/>
          </rPr>
          <t>Administrator:</t>
        </r>
        <r>
          <rPr>
            <sz val="12"/>
            <rFont val="宋体"/>
            <charset val="134"/>
          </rPr>
          <t xml:space="preserve">
12/8 上客供RFID贴纸 960pcs</t>
        </r>
      </text>
    </comment>
    <comment ref="AF167" authorId="0">
      <text>
        <r>
          <rPr>
            <b/>
            <sz val="12"/>
            <rFont val="宋体"/>
            <charset val="134"/>
          </rPr>
          <t>Administrator:</t>
        </r>
        <r>
          <rPr>
            <sz val="12"/>
            <rFont val="宋体"/>
            <charset val="134"/>
          </rPr>
          <t xml:space="preserve">
1003731 1/6 960pcs B4楼C5区</t>
        </r>
      </text>
    </comment>
    <comment ref="AI167" authorId="0">
      <text>
        <r>
          <rPr>
            <b/>
            <sz val="12"/>
            <rFont val="宋体"/>
            <charset val="134"/>
          </rPr>
          <t>Administrator:</t>
        </r>
        <r>
          <rPr>
            <sz val="12"/>
            <rFont val="宋体"/>
            <charset val="134"/>
          </rPr>
          <t xml:space="preserve">
12/8 上客供RFID贴纸 960pcs</t>
        </r>
      </text>
    </comment>
    <comment ref="AF168" authorId="0">
      <text>
        <r>
          <rPr>
            <b/>
            <sz val="12"/>
            <rFont val="宋体"/>
            <charset val="134"/>
          </rPr>
          <t>Administrator:</t>
        </r>
        <r>
          <rPr>
            <sz val="12"/>
            <rFont val="宋体"/>
            <charset val="134"/>
          </rPr>
          <t xml:space="preserve">
1003731 1/6 960pcs B4楼B9区</t>
        </r>
      </text>
    </comment>
    <comment ref="AI168" authorId="0">
      <text>
        <r>
          <rPr>
            <b/>
            <sz val="12"/>
            <rFont val="宋体"/>
            <charset val="134"/>
          </rPr>
          <t>Administrator:</t>
        </r>
        <r>
          <rPr>
            <sz val="12"/>
            <rFont val="宋体"/>
            <charset val="134"/>
          </rPr>
          <t xml:space="preserve">
12/8 上客供RFID贴纸 960pcs</t>
        </r>
      </text>
    </comment>
    <comment ref="AF169" authorId="0">
      <text>
        <r>
          <rPr>
            <b/>
            <sz val="12"/>
            <rFont val="宋体"/>
            <charset val="134"/>
          </rPr>
          <t>Administrator:</t>
        </r>
        <r>
          <rPr>
            <sz val="12"/>
            <rFont val="宋体"/>
            <charset val="134"/>
          </rPr>
          <t xml:space="preserve">
1003731 1/6 960pcs B4楼C5区</t>
        </r>
      </text>
    </comment>
    <comment ref="AI169" authorId="0">
      <text>
        <r>
          <rPr>
            <b/>
            <sz val="12"/>
            <rFont val="宋体"/>
            <charset val="134"/>
          </rPr>
          <t>Administrator:</t>
        </r>
        <r>
          <rPr>
            <sz val="12"/>
            <rFont val="宋体"/>
            <charset val="134"/>
          </rPr>
          <t xml:space="preserve">
12/8 上客供RFID贴纸 960pcs</t>
        </r>
      </text>
    </comment>
    <comment ref="AF170" authorId="0">
      <text>
        <r>
          <rPr>
            <b/>
            <sz val="12"/>
            <rFont val="宋体"/>
            <charset val="134"/>
          </rPr>
          <t>Administrator:</t>
        </r>
        <r>
          <rPr>
            <sz val="12"/>
            <rFont val="宋体"/>
            <charset val="134"/>
          </rPr>
          <t xml:space="preserve">
1003731 1/6 960pcs B4楼B1区</t>
        </r>
      </text>
    </comment>
    <comment ref="AI170" authorId="0">
      <text>
        <r>
          <rPr>
            <b/>
            <sz val="12"/>
            <rFont val="宋体"/>
            <charset val="134"/>
          </rPr>
          <t>Administrator:</t>
        </r>
        <r>
          <rPr>
            <sz val="12"/>
            <rFont val="宋体"/>
            <charset val="134"/>
          </rPr>
          <t xml:space="preserve">
12/8 上客供RFID贴纸 960pcs</t>
        </r>
      </text>
    </comment>
    <comment ref="AF171" authorId="0">
      <text>
        <r>
          <rPr>
            <b/>
            <sz val="12"/>
            <rFont val="宋体"/>
            <charset val="134"/>
          </rPr>
          <t>Administrator:</t>
        </r>
        <r>
          <rPr>
            <sz val="12"/>
            <rFont val="宋体"/>
            <charset val="134"/>
          </rPr>
          <t xml:space="preserve">
1001174 1/14 8套空展示架</t>
        </r>
      </text>
    </comment>
    <comment ref="AF172" authorId="0">
      <text>
        <r>
          <rPr>
            <b/>
            <sz val="12"/>
            <rFont val="宋体"/>
            <charset val="134"/>
          </rPr>
          <t>Administrator:</t>
        </r>
        <r>
          <rPr>
            <sz val="12"/>
            <rFont val="宋体"/>
            <charset val="134"/>
          </rPr>
          <t xml:space="preserve">
1001230 1/9 7200pcs B4楼A2区</t>
        </r>
      </text>
    </comment>
    <comment ref="AF173" authorId="0">
      <text>
        <r>
          <rPr>
            <b/>
            <sz val="12"/>
            <rFont val="宋体"/>
            <charset val="134"/>
          </rPr>
          <t>Administrator:</t>
        </r>
        <r>
          <rPr>
            <sz val="12"/>
            <rFont val="宋体"/>
            <charset val="134"/>
          </rPr>
          <t xml:space="preserve">
1001230 1/9 800pcs B4楼B8区</t>
        </r>
      </text>
    </comment>
    <comment ref="AI173" authorId="0">
      <text>
        <r>
          <rPr>
            <b/>
            <sz val="12"/>
            <rFont val="宋体"/>
            <charset val="134"/>
          </rPr>
          <t>Administrator:</t>
        </r>
        <r>
          <rPr>
            <sz val="12"/>
            <rFont val="宋体"/>
            <charset val="134"/>
          </rPr>
          <t xml:space="preserve">
12/10 上UPC贴纸 800pcs</t>
        </r>
      </text>
    </comment>
    <comment ref="AF174" authorId="0">
      <text>
        <r>
          <rPr>
            <b/>
            <sz val="12"/>
            <rFont val="宋体"/>
            <charset val="134"/>
          </rPr>
          <t>Administrator:</t>
        </r>
        <r>
          <rPr>
            <sz val="12"/>
            <rFont val="宋体"/>
            <charset val="134"/>
          </rPr>
          <t xml:space="preserve">
1003271 1/21 34套散件（3026个球）</t>
        </r>
      </text>
    </comment>
    <comment ref="AF175" authorId="0">
      <text>
        <r>
          <rPr>
            <b/>
            <sz val="12"/>
            <rFont val="宋体"/>
            <charset val="134"/>
          </rPr>
          <t>Administrator:</t>
        </r>
        <r>
          <rPr>
            <sz val="12"/>
            <rFont val="宋体"/>
            <charset val="134"/>
          </rPr>
          <t xml:space="preserve">
1001230 1/9 1200pcs B4楼B8区</t>
        </r>
      </text>
    </comment>
    <comment ref="AI175" authorId="0">
      <text>
        <r>
          <rPr>
            <b/>
            <sz val="12"/>
            <rFont val="宋体"/>
            <charset val="134"/>
          </rPr>
          <t>Administrator:</t>
        </r>
        <r>
          <rPr>
            <sz val="12"/>
            <rFont val="宋体"/>
            <charset val="134"/>
          </rPr>
          <t xml:space="preserve">
12/25 上西班牙环保标贴纸 1200pcs</t>
        </r>
      </text>
    </comment>
    <comment ref="AF176" authorId="0">
      <text>
        <r>
          <rPr>
            <b/>
            <sz val="12"/>
            <rFont val="宋体"/>
            <charset val="134"/>
          </rPr>
          <t>Administrator:</t>
        </r>
        <r>
          <rPr>
            <sz val="12"/>
            <rFont val="宋体"/>
            <charset val="134"/>
          </rPr>
          <t xml:space="preserve">
1001184 1/13 12pcs B4楼B1区</t>
        </r>
      </text>
    </comment>
    <comment ref="AI176" authorId="0">
      <text>
        <r>
          <rPr>
            <b/>
            <sz val="12"/>
            <rFont val="宋体"/>
            <charset val="134"/>
          </rPr>
          <t>Administrator:</t>
        </r>
        <r>
          <rPr>
            <sz val="12"/>
            <rFont val="宋体"/>
            <charset val="134"/>
          </rPr>
          <t xml:space="preserve">
12/23 收到客供亚马逊外箱贴纸 1pcs</t>
        </r>
      </text>
    </comment>
    <comment ref="AF177" authorId="0">
      <text>
        <r>
          <rPr>
            <b/>
            <sz val="12"/>
            <rFont val="宋体"/>
            <charset val="134"/>
          </rPr>
          <t>Administrator:</t>
        </r>
        <r>
          <rPr>
            <sz val="12"/>
            <rFont val="宋体"/>
            <charset val="134"/>
          </rPr>
          <t xml:space="preserve">
1001230 1/9 1200pcs B4楼B3区</t>
        </r>
      </text>
    </comment>
    <comment ref="AI177" authorId="0">
      <text>
        <r>
          <rPr>
            <b/>
            <sz val="12"/>
            <rFont val="宋体"/>
            <charset val="134"/>
          </rPr>
          <t>Administrator:</t>
        </r>
        <r>
          <rPr>
            <sz val="12"/>
            <rFont val="宋体"/>
            <charset val="134"/>
          </rPr>
          <t xml:space="preserve">
12/22 上西班牙环保标贴纸 1200pcs</t>
        </r>
      </text>
    </comment>
    <comment ref="AF178" authorId="0">
      <text>
        <r>
          <rPr>
            <b/>
            <sz val="12"/>
            <rFont val="宋体"/>
            <charset val="134"/>
          </rPr>
          <t>Administrator:</t>
        </r>
        <r>
          <rPr>
            <sz val="12"/>
            <rFont val="宋体"/>
            <charset val="134"/>
          </rPr>
          <t xml:space="preserve">
1001234 1/10 6930pcs B4楼A6区</t>
        </r>
      </text>
    </comment>
    <comment ref="AI178" authorId="0">
      <text>
        <r>
          <rPr>
            <b/>
            <sz val="12"/>
            <rFont val="宋体"/>
            <charset val="134"/>
          </rPr>
          <t>Administrator:</t>
        </r>
        <r>
          <rPr>
            <sz val="12"/>
            <rFont val="宋体"/>
            <charset val="134"/>
          </rPr>
          <t xml:space="preserve">
12/8 上客供RFID贴纸 6930pcs</t>
        </r>
      </text>
    </comment>
    <comment ref="AF179" authorId="0">
      <text>
        <r>
          <rPr>
            <b/>
            <sz val="12"/>
            <rFont val="宋体"/>
            <charset val="134"/>
          </rPr>
          <t>Administrator:</t>
        </r>
        <r>
          <rPr>
            <sz val="12"/>
            <rFont val="宋体"/>
            <charset val="134"/>
          </rPr>
          <t xml:space="preserve">
1001184 1/13 960pcs B4楼A3区</t>
        </r>
      </text>
    </comment>
    <comment ref="AI179" authorId="0">
      <text>
        <r>
          <rPr>
            <b/>
            <sz val="12"/>
            <rFont val="宋体"/>
            <charset val="134"/>
          </rPr>
          <t>Administrator:</t>
        </r>
        <r>
          <rPr>
            <sz val="12"/>
            <rFont val="宋体"/>
            <charset val="134"/>
          </rPr>
          <t xml:space="preserve">
12/8 上客供RFID贴纸 960pcs</t>
        </r>
      </text>
    </comment>
    <comment ref="AF180" authorId="0">
      <text>
        <r>
          <rPr>
            <b/>
            <sz val="12"/>
            <rFont val="宋体"/>
            <charset val="134"/>
          </rPr>
          <t>Administrator:</t>
        </r>
        <r>
          <rPr>
            <sz val="12"/>
            <rFont val="宋体"/>
            <charset val="134"/>
          </rPr>
          <t xml:space="preserve">
1001191 1/13 1500pcs B4楼A2区</t>
        </r>
      </text>
    </comment>
    <comment ref="AI180" authorId="0">
      <text>
        <r>
          <rPr>
            <b/>
            <sz val="12"/>
            <rFont val="宋体"/>
            <charset val="134"/>
          </rPr>
          <t>Administrator:</t>
        </r>
        <r>
          <rPr>
            <sz val="12"/>
            <rFont val="宋体"/>
            <charset val="134"/>
          </rPr>
          <t xml:space="preserve">
1/9 上UPC贴纸 1500pcs
    上进口商贴纸 1500pcs</t>
        </r>
      </text>
    </comment>
    <comment ref="AF181" authorId="0">
      <text>
        <r>
          <rPr>
            <b/>
            <sz val="12"/>
            <rFont val="宋体"/>
            <charset val="134"/>
          </rPr>
          <t>Administrator:</t>
        </r>
        <r>
          <rPr>
            <sz val="12"/>
            <rFont val="宋体"/>
            <charset val="134"/>
          </rPr>
          <t xml:space="preserve">
1001210 1/10 2730pcs B4楼B4区</t>
        </r>
      </text>
    </comment>
    <comment ref="AI181" authorId="0">
      <text>
        <r>
          <rPr>
            <b/>
            <sz val="12"/>
            <rFont val="宋体"/>
            <charset val="134"/>
          </rPr>
          <t>Administrator:</t>
        </r>
        <r>
          <rPr>
            <sz val="12"/>
            <rFont val="宋体"/>
            <charset val="134"/>
          </rPr>
          <t xml:space="preserve">
12/8 上客供RFID贴纸 2730pcs</t>
        </r>
      </text>
    </comment>
    <comment ref="AF182" authorId="0">
      <text>
        <r>
          <rPr>
            <b/>
            <sz val="12"/>
            <rFont val="宋体"/>
            <charset val="134"/>
          </rPr>
          <t>Administrator:</t>
        </r>
        <r>
          <rPr>
            <sz val="12"/>
            <rFont val="宋体"/>
            <charset val="134"/>
          </rPr>
          <t xml:space="preserve">
1001191 1/13 300pcs B4楼A2区</t>
        </r>
      </text>
    </comment>
    <comment ref="AI182" authorId="0">
      <text>
        <r>
          <rPr>
            <b/>
            <sz val="12"/>
            <rFont val="宋体"/>
            <charset val="134"/>
          </rPr>
          <t>Administrator:</t>
        </r>
        <r>
          <rPr>
            <sz val="12"/>
            <rFont val="宋体"/>
            <charset val="134"/>
          </rPr>
          <t xml:space="preserve">
12/31 上西班牙环保贴纸 300pcs</t>
        </r>
      </text>
    </comment>
    <comment ref="AF183" authorId="0">
      <text>
        <r>
          <rPr>
            <b/>
            <sz val="12"/>
            <rFont val="宋体"/>
            <charset val="134"/>
          </rPr>
          <t>Administrator:</t>
        </r>
        <r>
          <rPr>
            <sz val="12"/>
            <rFont val="宋体"/>
            <charset val="134"/>
          </rPr>
          <t xml:space="preserve">
1001184 1/13 960pcs B4楼A3区</t>
        </r>
      </text>
    </comment>
    <comment ref="AI183" authorId="0">
      <text>
        <r>
          <rPr>
            <b/>
            <sz val="12"/>
            <rFont val="宋体"/>
            <charset val="134"/>
          </rPr>
          <t>Administrator:</t>
        </r>
        <r>
          <rPr>
            <sz val="12"/>
            <rFont val="宋体"/>
            <charset val="134"/>
          </rPr>
          <t xml:space="preserve">
12/8 上客供RFID贴纸 960pcs</t>
        </r>
      </text>
    </comment>
    <comment ref="AF184" authorId="0">
      <text>
        <r>
          <rPr>
            <b/>
            <sz val="12"/>
            <rFont val="宋体"/>
            <charset val="134"/>
          </rPr>
          <t>Administrator:</t>
        </r>
        <r>
          <rPr>
            <sz val="12"/>
            <rFont val="宋体"/>
            <charset val="134"/>
          </rPr>
          <t xml:space="preserve">
1001184 1/13 960pcs B4楼B5区</t>
        </r>
      </text>
    </comment>
    <comment ref="AI184" authorId="0">
      <text>
        <r>
          <rPr>
            <b/>
            <sz val="12"/>
            <rFont val="宋体"/>
            <charset val="134"/>
          </rPr>
          <t>Administrator:</t>
        </r>
        <r>
          <rPr>
            <sz val="12"/>
            <rFont val="宋体"/>
            <charset val="134"/>
          </rPr>
          <t xml:space="preserve">
12/15 上客供RFID贴纸 960pcs</t>
        </r>
      </text>
    </comment>
    <comment ref="AF185" authorId="0">
      <text>
        <r>
          <rPr>
            <b/>
            <sz val="12"/>
            <rFont val="宋体"/>
            <charset val="134"/>
          </rPr>
          <t>Administrator:</t>
        </r>
        <r>
          <rPr>
            <sz val="12"/>
            <rFont val="宋体"/>
            <charset val="134"/>
          </rPr>
          <t xml:space="preserve">
1001184 1/13 960pcs B4楼B5区</t>
        </r>
      </text>
    </comment>
    <comment ref="AI185" authorId="0">
      <text>
        <r>
          <rPr>
            <b/>
            <sz val="12"/>
            <rFont val="宋体"/>
            <charset val="134"/>
          </rPr>
          <t>Administrator:</t>
        </r>
        <r>
          <rPr>
            <sz val="12"/>
            <rFont val="宋体"/>
            <charset val="134"/>
          </rPr>
          <t xml:space="preserve">
12/15 上客供RFID贴纸 960pcs</t>
        </r>
      </text>
    </comment>
    <comment ref="AF186" authorId="0">
      <text>
        <r>
          <rPr>
            <b/>
            <sz val="12"/>
            <rFont val="宋体"/>
            <charset val="134"/>
          </rPr>
          <t>Administrator:</t>
        </r>
        <r>
          <rPr>
            <sz val="12"/>
            <rFont val="宋体"/>
            <charset val="134"/>
          </rPr>
          <t xml:space="preserve">
1001028 1/19 2500pcs 华兴一F3</t>
        </r>
      </text>
    </comment>
    <comment ref="AI186" authorId="0">
      <text>
        <r>
          <rPr>
            <b/>
            <sz val="12"/>
            <rFont val="宋体"/>
            <charset val="134"/>
          </rPr>
          <t>Administrator:</t>
        </r>
        <r>
          <rPr>
            <sz val="12"/>
            <rFont val="宋体"/>
            <charset val="134"/>
          </rPr>
          <t xml:space="preserve">
12/27 上进口商贴纸 2500pcs
      上UPC贴纸 2500pcs</t>
        </r>
      </text>
    </comment>
    <comment ref="AF187" authorId="0">
      <text>
        <r>
          <rPr>
            <b/>
            <sz val="12"/>
            <rFont val="宋体"/>
            <charset val="134"/>
          </rPr>
          <t>Administrator:</t>
        </r>
        <r>
          <rPr>
            <sz val="12"/>
            <rFont val="宋体"/>
            <charset val="134"/>
          </rPr>
          <t xml:space="preserve">
1000996 1/17 1859pcs B4楼B9区</t>
        </r>
      </text>
    </comment>
    <comment ref="AF188" authorId="0">
      <text>
        <r>
          <rPr>
            <b/>
            <sz val="12"/>
            <rFont val="宋体"/>
            <charset val="134"/>
          </rPr>
          <t>Administrator:</t>
        </r>
        <r>
          <rPr>
            <sz val="12"/>
            <rFont val="宋体"/>
            <charset val="134"/>
          </rPr>
          <t xml:space="preserve">
1001264 1/23 2080pcs B4楼A2区</t>
        </r>
      </text>
    </comment>
    <comment ref="AI188" authorId="0">
      <text>
        <r>
          <rPr>
            <b/>
            <sz val="12"/>
            <rFont val="宋体"/>
            <charset val="134"/>
          </rPr>
          <t>Administrator:</t>
        </r>
        <r>
          <rPr>
            <sz val="12"/>
            <rFont val="宋体"/>
            <charset val="134"/>
          </rPr>
          <t xml:space="preserve">
1/7 上警语贴纸 2080pcs
1/13 上客供价格贴纸 2080pcs
1/29 收到警语贴纸 2080pcs-返工用
1/29 收到客供价格贴纸 2080pcs-返工用
</t>
        </r>
      </text>
    </comment>
    <comment ref="AF189" authorId="0">
      <text>
        <r>
          <rPr>
            <b/>
            <sz val="12"/>
            <rFont val="宋体"/>
            <charset val="134"/>
          </rPr>
          <t>Administrator:</t>
        </r>
        <r>
          <rPr>
            <sz val="12"/>
            <rFont val="宋体"/>
            <charset val="134"/>
          </rPr>
          <t xml:space="preserve">
1001283 1/27 312pcs B4楼A4区</t>
        </r>
      </text>
    </comment>
    <comment ref="AI189" authorId="0">
      <text>
        <r>
          <rPr>
            <b/>
            <sz val="12"/>
            <rFont val="宋体"/>
            <charset val="134"/>
          </rPr>
          <t>Administrator:</t>
        </r>
        <r>
          <rPr>
            <sz val="12"/>
            <rFont val="宋体"/>
            <charset val="134"/>
          </rPr>
          <t xml:space="preserve">
1/14 上进口商贴纸 312pcs
     上条码贴纸 312pcs</t>
        </r>
      </text>
    </comment>
    <comment ref="AF190" authorId="0">
      <text>
        <r>
          <rPr>
            <b/>
            <sz val="12"/>
            <rFont val="宋体"/>
            <charset val="134"/>
          </rPr>
          <t>Administrator:</t>
        </r>
        <r>
          <rPr>
            <sz val="12"/>
            <rFont val="宋体"/>
            <charset val="134"/>
          </rPr>
          <t xml:space="preserve">
1001283 1/27 750pcs B4楼A4区
退回返工
1001126 1/31 750pcs B4楼B10区</t>
        </r>
      </text>
    </comment>
    <comment ref="AI190" authorId="0">
      <text>
        <r>
          <rPr>
            <b/>
            <sz val="12"/>
            <rFont val="宋体"/>
            <charset val="134"/>
          </rPr>
          <t>Administrator:</t>
        </r>
        <r>
          <rPr>
            <sz val="12"/>
            <rFont val="宋体"/>
            <charset val="134"/>
          </rPr>
          <t xml:space="preserve">
1/12 上UPC贴纸 5450pcs
189203/188248/189691/188307/190234共用</t>
        </r>
      </text>
    </comment>
    <comment ref="AF191" authorId="0">
      <text>
        <r>
          <rPr>
            <b/>
            <sz val="12"/>
            <rFont val="宋体"/>
            <charset val="134"/>
          </rPr>
          <t>Administrator:</t>
        </r>
        <r>
          <rPr>
            <sz val="12"/>
            <rFont val="宋体"/>
            <charset val="134"/>
          </rPr>
          <t xml:space="preserve">
1000996 1/17 600pcs B4楼B5区
退回返工
1001126 1/31 600pcs B4楼C10区</t>
        </r>
      </text>
    </comment>
    <comment ref="AI191" authorId="0">
      <text>
        <r>
          <rPr>
            <b/>
            <sz val="12"/>
            <rFont val="宋体"/>
            <charset val="134"/>
          </rPr>
          <t>Administrator:</t>
        </r>
        <r>
          <rPr>
            <sz val="12"/>
            <rFont val="宋体"/>
            <charset val="134"/>
          </rPr>
          <t xml:space="preserve">
1/12 上UPC贴纸 5450pcs
189203/188248/189691/188307/190234共用</t>
        </r>
      </text>
    </comment>
    <comment ref="AF192" authorId="0">
      <text>
        <r>
          <rPr>
            <b/>
            <sz val="12"/>
            <rFont val="宋体"/>
            <charset val="134"/>
          </rPr>
          <t>Administrator:</t>
        </r>
        <r>
          <rPr>
            <sz val="12"/>
            <rFont val="宋体"/>
            <charset val="134"/>
          </rPr>
          <t xml:space="preserve">
1001283 1/27 600pcs B4楼A4区</t>
        </r>
      </text>
    </comment>
    <comment ref="AI192" authorId="0">
      <text>
        <r>
          <rPr>
            <b/>
            <sz val="12"/>
            <rFont val="宋体"/>
            <charset val="134"/>
          </rPr>
          <t>Administrator:</t>
        </r>
        <r>
          <rPr>
            <sz val="12"/>
            <rFont val="宋体"/>
            <charset val="134"/>
          </rPr>
          <t xml:space="preserve">
1/12 上UPC贴纸 5450pcs
189203/188248/189691/188307/190234共用</t>
        </r>
      </text>
    </comment>
    <comment ref="AF193" authorId="0">
      <text>
        <r>
          <rPr>
            <b/>
            <sz val="12"/>
            <rFont val="宋体"/>
            <charset val="134"/>
          </rPr>
          <t>Administrator:</t>
        </r>
        <r>
          <rPr>
            <sz val="12"/>
            <rFont val="宋体"/>
            <charset val="134"/>
          </rPr>
          <t xml:space="preserve">
1001028 1/19 3000pcs华兴三B17
退回返工
1001126 1/31 3000pcs B4楼B10区</t>
        </r>
      </text>
    </comment>
    <comment ref="AI193" authorId="0">
      <text>
        <r>
          <rPr>
            <b/>
            <sz val="12"/>
            <rFont val="宋体"/>
            <charset val="134"/>
          </rPr>
          <t>Administrator:</t>
        </r>
        <r>
          <rPr>
            <sz val="12"/>
            <rFont val="宋体"/>
            <charset val="134"/>
          </rPr>
          <t xml:space="preserve">
1/12 上UPC贴纸 5450pcs
189203/188248/189691/188307/190234共用</t>
        </r>
      </text>
    </comment>
    <comment ref="AF194" authorId="0">
      <text>
        <r>
          <rPr>
            <b/>
            <sz val="12"/>
            <rFont val="宋体"/>
            <charset val="134"/>
          </rPr>
          <t>Administrator:</t>
        </r>
        <r>
          <rPr>
            <sz val="12"/>
            <rFont val="宋体"/>
            <charset val="134"/>
          </rPr>
          <t xml:space="preserve">
1000996 1/17 500pcs B4楼B5区
退回返工
1001126 1/31 500pcs B4楼C10区</t>
        </r>
      </text>
    </comment>
    <comment ref="AI194" authorId="0">
      <text>
        <r>
          <rPr>
            <b/>
            <sz val="12"/>
            <rFont val="宋体"/>
            <charset val="134"/>
          </rPr>
          <t>Administrator:</t>
        </r>
        <r>
          <rPr>
            <sz val="12"/>
            <rFont val="宋体"/>
            <charset val="134"/>
          </rPr>
          <t xml:space="preserve">
1/12 上UPC贴纸 5450pcs
189203/188248/189691/188307/190234共用</t>
        </r>
      </text>
    </comment>
    <comment ref="AF195" authorId="0">
      <text>
        <r>
          <rPr>
            <b/>
            <sz val="12"/>
            <rFont val="宋体"/>
            <charset val="134"/>
          </rPr>
          <t>Administrator:</t>
        </r>
        <r>
          <rPr>
            <sz val="12"/>
            <rFont val="宋体"/>
            <charset val="134"/>
          </rPr>
          <t xml:space="preserve">
1001283 1/27 442pcs B4楼A4区</t>
        </r>
      </text>
    </comment>
    <comment ref="AI195" authorId="0">
      <text>
        <r>
          <rPr>
            <b/>
            <sz val="12"/>
            <rFont val="宋体"/>
            <charset val="134"/>
          </rPr>
          <t>Administrator:</t>
        </r>
        <r>
          <rPr>
            <sz val="12"/>
            <rFont val="宋体"/>
            <charset val="134"/>
          </rPr>
          <t xml:space="preserve">
1/5 上进口商贴纸 442pcs
1/15 上UPC贴纸 442pcs</t>
        </r>
      </text>
    </comment>
    <comment ref="AF196" authorId="0">
      <text>
        <r>
          <rPr>
            <b/>
            <sz val="12"/>
            <rFont val="宋体"/>
            <charset val="134"/>
          </rPr>
          <t>Administrator:</t>
        </r>
        <r>
          <rPr>
            <sz val="12"/>
            <rFont val="宋体"/>
            <charset val="134"/>
          </rPr>
          <t xml:space="preserve">
1001298 1/29 1500pcs B4楼C10区</t>
        </r>
      </text>
    </comment>
    <comment ref="AI196" authorId="0">
      <text>
        <r>
          <rPr>
            <b/>
            <sz val="12"/>
            <rFont val="宋体"/>
            <charset val="134"/>
          </rPr>
          <t>Administrator:</t>
        </r>
        <r>
          <rPr>
            <sz val="12"/>
            <rFont val="宋体"/>
            <charset val="134"/>
          </rPr>
          <t xml:space="preserve">
1/12 上进口商贴纸 1500pcs
     上UPC贴纸 1500pcs</t>
        </r>
      </text>
    </comment>
    <comment ref="AF197" authorId="0">
      <text>
        <r>
          <rPr>
            <b/>
            <sz val="12"/>
            <rFont val="宋体"/>
            <charset val="134"/>
          </rPr>
          <t>Administrator:</t>
        </r>
        <r>
          <rPr>
            <sz val="12"/>
            <rFont val="宋体"/>
            <charset val="134"/>
          </rPr>
          <t xml:space="preserve">
1001113 1/30 4000pcs B4楼A8区</t>
        </r>
      </text>
    </comment>
    <comment ref="AI197" authorId="0">
      <text>
        <r>
          <rPr>
            <b/>
            <sz val="12"/>
            <rFont val="宋体"/>
            <charset val="134"/>
          </rPr>
          <t>Administrator:</t>
        </r>
        <r>
          <rPr>
            <sz val="12"/>
            <rFont val="宋体"/>
            <charset val="134"/>
          </rPr>
          <t xml:space="preserve">
1/19 上进口商贴纸 4000pcs
     上UPC贴纸 4000pcs</t>
        </r>
      </text>
    </comment>
    <comment ref="AF198" authorId="0">
      <text>
        <r>
          <rPr>
            <b/>
            <sz val="12"/>
            <rFont val="宋体"/>
            <charset val="134"/>
          </rPr>
          <t>Administrator:</t>
        </r>
        <r>
          <rPr>
            <sz val="12"/>
            <rFont val="宋体"/>
            <charset val="134"/>
          </rPr>
          <t xml:space="preserve">
1001114 1/30 960pcs B4楼B9区</t>
        </r>
      </text>
    </comment>
    <comment ref="AI198" authorId="0">
      <text>
        <r>
          <rPr>
            <b/>
            <sz val="12"/>
            <rFont val="宋体"/>
            <charset val="134"/>
          </rPr>
          <t>Administrator:</t>
        </r>
        <r>
          <rPr>
            <sz val="12"/>
            <rFont val="宋体"/>
            <charset val="134"/>
          </rPr>
          <t xml:space="preserve">
1/5 上客供RFID贴纸 960pcs</t>
        </r>
      </text>
    </comment>
    <comment ref="AF199" authorId="0">
      <text>
        <r>
          <rPr>
            <b/>
            <sz val="12"/>
            <rFont val="宋体"/>
            <charset val="134"/>
          </rPr>
          <t>Administrator:</t>
        </r>
        <r>
          <rPr>
            <sz val="12"/>
            <rFont val="宋体"/>
            <charset val="134"/>
          </rPr>
          <t xml:space="preserve">
1001113 1/30 960pcs B4楼B9区</t>
        </r>
      </text>
    </comment>
    <comment ref="AI199" authorId="0">
      <text>
        <r>
          <rPr>
            <b/>
            <sz val="12"/>
            <rFont val="宋体"/>
            <charset val="134"/>
          </rPr>
          <t>Administrator:</t>
        </r>
        <r>
          <rPr>
            <sz val="12"/>
            <rFont val="宋体"/>
            <charset val="134"/>
          </rPr>
          <t xml:space="preserve">
1/5 上客供RFID贴纸 960pcs</t>
        </r>
      </text>
    </comment>
    <comment ref="AF200" authorId="0">
      <text>
        <r>
          <rPr>
            <b/>
            <sz val="12"/>
            <rFont val="宋体"/>
            <charset val="134"/>
          </rPr>
          <t>Administrator:</t>
        </r>
        <r>
          <rPr>
            <sz val="12"/>
            <rFont val="宋体"/>
            <charset val="134"/>
          </rPr>
          <t xml:space="preserve">
1001113 1/30 960pcs B4楼B9区</t>
        </r>
      </text>
    </comment>
    <comment ref="AI200" authorId="0">
      <text>
        <r>
          <rPr>
            <b/>
            <sz val="12"/>
            <rFont val="宋体"/>
            <charset val="134"/>
          </rPr>
          <t>Administrator:</t>
        </r>
        <r>
          <rPr>
            <sz val="12"/>
            <rFont val="宋体"/>
            <charset val="134"/>
          </rPr>
          <t xml:space="preserve">
1/5 上客供RFID贴纸 960pcs</t>
        </r>
      </text>
    </comment>
    <comment ref="AF201" authorId="0">
      <text>
        <r>
          <rPr>
            <b/>
            <sz val="12"/>
            <rFont val="宋体"/>
            <charset val="134"/>
          </rPr>
          <t>Administrator:</t>
        </r>
        <r>
          <rPr>
            <sz val="12"/>
            <rFont val="宋体"/>
            <charset val="134"/>
          </rPr>
          <t xml:space="preserve">
1001114 1/30 960pcs B4楼B9区</t>
        </r>
      </text>
    </comment>
    <comment ref="AI201" authorId="0">
      <text>
        <r>
          <rPr>
            <b/>
            <sz val="12"/>
            <rFont val="宋体"/>
            <charset val="134"/>
          </rPr>
          <t>Administrator:</t>
        </r>
        <r>
          <rPr>
            <sz val="12"/>
            <rFont val="宋体"/>
            <charset val="134"/>
          </rPr>
          <t xml:space="preserve">
1/5 上客供RFID贴纸 960pcs</t>
        </r>
      </text>
    </comment>
    <comment ref="AF202" authorId="0">
      <text>
        <r>
          <rPr>
            <b/>
            <sz val="12"/>
            <rFont val="宋体"/>
            <charset val="134"/>
          </rPr>
          <t>Administrator:</t>
        </r>
        <r>
          <rPr>
            <sz val="12"/>
            <rFont val="宋体"/>
            <charset val="134"/>
          </rPr>
          <t xml:space="preserve">
1001114 1/30 960pcs B4楼B9区</t>
        </r>
      </text>
    </comment>
    <comment ref="AI202" authorId="0">
      <text>
        <r>
          <rPr>
            <b/>
            <sz val="12"/>
            <rFont val="宋体"/>
            <charset val="134"/>
          </rPr>
          <t>Administrator:</t>
        </r>
        <r>
          <rPr>
            <sz val="12"/>
            <rFont val="宋体"/>
            <charset val="134"/>
          </rPr>
          <t xml:space="preserve">
1/5 上客供RFID贴纸 960pcs</t>
        </r>
      </text>
    </comment>
    <comment ref="AF203" authorId="0">
      <text>
        <r>
          <rPr>
            <b/>
            <sz val="12"/>
            <rFont val="宋体"/>
            <charset val="134"/>
          </rPr>
          <t>Administrator:</t>
        </r>
        <r>
          <rPr>
            <sz val="12"/>
            <rFont val="宋体"/>
            <charset val="134"/>
          </rPr>
          <t xml:space="preserve">
1001113 1/30 960pcs B4楼B9区</t>
        </r>
      </text>
    </comment>
    <comment ref="AI203" authorId="0">
      <text>
        <r>
          <rPr>
            <b/>
            <sz val="12"/>
            <rFont val="宋体"/>
            <charset val="134"/>
          </rPr>
          <t>Administrator:</t>
        </r>
        <r>
          <rPr>
            <sz val="12"/>
            <rFont val="宋体"/>
            <charset val="134"/>
          </rPr>
          <t xml:space="preserve">
1/5 上客供RFID贴纸 960pcs</t>
        </r>
      </text>
    </comment>
    <comment ref="AF204" authorId="0">
      <text>
        <r>
          <rPr>
            <b/>
            <sz val="12"/>
            <rFont val="宋体"/>
            <charset val="134"/>
          </rPr>
          <t>Administrator:</t>
        </r>
        <r>
          <rPr>
            <sz val="12"/>
            <rFont val="宋体"/>
            <charset val="134"/>
          </rPr>
          <t xml:space="preserve">
1001148 2/3 504pcs B4楼B1区</t>
        </r>
      </text>
    </comment>
    <comment ref="AI204" authorId="0">
      <text>
        <r>
          <rPr>
            <b/>
            <sz val="12"/>
            <rFont val="宋体"/>
            <charset val="134"/>
          </rPr>
          <t>Administrator:</t>
        </r>
        <r>
          <rPr>
            <sz val="12"/>
            <rFont val="宋体"/>
            <charset val="134"/>
          </rPr>
          <t xml:space="preserve">
12/31 上环保标贴纸 504pcs
1/26 上亚马逊外箱贴纸 42pcs</t>
        </r>
      </text>
    </comment>
    <comment ref="AF205" authorId="0">
      <text>
        <r>
          <rPr>
            <b/>
            <sz val="12"/>
            <rFont val="宋体"/>
            <charset val="134"/>
          </rPr>
          <t>Administrator:</t>
        </r>
        <r>
          <rPr>
            <sz val="12"/>
            <rFont val="宋体"/>
            <charset val="134"/>
          </rPr>
          <t xml:space="preserve">
1001113 1/30 960pcs B4楼B9区</t>
        </r>
      </text>
    </comment>
    <comment ref="AI205" authorId="0">
      <text>
        <r>
          <rPr>
            <b/>
            <sz val="12"/>
            <rFont val="宋体"/>
            <charset val="134"/>
          </rPr>
          <t>Administrator:</t>
        </r>
        <r>
          <rPr>
            <sz val="12"/>
            <rFont val="宋体"/>
            <charset val="134"/>
          </rPr>
          <t xml:space="preserve">
1/5 上客供RFID贴纸 960pcs</t>
        </r>
      </text>
    </comment>
    <comment ref="AF206" authorId="0">
      <text>
        <r>
          <rPr>
            <b/>
            <sz val="12"/>
            <rFont val="宋体"/>
            <charset val="134"/>
          </rPr>
          <t>Administrator:</t>
        </r>
        <r>
          <rPr>
            <sz val="12"/>
            <rFont val="宋体"/>
            <charset val="134"/>
          </rPr>
          <t xml:space="preserve">
1001113 1/30 960pcs B4楼B9区</t>
        </r>
      </text>
    </comment>
    <comment ref="AI206" authorId="0">
      <text>
        <r>
          <rPr>
            <b/>
            <sz val="12"/>
            <rFont val="宋体"/>
            <charset val="134"/>
          </rPr>
          <t>Administrator:</t>
        </r>
        <r>
          <rPr>
            <sz val="12"/>
            <rFont val="宋体"/>
            <charset val="134"/>
          </rPr>
          <t xml:space="preserve">
1/5 上客供RFID贴纸 960pcs</t>
        </r>
      </text>
    </comment>
    <comment ref="AF207" authorId="0">
      <text>
        <r>
          <rPr>
            <b/>
            <sz val="12"/>
            <rFont val="宋体"/>
            <charset val="134"/>
          </rPr>
          <t>Administrator:</t>
        </r>
        <r>
          <rPr>
            <sz val="12"/>
            <rFont val="宋体"/>
            <charset val="134"/>
          </rPr>
          <t xml:space="preserve">
1001111 1/29 1508pcs B4楼A10区</t>
        </r>
      </text>
    </comment>
    <comment ref="AI207" authorId="0">
      <text>
        <r>
          <rPr>
            <b/>
            <sz val="12"/>
            <rFont val="宋体"/>
            <charset val="134"/>
          </rPr>
          <t>Administrator:</t>
        </r>
        <r>
          <rPr>
            <sz val="12"/>
            <rFont val="宋体"/>
            <charset val="134"/>
          </rPr>
          <t xml:space="preserve">
1/13 上白色防盗贴纸 1508pcs
1/26 上KM外箱贴纸 116pcs</t>
        </r>
      </text>
    </comment>
    <comment ref="AF208" authorId="0">
      <text>
        <r>
          <rPr>
            <b/>
            <sz val="12"/>
            <rFont val="宋体"/>
            <charset val="134"/>
          </rPr>
          <t>Administrator:</t>
        </r>
        <r>
          <rPr>
            <sz val="12"/>
            <rFont val="宋体"/>
            <charset val="134"/>
          </rPr>
          <t xml:space="preserve">
1001155 2/9 1250pcs 华兴三A32</t>
        </r>
      </text>
    </comment>
    <comment ref="AI208" authorId="0">
      <text>
        <r>
          <rPr>
            <b/>
            <sz val="12"/>
            <rFont val="宋体"/>
            <charset val="134"/>
          </rPr>
          <t>Administrator:</t>
        </r>
        <r>
          <rPr>
            <sz val="12"/>
            <rFont val="宋体"/>
            <charset val="134"/>
          </rPr>
          <t xml:space="preserve">
1/21 上进口商贴纸1250pcs
      价标贴纸1250pcs
2/3 上客供mu贴纸（条码贴） 25pcs
    上客供ASN贴纸 25pcs</t>
        </r>
      </text>
    </comment>
    <comment ref="AF209" authorId="0">
      <text>
        <r>
          <rPr>
            <b/>
            <sz val="12"/>
            <rFont val="宋体"/>
            <charset val="134"/>
          </rPr>
          <t>Administrator:</t>
        </r>
        <r>
          <rPr>
            <sz val="12"/>
            <rFont val="宋体"/>
            <charset val="134"/>
          </rPr>
          <t xml:space="preserve">
1001124 1/31 960pcs B4楼B9区</t>
        </r>
      </text>
    </comment>
    <comment ref="AI209" authorId="0">
      <text>
        <r>
          <rPr>
            <b/>
            <sz val="12"/>
            <rFont val="宋体"/>
            <charset val="134"/>
          </rPr>
          <t>Administrator:</t>
        </r>
        <r>
          <rPr>
            <sz val="12"/>
            <rFont val="宋体"/>
            <charset val="134"/>
          </rPr>
          <t xml:space="preserve">
1/26 上客供RFID贴纸 960pcs</t>
        </r>
      </text>
    </comment>
    <comment ref="AF210" authorId="0">
      <text>
        <r>
          <rPr>
            <b/>
            <sz val="12"/>
            <rFont val="宋体"/>
            <charset val="134"/>
          </rPr>
          <t>Administrator:</t>
        </r>
        <r>
          <rPr>
            <sz val="12"/>
            <rFont val="宋体"/>
            <charset val="134"/>
          </rPr>
          <t xml:space="preserve">
1001124 1/31 960pcs B4楼B9区</t>
        </r>
      </text>
    </comment>
    <comment ref="AI210" authorId="0">
      <text>
        <r>
          <rPr>
            <b/>
            <sz val="12"/>
            <rFont val="宋体"/>
            <charset val="134"/>
          </rPr>
          <t>Administrator:</t>
        </r>
        <r>
          <rPr>
            <sz val="12"/>
            <rFont val="宋体"/>
            <charset val="134"/>
          </rPr>
          <t xml:space="preserve">
1/26 上客供RFID贴纸 960pcs</t>
        </r>
      </text>
    </comment>
    <comment ref="AF211" authorId="0">
      <text>
        <r>
          <rPr>
            <b/>
            <sz val="12"/>
            <rFont val="宋体"/>
            <charset val="134"/>
          </rPr>
          <t>Administrator:</t>
        </r>
        <r>
          <rPr>
            <sz val="12"/>
            <rFont val="宋体"/>
            <charset val="134"/>
          </rPr>
          <t xml:space="preserve">
1001124 1/31 960pcs B4楼B9区</t>
        </r>
      </text>
    </comment>
    <comment ref="AI211" authorId="0">
      <text>
        <r>
          <rPr>
            <b/>
            <sz val="12"/>
            <rFont val="宋体"/>
            <charset val="134"/>
          </rPr>
          <t>Administrator:</t>
        </r>
        <r>
          <rPr>
            <sz val="12"/>
            <rFont val="宋体"/>
            <charset val="134"/>
          </rPr>
          <t xml:space="preserve">
1/26 上客供RFID贴纸 960pcs</t>
        </r>
      </text>
    </comment>
    <comment ref="AF212" authorId="0">
      <text>
        <r>
          <rPr>
            <b/>
            <sz val="12"/>
            <rFont val="宋体"/>
            <charset val="134"/>
          </rPr>
          <t>Administrator:</t>
        </r>
        <r>
          <rPr>
            <sz val="12"/>
            <rFont val="宋体"/>
            <charset val="134"/>
          </rPr>
          <t xml:space="preserve">
1001153 2/7 6000pcs B4楼C7区</t>
        </r>
      </text>
    </comment>
    <comment ref="AI212" authorId="0">
      <text>
        <r>
          <rPr>
            <b/>
            <sz val="12"/>
            <rFont val="宋体"/>
            <charset val="134"/>
          </rPr>
          <t>Administrator:</t>
        </r>
        <r>
          <rPr>
            <sz val="12"/>
            <rFont val="宋体"/>
            <charset val="134"/>
          </rPr>
          <t xml:space="preserve">
1/26 上空白贴纸 12000pcs</t>
        </r>
      </text>
    </comment>
    <comment ref="AF213" authorId="0">
      <text>
        <r>
          <rPr>
            <b/>
            <sz val="12"/>
            <rFont val="宋体"/>
            <charset val="134"/>
          </rPr>
          <t>Administrator:</t>
        </r>
        <r>
          <rPr>
            <sz val="12"/>
            <rFont val="宋体"/>
            <charset val="134"/>
          </rPr>
          <t xml:space="preserve">
1001153 2/7 4404pcs B4楼C7区</t>
        </r>
      </text>
    </comment>
    <comment ref="AI213" authorId="0">
      <text>
        <r>
          <rPr>
            <b/>
            <sz val="12"/>
            <rFont val="宋体"/>
            <charset val="134"/>
          </rPr>
          <t>Administrator:</t>
        </r>
        <r>
          <rPr>
            <sz val="12"/>
            <rFont val="宋体"/>
            <charset val="134"/>
          </rPr>
          <t xml:space="preserve">
1/30 上客供亚马逊外箱贴纸 367pcs
1/30 上空白贴纸 8808pcs</t>
        </r>
      </text>
    </comment>
    <comment ref="AF214" authorId="0">
      <text>
        <r>
          <rPr>
            <b/>
            <sz val="12"/>
            <rFont val="宋体"/>
            <charset val="134"/>
          </rPr>
          <t>Administrator:</t>
        </r>
        <r>
          <rPr>
            <sz val="12"/>
            <rFont val="宋体"/>
            <charset val="134"/>
          </rPr>
          <t xml:space="preserve">
1001155 2/9 12pcs 华兴三A32</t>
        </r>
      </text>
    </comment>
    <comment ref="AI214" authorId="0">
      <text>
        <r>
          <rPr>
            <b/>
            <sz val="12"/>
            <rFont val="宋体"/>
            <charset val="134"/>
          </rPr>
          <t>Administrator:</t>
        </r>
        <r>
          <rPr>
            <sz val="12"/>
            <rFont val="宋体"/>
            <charset val="134"/>
          </rPr>
          <t xml:space="preserve">
1/26 上空白贴纸 72pcs
1/30 上客供亚马逊外箱贴纸1pcs</t>
        </r>
      </text>
    </comment>
    <comment ref="AF215" authorId="0">
      <text>
        <r>
          <rPr>
            <b/>
            <sz val="12"/>
            <rFont val="宋体"/>
            <charset val="134"/>
          </rPr>
          <t>Administrator:</t>
        </r>
        <r>
          <rPr>
            <sz val="12"/>
            <rFont val="宋体"/>
            <charset val="134"/>
          </rPr>
          <t xml:space="preserve">
1001155 2/9 12pcs 华兴三A32</t>
        </r>
      </text>
    </comment>
    <comment ref="AI215" authorId="0">
      <text>
        <r>
          <rPr>
            <b/>
            <sz val="12"/>
            <rFont val="宋体"/>
            <charset val="134"/>
          </rPr>
          <t>Administrator:</t>
        </r>
        <r>
          <rPr>
            <sz val="12"/>
            <rFont val="宋体"/>
            <charset val="134"/>
          </rPr>
          <t xml:space="preserve">
1/26 上空白贴纸 72pcs
1/30 上客供亚马逊外箱贴纸1pcs</t>
        </r>
      </text>
    </comment>
    <comment ref="AF216" authorId="0">
      <text>
        <r>
          <rPr>
            <b/>
            <sz val="12"/>
            <rFont val="宋体"/>
            <charset val="134"/>
          </rPr>
          <t>Administrator:</t>
        </r>
        <r>
          <rPr>
            <sz val="12"/>
            <rFont val="宋体"/>
            <charset val="134"/>
          </rPr>
          <t xml:space="preserve">
1001155 2/9 12pcs 华兴三A32</t>
        </r>
      </text>
    </comment>
    <comment ref="AI216" authorId="0">
      <text>
        <r>
          <rPr>
            <b/>
            <sz val="12"/>
            <rFont val="宋体"/>
            <charset val="134"/>
          </rPr>
          <t>Administrator:</t>
        </r>
        <r>
          <rPr>
            <sz val="12"/>
            <rFont val="宋体"/>
            <charset val="134"/>
          </rPr>
          <t xml:space="preserve">
1/26 上空白贴纸 72pcs
1/30 上客供亚马逊外箱贴纸1pcs</t>
        </r>
      </text>
    </comment>
    <comment ref="AF217" authorId="0">
      <text>
        <r>
          <rPr>
            <b/>
            <sz val="12"/>
            <rFont val="宋体"/>
            <charset val="134"/>
          </rPr>
          <t>Administrator:</t>
        </r>
        <r>
          <rPr>
            <sz val="12"/>
            <rFont val="宋体"/>
            <charset val="134"/>
          </rPr>
          <t xml:space="preserve">
1001124 1/31 960pcs B4楼B9区</t>
        </r>
      </text>
    </comment>
    <comment ref="AI217" authorId="0">
      <text>
        <r>
          <rPr>
            <b/>
            <sz val="12"/>
            <rFont val="宋体"/>
            <charset val="134"/>
          </rPr>
          <t>Administrator:</t>
        </r>
        <r>
          <rPr>
            <sz val="12"/>
            <rFont val="宋体"/>
            <charset val="134"/>
          </rPr>
          <t xml:space="preserve">
1/26 上客供RFID贴纸 960pcs</t>
        </r>
      </text>
    </comment>
    <comment ref="AF218" authorId="0">
      <text>
        <r>
          <rPr>
            <b/>
            <sz val="12"/>
            <rFont val="宋体"/>
            <charset val="134"/>
          </rPr>
          <t>Administrator:</t>
        </r>
        <r>
          <rPr>
            <sz val="12"/>
            <rFont val="宋体"/>
            <charset val="134"/>
          </rPr>
          <t xml:space="preserve">
1001141 2/3 960pcs B4楼B1区</t>
        </r>
      </text>
    </comment>
    <comment ref="AI218" authorId="0">
      <text>
        <r>
          <rPr>
            <b/>
            <sz val="12"/>
            <rFont val="宋体"/>
            <charset val="134"/>
          </rPr>
          <t>Administrator:</t>
        </r>
        <r>
          <rPr>
            <sz val="12"/>
            <rFont val="宋体"/>
            <charset val="134"/>
          </rPr>
          <t xml:space="preserve">
1/26 上客供RFID贴纸 960pcs</t>
        </r>
      </text>
    </comment>
    <comment ref="AF219" authorId="0">
      <text>
        <r>
          <rPr>
            <b/>
            <sz val="12"/>
            <rFont val="宋体"/>
            <charset val="134"/>
          </rPr>
          <t>Administrator:</t>
        </r>
        <r>
          <rPr>
            <sz val="12"/>
            <rFont val="宋体"/>
            <charset val="134"/>
          </rPr>
          <t xml:space="preserve">
1001124 1/31 960pcs B4楼B9区</t>
        </r>
      </text>
    </comment>
    <comment ref="AI219" authorId="0">
      <text>
        <r>
          <rPr>
            <b/>
            <sz val="12"/>
            <rFont val="宋体"/>
            <charset val="134"/>
          </rPr>
          <t>Administrator:</t>
        </r>
        <r>
          <rPr>
            <sz val="12"/>
            <rFont val="宋体"/>
            <charset val="134"/>
          </rPr>
          <t xml:space="preserve">
1/26 上客供RFID贴纸 960pcs</t>
        </r>
      </text>
    </comment>
    <comment ref="AF220" authorId="0">
      <text>
        <r>
          <rPr>
            <b/>
            <sz val="12"/>
            <rFont val="宋体"/>
            <charset val="134"/>
          </rPr>
          <t>Administrator:</t>
        </r>
        <r>
          <rPr>
            <sz val="12"/>
            <rFont val="宋体"/>
            <charset val="134"/>
          </rPr>
          <t xml:space="preserve">
1001141 2/3 960pcs B4楼B1区</t>
        </r>
      </text>
    </comment>
    <comment ref="AI220" authorId="0">
      <text>
        <r>
          <rPr>
            <b/>
            <sz val="12"/>
            <rFont val="宋体"/>
            <charset val="134"/>
          </rPr>
          <t>Administrator:</t>
        </r>
        <r>
          <rPr>
            <sz val="12"/>
            <rFont val="宋体"/>
            <charset val="134"/>
          </rPr>
          <t xml:space="preserve">
1/26 上客供RFID贴纸 960pcs</t>
        </r>
      </text>
    </comment>
    <comment ref="AF221" authorId="0">
      <text>
        <r>
          <rPr>
            <b/>
            <sz val="12"/>
            <rFont val="宋体"/>
            <charset val="134"/>
          </rPr>
          <t>Administrator:</t>
        </r>
        <r>
          <rPr>
            <sz val="12"/>
            <rFont val="宋体"/>
            <charset val="134"/>
          </rPr>
          <t xml:space="preserve">
1001164 2/26 520pcs B4楼B1区</t>
        </r>
      </text>
    </comment>
    <comment ref="AI221" authorId="0">
      <text>
        <r>
          <rPr>
            <b/>
            <sz val="12"/>
            <rFont val="宋体"/>
            <charset val="134"/>
          </rPr>
          <t>Administrator:</t>
        </r>
        <r>
          <rPr>
            <sz val="12"/>
            <rFont val="宋体"/>
            <charset val="134"/>
          </rPr>
          <t xml:space="preserve">
11/21 上进口商贴纸 1508pcs
消耗182440的纸箱和贴纸
1/26 上进口商贴纸 1508pcs</t>
        </r>
      </text>
    </comment>
    <comment ref="AF222" authorId="0">
      <text>
        <r>
          <rPr>
            <b/>
            <sz val="12"/>
            <rFont val="宋体"/>
            <charset val="134"/>
          </rPr>
          <t>Administrator:</t>
        </r>
        <r>
          <rPr>
            <sz val="12"/>
            <rFont val="宋体"/>
            <charset val="134"/>
          </rPr>
          <t xml:space="preserve">
1001164 2/26 468pcs B4楼B1区
</t>
        </r>
      </text>
    </comment>
    <comment ref="AF223" authorId="0">
      <text>
        <r>
          <rPr>
            <b/>
            <sz val="12"/>
            <rFont val="宋体"/>
            <charset val="134"/>
          </rPr>
          <t>Administrator:</t>
        </r>
        <r>
          <rPr>
            <sz val="12"/>
            <rFont val="宋体"/>
            <charset val="134"/>
          </rPr>
          <t xml:space="preserve">
1001164 2/26 364pcs B4楼B1区
</t>
        </r>
      </text>
    </comment>
    <comment ref="AF224" authorId="0">
      <text>
        <r>
          <rPr>
            <b/>
            <sz val="12"/>
            <rFont val="宋体"/>
            <charset val="134"/>
          </rPr>
          <t>Administrator:</t>
        </r>
        <r>
          <rPr>
            <sz val="12"/>
            <rFont val="宋体"/>
            <charset val="134"/>
          </rPr>
          <t xml:space="preserve">
1001164 2/26 156pcs B4楼B1区
</t>
        </r>
      </text>
    </comment>
    <comment ref="AF225" authorId="0">
      <text>
        <r>
          <rPr>
            <b/>
            <sz val="12"/>
            <rFont val="宋体"/>
            <charset val="134"/>
          </rPr>
          <t>Administrator:</t>
        </r>
        <r>
          <rPr>
            <sz val="12"/>
            <rFont val="宋体"/>
            <charset val="134"/>
          </rPr>
          <t xml:space="preserve">
1000883 3/11 1000pcsB4楼B1区</t>
        </r>
      </text>
    </comment>
    <comment ref="AI225" authorId="0">
      <text>
        <r>
          <rPr>
            <b/>
            <sz val="12"/>
            <rFont val="宋体"/>
            <charset val="134"/>
          </rPr>
          <t>Administrator:</t>
        </r>
        <r>
          <rPr>
            <sz val="12"/>
            <rFont val="宋体"/>
            <charset val="134"/>
          </rPr>
          <t xml:space="preserve">
2/5 上进口商贴纸 1000pcs
    上UPC贴纸 1000pcs</t>
        </r>
      </text>
    </comment>
    <comment ref="AF226" authorId="0">
      <text>
        <r>
          <rPr>
            <b/>
            <sz val="12"/>
            <rFont val="宋体"/>
            <charset val="134"/>
          </rPr>
          <t>Administrator:</t>
        </r>
        <r>
          <rPr>
            <sz val="12"/>
            <rFont val="宋体"/>
            <charset val="134"/>
          </rPr>
          <t xml:space="preserve">
1000865 3/13 504pcs B4楼B9区</t>
        </r>
      </text>
    </comment>
    <comment ref="AI226" authorId="0">
      <text>
        <r>
          <rPr>
            <b/>
            <sz val="12"/>
            <rFont val="宋体"/>
            <charset val="134"/>
          </rPr>
          <t>Administrator:</t>
        </r>
        <r>
          <rPr>
            <sz val="12"/>
            <rFont val="宋体"/>
            <charset val="134"/>
          </rPr>
          <t xml:space="preserve">
2/3 上亚马逊外箱贴纸 42pcs
2/9 上环保标贴纸 504pcs
3/6 上地址贴纸 1008pcs</t>
        </r>
      </text>
    </comment>
    <comment ref="AF227" authorId="0">
      <text>
        <r>
          <rPr>
            <b/>
            <sz val="12"/>
            <rFont val="宋体"/>
            <charset val="134"/>
          </rPr>
          <t>Administrator:</t>
        </r>
        <r>
          <rPr>
            <sz val="12"/>
            <rFont val="宋体"/>
            <charset val="134"/>
          </rPr>
          <t xml:space="preserve">
3/18 1000818 12336pcs B栋4楼A7区</t>
        </r>
      </text>
    </comment>
    <comment ref="AI227" authorId="0">
      <text>
        <r>
          <rPr>
            <b/>
            <sz val="12"/>
            <rFont val="宋体"/>
            <charset val="134"/>
          </rPr>
          <t>Administrator:</t>
        </r>
        <r>
          <rPr>
            <sz val="12"/>
            <rFont val="宋体"/>
            <charset val="134"/>
          </rPr>
          <t xml:space="preserve">
2/26 上客供RFID贴纸 12336pcs </t>
        </r>
      </text>
    </comment>
    <comment ref="AF228" authorId="0">
      <text>
        <r>
          <rPr>
            <b/>
            <sz val="12"/>
            <rFont val="宋体"/>
            <charset val="134"/>
          </rPr>
          <t>Administrator:</t>
        </r>
        <r>
          <rPr>
            <sz val="12"/>
            <rFont val="宋体"/>
            <charset val="134"/>
          </rPr>
          <t xml:space="preserve">
3/18 1000818 6800pcs  B栋4楼A7区
</t>
        </r>
      </text>
    </comment>
    <comment ref="AI228" authorId="0">
      <text>
        <r>
          <rPr>
            <b/>
            <sz val="12"/>
            <rFont val="宋体"/>
            <charset val="134"/>
          </rPr>
          <t>Administrator:</t>
        </r>
        <r>
          <rPr>
            <sz val="12"/>
            <rFont val="宋体"/>
            <charset val="134"/>
          </rPr>
          <t xml:space="preserve">
2/26 上客供RFID贴纸 6800pcs </t>
        </r>
      </text>
    </comment>
    <comment ref="AF229" authorId="0">
      <text>
        <r>
          <rPr>
            <b/>
            <sz val="12"/>
            <rFont val="宋体"/>
            <charset val="134"/>
          </rPr>
          <t>Administrator:</t>
        </r>
        <r>
          <rPr>
            <sz val="12"/>
            <rFont val="宋体"/>
            <charset val="134"/>
          </rPr>
          <t xml:space="preserve">
3/18 1000818 12496pcs  B栋4楼A7区
</t>
        </r>
      </text>
    </comment>
    <comment ref="AI229" authorId="0">
      <text>
        <r>
          <rPr>
            <b/>
            <sz val="12"/>
            <rFont val="宋体"/>
            <charset val="134"/>
          </rPr>
          <t>Administrator:</t>
        </r>
        <r>
          <rPr>
            <sz val="12"/>
            <rFont val="宋体"/>
            <charset val="134"/>
          </rPr>
          <t xml:space="preserve">
2/26 上客供RFID贴纸 12496pcs </t>
        </r>
      </text>
    </comment>
    <comment ref="AF230" authorId="0">
      <text>
        <r>
          <rPr>
            <b/>
            <sz val="12"/>
            <rFont val="宋体"/>
            <charset val="134"/>
          </rPr>
          <t>Administrator:</t>
        </r>
        <r>
          <rPr>
            <sz val="12"/>
            <rFont val="宋体"/>
            <charset val="134"/>
          </rPr>
          <t xml:space="preserve">
3/18 1000818 7504pcs  B栋4楼A8区
</t>
        </r>
      </text>
    </comment>
    <comment ref="AI230" authorId="0">
      <text>
        <r>
          <rPr>
            <b/>
            <sz val="12"/>
            <rFont val="宋体"/>
            <charset val="134"/>
          </rPr>
          <t>Administrator:</t>
        </r>
        <r>
          <rPr>
            <sz val="12"/>
            <rFont val="宋体"/>
            <charset val="134"/>
          </rPr>
          <t xml:space="preserve">
2/26 上客供RFID贴纸 7504pcs </t>
        </r>
      </text>
    </comment>
    <comment ref="AF231" authorId="0">
      <text>
        <r>
          <rPr>
            <b/>
            <sz val="12"/>
            <rFont val="宋体"/>
            <charset val="134"/>
          </rPr>
          <t>Administrator:</t>
        </r>
        <r>
          <rPr>
            <sz val="12"/>
            <rFont val="宋体"/>
            <charset val="134"/>
          </rPr>
          <t xml:space="preserve">
3/18 1000818 9024pcs  B栋4楼A8区</t>
        </r>
      </text>
    </comment>
    <comment ref="AI231" authorId="0">
      <text>
        <r>
          <rPr>
            <b/>
            <sz val="12"/>
            <rFont val="宋体"/>
            <charset val="134"/>
          </rPr>
          <t>Administrator:</t>
        </r>
        <r>
          <rPr>
            <sz val="12"/>
            <rFont val="宋体"/>
            <charset val="134"/>
          </rPr>
          <t xml:space="preserve">
2/26 上客供RFID贴纸 9024pcs </t>
        </r>
      </text>
    </comment>
    <comment ref="AF232" authorId="0">
      <text>
        <r>
          <rPr>
            <b/>
            <sz val="12"/>
            <rFont val="宋体"/>
            <charset val="134"/>
          </rPr>
          <t>Administrator:</t>
        </r>
        <r>
          <rPr>
            <sz val="12"/>
            <rFont val="宋体"/>
            <charset val="134"/>
          </rPr>
          <t xml:space="preserve">
3/18 1000818 4848pcs  B栋4楼A8区</t>
        </r>
      </text>
    </comment>
    <comment ref="AI232" authorId="0">
      <text>
        <r>
          <rPr>
            <b/>
            <sz val="12"/>
            <rFont val="宋体"/>
            <charset val="134"/>
          </rPr>
          <t>Administrator:</t>
        </r>
        <r>
          <rPr>
            <sz val="12"/>
            <rFont val="宋体"/>
            <charset val="134"/>
          </rPr>
          <t xml:space="preserve">
2/26 上客供RFID贴纸 4848pcs </t>
        </r>
      </text>
    </comment>
    <comment ref="AF233" authorId="0">
      <text>
        <r>
          <rPr>
            <b/>
            <sz val="12"/>
            <rFont val="宋体"/>
            <charset val="134"/>
          </rPr>
          <t>Administrator:</t>
        </r>
        <r>
          <rPr>
            <sz val="12"/>
            <rFont val="宋体"/>
            <charset val="134"/>
          </rPr>
          <t xml:space="preserve">
3/18 1000818 11968pcs  B栋4楼A7区
</t>
        </r>
      </text>
    </comment>
    <comment ref="AI233" authorId="0">
      <text>
        <r>
          <rPr>
            <b/>
            <sz val="12"/>
            <rFont val="宋体"/>
            <charset val="134"/>
          </rPr>
          <t>Administrator:</t>
        </r>
        <r>
          <rPr>
            <sz val="12"/>
            <rFont val="宋体"/>
            <charset val="134"/>
          </rPr>
          <t xml:space="preserve">
2/26 上客供RFID贴纸 11968pcs </t>
        </r>
      </text>
    </comment>
    <comment ref="AF234" authorId="0">
      <text>
        <r>
          <rPr>
            <b/>
            <sz val="12"/>
            <rFont val="宋体"/>
            <charset val="134"/>
          </rPr>
          <t>Administrator:</t>
        </r>
        <r>
          <rPr>
            <sz val="12"/>
            <rFont val="宋体"/>
            <charset val="134"/>
          </rPr>
          <t xml:space="preserve">
3/30 1000735 960pcs 华兴三楼B14</t>
        </r>
      </text>
    </comment>
    <comment ref="AI234" authorId="0">
      <text>
        <r>
          <rPr>
            <b/>
            <sz val="12"/>
            <rFont val="宋体"/>
            <charset val="134"/>
          </rPr>
          <t>Administrator:</t>
        </r>
        <r>
          <rPr>
            <sz val="12"/>
            <rFont val="宋体"/>
            <charset val="134"/>
          </rPr>
          <t xml:space="preserve">
2/26 上客供RFID贴纸 960pcs </t>
        </r>
      </text>
    </comment>
    <comment ref="AF235" authorId="0">
      <text>
        <r>
          <rPr>
            <b/>
            <sz val="12"/>
            <rFont val="宋体"/>
            <charset val="134"/>
          </rPr>
          <t>Administrator:</t>
        </r>
        <r>
          <rPr>
            <sz val="12"/>
            <rFont val="宋体"/>
            <charset val="134"/>
          </rPr>
          <t xml:space="preserve">
3/30 1000735 960pcs 华兴三楼B14</t>
        </r>
      </text>
    </comment>
    <comment ref="AI235" authorId="0">
      <text>
        <r>
          <rPr>
            <b/>
            <sz val="12"/>
            <rFont val="宋体"/>
            <charset val="134"/>
          </rPr>
          <t>Administrator:</t>
        </r>
        <r>
          <rPr>
            <sz val="12"/>
            <rFont val="宋体"/>
            <charset val="134"/>
          </rPr>
          <t xml:space="preserve">
2/26 上客供RFID贴纸 960pcs </t>
        </r>
      </text>
    </comment>
    <comment ref="AF236" authorId="0">
      <text>
        <r>
          <rPr>
            <b/>
            <sz val="12"/>
            <rFont val="宋体"/>
            <charset val="134"/>
          </rPr>
          <t>Administrator:</t>
        </r>
        <r>
          <rPr>
            <sz val="12"/>
            <rFont val="宋体"/>
            <charset val="134"/>
          </rPr>
          <t xml:space="preserve">
3/30 1000735 960pcs 华兴三楼B14</t>
        </r>
      </text>
    </comment>
    <comment ref="AI236" authorId="0">
      <text>
        <r>
          <rPr>
            <b/>
            <sz val="12"/>
            <rFont val="宋体"/>
            <charset val="134"/>
          </rPr>
          <t>Administrator:</t>
        </r>
        <r>
          <rPr>
            <sz val="12"/>
            <rFont val="宋体"/>
            <charset val="134"/>
          </rPr>
          <t xml:space="preserve">
2/26 上客供RFID贴纸 960pcs </t>
        </r>
      </text>
    </comment>
    <comment ref="AF237" authorId="0">
      <text>
        <r>
          <rPr>
            <b/>
            <sz val="12"/>
            <rFont val="宋体"/>
            <charset val="134"/>
          </rPr>
          <t>Administrator:</t>
        </r>
        <r>
          <rPr>
            <sz val="12"/>
            <rFont val="宋体"/>
            <charset val="134"/>
          </rPr>
          <t xml:space="preserve">
3/30 1000735 960pcs 华兴三楼B14</t>
        </r>
      </text>
    </comment>
    <comment ref="AI237" authorId="0">
      <text>
        <r>
          <rPr>
            <b/>
            <sz val="12"/>
            <rFont val="宋体"/>
            <charset val="134"/>
          </rPr>
          <t>Administrator:</t>
        </r>
        <r>
          <rPr>
            <sz val="12"/>
            <rFont val="宋体"/>
            <charset val="134"/>
          </rPr>
          <t xml:space="preserve">
2/26 上客供RFID贴纸 960pcs </t>
        </r>
      </text>
    </comment>
    <comment ref="AF238" authorId="0">
      <text>
        <r>
          <rPr>
            <b/>
            <sz val="12"/>
            <rFont val="宋体"/>
            <charset val="134"/>
          </rPr>
          <t>Administrator:</t>
        </r>
        <r>
          <rPr>
            <sz val="12"/>
            <rFont val="宋体"/>
            <charset val="134"/>
          </rPr>
          <t xml:space="preserve">
3/30 1000735 960pcs 华兴三楼B14</t>
        </r>
      </text>
    </comment>
    <comment ref="AI238" authorId="0">
      <text>
        <r>
          <rPr>
            <b/>
            <sz val="12"/>
            <rFont val="宋体"/>
            <charset val="134"/>
          </rPr>
          <t>Administrator:</t>
        </r>
        <r>
          <rPr>
            <sz val="12"/>
            <rFont val="宋体"/>
            <charset val="134"/>
          </rPr>
          <t xml:space="preserve">
2/26 上客供RFID贴纸 960pcs </t>
        </r>
      </text>
    </comment>
    <comment ref="AF239" authorId="0">
      <text>
        <r>
          <rPr>
            <b/>
            <sz val="12"/>
            <rFont val="宋体"/>
            <charset val="134"/>
          </rPr>
          <t>Administrator:</t>
        </r>
        <r>
          <rPr>
            <sz val="12"/>
            <rFont val="宋体"/>
            <charset val="134"/>
          </rPr>
          <t xml:space="preserve">
3/30 1000735 5760pcs 华兴三楼B6</t>
        </r>
      </text>
    </comment>
    <comment ref="AI239" authorId="0">
      <text>
        <r>
          <rPr>
            <b/>
            <sz val="12"/>
            <rFont val="宋体"/>
            <charset val="134"/>
          </rPr>
          <t>Administrator:</t>
        </r>
        <r>
          <rPr>
            <sz val="12"/>
            <rFont val="宋体"/>
            <charset val="134"/>
          </rPr>
          <t xml:space="preserve">
3/10 上上客供RFID贴纸 5760pcs</t>
        </r>
        <r>
          <rPr>
            <sz val="9"/>
            <rFont val="宋体"/>
            <charset val="134"/>
          </rPr>
          <t xml:space="preserve">
</t>
        </r>
      </text>
    </comment>
    <comment ref="AF240" authorId="0">
      <text>
        <r>
          <rPr>
            <b/>
            <sz val="12"/>
            <rFont val="宋体"/>
            <charset val="134"/>
          </rPr>
          <t>Administrator:</t>
        </r>
        <r>
          <rPr>
            <sz val="12"/>
            <rFont val="宋体"/>
            <charset val="134"/>
          </rPr>
          <t xml:space="preserve">
3/31 1000740 9600pcs 新仓库B5</t>
        </r>
      </text>
    </comment>
    <comment ref="AI240" authorId="0">
      <text>
        <r>
          <rPr>
            <b/>
            <sz val="12"/>
            <rFont val="宋体"/>
            <charset val="134"/>
          </rPr>
          <t>Administrator:</t>
        </r>
        <r>
          <rPr>
            <sz val="12"/>
            <rFont val="宋体"/>
            <charset val="134"/>
          </rPr>
          <t xml:space="preserve">
3/10 上客供RFID贴纸 9600pcs</t>
        </r>
      </text>
    </comment>
    <comment ref="AF241" authorId="0">
      <text>
        <r>
          <rPr>
            <b/>
            <sz val="12"/>
            <rFont val="宋体"/>
            <charset val="134"/>
          </rPr>
          <t>Administrator:</t>
        </r>
        <r>
          <rPr>
            <sz val="12"/>
            <rFont val="宋体"/>
            <charset val="134"/>
          </rPr>
          <t xml:space="preserve">
3/31 1000716 8640pcs 张文嘉新仓库B5</t>
        </r>
      </text>
    </comment>
    <comment ref="AI241" authorId="0">
      <text>
        <r>
          <rPr>
            <b/>
            <sz val="12"/>
            <rFont val="宋体"/>
            <charset val="134"/>
          </rPr>
          <t>Administrator:</t>
        </r>
        <r>
          <rPr>
            <sz val="12"/>
            <rFont val="宋体"/>
            <charset val="134"/>
          </rPr>
          <t xml:space="preserve">
3/10 上客供RFID贴纸 8640pcs
</t>
        </r>
      </text>
    </comment>
    <comment ref="AF242" authorId="0">
      <text>
        <r>
          <rPr>
            <b/>
            <sz val="12"/>
            <rFont val="宋体"/>
            <charset val="134"/>
          </rPr>
          <t>Administrator:</t>
        </r>
        <r>
          <rPr>
            <sz val="12"/>
            <rFont val="宋体"/>
            <charset val="134"/>
          </rPr>
          <t xml:space="preserve">
3/30 1000735 2304  华兴三楼B6
3/31 1000740 10176pcs 新仓库B5</t>
        </r>
      </text>
    </comment>
    <comment ref="AI242" authorId="0">
      <text>
        <r>
          <rPr>
            <b/>
            <sz val="12"/>
            <rFont val="宋体"/>
            <charset val="134"/>
          </rPr>
          <t>Administrator:</t>
        </r>
        <r>
          <rPr>
            <sz val="12"/>
            <rFont val="宋体"/>
            <charset val="134"/>
          </rPr>
          <t xml:space="preserve">
3/10 上客供RFID贴纸 12480pcs</t>
        </r>
        <r>
          <rPr>
            <sz val="9"/>
            <rFont val="宋体"/>
            <charset val="134"/>
          </rPr>
          <t xml:space="preserve">
</t>
        </r>
      </text>
    </comment>
    <comment ref="AF243" authorId="0">
      <text>
        <r>
          <rPr>
            <b/>
            <sz val="12"/>
            <rFont val="宋体"/>
            <charset val="134"/>
          </rPr>
          <t>Administrator:</t>
        </r>
        <r>
          <rPr>
            <sz val="12"/>
            <rFont val="宋体"/>
            <charset val="134"/>
          </rPr>
          <t xml:space="preserve">
3/31 1000740 2688pcs 张文嘉新仓库B5
3/31 1000716 4032pcs 张文嘉新仓库B5</t>
        </r>
      </text>
    </comment>
    <comment ref="AI243" authorId="0">
      <text>
        <r>
          <rPr>
            <b/>
            <sz val="12"/>
            <rFont val="宋体"/>
            <charset val="134"/>
          </rPr>
          <t>Administrator:</t>
        </r>
        <r>
          <rPr>
            <sz val="12"/>
            <rFont val="宋体"/>
            <charset val="134"/>
          </rPr>
          <t xml:space="preserve">
3/10 上客供RFID贴纸 6720pcs
</t>
        </r>
      </text>
    </comment>
    <comment ref="AF244" authorId="0">
      <text>
        <r>
          <rPr>
            <b/>
            <sz val="12"/>
            <rFont val="宋体"/>
            <charset val="134"/>
          </rPr>
          <t>Administrator:</t>
        </r>
        <r>
          <rPr>
            <sz val="12"/>
            <rFont val="宋体"/>
            <charset val="134"/>
          </rPr>
          <t xml:space="preserve">
3/30 1000735 7680pcs华兴三楼B6
</t>
        </r>
      </text>
    </comment>
    <comment ref="AI244" authorId="0">
      <text>
        <r>
          <rPr>
            <b/>
            <sz val="12"/>
            <rFont val="宋体"/>
            <charset val="134"/>
          </rPr>
          <t>Administrator:</t>
        </r>
        <r>
          <rPr>
            <sz val="12"/>
            <rFont val="宋体"/>
            <charset val="134"/>
          </rPr>
          <t xml:space="preserve">
3/10 上客供RFID贴纸 7680pcs</t>
        </r>
        <r>
          <rPr>
            <sz val="9"/>
            <rFont val="宋体"/>
            <charset val="134"/>
          </rPr>
          <t xml:space="preserve">
</t>
        </r>
      </text>
    </comment>
    <comment ref="AF245" authorId="0">
      <text>
        <r>
          <rPr>
            <b/>
            <sz val="12"/>
            <rFont val="宋体"/>
            <charset val="134"/>
          </rPr>
          <t>Administrator:</t>
        </r>
        <r>
          <rPr>
            <sz val="12"/>
            <rFont val="宋体"/>
            <charset val="134"/>
          </rPr>
          <t xml:space="preserve">
3/30 1000735 7680pcs 华兴三楼B6
</t>
        </r>
      </text>
    </comment>
    <comment ref="AI245" authorId="0">
      <text>
        <r>
          <rPr>
            <b/>
            <sz val="12"/>
            <rFont val="宋体"/>
            <charset val="134"/>
          </rPr>
          <t>Administrator:</t>
        </r>
        <r>
          <rPr>
            <sz val="12"/>
            <rFont val="宋体"/>
            <charset val="134"/>
          </rPr>
          <t xml:space="preserve">
3/10 上客供RFID贴纸 7680pcs</t>
        </r>
        <r>
          <rPr>
            <sz val="9"/>
            <rFont val="宋体"/>
            <charset val="134"/>
          </rPr>
          <t xml:space="preserve">
</t>
        </r>
      </text>
    </comment>
    <comment ref="AF246" authorId="0">
      <text>
        <r>
          <rPr>
            <b/>
            <sz val="12"/>
            <rFont val="宋体"/>
            <charset val="134"/>
          </rPr>
          <t>Administrator:</t>
        </r>
        <r>
          <rPr>
            <sz val="12"/>
            <rFont val="宋体"/>
            <charset val="134"/>
          </rPr>
          <t xml:space="preserve">
4/2 1000726 6500PCS</t>
        </r>
      </text>
    </comment>
    <comment ref="AI246" authorId="0">
      <text>
        <r>
          <rPr>
            <b/>
            <sz val="12"/>
            <rFont val="宋体"/>
            <charset val="134"/>
          </rPr>
          <t>Administrator:</t>
        </r>
        <r>
          <rPr>
            <sz val="12"/>
            <rFont val="宋体"/>
            <charset val="134"/>
          </rPr>
          <t xml:space="preserve">
3/3 上客供防串码贴纸1拖13 500pcs
3/6 上年龄贴纸 6500pcs</t>
        </r>
      </text>
    </comment>
    <comment ref="AF247" authorId="0">
      <text>
        <r>
          <rPr>
            <b/>
            <sz val="12"/>
            <rFont val="宋体"/>
            <charset val="134"/>
          </rPr>
          <t>Administrator:</t>
        </r>
        <r>
          <rPr>
            <sz val="12"/>
            <rFont val="宋体"/>
            <charset val="134"/>
          </rPr>
          <t xml:space="preserve">
4/2 1000726 960PCS新仓库B3</t>
        </r>
      </text>
    </comment>
    <comment ref="AI247" authorId="0">
      <text>
        <r>
          <rPr>
            <b/>
            <sz val="12"/>
            <rFont val="宋体"/>
            <charset val="134"/>
          </rPr>
          <t>Administrator:</t>
        </r>
        <r>
          <rPr>
            <sz val="12"/>
            <rFont val="宋体"/>
            <charset val="134"/>
          </rPr>
          <t xml:space="preserve">
3/10 上客供RFID贴纸960pcs</t>
        </r>
      </text>
    </comment>
    <comment ref="AF248" authorId="0">
      <text>
        <r>
          <rPr>
            <b/>
            <sz val="12"/>
            <rFont val="宋体"/>
            <charset val="134"/>
          </rPr>
          <t>Administrator:</t>
        </r>
        <r>
          <rPr>
            <sz val="12"/>
            <rFont val="宋体"/>
            <charset val="134"/>
          </rPr>
          <t xml:space="preserve">
4/2 1000726 960PCS新仓库B3</t>
        </r>
      </text>
    </comment>
    <comment ref="AI248" authorId="0">
      <text>
        <r>
          <rPr>
            <b/>
            <sz val="12"/>
            <rFont val="宋体"/>
            <charset val="134"/>
          </rPr>
          <t>Administrator:</t>
        </r>
        <r>
          <rPr>
            <sz val="12"/>
            <rFont val="宋体"/>
            <charset val="134"/>
          </rPr>
          <t xml:space="preserve">
3/13 上客供RFID贴纸960pcs</t>
        </r>
      </text>
    </comment>
    <comment ref="AF249" authorId="0">
      <text>
        <r>
          <rPr>
            <b/>
            <sz val="12"/>
            <rFont val="宋体"/>
            <charset val="134"/>
          </rPr>
          <t>Administrator:</t>
        </r>
        <r>
          <rPr>
            <sz val="12"/>
            <rFont val="宋体"/>
            <charset val="134"/>
          </rPr>
          <t xml:space="preserve">
4/2 1000726 960PCS新仓库B3</t>
        </r>
      </text>
    </comment>
    <comment ref="AI249" authorId="0">
      <text>
        <r>
          <rPr>
            <b/>
            <sz val="12"/>
            <rFont val="宋体"/>
            <charset val="134"/>
          </rPr>
          <t>Administrator:</t>
        </r>
        <r>
          <rPr>
            <sz val="12"/>
            <rFont val="宋体"/>
            <charset val="134"/>
          </rPr>
          <t xml:space="preserve">
3/13 上客供RFID贴纸960pcs</t>
        </r>
      </text>
    </comment>
    <comment ref="AF250" authorId="0">
      <text>
        <r>
          <rPr>
            <b/>
            <sz val="12"/>
            <rFont val="宋体"/>
            <charset val="134"/>
          </rPr>
          <t>Administrator:</t>
        </r>
        <r>
          <rPr>
            <sz val="12"/>
            <rFont val="宋体"/>
            <charset val="134"/>
          </rPr>
          <t xml:space="preserve">
4/2 1000726 960PCS新仓库B3</t>
        </r>
      </text>
    </comment>
    <comment ref="AI250" authorId="0">
      <text>
        <r>
          <rPr>
            <b/>
            <sz val="12"/>
            <rFont val="宋体"/>
            <charset val="134"/>
          </rPr>
          <t>Administrator:</t>
        </r>
        <r>
          <rPr>
            <sz val="12"/>
            <rFont val="宋体"/>
            <charset val="134"/>
          </rPr>
          <t xml:space="preserve">
3/13 上客供RFID贴纸960pcs</t>
        </r>
      </text>
    </comment>
    <comment ref="AF251" authorId="0">
      <text>
        <r>
          <rPr>
            <b/>
            <sz val="12"/>
            <rFont val="宋体"/>
            <charset val="134"/>
          </rPr>
          <t>Administrator:</t>
        </r>
        <r>
          <rPr>
            <sz val="12"/>
            <rFont val="宋体"/>
            <charset val="134"/>
          </rPr>
          <t xml:space="preserve">
4/2 1000726 960PCS新仓库B3</t>
        </r>
      </text>
    </comment>
    <comment ref="AI251" authorId="0">
      <text>
        <r>
          <rPr>
            <b/>
            <sz val="12"/>
            <rFont val="宋体"/>
            <charset val="134"/>
          </rPr>
          <t>Administrator:</t>
        </r>
        <r>
          <rPr>
            <sz val="12"/>
            <rFont val="宋体"/>
            <charset val="134"/>
          </rPr>
          <t xml:space="preserve">
3/13 上客供RFID贴纸960pcs</t>
        </r>
      </text>
    </comment>
    <comment ref="AF252" authorId="0">
      <text>
        <r>
          <rPr>
            <b/>
            <sz val="12"/>
            <rFont val="宋体"/>
            <charset val="134"/>
          </rPr>
          <t>Administrator:</t>
        </r>
        <r>
          <rPr>
            <sz val="12"/>
            <rFont val="宋体"/>
            <charset val="134"/>
          </rPr>
          <t xml:space="preserve">
4/7 1000710 1500pcs华兴三楼B14</t>
        </r>
      </text>
    </comment>
    <comment ref="AI252" authorId="0">
      <text>
        <r>
          <rPr>
            <b/>
            <sz val="12"/>
            <rFont val="宋体"/>
            <charset val="134"/>
          </rPr>
          <t>Administrator:</t>
        </r>
        <r>
          <rPr>
            <sz val="12"/>
            <rFont val="宋体"/>
            <charset val="134"/>
          </rPr>
          <t xml:space="preserve">
3/24 上进口商贴纸1500pcs
     上upc贴纸1500pcs
4/2 上白色防盗贴纸1510pcs
4/2 上客供价标贴纸1510pcs</t>
        </r>
      </text>
    </comment>
    <comment ref="AF253" authorId="0">
      <text>
        <r>
          <rPr>
            <b/>
            <sz val="12"/>
            <rFont val="宋体"/>
            <charset val="134"/>
          </rPr>
          <t>Administrator:</t>
        </r>
        <r>
          <rPr>
            <sz val="12"/>
            <rFont val="宋体"/>
            <charset val="134"/>
          </rPr>
          <t xml:space="preserve">
4/3 1000706 12pcs新仓库	B5 </t>
        </r>
      </text>
    </comment>
    <comment ref="AI253"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4" authorId="0">
      <text>
        <r>
          <rPr>
            <b/>
            <sz val="12"/>
            <rFont val="宋体"/>
            <charset val="134"/>
          </rPr>
          <t>Administrator:</t>
        </r>
        <r>
          <rPr>
            <sz val="12"/>
            <rFont val="宋体"/>
            <charset val="134"/>
          </rPr>
          <t xml:space="preserve">
4/3 1000706 12pcs新仓库	B5 </t>
        </r>
      </text>
    </comment>
    <comment ref="AI254"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5" authorId="0">
      <text>
        <r>
          <rPr>
            <b/>
            <sz val="12"/>
            <rFont val="宋体"/>
            <charset val="134"/>
          </rPr>
          <t>Administrator:</t>
        </r>
        <r>
          <rPr>
            <sz val="12"/>
            <rFont val="宋体"/>
            <charset val="134"/>
          </rPr>
          <t xml:space="preserve">
4/3 1000706 36pcs新仓库B5</t>
        </r>
      </text>
    </comment>
    <comment ref="AI255"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6" authorId="0">
      <text>
        <r>
          <rPr>
            <b/>
            <sz val="12"/>
            <rFont val="宋体"/>
            <charset val="134"/>
          </rPr>
          <t>Administrator:</t>
        </r>
        <r>
          <rPr>
            <sz val="12"/>
            <rFont val="宋体"/>
            <charset val="134"/>
          </rPr>
          <t xml:space="preserve">
4/3 1000706 24pcs新仓库B5</t>
        </r>
      </text>
    </comment>
    <comment ref="AI256"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7" authorId="0">
      <text>
        <r>
          <rPr>
            <b/>
            <sz val="12"/>
            <rFont val="宋体"/>
            <charset val="134"/>
          </rPr>
          <t>Administrator:</t>
        </r>
        <r>
          <rPr>
            <sz val="12"/>
            <rFont val="宋体"/>
            <charset val="134"/>
          </rPr>
          <t xml:space="preserve">
4/3 1000706 12pcs新仓库	B5 </t>
        </r>
      </text>
    </comment>
    <comment ref="AI257"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8" authorId="0">
      <text>
        <r>
          <rPr>
            <b/>
            <sz val="12"/>
            <rFont val="宋体"/>
            <charset val="134"/>
          </rPr>
          <t>Administrator:</t>
        </r>
        <r>
          <rPr>
            <sz val="12"/>
            <rFont val="宋体"/>
            <charset val="134"/>
          </rPr>
          <t xml:space="preserve">
4/3 1000706 12pcs新仓库	B5 </t>
        </r>
      </text>
    </comment>
    <comment ref="AI258"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59" authorId="0">
      <text>
        <r>
          <rPr>
            <b/>
            <sz val="12"/>
            <rFont val="宋体"/>
            <charset val="134"/>
          </rPr>
          <t>Administrator:</t>
        </r>
        <r>
          <rPr>
            <sz val="12"/>
            <rFont val="宋体"/>
            <charset val="134"/>
          </rPr>
          <t xml:space="preserve">
4/3 1000706 12pcs新仓库	B5 </t>
        </r>
      </text>
    </comment>
    <comment ref="AI259" authorId="0">
      <text>
        <r>
          <rPr>
            <b/>
            <sz val="12"/>
            <rFont val="宋体"/>
            <charset val="134"/>
          </rPr>
          <t>Administrator:</t>
        </r>
        <r>
          <rPr>
            <sz val="12"/>
            <rFont val="宋体"/>
            <charset val="134"/>
          </rPr>
          <t xml:space="preserve">
3/16 上空白贴纸 168pcs
3/27 上空白贴纸 72pcs
194885/193215共用
3/18 上客供亚马逊外箱贴纸10pcs
194885/193215共用</t>
        </r>
      </text>
    </comment>
    <comment ref="AF260" authorId="0">
      <text>
        <r>
          <rPr>
            <b/>
            <sz val="12"/>
            <rFont val="宋体"/>
            <charset val="134"/>
          </rPr>
          <t>Administrator:</t>
        </r>
        <r>
          <rPr>
            <sz val="12"/>
            <rFont val="宋体"/>
            <charset val="134"/>
          </rPr>
          <t xml:space="preserve">
4/9 1000784 4758pcs华兴三楼B12</t>
        </r>
      </text>
    </comment>
    <comment ref="AI260" authorId="0">
      <text>
        <r>
          <rPr>
            <b/>
            <sz val="12"/>
            <rFont val="宋体"/>
            <charset val="134"/>
          </rPr>
          <t>Administrator:</t>
        </r>
        <r>
          <rPr>
            <sz val="12"/>
            <rFont val="宋体"/>
            <charset val="134"/>
          </rPr>
          <t xml:space="preserve">
3/27 上Kmart外箱贴纸 366pcs
4/2 上白色防盗贴纸4758pcs</t>
        </r>
      </text>
    </comment>
    <comment ref="AF261" authorId="0">
      <text>
        <r>
          <rPr>
            <b/>
            <sz val="12"/>
            <rFont val="宋体"/>
            <charset val="134"/>
          </rPr>
          <t>Administrator:</t>
        </r>
        <r>
          <rPr>
            <sz val="12"/>
            <rFont val="宋体"/>
            <charset val="134"/>
          </rPr>
          <t xml:space="preserve">
4/9 1000784 429pcs华兴三楼B16</t>
        </r>
      </text>
    </comment>
    <comment ref="AI261" authorId="0">
      <text>
        <r>
          <rPr>
            <b/>
            <sz val="12"/>
            <rFont val="宋体"/>
            <charset val="134"/>
          </rPr>
          <t>Administrator:</t>
        </r>
        <r>
          <rPr>
            <sz val="12"/>
            <rFont val="宋体"/>
            <charset val="134"/>
          </rPr>
          <t xml:space="preserve">
3/27 上Kmart外箱贴纸 33pcs
4/2 上白色防盗贴纸429pcs
</t>
        </r>
      </text>
    </comment>
    <comment ref="AF262" authorId="0">
      <text>
        <r>
          <rPr>
            <b/>
            <sz val="12"/>
            <rFont val="宋体"/>
            <charset val="134"/>
          </rPr>
          <t>Administrator:</t>
        </r>
        <r>
          <rPr>
            <sz val="12"/>
            <rFont val="宋体"/>
            <charset val="134"/>
          </rPr>
          <t xml:space="preserve">
1000778 4/18 1300pcs</t>
        </r>
      </text>
    </comment>
    <comment ref="AI262" authorId="0">
      <text>
        <r>
          <rPr>
            <b/>
            <sz val="12"/>
            <rFont val="宋体"/>
            <charset val="134"/>
          </rPr>
          <t>Administrator:</t>
        </r>
        <r>
          <rPr>
            <sz val="12"/>
            <rFont val="宋体"/>
            <charset val="134"/>
          </rPr>
          <t xml:space="preserve">
3/30 上年龄贴纸1300pcs
4/17 上客供防串码贴纸 100pcs
4/21 上防串码贴纸 100pcs</t>
        </r>
      </text>
    </comment>
    <comment ref="AF263" authorId="0">
      <text>
        <r>
          <rPr>
            <b/>
            <sz val="12"/>
            <rFont val="宋体"/>
            <charset val="134"/>
          </rPr>
          <t>Administrator:</t>
        </r>
        <r>
          <rPr>
            <sz val="12"/>
            <rFont val="宋体"/>
            <charset val="134"/>
          </rPr>
          <t xml:space="preserve">
1000772 4/17 500pcs 新仓库B3区</t>
        </r>
      </text>
    </comment>
    <comment ref="AI263" authorId="0">
      <text>
        <r>
          <rPr>
            <b/>
            <sz val="12"/>
            <rFont val="宋体"/>
            <charset val="134"/>
          </rPr>
          <t>Administrator:</t>
        </r>
        <r>
          <rPr>
            <sz val="12"/>
            <rFont val="宋体"/>
            <charset val="134"/>
          </rPr>
          <t xml:space="preserve">
4/8 上进口商贴纸500pcs
4/8 上UPC贴纸500pcs</t>
        </r>
      </text>
    </comment>
    <comment ref="AF264" authorId="0">
      <text>
        <r>
          <rPr>
            <b/>
            <sz val="12"/>
            <rFont val="宋体"/>
            <charset val="134"/>
          </rPr>
          <t>Administrator:</t>
        </r>
        <r>
          <rPr>
            <sz val="12"/>
            <rFont val="宋体"/>
            <charset val="134"/>
          </rPr>
          <t xml:space="preserve">
10007772 4/17 1950pcs 新仓库A4区</t>
        </r>
      </text>
    </comment>
    <comment ref="AI264" authorId="0">
      <text>
        <r>
          <rPr>
            <b/>
            <sz val="12"/>
            <rFont val="宋体"/>
            <charset val="134"/>
          </rPr>
          <t>Administrator:</t>
        </r>
        <r>
          <rPr>
            <sz val="12"/>
            <rFont val="宋体"/>
            <charset val="134"/>
          </rPr>
          <t xml:space="preserve">
4/9 上年龄贴纸1950pcs
4/8 客供防窜码贴纸1拖13 150pcs</t>
        </r>
      </text>
    </comment>
    <comment ref="AF265" authorId="0">
      <text>
        <r>
          <rPr>
            <b/>
            <sz val="12"/>
            <rFont val="宋体"/>
            <charset val="134"/>
          </rPr>
          <t>Administrator:</t>
        </r>
        <r>
          <rPr>
            <sz val="12"/>
            <rFont val="宋体"/>
            <charset val="134"/>
          </rPr>
          <t xml:space="preserve">
4/3 1000705 12pcs</t>
        </r>
      </text>
    </comment>
    <comment ref="AI265" authorId="0">
      <text>
        <r>
          <rPr>
            <b/>
            <sz val="12"/>
            <rFont val="宋体"/>
            <charset val="134"/>
          </rPr>
          <t>Administrator:</t>
        </r>
        <r>
          <rPr>
            <sz val="12"/>
            <rFont val="宋体"/>
            <charset val="134"/>
          </rPr>
          <t xml:space="preserve">
4/14 上空白贴纸72pcs
4/16 收到亚马逊外箱贴纸 1pcs</t>
        </r>
      </text>
    </comment>
    <comment ref="AF266" authorId="0">
      <text>
        <r>
          <rPr>
            <b/>
            <sz val="12"/>
            <rFont val="宋体"/>
            <charset val="134"/>
          </rPr>
          <t>Administrator:</t>
        </r>
        <r>
          <rPr>
            <sz val="12"/>
            <rFont val="宋体"/>
            <charset val="134"/>
          </rPr>
          <t xml:space="preserve">
4/3 1000705 12pcs</t>
        </r>
      </text>
    </comment>
    <comment ref="AI266" authorId="0">
      <text>
        <r>
          <rPr>
            <b/>
            <sz val="12"/>
            <rFont val="宋体"/>
            <charset val="134"/>
          </rPr>
          <t>Administrator:</t>
        </r>
        <r>
          <rPr>
            <sz val="12"/>
            <rFont val="宋体"/>
            <charset val="134"/>
          </rPr>
          <t xml:space="preserve">
4/14 上空白贴纸72pcs
4/16 收到亚马逊外箱贴纸 1pcs</t>
        </r>
      </text>
    </comment>
    <comment ref="AF267" authorId="0">
      <text>
        <r>
          <rPr>
            <b/>
            <sz val="12"/>
            <rFont val="宋体"/>
            <charset val="134"/>
          </rPr>
          <t>Administrator:</t>
        </r>
        <r>
          <rPr>
            <sz val="12"/>
            <rFont val="宋体"/>
            <charset val="134"/>
          </rPr>
          <t xml:space="preserve">
4/3 1000705 12pcs</t>
        </r>
      </text>
    </comment>
    <comment ref="AI267" authorId="0">
      <text>
        <r>
          <rPr>
            <b/>
            <sz val="12"/>
            <rFont val="宋体"/>
            <charset val="134"/>
          </rPr>
          <t>Administrator:</t>
        </r>
        <r>
          <rPr>
            <sz val="12"/>
            <rFont val="宋体"/>
            <charset val="134"/>
          </rPr>
          <t xml:space="preserve">
4/14 上空白贴纸72pcs
4/16 收到亚马逊外箱贴纸 1pcs</t>
        </r>
      </text>
    </comment>
    <comment ref="AF268" authorId="0">
      <text>
        <r>
          <rPr>
            <b/>
            <sz val="12"/>
            <rFont val="宋体"/>
            <charset val="134"/>
          </rPr>
          <t>Administrator:</t>
        </r>
        <r>
          <rPr>
            <sz val="12"/>
            <rFont val="宋体"/>
            <charset val="134"/>
          </rPr>
          <t xml:space="preserve">
1001164 2/26 960pcs B4楼B1区
</t>
        </r>
      </text>
    </comment>
    <comment ref="AI268" authorId="0">
      <text>
        <r>
          <rPr>
            <b/>
            <sz val="12"/>
            <rFont val="宋体"/>
            <charset val="134"/>
          </rPr>
          <t>Administrator:</t>
        </r>
        <r>
          <rPr>
            <sz val="12"/>
            <rFont val="宋体"/>
            <charset val="134"/>
          </rPr>
          <t xml:space="preserve">
1/26 上客供RFID贴纸 960pcs</t>
        </r>
      </text>
    </comment>
    <comment ref="AF269" authorId="0">
      <text>
        <r>
          <rPr>
            <b/>
            <sz val="12"/>
            <rFont val="宋体"/>
            <charset val="134"/>
          </rPr>
          <t>Administrator:</t>
        </r>
        <r>
          <rPr>
            <sz val="12"/>
            <rFont val="宋体"/>
            <charset val="134"/>
          </rPr>
          <t xml:space="preserve">
1001164 2/26 960pcs B4楼B1区
</t>
        </r>
      </text>
    </comment>
    <comment ref="AI269" authorId="0">
      <text>
        <r>
          <rPr>
            <b/>
            <sz val="12"/>
            <rFont val="宋体"/>
            <charset val="134"/>
          </rPr>
          <t>Administrator:</t>
        </r>
        <r>
          <rPr>
            <sz val="12"/>
            <rFont val="宋体"/>
            <charset val="134"/>
          </rPr>
          <t xml:space="preserve">
1/26 上客供RFID贴纸 960pcs</t>
        </r>
      </text>
    </comment>
    <comment ref="AF270" authorId="0">
      <text>
        <r>
          <rPr>
            <b/>
            <sz val="12"/>
            <rFont val="宋体"/>
            <charset val="134"/>
          </rPr>
          <t>Administrator:</t>
        </r>
        <r>
          <rPr>
            <sz val="12"/>
            <rFont val="宋体"/>
            <charset val="134"/>
          </rPr>
          <t xml:space="preserve">
3/26 10000822 1508pcs</t>
        </r>
      </text>
    </comment>
    <comment ref="AI270" authorId="0">
      <text>
        <r>
          <rPr>
            <b/>
            <sz val="12"/>
            <rFont val="宋体"/>
            <charset val="134"/>
          </rPr>
          <t>Administrator:</t>
        </r>
        <r>
          <rPr>
            <sz val="12"/>
            <rFont val="宋体"/>
            <charset val="134"/>
          </rPr>
          <t xml:space="preserve">
3/16 上白色防盗贴纸 1508pcs
3/14 上KM外箱贴纸 116pcs</t>
        </r>
      </text>
    </comment>
    <comment ref="AF271" authorId="0">
      <text>
        <r>
          <rPr>
            <b/>
            <sz val="12"/>
            <rFont val="宋体"/>
            <charset val="134"/>
          </rPr>
          <t>Administrator:</t>
        </r>
        <r>
          <rPr>
            <sz val="12"/>
            <rFont val="宋体"/>
            <charset val="134"/>
          </rPr>
          <t xml:space="preserve">
3/26 1000822 819pcs</t>
        </r>
      </text>
    </comment>
    <comment ref="AF272" authorId="0">
      <text>
        <r>
          <rPr>
            <b/>
            <sz val="12"/>
            <rFont val="宋体"/>
            <charset val="134"/>
          </rPr>
          <t>Administrator:</t>
        </r>
        <r>
          <rPr>
            <sz val="12"/>
            <rFont val="宋体"/>
            <charset val="134"/>
          </rPr>
          <t xml:space="preserve">
3/26 1000822 390pcs</t>
        </r>
      </text>
    </comment>
    <comment ref="AF273" authorId="0">
      <text>
        <r>
          <rPr>
            <b/>
            <sz val="12"/>
            <rFont val="宋体"/>
            <charset val="134"/>
          </rPr>
          <t>Administrator:</t>
        </r>
        <r>
          <rPr>
            <sz val="12"/>
            <rFont val="宋体"/>
            <charset val="134"/>
          </rPr>
          <t xml:space="preserve">
4/3 1000728 1500pcs新仓库B5
</t>
        </r>
      </text>
    </comment>
    <comment ref="AI273" authorId="0">
      <text>
        <r>
          <rPr>
            <b/>
            <sz val="12"/>
            <rFont val="宋体"/>
            <charset val="134"/>
          </rPr>
          <t>Administrator:</t>
        </r>
        <r>
          <rPr>
            <sz val="12"/>
            <rFont val="宋体"/>
            <charset val="134"/>
          </rPr>
          <t xml:space="preserve">
3/23 上PDQUPC贴纸60pcs</t>
        </r>
      </text>
    </comment>
    <comment ref="AF274" authorId="0">
      <text>
        <r>
          <rPr>
            <b/>
            <sz val="12"/>
            <rFont val="宋体"/>
            <charset val="134"/>
          </rPr>
          <t>Administrator:</t>
        </r>
        <r>
          <rPr>
            <sz val="12"/>
            <rFont val="宋体"/>
            <charset val="134"/>
          </rPr>
          <t xml:space="preserve">
4/29 3001872 828pcs</t>
        </r>
      </text>
    </comment>
    <comment ref="AI274" authorId="0">
      <text>
        <r>
          <rPr>
            <b/>
            <sz val="12"/>
            <rFont val="宋体"/>
            <charset val="134"/>
          </rPr>
          <t>Administrator:</t>
        </r>
        <r>
          <rPr>
            <sz val="12"/>
            <rFont val="宋体"/>
            <charset val="134"/>
          </rPr>
          <t xml:space="preserve">
3/30 上亚马逊外箱贴纸 69pcs
3/30 上环保标贴纸828pcs</t>
        </r>
      </text>
    </comment>
    <comment ref="AF275" authorId="0">
      <text>
        <r>
          <rPr>
            <b/>
            <sz val="12"/>
            <rFont val="宋体"/>
            <charset val="134"/>
          </rPr>
          <t>Administrator:</t>
        </r>
        <r>
          <rPr>
            <sz val="12"/>
            <rFont val="宋体"/>
            <charset val="134"/>
          </rPr>
          <t xml:space="preserve">
4/29 3001872 576pcs</t>
        </r>
      </text>
    </comment>
    <comment ref="AI275" authorId="0">
      <text>
        <r>
          <rPr>
            <b/>
            <sz val="12"/>
            <rFont val="宋体"/>
            <charset val="134"/>
          </rPr>
          <t>Administrator:</t>
        </r>
        <r>
          <rPr>
            <sz val="12"/>
            <rFont val="宋体"/>
            <charset val="134"/>
          </rPr>
          <t xml:space="preserve">
4/9 上环保标贴纸576pcs
4/16 上亚马逊外箱贴纸 48pcs</t>
        </r>
      </text>
    </comment>
    <comment ref="AF276" authorId="1">
      <text>
        <r>
          <rPr>
            <b/>
            <sz val="12"/>
            <rFont val="宋体"/>
            <charset val="134"/>
          </rPr>
          <t>DELL:</t>
        </r>
        <r>
          <rPr>
            <sz val="12"/>
            <rFont val="宋体"/>
            <charset val="134"/>
          </rPr>
          <t xml:space="preserve">
1000682 4/22 1404pcs</t>
        </r>
      </text>
    </comment>
    <comment ref="AI276" authorId="0">
      <text>
        <r>
          <rPr>
            <b/>
            <sz val="12"/>
            <rFont val="宋体"/>
            <charset val="134"/>
          </rPr>
          <t>Administrator:</t>
        </r>
        <r>
          <rPr>
            <sz val="12"/>
            <rFont val="宋体"/>
            <charset val="134"/>
          </rPr>
          <t xml:space="preserve">
4/2 上白色防盗贴纸1404pcs
4/16 上KM外箱tie贴纸 108pcs</t>
        </r>
      </text>
    </comment>
    <comment ref="AF277" authorId="1">
      <text>
        <r>
          <rPr>
            <b/>
            <sz val="12"/>
            <rFont val="宋体"/>
            <charset val="134"/>
          </rPr>
          <t>DELL:</t>
        </r>
        <r>
          <rPr>
            <sz val="12"/>
            <rFont val="宋体"/>
            <charset val="134"/>
          </rPr>
          <t xml:space="preserve">
1000654 4/25 104pcs新仓库B3</t>
        </r>
      </text>
    </comment>
    <comment ref="AI277" authorId="0">
      <text>
        <r>
          <rPr>
            <sz val="12"/>
            <rFont val="宋体"/>
            <charset val="134"/>
          </rPr>
          <t>Administrator:
4/2 上白色防盗贴纸104pcs
4/16 上KM外箱贴纸 8pcs</t>
        </r>
      </text>
    </comment>
    <comment ref="AF278" authorId="1">
      <text>
        <r>
          <rPr>
            <b/>
            <sz val="12"/>
            <rFont val="宋体"/>
            <charset val="134"/>
          </rPr>
          <t>DELL:</t>
        </r>
        <r>
          <rPr>
            <sz val="12"/>
            <rFont val="宋体"/>
            <charset val="134"/>
          </rPr>
          <t xml:space="preserve">
1000654 4/25 312pcs新仓库B3</t>
        </r>
      </text>
    </comment>
    <comment ref="AI278" authorId="0">
      <text>
        <r>
          <rPr>
            <b/>
            <sz val="12"/>
            <rFont val="宋体"/>
            <charset val="134"/>
          </rPr>
          <t>Administrator:</t>
        </r>
        <r>
          <rPr>
            <sz val="12"/>
            <rFont val="宋体"/>
            <charset val="134"/>
          </rPr>
          <t xml:space="preserve">
4/15 上进口商贴纸312pcs
4/15 上条码贴纸312pcs</t>
        </r>
      </text>
    </comment>
    <comment ref="AF279" authorId="1">
      <text>
        <r>
          <rPr>
            <b/>
            <sz val="12"/>
            <rFont val="宋体"/>
            <charset val="134"/>
          </rPr>
          <t>DELL:</t>
        </r>
        <r>
          <rPr>
            <sz val="12"/>
            <rFont val="宋体"/>
            <charset val="134"/>
          </rPr>
          <t xml:space="preserve">
1000654 4/25 156pcs新仓库B3
</t>
        </r>
      </text>
    </comment>
    <comment ref="AI279" authorId="0">
      <text>
        <r>
          <rPr>
            <b/>
            <sz val="12"/>
            <rFont val="宋体"/>
            <charset val="134"/>
          </rPr>
          <t>Administrator:</t>
        </r>
        <r>
          <rPr>
            <sz val="12"/>
            <rFont val="宋体"/>
            <charset val="134"/>
          </rPr>
          <t xml:space="preserve">
4/9上通用贴纸156pcs</t>
        </r>
      </text>
    </comment>
    <comment ref="AF280" authorId="1">
      <text>
        <r>
          <rPr>
            <b/>
            <sz val="9"/>
            <rFont val="宋体"/>
            <charset val="134"/>
          </rPr>
          <t>DELL:</t>
        </r>
        <r>
          <rPr>
            <sz val="9"/>
            <rFont val="宋体"/>
            <charset val="134"/>
          </rPr>
          <t xml:space="preserve">
3001879 4/30 1152pcs</t>
        </r>
      </text>
    </comment>
    <comment ref="AI280" authorId="0">
      <text>
        <r>
          <rPr>
            <b/>
            <sz val="12"/>
            <rFont val="宋体"/>
            <charset val="134"/>
          </rPr>
          <t>Administrator:</t>
        </r>
        <r>
          <rPr>
            <sz val="12"/>
            <rFont val="宋体"/>
            <charset val="134"/>
          </rPr>
          <t xml:space="preserve">
4/14 上环保标贴纸1152pcs 
4/29 上亚马逊外箱贴纸96pcs</t>
        </r>
      </text>
    </comment>
    <comment ref="AF281" authorId="1">
      <text>
        <r>
          <rPr>
            <b/>
            <sz val="12"/>
            <rFont val="宋体"/>
            <charset val="134"/>
          </rPr>
          <t>DELL:</t>
        </r>
        <r>
          <rPr>
            <sz val="12"/>
            <rFont val="宋体"/>
            <charset val="134"/>
          </rPr>
          <t xml:space="preserve">
3001885 4/30 624pcs</t>
        </r>
      </text>
    </comment>
    <comment ref="AI281" authorId="1">
      <text>
        <r>
          <rPr>
            <b/>
            <sz val="12"/>
            <rFont val="宋体"/>
            <charset val="134"/>
          </rPr>
          <t>DELL:</t>
        </r>
        <r>
          <rPr>
            <sz val="12"/>
            <rFont val="宋体"/>
            <charset val="134"/>
          </rPr>
          <t xml:space="preserve">
4/24 上进口商贴纸 1872pcs</t>
        </r>
      </text>
    </comment>
    <comment ref="AF282" authorId="1">
      <text>
        <r>
          <rPr>
            <b/>
            <sz val="12"/>
            <rFont val="宋体"/>
            <charset val="134"/>
          </rPr>
          <t>DELL:</t>
        </r>
        <r>
          <rPr>
            <sz val="12"/>
            <rFont val="宋体"/>
            <charset val="134"/>
          </rPr>
          <t xml:space="preserve">
3001885 4/30 572pcs</t>
        </r>
      </text>
    </comment>
    <comment ref="AF283" authorId="1">
      <text>
        <r>
          <rPr>
            <b/>
            <sz val="12"/>
            <rFont val="宋体"/>
            <charset val="134"/>
          </rPr>
          <t>DELL:</t>
        </r>
        <r>
          <rPr>
            <sz val="12"/>
            <rFont val="宋体"/>
            <charset val="134"/>
          </rPr>
          <t xml:space="preserve">
3001885 4/30 468pcs</t>
        </r>
      </text>
    </comment>
    <comment ref="AF284" authorId="1">
      <text>
        <r>
          <rPr>
            <b/>
            <sz val="12"/>
            <rFont val="宋体"/>
            <charset val="134"/>
          </rPr>
          <t>DELL:</t>
        </r>
        <r>
          <rPr>
            <sz val="12"/>
            <rFont val="宋体"/>
            <charset val="134"/>
          </rPr>
          <t xml:space="preserve">
3001885 4/30 208pcs</t>
        </r>
      </text>
    </comment>
    <comment ref="AF285" authorId="0">
      <text>
        <r>
          <rPr>
            <b/>
            <sz val="12"/>
            <rFont val="宋体"/>
            <charset val="134"/>
          </rPr>
          <t>Administrator:</t>
        </r>
        <r>
          <rPr>
            <sz val="12"/>
            <rFont val="宋体"/>
            <charset val="134"/>
          </rPr>
          <t xml:space="preserve">
5/5 3001931 84pcs B4-B9</t>
        </r>
      </text>
    </comment>
    <comment ref="AI285" authorId="0">
      <text>
        <r>
          <rPr>
            <b/>
            <sz val="12"/>
            <rFont val="宋体"/>
            <charset val="134"/>
          </rPr>
          <t>Administrator:</t>
        </r>
        <r>
          <rPr>
            <sz val="12"/>
            <rFont val="宋体"/>
            <charset val="134"/>
          </rPr>
          <t xml:space="preserve">
4/20 上空白贴纸 168pcs</t>
        </r>
      </text>
    </comment>
    <comment ref="AF286" authorId="0">
      <text>
        <r>
          <rPr>
            <b/>
            <sz val="12"/>
            <rFont val="宋体"/>
            <charset val="134"/>
          </rPr>
          <t>Administrator:</t>
        </r>
        <r>
          <rPr>
            <sz val="12"/>
            <rFont val="宋体"/>
            <charset val="134"/>
          </rPr>
          <t xml:space="preserve">
5/4 3001908 1508pcs</t>
        </r>
      </text>
    </comment>
    <comment ref="AI286" authorId="1">
      <text>
        <r>
          <rPr>
            <b/>
            <sz val="12"/>
            <rFont val="宋体"/>
            <charset val="134"/>
          </rPr>
          <t>DELL:</t>
        </r>
        <r>
          <rPr>
            <sz val="12"/>
            <rFont val="宋体"/>
            <charset val="134"/>
          </rPr>
          <t xml:space="preserve">
4/23 上KM外箱贴纸 116pcs
4/29 上白色防盗贴纸 1508pcs</t>
        </r>
      </text>
    </comment>
    <comment ref="AF287" authorId="0">
      <text>
        <r>
          <rPr>
            <b/>
            <sz val="12"/>
            <rFont val="宋体"/>
            <charset val="134"/>
          </rPr>
          <t>Administrator:</t>
        </r>
        <r>
          <rPr>
            <sz val="12"/>
            <rFont val="宋体"/>
            <charset val="134"/>
          </rPr>
          <t xml:space="preserve">
5/7 3001949 2500pcs新仓库A5</t>
        </r>
      </text>
    </comment>
    <comment ref="AI287" authorId="0">
      <text>
        <r>
          <rPr>
            <b/>
            <sz val="12"/>
            <rFont val="宋体"/>
            <charset val="134"/>
          </rPr>
          <t>Administrator:</t>
        </r>
        <r>
          <rPr>
            <sz val="12"/>
            <rFont val="宋体"/>
            <charset val="134"/>
          </rPr>
          <t xml:space="preserve">
4/27 上客人通用进口商贴纸 2500pcs</t>
        </r>
      </text>
    </comment>
    <comment ref="AF288" authorId="0">
      <text>
        <r>
          <rPr>
            <b/>
            <sz val="12"/>
            <rFont val="宋体"/>
            <charset val="134"/>
          </rPr>
          <t>Administrator:</t>
        </r>
        <r>
          <rPr>
            <sz val="12"/>
            <rFont val="宋体"/>
            <charset val="134"/>
          </rPr>
          <t xml:space="preserve">
5/16 3001723 1500pcs</t>
        </r>
      </text>
    </comment>
    <comment ref="AI288" authorId="0">
      <text>
        <r>
          <rPr>
            <b/>
            <sz val="12"/>
            <rFont val="宋体"/>
            <charset val="134"/>
          </rPr>
          <t>Administrator:</t>
        </r>
        <r>
          <rPr>
            <sz val="12"/>
            <rFont val="宋体"/>
            <charset val="134"/>
          </rPr>
          <t xml:space="preserve">
5/8 上进口商贴纸 1500pcs
5/8 上UPC贴纸1500pcs</t>
        </r>
      </text>
    </comment>
    <comment ref="AF289" authorId="0">
      <text>
        <r>
          <rPr>
            <b/>
            <sz val="12"/>
            <rFont val="宋体"/>
            <charset val="134"/>
          </rPr>
          <t>Administrator:</t>
        </r>
        <r>
          <rPr>
            <sz val="12"/>
            <rFont val="宋体"/>
            <charset val="134"/>
          </rPr>
          <t xml:space="preserve">
5/21 201277 792PCS新A5
</t>
        </r>
      </text>
    </comment>
    <comment ref="AI289" authorId="0">
      <text>
        <r>
          <rPr>
            <b/>
            <sz val="12"/>
            <rFont val="宋体"/>
            <charset val="134"/>
          </rPr>
          <t>Administrator:</t>
        </r>
        <r>
          <rPr>
            <sz val="12"/>
            <rFont val="宋体"/>
            <charset val="134"/>
          </rPr>
          <t xml:space="preserve">
5/11 上亚马逊贴纸66pcs
5/16 上环保标贴纸792pcs</t>
        </r>
      </text>
    </comment>
    <comment ref="AF290" authorId="0">
      <text>
        <r>
          <rPr>
            <b/>
            <sz val="12"/>
            <rFont val="宋体"/>
            <charset val="134"/>
          </rPr>
          <t>Administrator:</t>
        </r>
        <r>
          <rPr>
            <sz val="12"/>
            <rFont val="宋体"/>
            <charset val="134"/>
          </rPr>
          <t xml:space="preserve">
5/22 3700pcs 3001732
新仓库B5</t>
        </r>
      </text>
    </comment>
    <comment ref="AF291" authorId="0">
      <text>
        <r>
          <rPr>
            <b/>
            <sz val="12"/>
            <rFont val="宋体"/>
            <charset val="134"/>
          </rPr>
          <t>Administrator:</t>
        </r>
        <r>
          <rPr>
            <sz val="12"/>
            <rFont val="宋体"/>
            <charset val="134"/>
          </rPr>
          <t xml:space="preserve">
5/21 201277 520PCS新A5</t>
        </r>
      </text>
    </comment>
    <comment ref="AI291" authorId="0">
      <text>
        <r>
          <rPr>
            <b/>
            <sz val="12"/>
            <rFont val="宋体"/>
            <charset val="134"/>
          </rPr>
          <t>Administrator:</t>
        </r>
        <r>
          <rPr>
            <sz val="12"/>
            <rFont val="宋体"/>
            <charset val="134"/>
          </rPr>
          <t xml:space="preserve">
5/18 上sni label贴纸520pcs</t>
        </r>
      </text>
    </comment>
    <comment ref="AF292" authorId="0">
      <text>
        <r>
          <rPr>
            <b/>
            <sz val="12"/>
            <rFont val="宋体"/>
            <charset val="134"/>
          </rPr>
          <t>Administrator:</t>
        </r>
        <r>
          <rPr>
            <sz val="12"/>
            <rFont val="宋体"/>
            <charset val="134"/>
          </rPr>
          <t xml:space="preserve">
5/18 3002597 2028pcs</t>
        </r>
      </text>
    </comment>
    <comment ref="AI292" authorId="0">
      <text>
        <r>
          <rPr>
            <b/>
            <sz val="12"/>
            <rFont val="宋体"/>
            <charset val="134"/>
          </rPr>
          <t>Administrator:</t>
        </r>
        <r>
          <rPr>
            <sz val="12"/>
            <rFont val="宋体"/>
            <charset val="134"/>
          </rPr>
          <t xml:space="preserve">
5/11 上UPC/环保标/洗涤说明书贴纸2028pcs
5/14 上价格贴纸2028pcs</t>
        </r>
      </text>
    </comment>
    <comment ref="AF293" authorId="0">
      <text>
        <r>
          <rPr>
            <b/>
            <sz val="12"/>
            <rFont val="宋体"/>
            <charset val="134"/>
          </rPr>
          <t>Administrator:</t>
        </r>
        <r>
          <rPr>
            <sz val="12"/>
            <rFont val="宋体"/>
            <charset val="134"/>
          </rPr>
          <t xml:space="preserve">
5/5 3001931 650pcs B4-B9</t>
        </r>
      </text>
    </comment>
    <comment ref="AI293" authorId="1">
      <text>
        <r>
          <rPr>
            <b/>
            <sz val="12"/>
            <rFont val="宋体"/>
            <charset val="134"/>
          </rPr>
          <t>DELL:</t>
        </r>
        <r>
          <rPr>
            <sz val="12"/>
            <rFont val="宋体"/>
            <charset val="134"/>
          </rPr>
          <t xml:space="preserve">
4/27 上警告语/客人进口商地址贴纸 650pcs</t>
        </r>
      </text>
    </comment>
    <comment ref="AF294" authorId="2">
      <text>
        <r>
          <rPr>
            <b/>
            <sz val="9"/>
            <rFont val="宋体"/>
            <charset val="0"/>
          </rPr>
          <t>龙丽娟:</t>
        </r>
        <r>
          <rPr>
            <sz val="9"/>
            <rFont val="宋体"/>
            <charset val="0"/>
          </rPr>
          <t xml:space="preserve">
5/22 200405 1040pcs应兴二楼A1</t>
        </r>
      </text>
    </comment>
    <comment ref="AF295" authorId="2">
      <text>
        <r>
          <rPr>
            <b/>
            <sz val="9"/>
            <rFont val="宋体"/>
            <charset val="0"/>
          </rPr>
          <t>龙丽娟:</t>
        </r>
        <r>
          <rPr>
            <sz val="9"/>
            <rFont val="宋体"/>
            <charset val="0"/>
          </rPr>
          <t xml:space="preserve">
5/30 1000405  3000pcs B栋4楼B9</t>
        </r>
      </text>
    </comment>
    <comment ref="AI295" authorId="0">
      <text>
        <r>
          <rPr>
            <b/>
            <sz val="12"/>
            <rFont val="宋体"/>
            <charset val="134"/>
          </rPr>
          <t>Administrator:</t>
        </r>
        <r>
          <rPr>
            <sz val="12"/>
            <rFont val="宋体"/>
            <charset val="134"/>
          </rPr>
          <t xml:space="preserve">
5/18 上客供价格贴纸3090pcs</t>
        </r>
      </text>
    </comment>
    <comment ref="AI296" authorId="0">
      <text>
        <r>
          <rPr>
            <b/>
            <sz val="12"/>
            <rFont val="宋体"/>
            <charset val="134"/>
          </rPr>
          <t>Administrator:</t>
        </r>
        <r>
          <rPr>
            <sz val="12"/>
            <rFont val="宋体"/>
            <charset val="134"/>
          </rPr>
          <t xml:space="preserve">
5/7 上客供亚马逊贴纸97pcs
5/20 上环保标贴纸1164pcs</t>
        </r>
      </text>
    </comment>
    <comment ref="AF297" authorId="2">
      <text>
        <r>
          <rPr>
            <b/>
            <sz val="9"/>
            <rFont val="宋体"/>
            <charset val="0"/>
          </rPr>
          <t>龙丽娟:</t>
        </r>
        <r>
          <rPr>
            <sz val="9"/>
            <rFont val="宋体"/>
            <charset val="0"/>
          </rPr>
          <t xml:space="preserve">
6/8 1000510 403pcs欣泰B5</t>
        </r>
      </text>
    </comment>
    <comment ref="AF298" authorId="2">
      <text>
        <r>
          <rPr>
            <b/>
            <sz val="9"/>
            <rFont val="宋体"/>
            <charset val="0"/>
          </rPr>
          <t>龙丽娟:</t>
        </r>
        <r>
          <rPr>
            <sz val="9"/>
            <rFont val="宋体"/>
            <charset val="0"/>
          </rPr>
          <t xml:space="preserve">
6/4 1000537 12PCS欣泰B4</t>
        </r>
      </text>
    </comment>
    <comment ref="AI298" authorId="0">
      <text>
        <r>
          <rPr>
            <b/>
            <sz val="12"/>
            <rFont val="宋体"/>
            <charset val="134"/>
          </rPr>
          <t>Administrator:</t>
        </r>
        <r>
          <rPr>
            <sz val="12"/>
            <rFont val="宋体"/>
            <charset val="134"/>
          </rPr>
          <t xml:space="preserve">
5/21 上空白贴纸24pcs</t>
        </r>
      </text>
    </comment>
    <comment ref="AI299" authorId="0">
      <text>
        <r>
          <rPr>
            <b/>
            <sz val="12"/>
            <rFont val="宋体"/>
            <charset val="134"/>
          </rPr>
          <t>Administrator:</t>
        </r>
        <r>
          <rPr>
            <sz val="12"/>
            <rFont val="宋体"/>
            <charset val="134"/>
          </rPr>
          <t xml:space="preserve">
5/21 上空白贴纸24pcs</t>
        </r>
      </text>
    </comment>
    <comment ref="AF300" authorId="2">
      <text>
        <r>
          <rPr>
            <b/>
            <sz val="9"/>
            <rFont val="宋体"/>
            <charset val="0"/>
          </rPr>
          <t>龙丽娟:</t>
        </r>
        <r>
          <rPr>
            <sz val="9"/>
            <rFont val="宋体"/>
            <charset val="0"/>
          </rPr>
          <t xml:space="preserve">
6/4 1000537 24PCS欣泰B4</t>
        </r>
      </text>
    </comment>
    <comment ref="AI300" authorId="0">
      <text>
        <r>
          <rPr>
            <b/>
            <sz val="12"/>
            <rFont val="宋体"/>
            <charset val="134"/>
          </rPr>
          <t>Administrator:</t>
        </r>
        <r>
          <rPr>
            <sz val="12"/>
            <rFont val="宋体"/>
            <charset val="134"/>
          </rPr>
          <t xml:space="preserve">
5/21 上空白贴纸48pcs</t>
        </r>
      </text>
    </comment>
    <comment ref="AF301" authorId="2">
      <text>
        <r>
          <rPr>
            <b/>
            <sz val="9"/>
            <rFont val="宋体"/>
            <charset val="0"/>
          </rPr>
          <t>龙丽娟:</t>
        </r>
        <r>
          <rPr>
            <sz val="9"/>
            <rFont val="宋体"/>
            <charset val="0"/>
          </rPr>
          <t xml:space="preserve">
6/4 1000537 24PCS欣泰B4</t>
        </r>
      </text>
    </comment>
    <comment ref="AI301" authorId="0">
      <text>
        <r>
          <rPr>
            <b/>
            <sz val="12"/>
            <rFont val="宋体"/>
            <charset val="134"/>
          </rPr>
          <t>Administrator:</t>
        </r>
        <r>
          <rPr>
            <sz val="12"/>
            <rFont val="宋体"/>
            <charset val="134"/>
          </rPr>
          <t xml:space="preserve">
5/21 上空白贴纸48pcs</t>
        </r>
      </text>
    </comment>
    <comment ref="AF302" authorId="2">
      <text>
        <r>
          <rPr>
            <b/>
            <sz val="9"/>
            <rFont val="宋体"/>
            <charset val="0"/>
          </rPr>
          <t>龙丽娟:</t>
        </r>
        <r>
          <rPr>
            <sz val="9"/>
            <rFont val="宋体"/>
            <charset val="0"/>
          </rPr>
          <t xml:space="preserve">
6/4 1000537 416PCS欣泰B4</t>
        </r>
      </text>
    </comment>
    <comment ref="AF303" authorId="2">
      <text>
        <r>
          <rPr>
            <b/>
            <sz val="9"/>
            <rFont val="宋体"/>
            <charset val="0"/>
          </rPr>
          <t>龙丽娟:</t>
        </r>
        <r>
          <rPr>
            <sz val="9"/>
            <rFont val="宋体"/>
            <charset val="0"/>
          </rPr>
          <t xml:space="preserve">
6/9 1000484 572pcs欣泰B4</t>
        </r>
      </text>
    </comment>
    <comment ref="AF304" authorId="2">
      <text>
        <r>
          <rPr>
            <b/>
            <sz val="9"/>
            <rFont val="宋体"/>
            <charset val="0"/>
          </rPr>
          <t>龙丽娟:</t>
        </r>
        <r>
          <rPr>
            <sz val="9"/>
            <rFont val="宋体"/>
            <charset val="0"/>
          </rPr>
          <t xml:space="preserve">
6/9 1000484 520pcs欣泰B4</t>
        </r>
      </text>
    </comment>
    <comment ref="AF305" authorId="2">
      <text>
        <r>
          <rPr>
            <b/>
            <sz val="9"/>
            <rFont val="宋体"/>
            <charset val="0"/>
          </rPr>
          <t>龙丽娟:</t>
        </r>
        <r>
          <rPr>
            <sz val="9"/>
            <rFont val="宋体"/>
            <charset val="0"/>
          </rPr>
          <t xml:space="preserve">
6/9 1000484 416pcs欣泰B4</t>
        </r>
      </text>
    </comment>
    <comment ref="AF306" authorId="2">
      <text>
        <r>
          <rPr>
            <b/>
            <sz val="9"/>
            <rFont val="宋体"/>
            <charset val="0"/>
          </rPr>
          <t>龙丽娟:</t>
        </r>
        <r>
          <rPr>
            <sz val="9"/>
            <rFont val="宋体"/>
            <charset val="0"/>
          </rPr>
          <t xml:space="preserve">
6/9 1000484 208pcs欣泰B4</t>
        </r>
      </text>
    </comment>
    <comment ref="AF307" authorId="2">
      <text>
        <r>
          <rPr>
            <b/>
            <sz val="9"/>
            <rFont val="宋体"/>
            <charset val="0"/>
          </rPr>
          <t>龙丽娟:</t>
        </r>
        <r>
          <rPr>
            <sz val="9"/>
            <rFont val="宋体"/>
            <charset val="0"/>
          </rPr>
          <t xml:space="preserve">
6/9 1000484 3250pcs欣泰B4</t>
        </r>
      </text>
    </comment>
    <comment ref="AF308" authorId="2">
      <text>
        <r>
          <rPr>
            <b/>
            <sz val="9"/>
            <rFont val="宋体"/>
            <charset val="0"/>
          </rPr>
          <t>龙丽娟:</t>
        </r>
        <r>
          <rPr>
            <sz val="9"/>
            <rFont val="宋体"/>
            <charset val="0"/>
          </rPr>
          <t xml:space="preserve">
6/12 1000447 676pcs欣泰B4</t>
        </r>
      </text>
    </comment>
    <comment ref="AI309" authorId="0">
      <text>
        <r>
          <rPr>
            <b/>
            <sz val="12"/>
            <rFont val="宋体"/>
            <charset val="134"/>
          </rPr>
          <t>Administrator:</t>
        </r>
        <r>
          <rPr>
            <sz val="12"/>
            <rFont val="宋体"/>
            <charset val="134"/>
          </rPr>
          <t xml:space="preserve">
5/21 进口商贴纸600pcs</t>
        </r>
      </text>
    </comment>
    <comment ref="AJ310" authorId="0">
      <text>
        <r>
          <rPr>
            <b/>
            <sz val="12"/>
            <rFont val="宋体"/>
            <charset val="134"/>
          </rPr>
          <t>Administrator:</t>
        </r>
        <r>
          <rPr>
            <sz val="12"/>
            <rFont val="宋体"/>
            <charset val="134"/>
          </rPr>
          <t xml:space="preserve">
5/14 上客供价格贴纸3150pcs</t>
        </r>
      </text>
    </comment>
    <comment ref="AF314" authorId="2">
      <text>
        <r>
          <rPr>
            <b/>
            <sz val="9"/>
            <rFont val="宋体"/>
            <charset val="0"/>
          </rPr>
          <t>龙丽娟:</t>
        </r>
        <r>
          <rPr>
            <sz val="9"/>
            <rFont val="宋体"/>
            <charset val="0"/>
          </rPr>
          <t xml:space="preserve">
6/20 1000002 504pcs欣泰C4</t>
        </r>
      </text>
    </comment>
    <comment ref="AF315" authorId="2">
      <text>
        <r>
          <rPr>
            <b/>
            <sz val="9"/>
            <rFont val="宋体"/>
            <charset val="0"/>
          </rPr>
          <t>龙丽娟:</t>
        </r>
        <r>
          <rPr>
            <sz val="9"/>
            <rFont val="宋体"/>
            <charset val="0"/>
          </rPr>
          <t xml:space="preserve">
1000074 6/18 500pcs欣泰A6</t>
        </r>
      </text>
    </comment>
    <comment ref="AI315" authorId="2">
      <text>
        <r>
          <rPr>
            <b/>
            <sz val="9"/>
            <rFont val="宋体"/>
            <charset val="0"/>
          </rPr>
          <t>龙丽娟:</t>
        </r>
        <r>
          <rPr>
            <sz val="9"/>
            <rFont val="宋体"/>
            <charset val="0"/>
          </rPr>
          <t xml:space="preserve">
6/9上UPC贴纸500pcs</t>
        </r>
      </text>
    </comment>
    <comment ref="AF316" authorId="2">
      <text>
        <r>
          <rPr>
            <b/>
            <sz val="9"/>
            <rFont val="宋体"/>
            <charset val="0"/>
          </rPr>
          <t>龙丽娟:</t>
        </r>
        <r>
          <rPr>
            <sz val="9"/>
            <rFont val="宋体"/>
            <charset val="0"/>
          </rPr>
          <t xml:space="preserve">
1000601 6/22 350pcs欣泰B4</t>
        </r>
      </text>
    </comment>
    <comment ref="AI316" authorId="2">
      <text>
        <r>
          <rPr>
            <b/>
            <sz val="9"/>
            <rFont val="宋体"/>
            <charset val="0"/>
          </rPr>
          <t>龙丽娟:</t>
        </r>
        <r>
          <rPr>
            <sz val="9"/>
            <rFont val="宋体"/>
            <charset val="0"/>
          </rPr>
          <t xml:space="preserve">
6/9上UPC贴纸350pcs</t>
        </r>
      </text>
    </comment>
    <comment ref="AF317" authorId="2">
      <text>
        <r>
          <rPr>
            <b/>
            <sz val="9"/>
            <rFont val="宋体"/>
            <charset val="0"/>
          </rPr>
          <t>龙丽娟:</t>
        </r>
        <r>
          <rPr>
            <sz val="9"/>
            <rFont val="宋体"/>
            <charset val="0"/>
          </rPr>
          <t xml:space="preserve">
6/23 欣泰a5 1992pcs</t>
        </r>
      </text>
    </comment>
    <comment ref="AF318" authorId="2">
      <text>
        <r>
          <rPr>
            <b/>
            <sz val="9"/>
            <rFont val="宋体"/>
            <charset val="0"/>
          </rPr>
          <t>龙丽娟:</t>
        </r>
        <r>
          <rPr>
            <sz val="9"/>
            <rFont val="宋体"/>
            <charset val="0"/>
          </rPr>
          <t xml:space="preserve">
1000639 6/24 600pcs欣泰a6</t>
        </r>
      </text>
    </comment>
    <comment ref="AI318" authorId="2">
      <text>
        <r>
          <rPr>
            <b/>
            <sz val="9"/>
            <rFont val="宋体"/>
            <charset val="0"/>
          </rPr>
          <t>龙丽娟:</t>
        </r>
        <r>
          <rPr>
            <sz val="9"/>
            <rFont val="宋体"/>
            <charset val="0"/>
          </rPr>
          <t xml:space="preserve">
6/22上客供价格贴纸710pcs</t>
        </r>
      </text>
    </comment>
    <comment ref="AF320" authorId="2">
      <text>
        <r>
          <rPr>
            <b/>
            <sz val="9"/>
            <rFont val="宋体"/>
            <charset val="0"/>
          </rPr>
          <t>龙丽娟:</t>
        </r>
        <r>
          <rPr>
            <sz val="9"/>
            <rFont val="宋体"/>
            <charset val="0"/>
          </rPr>
          <t xml:space="preserve">
6/26 12704 pcs欣泰A7</t>
        </r>
      </text>
    </comment>
    <comment ref="AI320" authorId="2">
      <text>
        <r>
          <rPr>
            <b/>
            <sz val="9"/>
            <rFont val="宋体"/>
            <charset val="0"/>
          </rPr>
          <t>龙丽娟:</t>
        </r>
        <r>
          <rPr>
            <sz val="9"/>
            <rFont val="宋体"/>
            <charset val="0"/>
          </rPr>
          <t xml:space="preserve">
6/4 上WIC折页 23976pcs</t>
        </r>
      </text>
    </comment>
    <comment ref="AF321" authorId="2">
      <text>
        <r>
          <rPr>
            <b/>
            <sz val="9"/>
            <rFont val="宋体"/>
            <charset val="0"/>
          </rPr>
          <t>龙丽娟:</t>
        </r>
        <r>
          <rPr>
            <sz val="9"/>
            <rFont val="宋体"/>
            <charset val="0"/>
          </rPr>
          <t xml:space="preserve">
欣泰b7 6/25 11296pcs</t>
        </r>
      </text>
    </comment>
    <comment ref="AI322" authorId="2">
      <text>
        <r>
          <rPr>
            <b/>
            <sz val="9"/>
            <rFont val="宋体"/>
            <charset val="0"/>
          </rPr>
          <t>龙丽娟:</t>
        </r>
        <r>
          <rPr>
            <sz val="9"/>
            <rFont val="宋体"/>
            <charset val="0"/>
          </rPr>
          <t xml:space="preserve">
6/24上客供亚马逊外箱贴纸2pcs</t>
        </r>
      </text>
    </comment>
    <comment ref="AI323" authorId="2">
      <text>
        <r>
          <rPr>
            <b/>
            <sz val="9"/>
            <rFont val="宋体"/>
            <charset val="0"/>
          </rPr>
          <t>龙丽娟:</t>
        </r>
        <r>
          <rPr>
            <sz val="9"/>
            <rFont val="宋体"/>
            <charset val="0"/>
          </rPr>
          <t xml:space="preserve">
6/24上客供亚马逊外箱贴纸1pcs</t>
        </r>
      </text>
    </comment>
    <comment ref="AI324" authorId="2">
      <text>
        <r>
          <rPr>
            <b/>
            <sz val="9"/>
            <rFont val="宋体"/>
            <charset val="0"/>
          </rPr>
          <t>龙丽娟:</t>
        </r>
        <r>
          <rPr>
            <sz val="9"/>
            <rFont val="宋体"/>
            <charset val="0"/>
          </rPr>
          <t xml:space="preserve">
6/24上客供亚马逊外箱贴纸6pcs</t>
        </r>
      </text>
    </comment>
    <comment ref="AI325" authorId="2">
      <text>
        <r>
          <rPr>
            <b/>
            <sz val="9"/>
            <rFont val="宋体"/>
            <charset val="0"/>
          </rPr>
          <t>龙丽娟:</t>
        </r>
        <r>
          <rPr>
            <sz val="9"/>
            <rFont val="宋体"/>
            <charset val="0"/>
          </rPr>
          <t xml:space="preserve">
6/24上客供亚马逊外箱贴纸5pcs</t>
        </r>
      </text>
    </comment>
    <comment ref="AI326" authorId="2">
      <text>
        <r>
          <rPr>
            <b/>
            <sz val="9"/>
            <rFont val="宋体"/>
            <charset val="0"/>
          </rPr>
          <t>龙丽娟:</t>
        </r>
        <r>
          <rPr>
            <sz val="9"/>
            <rFont val="宋体"/>
            <charset val="0"/>
          </rPr>
          <t xml:space="preserve">
6/24上客供亚马逊外箱贴纸7pcs</t>
        </r>
      </text>
    </comment>
    <comment ref="AI327" authorId="2">
      <text>
        <r>
          <rPr>
            <b/>
            <sz val="9"/>
            <rFont val="宋体"/>
            <charset val="0"/>
          </rPr>
          <t>龙丽娟:</t>
        </r>
        <r>
          <rPr>
            <sz val="9"/>
            <rFont val="宋体"/>
            <charset val="0"/>
          </rPr>
          <t xml:space="preserve">
6/24上客供亚马逊外箱贴纸2pcs</t>
        </r>
      </text>
    </comment>
    <comment ref="AI328" authorId="2">
      <text>
        <r>
          <rPr>
            <b/>
            <sz val="9"/>
            <rFont val="宋体"/>
            <charset val="0"/>
          </rPr>
          <t>龙丽娟:</t>
        </r>
        <r>
          <rPr>
            <sz val="9"/>
            <rFont val="宋体"/>
            <charset val="0"/>
          </rPr>
          <t xml:space="preserve">
6/24上客供亚马逊外箱贴纸3pcs</t>
        </r>
      </text>
    </comment>
    <comment ref="AI329" authorId="2">
      <text>
        <r>
          <rPr>
            <b/>
            <sz val="9"/>
            <rFont val="宋体"/>
            <charset val="0"/>
          </rPr>
          <t>龙丽娟:</t>
        </r>
        <r>
          <rPr>
            <sz val="9"/>
            <rFont val="宋体"/>
            <charset val="0"/>
          </rPr>
          <t xml:space="preserve">
6/24上客供亚马逊外箱贴纸4pcs</t>
        </r>
      </text>
    </comment>
    <comment ref="AI330" authorId="2">
      <text>
        <r>
          <rPr>
            <b/>
            <sz val="9"/>
            <rFont val="宋体"/>
            <charset val="0"/>
          </rPr>
          <t>龙丽娟:</t>
        </r>
        <r>
          <rPr>
            <sz val="9"/>
            <rFont val="宋体"/>
            <charset val="0"/>
          </rPr>
          <t xml:space="preserve">
6/17上警语贴纸1000pcs</t>
        </r>
        <r>
          <rPr>
            <b/>
            <sz val="9"/>
            <rFont val="宋体"/>
            <charset val="0"/>
          </rPr>
          <t xml:space="preserve">
龙丽娟:</t>
        </r>
        <r>
          <rPr>
            <sz val="9"/>
            <rFont val="宋体"/>
            <charset val="0"/>
          </rPr>
          <t xml:space="preserve">
6/17上6+收藏指南贴纸1000pcs</t>
        </r>
        <r>
          <rPr>
            <b/>
            <sz val="9"/>
            <rFont val="宋体"/>
            <charset val="0"/>
          </rPr>
          <t xml:space="preserve">
龙丽娟:</t>
        </r>
        <r>
          <rPr>
            <sz val="9"/>
            <rFont val="宋体"/>
            <charset val="0"/>
          </rPr>
          <t xml:space="preserve">
7/21 6+年龄贴纸1000pcs</t>
        </r>
      </text>
    </comment>
    <comment ref="AF331" authorId="2">
      <text>
        <r>
          <rPr>
            <b/>
            <sz val="9"/>
            <rFont val="宋体"/>
            <charset val="0"/>
          </rPr>
          <t>龙丽娟:</t>
        </r>
        <r>
          <rPr>
            <sz val="9"/>
            <rFont val="宋体"/>
            <charset val="0"/>
          </rPr>
          <t xml:space="preserve">
6/20 1000056 欣泰B4</t>
        </r>
      </text>
    </comment>
    <comment ref="AI331" authorId="0">
      <text>
        <r>
          <rPr>
            <b/>
            <sz val="12"/>
            <rFont val="宋体"/>
            <charset val="134"/>
          </rPr>
          <t>Administrator:</t>
        </r>
        <r>
          <rPr>
            <sz val="12"/>
            <rFont val="宋体"/>
            <charset val="134"/>
          </rPr>
          <t xml:space="preserve">
5/14 上客供价格贴纸3150pcs
</t>
        </r>
      </text>
    </comment>
    <comment ref="AF332" authorId="2">
      <text>
        <r>
          <rPr>
            <b/>
            <sz val="9"/>
            <rFont val="宋体"/>
            <charset val="0"/>
          </rPr>
          <t>龙丽娟:</t>
        </r>
        <r>
          <rPr>
            <sz val="9"/>
            <rFont val="宋体"/>
            <charset val="0"/>
          </rPr>
          <t xml:space="preserve">
7/11 3002911 100PCS欣泰A5</t>
        </r>
      </text>
    </comment>
    <comment ref="AI332" authorId="2">
      <text>
        <r>
          <rPr>
            <b/>
            <sz val="9"/>
            <rFont val="宋体"/>
            <charset val="0"/>
          </rPr>
          <t>龙丽娟:</t>
        </r>
        <r>
          <rPr>
            <sz val="9"/>
            <rFont val="宋体"/>
            <charset val="0"/>
          </rPr>
          <t xml:space="preserve">
6/17上价格贴纸1300pcs
206390/203215/203219/203225/203233共用</t>
        </r>
      </text>
    </comment>
    <comment ref="AF333" authorId="2">
      <text>
        <r>
          <rPr>
            <b/>
            <sz val="9"/>
            <rFont val="宋体"/>
            <charset val="0"/>
          </rPr>
          <t>龙丽娟:</t>
        </r>
        <r>
          <rPr>
            <sz val="9"/>
            <rFont val="宋体"/>
            <charset val="0"/>
          </rPr>
          <t xml:space="preserve">
7/11 3002931 12pcs欣泰A5</t>
        </r>
      </text>
    </comment>
    <comment ref="AI333" authorId="2">
      <text>
        <r>
          <rPr>
            <b/>
            <sz val="9"/>
            <rFont val="宋体"/>
            <charset val="0"/>
          </rPr>
          <t>龙丽娟:</t>
        </r>
        <r>
          <rPr>
            <sz val="9"/>
            <rFont val="宋体"/>
            <charset val="0"/>
          </rPr>
          <t xml:space="preserve">
6/24上客供亚马逊外箱贴纸1pcs</t>
        </r>
      </text>
    </comment>
    <comment ref="AF334" authorId="2">
      <text>
        <r>
          <rPr>
            <b/>
            <sz val="9"/>
            <rFont val="宋体"/>
            <charset val="0"/>
          </rPr>
          <t>龙丽娟:</t>
        </r>
        <r>
          <rPr>
            <sz val="9"/>
            <rFont val="宋体"/>
            <charset val="0"/>
          </rPr>
          <t xml:space="preserve">
7/11 3002911 2400pcs欣泰b4</t>
        </r>
      </text>
    </comment>
    <comment ref="AI334" authorId="2">
      <text>
        <r>
          <rPr>
            <b/>
            <sz val="9"/>
            <rFont val="宋体"/>
            <charset val="0"/>
          </rPr>
          <t>龙丽娟:</t>
        </r>
        <r>
          <rPr>
            <sz val="9"/>
            <rFont val="宋体"/>
            <charset val="0"/>
          </rPr>
          <t xml:space="preserve">
6/17上UPC贴纸 3400pcs
206390/203215/203219/203225/203233共用</t>
        </r>
      </text>
    </comment>
    <comment ref="AF335" authorId="2">
      <text>
        <r>
          <rPr>
            <b/>
            <sz val="9"/>
            <rFont val="宋体"/>
            <charset val="0"/>
          </rPr>
          <t>龙丽娟:</t>
        </r>
        <r>
          <rPr>
            <sz val="9"/>
            <rFont val="宋体"/>
            <charset val="0"/>
          </rPr>
          <t xml:space="preserve">
7/11 3002931 600pcs欣泰D7</t>
        </r>
      </text>
    </comment>
    <comment ref="AF336" authorId="2">
      <text>
        <r>
          <rPr>
            <b/>
            <sz val="9"/>
            <rFont val="宋体"/>
            <charset val="0"/>
          </rPr>
          <t>龙丽娟:</t>
        </r>
        <r>
          <rPr>
            <sz val="9"/>
            <rFont val="宋体"/>
            <charset val="0"/>
          </rPr>
          <t xml:space="preserve">
7/11 3002931 144pcs欣泰C5</t>
        </r>
      </text>
    </comment>
    <comment ref="AF337" authorId="2">
      <text>
        <r>
          <rPr>
            <b/>
            <sz val="9"/>
            <rFont val="宋体"/>
            <charset val="0"/>
          </rPr>
          <t>龙丽娟:</t>
        </r>
        <r>
          <rPr>
            <sz val="9"/>
            <rFont val="宋体"/>
            <charset val="0"/>
          </rPr>
          <t xml:space="preserve">
7/11 3002931 1000pcs欣泰C7</t>
        </r>
      </text>
    </comment>
    <comment ref="AF338" authorId="2">
      <text>
        <r>
          <rPr>
            <b/>
            <sz val="9"/>
            <rFont val="宋体"/>
            <charset val="0"/>
          </rPr>
          <t>龙丽娟:</t>
        </r>
        <r>
          <rPr>
            <sz val="9"/>
            <rFont val="宋体"/>
            <charset val="0"/>
          </rPr>
          <t xml:space="preserve">
7/11 3002913 1365pcs欣泰A5</t>
        </r>
      </text>
    </comment>
    <comment ref="AI338" authorId="2">
      <text>
        <r>
          <rPr>
            <b/>
            <sz val="9"/>
            <rFont val="宋体"/>
            <charset val="0"/>
          </rPr>
          <t>龙丽娟:</t>
        </r>
        <r>
          <rPr>
            <sz val="9"/>
            <rFont val="宋体"/>
            <charset val="0"/>
          </rPr>
          <t xml:space="preserve">
6/16上白色防盗贴纸1365pcs</t>
        </r>
        <r>
          <rPr>
            <b/>
            <sz val="9"/>
            <rFont val="宋体"/>
            <charset val="0"/>
          </rPr>
          <t xml:space="preserve">
龙丽娟:</t>
        </r>
        <r>
          <rPr>
            <sz val="9"/>
            <rFont val="宋体"/>
            <charset val="0"/>
          </rPr>
          <t xml:space="preserve">
6/29上kmart外箱贴纸105pcs</t>
        </r>
      </text>
    </comment>
    <comment ref="AF339" authorId="2">
      <text>
        <r>
          <rPr>
            <b/>
            <sz val="9"/>
            <rFont val="宋体"/>
            <charset val="0"/>
          </rPr>
          <t>龙丽娟:</t>
        </r>
        <r>
          <rPr>
            <sz val="9"/>
            <rFont val="宋体"/>
            <charset val="0"/>
          </rPr>
          <t xml:space="preserve">
7/11 3002913 143pcs欣泰A5</t>
        </r>
      </text>
    </comment>
    <comment ref="AI339" authorId="2">
      <text>
        <r>
          <rPr>
            <b/>
            <sz val="9"/>
            <rFont val="宋体"/>
            <charset val="0"/>
          </rPr>
          <t>龙丽娟:</t>
        </r>
        <r>
          <rPr>
            <sz val="9"/>
            <rFont val="宋体"/>
            <charset val="0"/>
          </rPr>
          <t xml:space="preserve">
6/16上白色防盗贴纸143pcs</t>
        </r>
        <r>
          <rPr>
            <b/>
            <sz val="9"/>
            <rFont val="宋体"/>
            <charset val="0"/>
          </rPr>
          <t xml:space="preserve">
龙丽娟:</t>
        </r>
        <r>
          <rPr>
            <sz val="9"/>
            <rFont val="宋体"/>
            <charset val="0"/>
          </rPr>
          <t xml:space="preserve">
6/29上kmart11pcs</t>
        </r>
      </text>
    </comment>
    <comment ref="AF340" authorId="2">
      <text>
        <r>
          <rPr>
            <b/>
            <sz val="9"/>
            <rFont val="宋体"/>
            <charset val="0"/>
          </rPr>
          <t>龙丽娟:</t>
        </r>
        <r>
          <rPr>
            <sz val="9"/>
            <rFont val="宋体"/>
            <charset val="0"/>
          </rPr>
          <t xml:space="preserve">
7/11 3002925 1300pcs顶均b1</t>
        </r>
      </text>
    </comment>
    <comment ref="AI340" authorId="2">
      <text>
        <r>
          <rPr>
            <b/>
            <sz val="9"/>
            <rFont val="宋体"/>
            <charset val="0"/>
          </rPr>
          <t>龙丽娟:</t>
        </r>
        <r>
          <rPr>
            <sz val="9"/>
            <rFont val="宋体"/>
            <charset val="0"/>
          </rPr>
          <t xml:space="preserve">
6/17上价格贴纸1300pcs</t>
        </r>
        <r>
          <rPr>
            <b/>
            <sz val="9"/>
            <rFont val="宋体"/>
            <charset val="0"/>
          </rPr>
          <t xml:space="preserve">
龙丽娟:</t>
        </r>
        <r>
          <rPr>
            <sz val="9"/>
            <rFont val="宋体"/>
            <charset val="0"/>
          </rPr>
          <t xml:space="preserve">
6/26上客供外箱条码贴纸26pcs</t>
        </r>
      </text>
    </comment>
    <comment ref="AI343" authorId="2">
      <text>
        <r>
          <rPr>
            <b/>
            <sz val="9"/>
            <rFont val="宋体"/>
            <charset val="0"/>
          </rPr>
          <t>龙丽娟:</t>
        </r>
        <r>
          <rPr>
            <sz val="9"/>
            <rFont val="宋体"/>
            <charset val="0"/>
          </rPr>
          <t xml:space="preserve">
6/23上进口商贴纸 2000pcs</t>
        </r>
      </text>
    </comment>
    <comment ref="AF344" authorId="2">
      <text>
        <r>
          <rPr>
            <b/>
            <sz val="9"/>
            <rFont val="宋体"/>
            <charset val="0"/>
          </rPr>
          <t>龙丽娟:</t>
        </r>
        <r>
          <rPr>
            <sz val="9"/>
            <rFont val="宋体"/>
            <charset val="0"/>
          </rPr>
          <t xml:space="preserve">
7/13 3003037 1000pcs钜顺2A4</t>
        </r>
      </text>
    </comment>
    <comment ref="AI344" authorId="2">
      <text>
        <r>
          <rPr>
            <b/>
            <sz val="9"/>
            <rFont val="宋体"/>
            <charset val="0"/>
          </rPr>
          <t>龙丽娟:</t>
        </r>
        <r>
          <rPr>
            <sz val="9"/>
            <rFont val="宋体"/>
            <charset val="0"/>
          </rPr>
          <t xml:space="preserve">
7/6上客供价格贴纸1110pcs</t>
        </r>
        <r>
          <rPr>
            <b/>
            <sz val="9"/>
            <rFont val="宋体"/>
            <charset val="0"/>
          </rPr>
          <t xml:space="preserve">
龙丽娟:</t>
        </r>
        <r>
          <rPr>
            <sz val="9"/>
            <rFont val="宋体"/>
            <charset val="0"/>
          </rPr>
          <t xml:space="preserve">
5/28 上UPC贴纸  1000pcs</t>
        </r>
        <r>
          <rPr>
            <b/>
            <sz val="9"/>
            <rFont val="宋体"/>
            <charset val="0"/>
          </rPr>
          <t xml:space="preserve">
龙丽娟:</t>
        </r>
        <r>
          <rPr>
            <sz val="9"/>
            <rFont val="宋体"/>
            <charset val="0"/>
          </rPr>
          <t xml:space="preserve">
5/28 上进口商贴纸 1000pcs</t>
        </r>
      </text>
    </comment>
    <comment ref="AI345" authorId="2">
      <text>
        <r>
          <rPr>
            <b/>
            <sz val="9"/>
            <rFont val="宋体"/>
            <charset val="0"/>
          </rPr>
          <t>龙丽娟:</t>
        </r>
        <r>
          <rPr>
            <sz val="9"/>
            <rFont val="宋体"/>
            <charset val="0"/>
          </rPr>
          <t xml:space="preserve">
7/7上条码贴纸520pcs</t>
        </r>
      </text>
    </comment>
    <comment ref="AI346" authorId="2">
      <text>
        <r>
          <rPr>
            <b/>
            <sz val="9"/>
            <rFont val="宋体"/>
            <charset val="0"/>
          </rPr>
          <t>龙丽娟:</t>
        </r>
        <r>
          <rPr>
            <sz val="9"/>
            <rFont val="宋体"/>
            <charset val="0"/>
          </rPr>
          <t xml:space="preserve">
6/17上UPC贴纸 3400pcs
206390/203215/203219/203225/203233共用</t>
        </r>
      </text>
    </comment>
    <comment ref="AI347" authorId="2">
      <text>
        <r>
          <rPr>
            <b/>
            <sz val="9"/>
            <rFont val="宋体"/>
            <charset val="0"/>
          </rPr>
          <t>龙丽娟:</t>
        </r>
        <r>
          <rPr>
            <sz val="9"/>
            <rFont val="宋体"/>
            <charset val="0"/>
          </rPr>
          <t xml:space="preserve">
6/17上UPC贴纸 3400pcs
206390/203215/203219/203225/203233共用</t>
        </r>
      </text>
    </comment>
    <comment ref="AI348"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1pcs</t>
        </r>
      </text>
    </comment>
    <comment ref="AI349"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2pcs</t>
        </r>
      </text>
    </comment>
    <comment ref="AI350"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1pcs</t>
        </r>
      </text>
    </comment>
    <comment ref="AI351"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3pcs</t>
        </r>
      </text>
    </comment>
    <comment ref="AI352"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2pcs</t>
        </r>
      </text>
    </comment>
    <comment ref="AI353"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4pcs</t>
        </r>
      </text>
    </comment>
    <comment ref="AI354"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2pcs</t>
        </r>
      </text>
    </comment>
    <comment ref="AI355" authorId="2">
      <text>
        <r>
          <rPr>
            <b/>
            <sz val="9"/>
            <rFont val="宋体"/>
            <charset val="0"/>
          </rPr>
          <t>龙丽娟:</t>
        </r>
        <r>
          <rPr>
            <sz val="9"/>
            <rFont val="宋体"/>
            <charset val="0"/>
          </rPr>
          <t xml:space="preserve">
7/8上空白贴纸456pcs同po共用</t>
        </r>
        <r>
          <rPr>
            <b/>
            <sz val="9"/>
            <rFont val="宋体"/>
            <charset val="0"/>
          </rPr>
          <t xml:space="preserve">
龙丽娟:</t>
        </r>
        <r>
          <rPr>
            <sz val="9"/>
            <rFont val="宋体"/>
            <charset val="0"/>
          </rPr>
          <t xml:space="preserve">
7/10 上客供亚马逊外箱贴纸 4pcs</t>
        </r>
      </text>
    </comment>
    <comment ref="AI356" authorId="2">
      <text>
        <r>
          <rPr>
            <b/>
            <sz val="9"/>
            <rFont val="宋体"/>
            <charset val="0"/>
          </rPr>
          <t>龙丽娟:</t>
        </r>
        <r>
          <rPr>
            <sz val="9"/>
            <rFont val="宋体"/>
            <charset val="0"/>
          </rPr>
          <t xml:space="preserve">
6/12 上空白贴纸 3504pcs
208840/208841共用</t>
        </r>
        <r>
          <rPr>
            <b/>
            <sz val="9"/>
            <rFont val="宋体"/>
            <charset val="0"/>
          </rPr>
          <t xml:space="preserve">
龙丽娟:</t>
        </r>
        <r>
          <rPr>
            <sz val="9"/>
            <rFont val="宋体"/>
            <charset val="0"/>
          </rPr>
          <t xml:space="preserve">
6/16 上客供价格贴纸 225pcs</t>
        </r>
      </text>
    </comment>
    <comment ref="AI357" authorId="2">
      <text>
        <r>
          <rPr>
            <b/>
            <sz val="9"/>
            <rFont val="宋体"/>
            <charset val="0"/>
          </rPr>
          <t>龙丽娟:</t>
        </r>
        <r>
          <rPr>
            <sz val="9"/>
            <rFont val="宋体"/>
            <charset val="0"/>
          </rPr>
          <t xml:space="preserve">
7/8上进口商/upc贴纸各1200pcs</t>
        </r>
      </text>
    </comment>
    <comment ref="AF358" authorId="2">
      <text>
        <r>
          <rPr>
            <b/>
            <sz val="9"/>
            <rFont val="宋体"/>
            <charset val="0"/>
          </rPr>
          <t>龙丽娟:</t>
        </r>
        <r>
          <rPr>
            <sz val="9"/>
            <rFont val="宋体"/>
            <charset val="0"/>
          </rPr>
          <t xml:space="preserve">
3004734 200pcs欣泰A5</t>
        </r>
      </text>
    </comment>
    <comment ref="AF359" authorId="2">
      <text>
        <r>
          <rPr>
            <b/>
            <sz val="9"/>
            <rFont val="宋体"/>
            <charset val="0"/>
          </rPr>
          <t>龙丽娟:</t>
        </r>
        <r>
          <rPr>
            <sz val="9"/>
            <rFont val="宋体"/>
            <charset val="0"/>
          </rPr>
          <t xml:space="preserve">
7/17 3003123 520pcs欣泰B2</t>
        </r>
      </text>
    </comment>
    <comment ref="AF360" authorId="2">
      <text>
        <r>
          <rPr>
            <b/>
            <sz val="9"/>
            <rFont val="宋体"/>
            <charset val="0"/>
          </rPr>
          <t>龙丽娟:</t>
        </r>
        <r>
          <rPr>
            <sz val="9"/>
            <rFont val="宋体"/>
            <charset val="0"/>
          </rPr>
          <t xml:space="preserve">
7/17 3003123 510pcs欣泰c1</t>
        </r>
      </text>
    </comment>
    <comment ref="AI360" authorId="2">
      <text>
        <r>
          <rPr>
            <b/>
            <sz val="9"/>
            <rFont val="宋体"/>
            <charset val="0"/>
          </rPr>
          <t>龙丽娟:</t>
        </r>
        <r>
          <rPr>
            <sz val="9"/>
            <rFont val="宋体"/>
            <charset val="0"/>
          </rPr>
          <t xml:space="preserve">
7/7 上进口商贴纸 510pcs
      上UPC条码贴纸 510pcs</t>
        </r>
      </text>
    </comment>
    <comment ref="AI361" authorId="2">
      <text>
        <r>
          <rPr>
            <b/>
            <sz val="9"/>
            <rFont val="宋体"/>
            <charset val="0"/>
          </rPr>
          <t>龙丽娟:</t>
        </r>
        <r>
          <rPr>
            <sz val="9"/>
            <rFont val="宋体"/>
            <charset val="0"/>
          </rPr>
          <t xml:space="preserve">
7/18上polybag贴纸5200pcs</t>
        </r>
      </text>
    </comment>
    <comment ref="AI363" authorId="2">
      <text>
        <r>
          <rPr>
            <b/>
            <sz val="9"/>
            <rFont val="宋体"/>
            <charset val="0"/>
          </rPr>
          <t>龙丽娟:</t>
        </r>
        <r>
          <rPr>
            <sz val="9"/>
            <rFont val="宋体"/>
            <charset val="0"/>
          </rPr>
          <t xml:space="preserve">
6/12 上空白贴纸 3504pcs
208840/208841共用</t>
        </r>
        <r>
          <rPr>
            <b/>
            <sz val="9"/>
            <rFont val="宋体"/>
            <charset val="0"/>
          </rPr>
          <t xml:space="preserve">
龙丽娟:</t>
        </r>
        <r>
          <rPr>
            <sz val="9"/>
            <rFont val="宋体"/>
            <charset val="0"/>
          </rPr>
          <t xml:space="preserve">
6/16 上客供价格贴纸 885pcs</t>
        </r>
      </text>
    </comment>
    <comment ref="AF364" authorId="2">
      <text>
        <r>
          <rPr>
            <b/>
            <sz val="9"/>
            <rFont val="宋体"/>
            <charset val="0"/>
          </rPr>
          <t>龙丽娟:</t>
        </r>
        <r>
          <rPr>
            <sz val="9"/>
            <rFont val="宋体"/>
            <charset val="0"/>
          </rPr>
          <t xml:space="preserve">
8/12 3003819 1508pcs</t>
        </r>
      </text>
    </comment>
  </commentList>
</comments>
</file>

<file path=xl/comments4.xml><?xml version="1.0" encoding="utf-8"?>
<comments xmlns="http://schemas.openxmlformats.org/spreadsheetml/2006/main">
  <authors>
    <author>RR</author>
    <author>Administrator</author>
    <author>DELL</author>
    <author>Unknown User</author>
  </authors>
  <commentList>
    <comment ref="AM1" authorId="0">
      <text>
        <r>
          <rPr>
            <b/>
            <sz val="9"/>
            <rFont val="宋体"/>
            <charset val="134"/>
          </rPr>
          <t>RR:
77198SK:
-SOO1无底座带demo；
-S002有底座带demo；
-SOO3无底座带demo</t>
        </r>
      </text>
    </comment>
    <comment ref="AB49" authorId="1">
      <text>
        <r>
          <rPr>
            <b/>
            <sz val="11"/>
            <rFont val="宋体"/>
            <charset val="134"/>
          </rPr>
          <t>Administrator:</t>
        </r>
        <r>
          <rPr>
            <sz val="11"/>
            <rFont val="宋体"/>
            <charset val="134"/>
          </rPr>
          <t xml:space="preserve">
0001328 4/18 6390pcs 张文加</t>
        </r>
      </text>
    </comment>
    <comment ref="AD50" authorId="1">
      <text>
        <r>
          <rPr>
            <b/>
            <sz val="12"/>
            <rFont val="宋体"/>
            <charset val="134"/>
          </rPr>
          <t>Administrator:</t>
        </r>
        <r>
          <rPr>
            <sz val="12"/>
            <rFont val="宋体"/>
            <charset val="134"/>
          </rPr>
          <t xml:space="preserve">
4/21 上SPEC CODE贴纸 3844pcs</t>
        </r>
      </text>
    </comment>
    <comment ref="AD68" authorId="1">
      <text>
        <r>
          <rPr>
            <b/>
            <sz val="11"/>
            <rFont val="宋体"/>
            <charset val="134"/>
          </rPr>
          <t>Administrator:</t>
        </r>
        <r>
          <rPr>
            <sz val="11"/>
            <rFont val="宋体"/>
            <charset val="134"/>
          </rPr>
          <t xml:space="preserve">
4/28 上外箱贴纸 245pcs</t>
        </r>
      </text>
    </comment>
    <comment ref="AD69" authorId="1">
      <text>
        <r>
          <rPr>
            <b/>
            <sz val="11"/>
            <rFont val="宋体"/>
            <charset val="134"/>
          </rPr>
          <t>Administrator:</t>
        </r>
        <r>
          <rPr>
            <sz val="11"/>
            <rFont val="宋体"/>
            <charset val="134"/>
          </rPr>
          <t xml:space="preserve">
4/28 上外箱贴纸 551pcs</t>
        </r>
      </text>
    </comment>
    <comment ref="AD70" authorId="1">
      <text>
        <r>
          <rPr>
            <b/>
            <sz val="11"/>
            <rFont val="宋体"/>
            <charset val="134"/>
          </rPr>
          <t>Administrator:</t>
        </r>
        <r>
          <rPr>
            <sz val="11"/>
            <rFont val="宋体"/>
            <charset val="134"/>
          </rPr>
          <t xml:space="preserve">
4/28 上外箱贴纸 245pcs</t>
        </r>
      </text>
    </comment>
    <comment ref="AD71" authorId="1">
      <text>
        <r>
          <rPr>
            <b/>
            <sz val="11"/>
            <rFont val="宋体"/>
            <charset val="134"/>
          </rPr>
          <t>Administrator:</t>
        </r>
        <r>
          <rPr>
            <sz val="11"/>
            <rFont val="宋体"/>
            <charset val="134"/>
          </rPr>
          <t xml:space="preserve">
4/28 上外箱贴纸 428pcs</t>
        </r>
      </text>
    </comment>
    <comment ref="AD72" authorId="1">
      <text>
        <r>
          <rPr>
            <b/>
            <sz val="11"/>
            <rFont val="宋体"/>
            <charset val="134"/>
          </rPr>
          <t>Administrator:</t>
        </r>
        <r>
          <rPr>
            <sz val="11"/>
            <rFont val="宋体"/>
            <charset val="134"/>
          </rPr>
          <t xml:space="preserve">
4/28 上外箱贴纸 367pcs</t>
        </r>
      </text>
    </comment>
    <comment ref="AD73" authorId="1">
      <text>
        <r>
          <rPr>
            <b/>
            <sz val="11"/>
            <rFont val="宋体"/>
            <charset val="134"/>
          </rPr>
          <t>Administrator:</t>
        </r>
        <r>
          <rPr>
            <sz val="11"/>
            <rFont val="宋体"/>
            <charset val="134"/>
          </rPr>
          <t xml:space="preserve">
4/28 上外箱贴纸 428pcs</t>
        </r>
      </text>
    </comment>
    <comment ref="AD74" authorId="1">
      <text>
        <r>
          <rPr>
            <b/>
            <sz val="11"/>
            <rFont val="宋体"/>
            <charset val="134"/>
          </rPr>
          <t>Administrator:</t>
        </r>
        <r>
          <rPr>
            <sz val="11"/>
            <rFont val="宋体"/>
            <charset val="134"/>
          </rPr>
          <t xml:space="preserve">
4/28 上外箱贴纸 367pcs</t>
        </r>
      </text>
    </comment>
    <comment ref="AD75" authorId="1">
      <text>
        <r>
          <rPr>
            <b/>
            <sz val="11"/>
            <rFont val="宋体"/>
            <charset val="134"/>
          </rPr>
          <t>Administrator:</t>
        </r>
        <r>
          <rPr>
            <sz val="11"/>
            <rFont val="宋体"/>
            <charset val="134"/>
          </rPr>
          <t xml:space="preserve">
4/28 上外箱贴纸 245pcs</t>
        </r>
      </text>
    </comment>
    <comment ref="AD76" authorId="1">
      <text>
        <r>
          <rPr>
            <b/>
            <sz val="11"/>
            <rFont val="宋体"/>
            <charset val="134"/>
          </rPr>
          <t>Administrator:</t>
        </r>
        <r>
          <rPr>
            <sz val="11"/>
            <rFont val="宋体"/>
            <charset val="134"/>
          </rPr>
          <t xml:space="preserve">
4/28 上外箱贴纸 184pcs</t>
        </r>
      </text>
    </comment>
    <comment ref="AD77" authorId="1">
      <text>
        <r>
          <rPr>
            <b/>
            <sz val="11"/>
            <rFont val="宋体"/>
            <charset val="134"/>
          </rPr>
          <t>Administrator:</t>
        </r>
        <r>
          <rPr>
            <sz val="11"/>
            <rFont val="宋体"/>
            <charset val="134"/>
          </rPr>
          <t xml:space="preserve">
4/28 上外箱贴纸 184pcs</t>
        </r>
      </text>
    </comment>
    <comment ref="AD78" authorId="1">
      <text>
        <r>
          <rPr>
            <b/>
            <sz val="11"/>
            <rFont val="宋体"/>
            <charset val="134"/>
          </rPr>
          <t>Administrator:</t>
        </r>
        <r>
          <rPr>
            <sz val="11"/>
            <rFont val="宋体"/>
            <charset val="134"/>
          </rPr>
          <t xml:space="preserve">
4/28 上外箱贴纸 245pcs</t>
        </r>
      </text>
    </comment>
    <comment ref="AD79" authorId="1">
      <text>
        <r>
          <rPr>
            <b/>
            <sz val="11"/>
            <rFont val="宋体"/>
            <charset val="134"/>
          </rPr>
          <t>Administrator:</t>
        </r>
        <r>
          <rPr>
            <sz val="11"/>
            <rFont val="宋体"/>
            <charset val="134"/>
          </rPr>
          <t xml:space="preserve">
4/28 上外箱贴纸 184pcs</t>
        </r>
      </text>
    </comment>
    <comment ref="AD80" authorId="1">
      <text>
        <r>
          <rPr>
            <b/>
            <sz val="11"/>
            <rFont val="宋体"/>
            <charset val="134"/>
          </rPr>
          <t>Administrator:</t>
        </r>
        <r>
          <rPr>
            <sz val="11"/>
            <rFont val="宋体"/>
            <charset val="134"/>
          </rPr>
          <t xml:space="preserve">
4/28 上外箱贴纸 122pcs</t>
        </r>
      </text>
    </comment>
    <comment ref="AD81" authorId="1">
      <text>
        <r>
          <rPr>
            <b/>
            <sz val="11"/>
            <rFont val="宋体"/>
            <charset val="134"/>
          </rPr>
          <t>Administrator:</t>
        </r>
        <r>
          <rPr>
            <sz val="11"/>
            <rFont val="宋体"/>
            <charset val="134"/>
          </rPr>
          <t xml:space="preserve">
4/28 上外箱贴纸 122pcs</t>
        </r>
      </text>
    </comment>
    <comment ref="AB103" authorId="1">
      <text>
        <r>
          <rPr>
            <b/>
            <sz val="11"/>
            <rFont val="宋体"/>
            <charset val="134"/>
          </rPr>
          <t>Administrator:</t>
        </r>
        <r>
          <rPr>
            <sz val="11"/>
            <rFont val="宋体"/>
            <charset val="134"/>
          </rPr>
          <t xml:space="preserve">
0010092 5/23 1980pcs 一A3</t>
        </r>
      </text>
    </comment>
    <comment ref="AD103" authorId="1">
      <text>
        <r>
          <rPr>
            <b/>
            <sz val="12"/>
            <rFont val="宋体"/>
            <charset val="134"/>
          </rPr>
          <t>Administrator:</t>
        </r>
        <r>
          <rPr>
            <sz val="12"/>
            <rFont val="宋体"/>
            <charset val="134"/>
          </rPr>
          <t xml:space="preserve">
5/4 上警语贴纸 1980pcs
    上条码贴纸 1980pcs</t>
        </r>
      </text>
    </comment>
    <comment ref="AD107" authorId="1">
      <text>
        <r>
          <rPr>
            <b/>
            <sz val="11"/>
            <rFont val="宋体"/>
            <charset val="134"/>
          </rPr>
          <t>Administrator:</t>
        </r>
        <r>
          <rPr>
            <sz val="11"/>
            <rFont val="宋体"/>
            <charset val="134"/>
          </rPr>
          <t xml:space="preserve">
7/8 上客供价格贴纸 2244pcs</t>
        </r>
      </text>
    </comment>
    <comment ref="AD108" authorId="1">
      <text>
        <r>
          <rPr>
            <b/>
            <sz val="11"/>
            <rFont val="宋体"/>
            <charset val="134"/>
          </rPr>
          <t>Administrator:</t>
        </r>
        <r>
          <rPr>
            <sz val="11"/>
            <rFont val="宋体"/>
            <charset val="134"/>
          </rPr>
          <t xml:space="preserve">
7/19 上客供外箱贴纸 1452pcs</t>
        </r>
      </text>
    </comment>
    <comment ref="AB114" authorId="1">
      <text>
        <r>
          <rPr>
            <b/>
            <sz val="11"/>
            <rFont val="宋体"/>
            <charset val="134"/>
          </rPr>
          <t>Administrator:</t>
        </r>
        <r>
          <rPr>
            <sz val="11"/>
            <rFont val="宋体"/>
            <charset val="134"/>
          </rPr>
          <t xml:space="preserve">
0000122 8/20 3348pcs 铁C2
车间消耗取消单6390pcs</t>
        </r>
      </text>
    </comment>
    <comment ref="AD114" authorId="1">
      <text>
        <r>
          <rPr>
            <b/>
            <sz val="11"/>
            <rFont val="宋体"/>
            <charset val="134"/>
          </rPr>
          <t>Administrator:</t>
        </r>
        <r>
          <rPr>
            <sz val="11"/>
            <rFont val="宋体"/>
            <charset val="134"/>
          </rPr>
          <t xml:space="preserve">
8/10 收到进口商贴纸 9720pcs
(上湖南3330pcs+东莞返工6390pcs）</t>
        </r>
      </text>
    </comment>
    <comment ref="T115" authorId="1">
      <text>
        <r>
          <rPr>
            <b/>
            <sz val="9"/>
            <rFont val="宋体"/>
            <charset val="134"/>
          </rPr>
          <t>Administrator:</t>
        </r>
        <r>
          <rPr>
            <sz val="9"/>
            <rFont val="宋体"/>
            <charset val="134"/>
          </rPr>
          <t xml:space="preserve">
8/10 收到RFID 贴纸
</t>
        </r>
      </text>
    </comment>
    <comment ref="AF115" authorId="1">
      <text>
        <r>
          <rPr>
            <b/>
            <sz val="11"/>
            <rFont val="宋体"/>
            <charset val="134"/>
          </rPr>
          <t>Administrator:</t>
        </r>
        <r>
          <rPr>
            <sz val="11"/>
            <rFont val="宋体"/>
            <charset val="134"/>
          </rPr>
          <t xml:space="preserve">
8/10 上客供RFID贴纸 122390pcs</t>
        </r>
      </text>
    </comment>
    <comment ref="AF117" authorId="1">
      <text>
        <r>
          <rPr>
            <b/>
            <sz val="11"/>
            <rFont val="宋体"/>
            <charset val="134"/>
          </rPr>
          <t>Administrator:</t>
        </r>
        <r>
          <rPr>
            <sz val="11"/>
            <rFont val="宋体"/>
            <charset val="134"/>
          </rPr>
          <t xml:space="preserve">
11/21 上白色防盗贴纸 2520pcs</t>
        </r>
      </text>
    </comment>
    <comment ref="AF118" authorId="1">
      <text>
        <r>
          <rPr>
            <b/>
            <sz val="11"/>
            <rFont val="宋体"/>
            <charset val="134"/>
          </rPr>
          <t>Administrator:</t>
        </r>
        <r>
          <rPr>
            <sz val="11"/>
            <rFont val="宋体"/>
            <charset val="134"/>
          </rPr>
          <t xml:space="preserve">
11/21 上白色防盗贴纸 72pcs</t>
        </r>
      </text>
    </comment>
    <comment ref="AF119" authorId="1">
      <text>
        <r>
          <rPr>
            <b/>
            <sz val="11"/>
            <rFont val="宋体"/>
            <charset val="134"/>
          </rPr>
          <t>Administrator:</t>
        </r>
        <r>
          <rPr>
            <sz val="11"/>
            <rFont val="宋体"/>
            <charset val="134"/>
          </rPr>
          <t xml:space="preserve">
11/21 上白色防盗贴纸 3096pcs</t>
        </r>
      </text>
    </comment>
    <comment ref="AF120" authorId="1">
      <text>
        <r>
          <rPr>
            <b/>
            <sz val="11"/>
            <rFont val="宋体"/>
            <charset val="134"/>
          </rPr>
          <t>Administrator:</t>
        </r>
        <r>
          <rPr>
            <sz val="11"/>
            <rFont val="宋体"/>
            <charset val="134"/>
          </rPr>
          <t xml:space="preserve">
11/21 上白色防盗贴纸 108pcs</t>
        </r>
      </text>
    </comment>
    <comment ref="AF124" authorId="1">
      <text>
        <r>
          <rPr>
            <b/>
            <sz val="11"/>
            <rFont val="宋体"/>
            <charset val="134"/>
          </rPr>
          <t>Administrator:</t>
        </r>
        <r>
          <rPr>
            <sz val="11"/>
            <rFont val="宋体"/>
            <charset val="134"/>
          </rPr>
          <t xml:space="preserve">
11/9 上无香味贴纸（正面） 1440pcs 共用
     上无香味贴纸（侧面） 1440pcs 共用
11/14 上EAN贴纸 4086pcs
      上警告语贴纸 4086pcs
      上侧面无香贴纸 238pcs</t>
        </r>
      </text>
    </comment>
    <comment ref="AF129" authorId="1">
      <text>
        <r>
          <rPr>
            <b/>
            <sz val="11"/>
            <rFont val="宋体"/>
            <charset val="134"/>
          </rPr>
          <t>Administrator:</t>
        </r>
        <r>
          <rPr>
            <sz val="11"/>
            <rFont val="宋体"/>
            <charset val="134"/>
          </rPr>
          <t xml:space="preserve">
11/9 上无香味贴纸（正面） 1440pcs 共用
     上无香味贴纸（侧面） 1440pcs 共用</t>
        </r>
      </text>
    </comment>
    <comment ref="AF146" authorId="1">
      <text>
        <r>
          <rPr>
            <b/>
            <sz val="11"/>
            <rFont val="宋体"/>
            <charset val="134"/>
          </rPr>
          <t>Administrator:</t>
        </r>
        <r>
          <rPr>
            <sz val="11"/>
            <rFont val="宋体"/>
            <charset val="134"/>
          </rPr>
          <t xml:space="preserve">
7/7 上白色防盗贴纸 1944pcs</t>
        </r>
      </text>
    </comment>
    <comment ref="AF148" authorId="1">
      <text>
        <r>
          <rPr>
            <b/>
            <sz val="11"/>
            <rFont val="宋体"/>
            <charset val="134"/>
          </rPr>
          <t>Administrator:</t>
        </r>
        <r>
          <rPr>
            <sz val="11"/>
            <rFont val="宋体"/>
            <charset val="134"/>
          </rPr>
          <t xml:space="preserve">
7/12 上客供RFID贴纸 1080pcs</t>
        </r>
      </text>
    </comment>
    <comment ref="AF149" authorId="1">
      <text>
        <r>
          <rPr>
            <b/>
            <sz val="11"/>
            <rFont val="宋体"/>
            <charset val="134"/>
          </rPr>
          <t>Administrator:</t>
        </r>
        <r>
          <rPr>
            <sz val="11"/>
            <rFont val="宋体"/>
            <charset val="134"/>
          </rPr>
          <t xml:space="preserve">
7/12 上客供RFID贴纸 1080pcs</t>
        </r>
      </text>
    </comment>
    <comment ref="AF150" authorId="1">
      <text>
        <r>
          <rPr>
            <b/>
            <sz val="11"/>
            <rFont val="宋体"/>
            <charset val="134"/>
          </rPr>
          <t>Administrator:</t>
        </r>
        <r>
          <rPr>
            <sz val="11"/>
            <rFont val="宋体"/>
            <charset val="134"/>
          </rPr>
          <t xml:space="preserve">
7/12 上客供RFID贴纸 1080pcs</t>
        </r>
      </text>
    </comment>
    <comment ref="AF151" authorId="1">
      <text>
        <r>
          <rPr>
            <b/>
            <sz val="11"/>
            <rFont val="宋体"/>
            <charset val="134"/>
          </rPr>
          <t>Administrator:</t>
        </r>
        <r>
          <rPr>
            <sz val="11"/>
            <rFont val="宋体"/>
            <charset val="134"/>
          </rPr>
          <t xml:space="preserve">
7/12 上客供RFID贴纸 2160pcs</t>
        </r>
      </text>
    </comment>
    <comment ref="AF152" authorId="1">
      <text>
        <r>
          <rPr>
            <b/>
            <sz val="11"/>
            <rFont val="宋体"/>
            <charset val="134"/>
          </rPr>
          <t>Administrator:</t>
        </r>
        <r>
          <rPr>
            <sz val="11"/>
            <rFont val="宋体"/>
            <charset val="134"/>
          </rPr>
          <t xml:space="preserve">
7/12 上客供RFID贴纸 1080pcs</t>
        </r>
      </text>
    </comment>
    <comment ref="AF153" authorId="1">
      <text>
        <r>
          <rPr>
            <b/>
            <sz val="11"/>
            <rFont val="宋体"/>
            <charset val="134"/>
          </rPr>
          <t>Administrator:</t>
        </r>
        <r>
          <rPr>
            <sz val="11"/>
            <rFont val="宋体"/>
            <charset val="134"/>
          </rPr>
          <t xml:space="preserve">
7/12 上客供RFID贴纸 1080pcs</t>
        </r>
      </text>
    </comment>
    <comment ref="AF154" authorId="1">
      <text>
        <r>
          <rPr>
            <b/>
            <sz val="11"/>
            <rFont val="宋体"/>
            <charset val="134"/>
          </rPr>
          <t>Administrator:</t>
        </r>
        <r>
          <rPr>
            <sz val="11"/>
            <rFont val="宋体"/>
            <charset val="134"/>
          </rPr>
          <t xml:space="preserve">
7/12 上客供RFID贴纸 1080pcs</t>
        </r>
      </text>
    </comment>
    <comment ref="AF155" authorId="1">
      <text>
        <r>
          <rPr>
            <b/>
            <sz val="11"/>
            <rFont val="宋体"/>
            <charset val="134"/>
          </rPr>
          <t>Administrator:</t>
        </r>
        <r>
          <rPr>
            <sz val="11"/>
            <rFont val="宋体"/>
            <charset val="134"/>
          </rPr>
          <t xml:space="preserve">
7/12 上客供RFID贴纸 1080pcs</t>
        </r>
      </text>
    </comment>
    <comment ref="AA157" authorId="1">
      <text>
        <r>
          <rPr>
            <b/>
            <sz val="9"/>
            <rFont val="宋体"/>
            <charset val="134"/>
          </rPr>
          <t>Administrator:</t>
        </r>
        <r>
          <rPr>
            <sz val="9"/>
            <rFont val="宋体"/>
            <charset val="134"/>
          </rPr>
          <t xml:space="preserve">
8/28 上客供外箱条码贴纸 518pcs</t>
        </r>
      </text>
    </comment>
    <comment ref="Y177" authorId="1">
      <text>
        <r>
          <rPr>
            <b/>
            <sz val="9"/>
            <rFont val="宋体"/>
            <charset val="134"/>
          </rPr>
          <t>Administrator:</t>
        </r>
        <r>
          <rPr>
            <sz val="9"/>
            <rFont val="宋体"/>
            <charset val="134"/>
          </rPr>
          <t xml:space="preserve">
0002341 9/4 144pcs 一B2
12/7 退回新邵消耗
</t>
        </r>
      </text>
    </comment>
    <comment ref="Y178" authorId="1">
      <text>
        <r>
          <rPr>
            <b/>
            <sz val="9"/>
            <rFont val="宋体"/>
            <charset val="134"/>
          </rPr>
          <t>Administrator:</t>
        </r>
        <r>
          <rPr>
            <sz val="9"/>
            <rFont val="宋体"/>
            <charset val="134"/>
          </rPr>
          <t xml:space="preserve">
0002341 9/4 96pcs 一B2
12/7 退回新邵消耗</t>
        </r>
      </text>
    </comment>
    <comment ref="AF183" authorId="1">
      <text>
        <r>
          <rPr>
            <b/>
            <sz val="12"/>
            <rFont val="宋体"/>
            <charset val="134"/>
          </rPr>
          <t>Administrator:</t>
        </r>
        <r>
          <rPr>
            <sz val="12"/>
            <rFont val="宋体"/>
            <charset val="134"/>
          </rPr>
          <t xml:space="preserve">
9/12 上spec code贴纸 3840pcs</t>
        </r>
      </text>
    </comment>
    <comment ref="AG196" authorId="1">
      <text>
        <r>
          <rPr>
            <b/>
            <sz val="12"/>
            <rFont val="宋体"/>
            <charset val="134"/>
          </rPr>
          <t>Administrator:</t>
        </r>
        <r>
          <rPr>
            <sz val="12"/>
            <rFont val="宋体"/>
            <charset val="134"/>
          </rPr>
          <t xml:space="preserve">
5/11 上环保标贴纸 504pcs</t>
        </r>
      </text>
    </comment>
    <comment ref="AG198" authorId="1">
      <text>
        <r>
          <rPr>
            <b/>
            <sz val="12"/>
            <rFont val="宋体"/>
            <charset val="134"/>
          </rPr>
          <t>Administrator:</t>
        </r>
        <r>
          <rPr>
            <sz val="12"/>
            <rFont val="宋体"/>
            <charset val="134"/>
          </rPr>
          <t xml:space="preserve">
6/7 上白色防盗贴纸 1989pcs
</t>
        </r>
      </text>
    </comment>
    <comment ref="AG199" authorId="1">
      <text>
        <r>
          <rPr>
            <b/>
            <sz val="12"/>
            <rFont val="宋体"/>
            <charset val="134"/>
          </rPr>
          <t>Administrator:</t>
        </r>
        <r>
          <rPr>
            <sz val="12"/>
            <rFont val="宋体"/>
            <charset val="134"/>
          </rPr>
          <t xml:space="preserve">
6/7 上白色防盗贴纸 1508pcs
</t>
        </r>
      </text>
    </comment>
    <comment ref="AG207" authorId="1">
      <text>
        <r>
          <rPr>
            <b/>
            <sz val="12"/>
            <rFont val="宋体"/>
            <charset val="134"/>
          </rPr>
          <t>Administrator:</t>
        </r>
        <r>
          <rPr>
            <sz val="12"/>
            <rFont val="宋体"/>
            <charset val="134"/>
          </rPr>
          <t xml:space="preserve">
9/19 上白色防盗贴纸 1508pcs
10/10 上KM外箱贴纸 116pcs</t>
        </r>
      </text>
    </comment>
    <comment ref="AG208" authorId="1">
      <text>
        <r>
          <rPr>
            <b/>
            <sz val="12"/>
            <rFont val="宋体"/>
            <charset val="134"/>
          </rPr>
          <t>Administrator:</t>
        </r>
        <r>
          <rPr>
            <sz val="12"/>
            <rFont val="宋体"/>
            <charset val="134"/>
          </rPr>
          <t xml:space="preserve">
10/8 上白色防盗贴纸 1508pcs</t>
        </r>
      </text>
    </comment>
    <comment ref="AD209" authorId="1">
      <text>
        <r>
          <rPr>
            <b/>
            <sz val="11"/>
            <rFont val="宋体"/>
            <charset val="134"/>
          </rPr>
          <t>Administrator:</t>
        </r>
        <r>
          <rPr>
            <sz val="11"/>
            <rFont val="宋体"/>
            <charset val="134"/>
          </rPr>
          <t xml:space="preserve">
0011018 5/25 516pcs 华兴三A22</t>
        </r>
      </text>
    </comment>
    <comment ref="AG209" authorId="1">
      <text>
        <r>
          <rPr>
            <b/>
            <sz val="12"/>
            <rFont val="宋体"/>
            <charset val="134"/>
          </rPr>
          <t>Administrator:</t>
        </r>
        <r>
          <rPr>
            <sz val="12"/>
            <rFont val="宋体"/>
            <charset val="134"/>
          </rPr>
          <t xml:space="preserve">
4/18 上亚马逊外箱贴纸 43pcs
5/6 上环保标贴纸 1560pcs
</t>
        </r>
      </text>
    </comment>
    <comment ref="AG213" authorId="1">
      <text>
        <r>
          <rPr>
            <b/>
            <sz val="12"/>
            <rFont val="宋体"/>
            <charset val="134"/>
          </rPr>
          <t>Administrator:</t>
        </r>
        <r>
          <rPr>
            <sz val="12"/>
            <rFont val="宋体"/>
            <charset val="134"/>
          </rPr>
          <t xml:space="preserve">
11/1 上UPC贴纸 598pcs</t>
        </r>
      </text>
    </comment>
    <comment ref="AG214" authorId="1">
      <text>
        <r>
          <rPr>
            <b/>
            <sz val="12"/>
            <rFont val="宋体"/>
            <charset val="134"/>
          </rPr>
          <t>Administrator:</t>
        </r>
        <r>
          <rPr>
            <sz val="12"/>
            <rFont val="宋体"/>
            <charset val="134"/>
          </rPr>
          <t xml:space="preserve">
11/21 上亚马逊客供外箱贴纸 64pcs</t>
        </r>
      </text>
    </comment>
    <comment ref="AG215" authorId="1">
      <text>
        <r>
          <rPr>
            <b/>
            <sz val="12"/>
            <rFont val="宋体"/>
            <charset val="134"/>
          </rPr>
          <t>Administrator:</t>
        </r>
        <r>
          <rPr>
            <sz val="12"/>
            <rFont val="宋体"/>
            <charset val="134"/>
          </rPr>
          <t xml:space="preserve">
11/21 上亚马逊客供外箱贴纸 48pcs</t>
        </r>
      </text>
    </comment>
    <comment ref="AD220" authorId="1">
      <text>
        <r>
          <rPr>
            <b/>
            <sz val="12"/>
            <rFont val="宋体"/>
            <charset val="134"/>
          </rPr>
          <t>Administrator:</t>
        </r>
        <r>
          <rPr>
            <sz val="12"/>
            <rFont val="宋体"/>
            <charset val="134"/>
          </rPr>
          <t xml:space="preserve">
3001737 7/5 200pcs 华兴三B14</t>
        </r>
      </text>
    </comment>
    <comment ref="AG220" authorId="1">
      <text>
        <r>
          <rPr>
            <b/>
            <sz val="12"/>
            <rFont val="宋体"/>
            <charset val="134"/>
          </rPr>
          <t>Administrator:</t>
        </r>
        <r>
          <rPr>
            <sz val="12"/>
            <rFont val="宋体"/>
            <charset val="134"/>
          </rPr>
          <t xml:space="preserve">
6/17 上UPC贴纸 750pcs
168705/168594/168463共用</t>
        </r>
      </text>
    </comment>
    <comment ref="AG221" authorId="1">
      <text>
        <r>
          <rPr>
            <b/>
            <sz val="12"/>
            <rFont val="宋体"/>
            <charset val="134"/>
          </rPr>
          <t>Administrator:</t>
        </r>
        <r>
          <rPr>
            <sz val="12"/>
            <rFont val="宋体"/>
            <charset val="134"/>
          </rPr>
          <t xml:space="preserve">
9/16 上空白贴纸 3000pcs</t>
        </r>
      </text>
    </comment>
    <comment ref="AG224" authorId="1">
      <text>
        <r>
          <rPr>
            <b/>
            <sz val="9"/>
            <rFont val="宋体"/>
            <charset val="134"/>
          </rPr>
          <t>Administrator:</t>
        </r>
        <r>
          <rPr>
            <sz val="9"/>
            <rFont val="宋体"/>
            <charset val="134"/>
          </rPr>
          <t xml:space="preserve">
11/21 上进口商贴纸 1508pcs</t>
        </r>
      </text>
    </comment>
    <comment ref="AG228" authorId="1">
      <text>
        <r>
          <rPr>
            <b/>
            <sz val="12"/>
            <rFont val="宋体"/>
            <charset val="134"/>
          </rPr>
          <t>Administrator:</t>
        </r>
        <r>
          <rPr>
            <sz val="12"/>
            <rFont val="宋体"/>
            <charset val="134"/>
          </rPr>
          <t xml:space="preserve">
11/21 上客供外箱条码贴纸 984pcs</t>
        </r>
      </text>
    </comment>
    <comment ref="AG229" authorId="1">
      <text>
        <r>
          <rPr>
            <b/>
            <sz val="12"/>
            <rFont val="宋体"/>
            <charset val="134"/>
          </rPr>
          <t>Administrator:</t>
        </r>
        <r>
          <rPr>
            <sz val="12"/>
            <rFont val="宋体"/>
            <charset val="134"/>
          </rPr>
          <t xml:space="preserve">
11/21 上客供外箱条码贴纸 436pcs</t>
        </r>
      </text>
    </comment>
    <comment ref="AD235" authorId="1">
      <text>
        <r>
          <rPr>
            <b/>
            <sz val="11"/>
            <rFont val="宋体"/>
            <charset val="134"/>
          </rPr>
          <t>Administrator:</t>
        </r>
        <r>
          <rPr>
            <sz val="11"/>
            <rFont val="宋体"/>
            <charset val="134"/>
          </rPr>
          <t xml:space="preserve">
0002268 10/25 2520pcs 华兴三B12</t>
        </r>
      </text>
    </comment>
    <comment ref="AG235" authorId="1">
      <text>
        <r>
          <rPr>
            <b/>
            <sz val="12"/>
            <rFont val="宋体"/>
            <charset val="134"/>
          </rPr>
          <t>Administrator:</t>
        </r>
        <r>
          <rPr>
            <sz val="12"/>
            <rFont val="宋体"/>
            <charset val="134"/>
          </rPr>
          <t xml:space="preserve">
9/27 上荷兰语警语德语call out贴纸 2520pcs</t>
        </r>
      </text>
    </comment>
    <comment ref="AG236" authorId="1">
      <text>
        <r>
          <rPr>
            <b/>
            <sz val="11"/>
            <rFont val="宋体"/>
            <charset val="134"/>
          </rPr>
          <t>Administrator:</t>
        </r>
        <r>
          <rPr>
            <sz val="11"/>
            <rFont val="宋体"/>
            <charset val="134"/>
          </rPr>
          <t xml:space="preserve">
12/8 上进口商贴纸 504pcs
     上EAN条码贴纸 504pcs</t>
        </r>
      </text>
    </comment>
    <comment ref="AD240" authorId="1">
      <text>
        <r>
          <rPr>
            <b/>
            <sz val="11"/>
            <rFont val="宋体"/>
            <charset val="134"/>
          </rPr>
          <t>Administrator:</t>
        </r>
        <r>
          <rPr>
            <sz val="11"/>
            <rFont val="宋体"/>
            <charset val="134"/>
          </rPr>
          <t xml:space="preserve">
0006729 1/13 8778pcs 华兴三B8</t>
        </r>
      </text>
    </comment>
    <comment ref="AD241" authorId="1">
      <text>
        <r>
          <rPr>
            <b/>
            <sz val="11"/>
            <rFont val="宋体"/>
            <charset val="134"/>
          </rPr>
          <t>Administrator:</t>
        </r>
        <r>
          <rPr>
            <sz val="11"/>
            <rFont val="宋体"/>
            <charset val="134"/>
          </rPr>
          <t xml:space="preserve">
0006710 1/17 7686pcs 华兴三BA25</t>
        </r>
      </text>
    </comment>
    <comment ref="AD245" authorId="2">
      <text>
        <r>
          <rPr>
            <b/>
            <sz val="12"/>
            <rFont val="宋体"/>
            <charset val="134"/>
          </rPr>
          <t>DELL:</t>
        </r>
        <r>
          <rPr>
            <sz val="12"/>
            <rFont val="宋体"/>
            <charset val="134"/>
          </rPr>
          <t xml:space="preserve">
3001883 4/30 564pcs B4-B7</t>
        </r>
      </text>
    </comment>
    <comment ref="AG245" authorId="1">
      <text>
        <r>
          <rPr>
            <b/>
            <sz val="12"/>
            <rFont val="宋体"/>
            <charset val="134"/>
          </rPr>
          <t>Administrator:</t>
        </r>
        <r>
          <rPr>
            <sz val="12"/>
            <rFont val="宋体"/>
            <charset val="134"/>
          </rPr>
          <t xml:space="preserve">
4/29 上亚马逊外箱贴纸47pcs
</t>
        </r>
      </text>
    </comment>
    <comment ref="AD246" authorId="2">
      <text>
        <r>
          <rPr>
            <b/>
            <sz val="12"/>
            <rFont val="宋体"/>
            <charset val="134"/>
          </rPr>
          <t>DELL:</t>
        </r>
        <r>
          <rPr>
            <sz val="12"/>
            <rFont val="宋体"/>
            <charset val="134"/>
          </rPr>
          <t xml:space="preserve">
3001883 4/30 1152pcs新仓库B2
</t>
        </r>
      </text>
    </comment>
    <comment ref="AG246" authorId="1">
      <text>
        <r>
          <rPr>
            <b/>
            <sz val="12"/>
            <rFont val="宋体"/>
            <charset val="134"/>
          </rPr>
          <t>Administrator:</t>
        </r>
        <r>
          <rPr>
            <sz val="12"/>
            <rFont val="宋体"/>
            <charset val="134"/>
          </rPr>
          <t xml:space="preserve">
4/29 上亚马逊外箱贴纸96pcs
</t>
        </r>
      </text>
    </comment>
    <comment ref="AD247" authorId="2">
      <text>
        <r>
          <rPr>
            <b/>
            <sz val="12"/>
            <rFont val="宋体"/>
            <charset val="134"/>
          </rPr>
          <t>DELL:</t>
        </r>
        <r>
          <rPr>
            <sz val="12"/>
            <rFont val="宋体"/>
            <charset val="134"/>
          </rPr>
          <t xml:space="preserve">
3001879 4/30 1152pcs新仓库B2</t>
        </r>
      </text>
    </comment>
    <comment ref="AG247" authorId="1">
      <text>
        <r>
          <rPr>
            <b/>
            <sz val="12"/>
            <rFont val="宋体"/>
            <charset val="134"/>
          </rPr>
          <t>Administrator:</t>
        </r>
        <r>
          <rPr>
            <sz val="12"/>
            <rFont val="宋体"/>
            <charset val="134"/>
          </rPr>
          <t xml:space="preserve">
4/29 上亚马逊外箱贴纸96pcs
</t>
        </r>
      </text>
    </comment>
    <comment ref="AF249" authorId="2">
      <text>
        <r>
          <rPr>
            <sz val="12"/>
            <rFont val="宋体"/>
            <charset val="134"/>
          </rPr>
          <t>DELL:
3001879 4/30 1848pcs新仓库B2</t>
        </r>
        <r>
          <rPr>
            <sz val="9"/>
            <rFont val="宋体"/>
            <charset val="134"/>
          </rPr>
          <t xml:space="preserve">
</t>
        </r>
      </text>
    </comment>
    <comment ref="AI249" authorId="2">
      <text>
        <r>
          <rPr>
            <b/>
            <sz val="12"/>
            <rFont val="宋体"/>
            <charset val="134"/>
          </rPr>
          <t>DELL:</t>
        </r>
        <r>
          <rPr>
            <sz val="12"/>
            <rFont val="宋体"/>
            <charset val="134"/>
          </rPr>
          <t xml:space="preserve">
4/25 上环保标贴纸 4716pcs
4/29 上亚马逊外箱贴纸154pcs
</t>
        </r>
      </text>
    </comment>
    <comment ref="AI251" authorId="3">
      <text>
        <r>
          <rPr>
            <b/>
            <sz val="9"/>
            <rFont val="宋体"/>
            <charset val="0"/>
          </rPr>
          <t>龙丽娟:</t>
        </r>
        <r>
          <rPr>
            <sz val="9"/>
            <rFont val="宋体"/>
            <charset val="0"/>
          </rPr>
          <t xml:space="preserve">
6/16上白色防盗贴纸1508pcs</t>
        </r>
      </text>
    </comment>
  </commentList>
</comments>
</file>

<file path=xl/sharedStrings.xml><?xml version="1.0" encoding="utf-8"?>
<sst xmlns="http://schemas.openxmlformats.org/spreadsheetml/2006/main" count="18662" uniqueCount="4680">
  <si>
    <t>迷你衣柜装MA明细</t>
  </si>
  <si>
    <t>放MA日期</t>
  </si>
  <si>
    <t>PO号码</t>
  </si>
  <si>
    <t>MA订单号码</t>
  </si>
  <si>
    <t>货号</t>
  </si>
  <si>
    <t>数量</t>
  </si>
  <si>
    <t>名称</t>
  </si>
  <si>
    <t>版本号</t>
  </si>
  <si>
    <t>彩盒 1L</t>
  </si>
  <si>
    <t>说明书 5L</t>
  </si>
  <si>
    <t>彩盒 3L</t>
  </si>
  <si>
    <t>中文说明书</t>
  </si>
  <si>
    <t>备注</t>
  </si>
  <si>
    <t>77200 77361 Dino Strike S4, S5 &amp; 77349 Fashion S2 包材放订</t>
  </si>
  <si>
    <t>1000012977</t>
  </si>
  <si>
    <t>Color box</t>
  </si>
  <si>
    <t>A</t>
  </si>
  <si>
    <t>1000012978</t>
  </si>
  <si>
    <t>Instruction Book</t>
  </si>
  <si>
    <t>订单备料</t>
  </si>
  <si>
    <t>1000013765</t>
  </si>
  <si>
    <t>1000013766</t>
  </si>
  <si>
    <t>1000013938</t>
  </si>
  <si>
    <t>1000013939</t>
  </si>
  <si>
    <t>1000014135</t>
  </si>
  <si>
    <t>1000014136</t>
  </si>
  <si>
    <t>1000014137</t>
  </si>
  <si>
    <t>1000015246</t>
  </si>
  <si>
    <t>1000015247</t>
  </si>
  <si>
    <t>1000015248</t>
  </si>
  <si>
    <t>1000015524</t>
  </si>
  <si>
    <t>1000015842</t>
  </si>
  <si>
    <t>1000015843</t>
  </si>
  <si>
    <t>1000021482</t>
  </si>
  <si>
    <t>1000021895</t>
  </si>
  <si>
    <t>1000023322</t>
  </si>
  <si>
    <t>1000023323</t>
  </si>
  <si>
    <t>最后一次放订，按照实际订单数量采购</t>
  </si>
  <si>
    <t>包材合计</t>
  </si>
  <si>
    <t>接单汇总数</t>
  </si>
  <si>
    <t>欠数</t>
  </si>
  <si>
    <t>2024年删除数</t>
  </si>
  <si>
    <t>香港接单日期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</si>
  <si>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</si>
  <si>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</si>
  <si>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</si>
  <si>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</si>
  <si>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</si>
  <si>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</si>
  <si>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</si>
  <si>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</si>
  <si>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</si>
  <si>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</si>
  <si>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</si>
  <si>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</si>
  <si>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</si>
  <si>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</si>
  <si>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</si>
  <si>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S/O(截仓期)</t>
  </si>
  <si>
    <t>箱唛
(收到日期)</t>
  </si>
  <si>
    <t>外箱贴纸</t>
  </si>
  <si>
    <t>贴纸资料
(收到日期及订购日期)</t>
  </si>
  <si>
    <t>ZURU跟单组员</t>
  </si>
  <si>
    <t>单价USD</t>
  </si>
  <si>
    <t>金额USD</t>
  </si>
  <si>
    <t>发票号</t>
  </si>
  <si>
    <t>系统货号</t>
  </si>
  <si>
    <t>是否入系统</t>
  </si>
  <si>
    <t>下单情况</t>
  </si>
  <si>
    <t>生产情况</t>
  </si>
  <si>
    <t>已回数量</t>
  </si>
  <si>
    <t>HN回复完成时间</t>
  </si>
  <si>
    <t>贴纸</t>
  </si>
  <si>
    <t>纸箱</t>
  </si>
  <si>
    <t>77425
有香味</t>
  </si>
  <si>
    <t>77425
无香味</t>
  </si>
  <si>
    <t>彩盒 A/B版
MA 1L</t>
  </si>
  <si>
    <t>说明书 5L A/B版本</t>
  </si>
  <si>
    <t>彩盒
MA 3L</t>
  </si>
  <si>
    <t>中文版说明书</t>
  </si>
  <si>
    <t>Amazon Mexico, S. DE R.L. DE CV</t>
  </si>
  <si>
    <t>墨西哥</t>
  </si>
  <si>
    <t>64SP3ZYY</t>
  </si>
  <si>
    <t>4500151559-20</t>
  </si>
  <si>
    <t>77425-S001</t>
  </si>
  <si>
    <t>迷你衣柜</t>
  </si>
  <si>
    <t>PASS</t>
  </si>
  <si>
    <t>空白外箱加印ZURU Logo+MADE IN CHINA+SSCC LABEL(客供贴纸），无shipping mark,日期使用ZURU 标准版本</t>
  </si>
  <si>
    <t>有</t>
  </si>
  <si>
    <t>欠</t>
  </si>
  <si>
    <t>日期码格式：ZURU INC(BVI) 标准格式 日期：按实际生产日期
Packaging Info: 
77425: MA 1L+进口商贴纸+SSCC贴纸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
3. 客户PO备注在remark处
5.77425: 3PCS AAA Batteries (Not included)</t>
  </si>
  <si>
    <t>Zoe Luo</t>
  </si>
  <si>
    <t>88897-1.6</t>
  </si>
  <si>
    <t>已入</t>
  </si>
  <si>
    <t>系统出单</t>
  </si>
  <si>
    <t>OK</t>
  </si>
  <si>
    <t>ZMPO24913</t>
  </si>
  <si>
    <t>周转箱</t>
  </si>
  <si>
    <t>无</t>
  </si>
  <si>
    <t xml:space="preserve">Remark:大货最新ZURU Logo版本/请用大货标准箱装箱4PCS/箱共15箱/箱唛请参照邮件附件                                                                                                                                                备注：收到样品订单后尽快安排 ，注意样板品质质量要求要高于大货品质要求 ，送货时必须要附带送货单(没有送货单和QC检验合格报告的仓库一律拒绝收货)，请知悉，谢谢！ </t>
  </si>
  <si>
    <t xml:space="preserve">Angus </t>
  </si>
  <si>
    <t>94902-4.30</t>
  </si>
  <si>
    <t>TJX UK</t>
  </si>
  <si>
    <t>英国</t>
  </si>
  <si>
    <t>TJX UK:
PO#50047489</t>
  </si>
  <si>
    <t>4500157680-50</t>
  </si>
  <si>
    <r>
      <rPr>
        <sz val="11"/>
        <rFont val="宋体"/>
        <charset val="134"/>
        <scheme val="minor"/>
      </rPr>
      <t xml:space="preserve">日期码格式：ZURU INC(BVI) 标准格式 日期：按实际生产日期
Packaging Info: TJX UK: PO#50047540(71101)---TJX UK: PO#50047545(71101)---TJX UK: PO#50047483(71101)---TJX UK: PO#50047488(71101)---TJX UK: PO#50047489(77425)
</t>
    </r>
    <r>
      <rPr>
        <sz val="11"/>
        <color rgb="FFFF0000"/>
        <rFont val="宋体"/>
        <charset val="134"/>
        <scheme val="minor"/>
      </rPr>
      <t>SLOB ITEM消耗库存：</t>
    </r>
    <r>
      <rPr>
        <sz val="11"/>
        <rFont val="宋体"/>
        <charset val="134"/>
        <scheme val="minor"/>
      </rPr>
      <t xml:space="preserve">
77425: MA1L (1L warning) 最新UPC包装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r>
  </si>
  <si>
    <t>Sandy Shao</t>
  </si>
  <si>
    <t>94634-3.25</t>
  </si>
  <si>
    <t>TJX UK c/o TJX Distribution Ltd &amp; C</t>
  </si>
  <si>
    <t>德国</t>
  </si>
  <si>
    <t>TJX
Europe-DE:
PO#55047520</t>
  </si>
  <si>
    <t>4500157675-60</t>
  </si>
  <si>
    <r>
      <rPr>
        <sz val="11"/>
        <rFont val="宋体"/>
        <charset val="134"/>
        <scheme val="minor"/>
      </rPr>
      <t xml:space="preserve">日期码格式：ZURU INC(BVI) 标准格式 日期：按实际生产日期
Packaging Info: TJX Europe-DE: PO#55047501(71101)---TJX Europe-DE: PO#55047502(71101)---TJX Europe-DE: PO#55047504(71101)---TJX Europe-DE: PO#55047514(71101)---
TJX Europe-DE: PO#55047516(71101)---TJX Europe-DE: PO#55047520(77425)
</t>
    </r>
    <r>
      <rPr>
        <sz val="11"/>
        <color rgb="FFFF0000"/>
        <rFont val="宋体"/>
        <charset val="134"/>
        <scheme val="minor"/>
      </rPr>
      <t>SLOB ITEM 消耗库存：</t>
    </r>
    <r>
      <rPr>
        <sz val="11"/>
        <rFont val="宋体"/>
        <charset val="134"/>
        <scheme val="minor"/>
      </rPr>
      <t xml:space="preserve">
77425: MA1L (1L warning) 最新UPC包装+1张贴纸（含德语&lt;(&gt;&amp;&lt;)&gt;荷兰语&lt;(&gt;&amp;&lt;)&gt;波兰语警告语）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r>
  </si>
  <si>
    <t>94645-3.26</t>
  </si>
  <si>
    <t>5K7XXSZF</t>
  </si>
  <si>
    <t>4500163057-50</t>
  </si>
  <si>
    <t>空白外箱加印ZURU Logo+MADE IN CHINA+SSCC LABEL(客供贴纸），无shipping mark,日期使用ZURU 标准版本。SSCC Label显示的是客人自己的item#，SSCC Lab</t>
  </si>
  <si>
    <r>
      <rPr>
        <sz val="11"/>
        <rFont val="宋体"/>
        <charset val="134"/>
        <scheme val="minor"/>
      </rPr>
      <t>日期码格式：ZURU INC(BVI) 标准格式 日期：按实际生产日期
5. 77425：</t>
    </r>
    <r>
      <rPr>
        <sz val="11"/>
        <color rgb="FFFF0000"/>
        <rFont val="宋体"/>
        <charset val="134"/>
        <scheme val="minor"/>
      </rPr>
      <t>MA 1L UPC包装</t>
    </r>
    <r>
      <rPr>
        <sz val="11"/>
        <rFont val="宋体"/>
        <charset val="134"/>
        <scheme val="minor"/>
      </rPr>
      <t>+MA 多语说明书+进口商贴纸+SSCC label
Remark: 1. Amazon FOB订单，出口Mexico，外箱最长边不能超过25" （超过了，case pack只能为1），不符合要求的大货，一律不接受。
2. 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3. 日期码使用ZURU标准版
4. 9543D:2PCS AAA BATTERIES(NOT INCLUDED)
5. 77425: 3PCS AAA BATTERIES(NOT INCLUDED)</t>
    </r>
  </si>
  <si>
    <t>Ever Li</t>
  </si>
  <si>
    <t>95288-6.10</t>
  </si>
  <si>
    <t>34P65IJU</t>
  </si>
  <si>
    <t>4500163057-80</t>
  </si>
  <si>
    <t>774225-S001</t>
  </si>
  <si>
    <t>ZURU LLC</t>
  </si>
  <si>
    <t>美国</t>
  </si>
  <si>
    <t>B0BS8LM6R6</t>
  </si>
  <si>
    <t>4500169495-120</t>
  </si>
  <si>
    <t>77425-S001-MTS</t>
  </si>
  <si>
    <t>日期码格式：ZURU INC(BVI) 标准格式 日期：按实际生产日期
Packaging Info:
#77425 MA 1L UPC版本
Remark: 1.Amazon domestic 订单。出口美国。外箱最长边不能超过25" （超过了，case pack只能为1），不符合要求的大货，一律不接受。
2.无第三方验货/测试要求。
3.日期码使用ZURU标准版本。
4.邮包盒要印刷日期码。</t>
  </si>
  <si>
    <t>Kelly Shen/Mia Pan/P</t>
  </si>
  <si>
    <t>ZB01104R1-8.6</t>
  </si>
  <si>
    <t>YOYO LLC</t>
  </si>
  <si>
    <t>吉尔吉斯斯坦</t>
  </si>
  <si>
    <t>4500161685-10</t>
  </si>
  <si>
    <t>日期码格式：ZURU INC(BVI) 标准格式 日期：按实际生产日期
Packaging Info: 1L MA UPC 包装+ 进口商贴纸 ， MA PDQ /说明书/指南（如有）
Remark: 标准配比</t>
  </si>
  <si>
    <t>Ann</t>
  </si>
  <si>
    <t>96119-8.22</t>
  </si>
  <si>
    <t>TJX UK
PO#50687573</t>
  </si>
  <si>
    <t>4500172515-60</t>
  </si>
  <si>
    <t>日期码格式：ZURU INC(BVI) 标准格式 日期：按实际生产日期
Packaging Info:
77425 MA1L (1L warning) 最新UPC包装+1张客供价格贴纸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</si>
  <si>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96093-8.19</t>
  </si>
  <si>
    <t>接单汇总</t>
  </si>
  <si>
    <t>样板</t>
  </si>
  <si>
    <t>是否收到客版包装资料</t>
  </si>
  <si>
    <t>77485
有香味</t>
  </si>
  <si>
    <t>77485
无香味</t>
  </si>
  <si>
    <t>MA 1L A/B收缩膜</t>
  </si>
  <si>
    <t>MA 1L 收缩膜 无条码</t>
  </si>
  <si>
    <t>MA 3L 收缩膜 无条码</t>
  </si>
  <si>
    <t>MA 3L 收缩膜</t>
  </si>
  <si>
    <t>客版收缩膜</t>
  </si>
  <si>
    <t>MA 5L 收藏指南</t>
  </si>
  <si>
    <t>MA 5L B版收藏指南</t>
  </si>
  <si>
    <t>客版收藏指南</t>
  </si>
  <si>
    <t>WM 客版收藏指南</t>
  </si>
  <si>
    <t>客版
1L 8pcs
GQ1-S001</t>
  </si>
  <si>
    <t>1L 21pcs
GQ2-S001</t>
  </si>
  <si>
    <t>3L 21pcs
GQ2-S001</t>
  </si>
  <si>
    <t>1L 12PCS GQ3-S001</t>
  </si>
  <si>
    <t>1L B 12PCS GQ3-S001</t>
  </si>
  <si>
    <t>3L 12PCS GQ3-S001</t>
  </si>
  <si>
    <t>1L 12PCS GQ4-S001</t>
  </si>
  <si>
    <t>1L 13PCS GQ6-S001</t>
  </si>
  <si>
    <t>13PCS GQ6-S001 3L</t>
  </si>
  <si>
    <t xml:space="preserve">25PCS GQ7-S001 </t>
  </si>
  <si>
    <t xml:space="preserve">25PCS GQ7-S001 3L </t>
  </si>
  <si>
    <t>客版
SK-S001 不含底座</t>
  </si>
  <si>
    <t>客版 1L
SK-S001 不含底座</t>
  </si>
  <si>
    <t>3L SK-S002 含底座 60pcs</t>
  </si>
  <si>
    <t>3L 
SK1-S001 30pcs</t>
  </si>
  <si>
    <t>MSLD104展示架</t>
  </si>
  <si>
    <t>客版不含鞋子 收缩膜</t>
  </si>
  <si>
    <t>客版不含鞋子 收藏指南</t>
  </si>
  <si>
    <t>77486 圆筒</t>
  </si>
  <si>
    <t>77486 3L彩纸</t>
  </si>
  <si>
    <t>77486 TJX版本 彩纸</t>
  </si>
  <si>
    <t>77486 贴纸</t>
  </si>
  <si>
    <t>77601 圆筒</t>
  </si>
  <si>
    <t>776016 3L彩纸</t>
  </si>
  <si>
    <t>77601 贴纸</t>
  </si>
  <si>
    <t>合计数量</t>
  </si>
  <si>
    <t>累计数量</t>
  </si>
  <si>
    <t>MA 数量</t>
  </si>
  <si>
    <t>GQ2/GQ7</t>
  </si>
  <si>
    <t>THE ENTERTAINER</t>
  </si>
  <si>
    <t>4500150141-2</t>
  </si>
  <si>
    <t>4500150141-80</t>
  </si>
  <si>
    <t>77485GQ6-S001</t>
  </si>
  <si>
    <t>3代迷你小手袋</t>
  </si>
  <si>
    <t>客户EAN条码贴一张覆盖ZURU 原条码，条码贴翻订单4500148687</t>
  </si>
  <si>
    <t>日期码格式：ZURU INC(BVI) 标准格式 日期：按实际生产日期
Packaging Info: 
77485GQ6：MA最新1L配套包装+客户EAN条码贴一张覆盖ZURU 原条码，条码贴翻订单4500148687。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</si>
  <si>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Sherry Lu</t>
  </si>
  <si>
    <t>88877-1.4</t>
  </si>
  <si>
    <t>ROSS PROCUREMENT.INC</t>
  </si>
  <si>
    <t>4500148421-20</t>
  </si>
  <si>
    <t>77486-S001</t>
  </si>
  <si>
    <t>3代迷你小手袋 圆筒装</t>
  </si>
  <si>
    <t>通用模板</t>
  </si>
  <si>
    <t>欠客供价格贴纸</t>
  </si>
  <si>
    <t>日期码格式： 标准格式 日期：按实际生产日期
Packaging Info: 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t>
  </si>
  <si>
    <t>Sophia Zhou</t>
  </si>
  <si>
    <t>88928-1.7</t>
  </si>
  <si>
    <t>COMERCIALIZADORA MEXICO AMERICANA S</t>
  </si>
  <si>
    <t>4500151611-80</t>
  </si>
  <si>
    <t>77485GQ7-S001</t>
  </si>
  <si>
    <t>客版日期码要求：LOT+ZURU标准日期码格式。东莞生产的格式：LOTDGYYYYMMDD, DG是东莞拼音首字母，
YYYYMMDD是实际的年月日，例如(LOTDG20240920)</t>
  </si>
  <si>
    <t>进口商贴纸翻单PO4500120342</t>
  </si>
  <si>
    <t>日期码格式：LOTDGYYYYMMDD 日期：按实际生产日期
Packaging Info:
77485GQ7: 3L MA EAN 收缩膜+新UPC条码贴纸+进口商贴纸+MA 5L 收藏指南+MA 3L PDQ+箱唛；进口商贴纸翻单PO4500120342，条码贴纸不翻单
Remark: 1. 客版日期码要求：LOT+ZURU标准日期码格式。东莞生产的格式：LOTDGYYYYMMDD, DG是东莞拼音首字母，
YYYYMMDD是实际的年月日，例如(LOTDG20240920)
3. 此单有第三方监柜，至少多备一套完整的物料用于监柜，请多备料。
4. WM墨西哥防霉的新要求:货物必须在出货主箱和集装箱中按要求放置干燥剂，干燥剂指定品牌干霸
77485GQ7： 需要在每箱放入6小包干燥剂，每包干燥剂重量2g
如走柜货等loading plan 确认后再通知集装箱干燥剂数量</t>
  </si>
  <si>
    <t>88845-1.2</t>
  </si>
  <si>
    <t>77485GQ7-S001-3L-1</t>
  </si>
  <si>
    <t>WALGREEN CO.</t>
  </si>
  <si>
    <t>MPO03152</t>
  </si>
  <si>
    <t>77485-S001</t>
  </si>
  <si>
    <t>此MPO订单替换原手工单MPOWAL034</t>
  </si>
  <si>
    <t>WIC贴纸（WIC # 795592）</t>
  </si>
  <si>
    <t>Remark:1.此MPO订单替换原手工单MPOWAL034
2.订单要求参考MPOWAL034
3.分三批送货
第-批 77485-8528pcs 77555-8528pcs(已送货)第二批77485-25584pcs77555-25584pcs(已送货)第三批 77485-8504pcs77555-8504pcs(待安排送货)</t>
  </si>
  <si>
    <t>Cara Li</t>
  </si>
  <si>
    <t>94402-2.27   94410-2.28</t>
  </si>
  <si>
    <t>消耗取消单</t>
  </si>
  <si>
    <t>Ansaldo Chile</t>
  </si>
  <si>
    <t>智利</t>
  </si>
  <si>
    <t>4500146540-40</t>
  </si>
  <si>
    <t>进口商贴纸翻单PO4500146361</t>
  </si>
  <si>
    <t>日期码格式：ZURU INC(BVI) 标准格式 日期：按实际生产日期
Packaging Info: 
77485GQ7:MA 1L包装+进口商贴纸+箱唛,进口商贴纸翻单PO4500146361
Remark:</t>
  </si>
  <si>
    <t>Ava Liang</t>
  </si>
  <si>
    <t>88980-1.10</t>
  </si>
  <si>
    <t>London Supply Group SA</t>
  </si>
  <si>
    <t>乌拉圭</t>
  </si>
  <si>
    <t>4500152280-60</t>
  </si>
  <si>
    <t>日期码格式：ZURU INC(BVI) 标准格式 日期：按实际生产日期 Tracking Code:
Packaging Info: 77485GQ7:MA 1L包装+箱唛，无进口商贴纸
Remark:</t>
  </si>
  <si>
    <t>88896-1.6</t>
  </si>
  <si>
    <t>VM INTERNATIONAL</t>
  </si>
  <si>
    <t>4500151779-70</t>
  </si>
  <si>
    <t>77485GQ6-S003</t>
  </si>
  <si>
    <t>2025/1/6 第三方验货</t>
  </si>
  <si>
    <t>1/12 出货</t>
  </si>
  <si>
    <t>日期码格式：ZURU INC(BVI) 标准格式 日期：按实际生产日期
Packaging Info: 1.ZURU 标准日期码格式，
2.无第三方测试和验货，ZURU 内部QC验货即可出货
Remark: 3. 优先 MA 1L UPC包装;
4. 纸箱印ZURU LOGO，出口美国；</t>
  </si>
  <si>
    <t>Iris Yuan</t>
  </si>
  <si>
    <t>94112-1.18</t>
  </si>
  <si>
    <t>WAL-MART STORES INC. USA</t>
  </si>
  <si>
    <t>0877286348
ELWOOD</t>
  </si>
  <si>
    <t>4500152202-10</t>
  </si>
  <si>
    <t>77485SLB-S004</t>
  </si>
  <si>
    <t>2025/1/6 自检</t>
  </si>
  <si>
    <t>12/20 RFID贴纸 艾利贴纸（不干胶贴纸）和一张普通贴纸（A4纸）</t>
  </si>
  <si>
    <t>日期码格式：ZURU DGYYYYMMDD CHINA(日期避开周末和法定节假日即可） 日期：按实际生产日期 Tracking Code: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</si>
  <si>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Maggie Xie</t>
  </si>
  <si>
    <t>94397-2.27</t>
  </si>
  <si>
    <t>0877286379
RIDGEVILLE SC</t>
  </si>
  <si>
    <t>4500152202-20</t>
  </si>
  <si>
    <t>0877286391
EASTVALE</t>
  </si>
  <si>
    <t>4500152202-30</t>
  </si>
  <si>
    <t>94052-1.15</t>
  </si>
  <si>
    <t>0877286395
STATESBORO</t>
  </si>
  <si>
    <t>4500152202-40</t>
  </si>
  <si>
    <t>0877286401 SUFFOLK</t>
  </si>
  <si>
    <t>4500152202-50</t>
  </si>
  <si>
    <t>94018-1.13</t>
  </si>
  <si>
    <t>0877286405
HOUSTON</t>
  </si>
  <si>
    <t>4500152202-60</t>
  </si>
  <si>
    <t>0877286409
MOBILE</t>
  </si>
  <si>
    <t>4500152202-70</t>
  </si>
  <si>
    <t>CRG</t>
  </si>
  <si>
    <t>哥斯达黎加</t>
  </si>
  <si>
    <t>ZU01-25</t>
  </si>
  <si>
    <t>4500152087-100</t>
  </si>
  <si>
    <t>日期码格式：ZURU INC(BVI) 标准格式 日期：按实际生产日期 
Packaging Info: 77485GQ7:MA 1L包装+进口商贴纸+箱唛
Remark:</t>
  </si>
  <si>
    <t>88961-1.9</t>
  </si>
  <si>
    <t>MPOWAL034</t>
  </si>
  <si>
    <t>Remark:1. 2% 损耗                                                                                                                      2. 送货前必需通知我司安排验货                                                                                                           3.77485：MA 1L包装 + WIC贴纸（WIC # 795592）        4.产品和包装上要有ZURU 标准格式 tracking code DG20241122                                                                                       4.先安排CRD 11/22的数量，CRD 12/10的数量等通知后再安排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</si>
  <si>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t>Inventive Toys</t>
  </si>
  <si>
    <t>俄罗斯联邦</t>
  </si>
  <si>
    <t>4500150836-20</t>
  </si>
  <si>
    <t>注意 ：外包装 (指: 收缩膜/彩卡/铝箔袋/挂卡/PDQ) /外箱不要打ZURU标准日期码！胶件可以打日期码。</t>
  </si>
  <si>
    <t>进口商贴纸+EAN条码贴纸</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</si>
  <si>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或者彩卡+ 进口商贴纸； MA PDQ + EAN条码贴纸 ， MA指南/说明书（如有）;
Remark: 标准配比 ；整单货期2025年1月3</t>
  </si>
  <si>
    <t>Ann Zhang</t>
  </si>
  <si>
    <t>94071-1.16</t>
  </si>
  <si>
    <t>BURLINGTON COAT FACTORY</t>
  </si>
  <si>
    <t>客户PO#383017
506</t>
  </si>
  <si>
    <t>4500151472-50</t>
  </si>
  <si>
    <t>日期码格式：ZURU INC(BVI) 标准格式 日期：按实际生产日期
Packaging Info: 1，ZURU MA （首选1L）UPC版本+客供价格贴纸+外箱贴纸，出口美国
有PVC桶的价格贴纸贴在PVC桶上面
Remark: 2，产品和包装上印刷ZURU 标准日期码；
3，纸箱中间靠上沿印刷ZURU LOGO，见箱唛资料
4、外箱UCC 条码贴纸，尺寸: 4*6inch，贴在其中一面正唛右下角，贴纸距离外箱底部3.5cm, 侧边距离3.5cm。外箱贴纸由跟单提供电子版, 工厂自行安排，不可用
封箱胶覆盖贴纸条码，贴纸需要可以扫描且无损坏.
5，每个产品有一个价格贴纸， 价格贴纸覆盖UPC条码上 （若UPC 条码太大，可以露出ITEM#, 覆盖条码即可），若价格贴纸覆盖UPC 会挡住文字/图案，在产品背面
找空白处粘贴价格贴纸即可。贴的时候要是会覆盖包装上重要的信息和图案，需要告知跟单。</t>
  </si>
  <si>
    <t>Jessi Xu</t>
  </si>
  <si>
    <t>88988-1.11</t>
  </si>
  <si>
    <t>客户PO#383019
406</t>
  </si>
  <si>
    <t>4500151472-100</t>
  </si>
  <si>
    <t>88981-1.10</t>
  </si>
  <si>
    <t>DD’S DISCOUNTS</t>
  </si>
  <si>
    <t>4500150308-10</t>
  </si>
  <si>
    <t>日期码格式：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 #77516 收缩膜用3L+空白贴纸</t>
  </si>
  <si>
    <t>Taylor Liao</t>
  </si>
  <si>
    <t>94145-1.21</t>
  </si>
  <si>
    <t>0881410086
STATESBORO</t>
  </si>
  <si>
    <t>4500153681-10</t>
  </si>
  <si>
    <t>2025/1/14第三方验货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</si>
  <si>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</si>
  <si>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12/20 寄出RFID贴纸</t>
  </si>
  <si>
    <t>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</si>
  <si>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94124-1.20</t>
  </si>
  <si>
    <t>0881410104
ELWOOD</t>
  </si>
  <si>
    <t>4500153681-20</t>
  </si>
  <si>
    <t>94051-1.15</t>
  </si>
  <si>
    <t>0881410110
EASTVALE</t>
  </si>
  <si>
    <t>4500153681-30</t>
  </si>
  <si>
    <t>0881410111
HOUSTON</t>
  </si>
  <si>
    <t>4500153681-40</t>
  </si>
  <si>
    <t>0881410114  SUFFOLK</t>
  </si>
  <si>
    <t>4500153681-50</t>
  </si>
  <si>
    <t>0881410121
MOBILE</t>
  </si>
  <si>
    <t>4500153681-60</t>
  </si>
  <si>
    <t>94084-1.17</t>
  </si>
  <si>
    <t>0881410134
RIDGEVILLE SC</t>
  </si>
  <si>
    <t>4500153681-70</t>
  </si>
  <si>
    <t>TJX COMPANIES, INC</t>
  </si>
  <si>
    <t>TJ MAXX
DC#891-120PCS
,
DC#894-96PCS,
DC#896-96PCS,
DC#897-192PCS
,
DC#898-96PCS</t>
  </si>
  <si>
    <t>4500147801-40</t>
  </si>
  <si>
    <t>欠客供价格贴纸+空白贴纸</t>
  </si>
  <si>
    <t>日期码格式：ZURU INC(BVI) 标准格式 日期：按实际生产日期
Packaging Info: MA UPC包装+价格贴纸，价格贴纸客供。#77486 球的收缩膜用无条码版本或者加空白贴纸覆盖条码信息。
Remark: 1. 产品和包装上印刷tracking code信息，格式为ZURU常规格式。
2. 分5个DC出货，每款产品每个DC的箱唛资料不同。具体分DC数量，请参考后面行项目备注。
3. ZURU QC验货。</t>
  </si>
  <si>
    <t>Emily Wu</t>
  </si>
  <si>
    <t>94280-2.18</t>
  </si>
  <si>
    <t>Marshalls
DC#881-120PCS
,
DC#884-96PCS,
DC#886-132PCS
,
DC#887-120PCS
,
DC#888-132PCS</t>
  </si>
  <si>
    <t>4500147799-40</t>
  </si>
  <si>
    <t>94278-2.18</t>
  </si>
  <si>
    <t>4500150464-30</t>
  </si>
  <si>
    <t>pass</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</si>
  <si>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t>
  </si>
  <si>
    <t>94486-3.7</t>
  </si>
  <si>
    <t>Cladellas 2000 S.L</t>
  </si>
  <si>
    <t>西班牙</t>
  </si>
  <si>
    <t>4500153372-60</t>
  </si>
  <si>
    <t>1/15 出货</t>
  </si>
  <si>
    <t>日期码格式：ZURU INC(BVI) 标准格式 日期：按实际生产日期
Packaging Info:
6.77485GQ7：最新MA 3L EAN 版本包装+一张客户警语贴纸（含环保标）+MA 5L 收藏指南+MA 3L PDQ；
Remark: 产品均符合EU微塑料法规要求：不含有微塑料，不含有闪粉；
此单需要在年前出货，请注意安排装柜人员；</t>
  </si>
  <si>
    <t>Sherry Chen</t>
  </si>
  <si>
    <t>94203-2.10</t>
  </si>
  <si>
    <t>MILLS FLEET FARM</t>
  </si>
  <si>
    <t>MPO03108</t>
  </si>
  <si>
    <t>子件于2025年1月21日送到库有混装</t>
  </si>
  <si>
    <r>
      <rPr>
        <sz val="10"/>
        <rFont val="等线"/>
        <charset val="134"/>
      </rPr>
      <t xml:space="preserve">Remark:1.包装:ZURU MA 1L UPC最新包装;出口美国2.日期跟踪码:产品外包装及产品本身都必须有日期跟踪码，并且确保两者的日期跟踪码要一致;2URU标准格式日期码(请自行调整具体年月日生产期,但不能为周末)该单是多工厂混装，为了统一，日期可以统一打2025年1月16日
3.按照Zuru MA 标板配比
4.子件于2025年1月21日送到库有混装,产品包菠上需做好标识,以便组装厂识别组装时避免重复字,送货到库有厂时送货单请备注上:客供子件给Mils Fleet Farm p4500153457 </t>
    </r>
    <r>
      <rPr>
        <sz val="10"/>
        <color rgb="FFFF0000"/>
        <rFont val="等线"/>
        <charset val="134"/>
      </rPr>
      <t>#MSLD121-S001</t>
    </r>
    <r>
      <rPr>
        <sz val="10"/>
        <rFont val="等线"/>
        <charset val="134"/>
      </rPr>
      <t>混装用。</t>
    </r>
  </si>
  <si>
    <t>Mila Yao</t>
  </si>
  <si>
    <t>94409-2.28</t>
  </si>
  <si>
    <t>CORPORACION FAVORITA C.A.</t>
  </si>
  <si>
    <t>厄瓜多尔</t>
  </si>
  <si>
    <t>24-1067174JEC</t>
  </si>
  <si>
    <t>4500153836-20</t>
  </si>
  <si>
    <t>日期码格式：LOTE 格式：例如2025-01 日期： 
Packaging Info: 77485GQ7：MA 5L 收藏指南+MA 3L 包装+UPC 贴纸+MA 3L PDQ 包装+进口商贴纸+箱唛
Remark:
 客户有LOTE 格式：例如2025-01. ，外箱箱唛，产品批号需要与进口商贴纸保持一致。</t>
  </si>
  <si>
    <t>94144-1.21</t>
  </si>
  <si>
    <t>CENTRO CUESTA NACIONAL</t>
  </si>
  <si>
    <t>多米尼加共和国</t>
  </si>
  <si>
    <t>4500153864-80</t>
  </si>
  <si>
    <t xml:space="preserve">日期码格式：2025-01 日期：
Packaging Info:
77485GQ7：MA 5L 收藏指南+MA 3L 包装+UPC 贴纸+MA 3L PDQ 包装+箱唛
Remark: </t>
  </si>
  <si>
    <t>94113-1.18</t>
  </si>
  <si>
    <t>4500152749-10</t>
  </si>
  <si>
    <t>77485GQ4-S002</t>
  </si>
  <si>
    <t>WIC贴纸（WIC#744431）</t>
  </si>
  <si>
    <t>日期码格式：ZURU INC(BVI) 标准格式:DG20250207 日期：02-07-2025 Tracking Code:
Packaging Info:
Remark: 客版1L PDQ +MA 1L包装 + WIC贴纸（WIC#744431）+ MA 收藏指南 + PDQ折页 （同PO 4500142744）
 产品和包装上面要有ZURU 标准格式TRACKING CODE， DG20250207</t>
  </si>
  <si>
    <t>94189-2.8</t>
  </si>
  <si>
    <t>待定</t>
  </si>
  <si>
    <t>4500152749-20</t>
  </si>
  <si>
    <t>4500152749-30</t>
  </si>
  <si>
    <t>4500152749-40</t>
  </si>
  <si>
    <t>4500152749-50</t>
  </si>
  <si>
    <t>4500152749-60</t>
  </si>
  <si>
    <t>4500152749-70</t>
  </si>
  <si>
    <t>4500152538-2:
FB12127</t>
  </si>
  <si>
    <t>4500152538-60</t>
  </si>
  <si>
    <t>条码贴翻订单4500148687</t>
  </si>
  <si>
    <t>日期码格式：ZURU INC(BVI) 标准格式 日期：按实际生产日期
Packaging Info:
77485GQ6：MA最新1L配套包装+客户EAN条码贴一张覆盖ZURU 原条码，条码贴翻订单4500148687。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</si>
  <si>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Amy Ding</t>
  </si>
  <si>
    <t>94275-2.18</t>
  </si>
  <si>
    <t>4500152538-3:
FB12155</t>
  </si>
  <si>
    <t>4500152538-150</t>
  </si>
  <si>
    <t>4500147804-50</t>
  </si>
  <si>
    <t>94381-2.27</t>
  </si>
  <si>
    <t>4500147806-50</t>
  </si>
  <si>
    <t>94380-2.27</t>
  </si>
  <si>
    <t>TJX Australia Pty Limited</t>
  </si>
  <si>
    <t>澳大利亚</t>
  </si>
  <si>
    <t>CUS PO#885182</t>
  </si>
  <si>
    <t>4500154316-10</t>
  </si>
  <si>
    <r>
      <rPr>
        <sz val="10"/>
        <rFont val="等线"/>
        <charset val="134"/>
      </rPr>
      <t xml:space="preserve">日期码格式：ZURU INC(BVI) 标准格式 日期：按实际生产日期
Packaging Info: 包装：
 77486: </t>
    </r>
    <r>
      <rPr>
        <sz val="10"/>
        <color rgb="FFFF0000"/>
        <rFont val="等线"/>
        <charset val="134"/>
      </rPr>
      <t>客版PVC桶_UPC版本+MA收缩膜和收藏指南（UPC条码用1张空白贴纸盖住）+箱唛+1张客供贴纸；（首选1L，无1L可用多L含英语）</t>
    </r>
    <r>
      <rPr>
        <sz val="10"/>
        <rFont val="等线"/>
        <charset val="134"/>
      </rPr>
      <t xml:space="preserve">
 Ratio：
Remark: 1.箱唛不可出现任何手写内容，重量与实际须一致且不可手写;
 2.产品上贴客供价格贴纸，贴纸位置为产品正面右上角，不能遮住产品信息；请与跟单确认贴纸位置后再生产大货；
 3.订单每行对应客人不同的PO，即同款item的价格贴纸都不相同，请注意收到贴纸后不要弄混!（CUS PO号请参考行项目Remark）
 4. 此单去澳大利亚，请按相应澳新标准生产并满足当地法规要求;
 5.ZURU QC验货。
 6.产品和包装上要有tracking label信息：日期码格式为Zuru标准格式；</t>
    </r>
  </si>
  <si>
    <t>Christine Liao</t>
  </si>
  <si>
    <t>94276-2.18</t>
  </si>
  <si>
    <t>CUS PO#885186</t>
  </si>
  <si>
    <t>4500154316-50</t>
  </si>
  <si>
    <t>CUS PO#885190</t>
  </si>
  <si>
    <t>4500154316-90</t>
  </si>
  <si>
    <t>4500151537-10</t>
  </si>
  <si>
    <t>ROSS通用排版</t>
  </si>
  <si>
    <t>客供价格贴纸</t>
  </si>
  <si>
    <t>日期码格式：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t>
  </si>
  <si>
    <t>ZB00019-3.20</t>
  </si>
  <si>
    <t>0885773823
SUFFOLK</t>
  </si>
  <si>
    <t>4500154532-10</t>
  </si>
  <si>
    <t>3/4 SI</t>
  </si>
  <si>
    <t>外箱印刷带条码的RFID箱唛：RFID紫色色带+WM Dept.图标+RFID图标+ITF-14条码，四面右下角印刷ZURU logo, ITFF条码只印刷在正唛一面，在加印的时候确保
 条形码能扫描出来，外箱侧面任一角落加印："MADE IN CHINA" 字样；</t>
  </si>
  <si>
    <t>欠RFID贴纸</t>
  </si>
  <si>
    <t>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</si>
  <si>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94290-2.19</t>
  </si>
  <si>
    <t>0885773840
STATESBORO</t>
  </si>
  <si>
    <t>4500154532-20</t>
  </si>
  <si>
    <t>94268-2.17</t>
  </si>
  <si>
    <t>0885773843
HOUSTON</t>
  </si>
  <si>
    <t>4500154532-30</t>
  </si>
  <si>
    <t>94336-2.24  94474-3.6</t>
  </si>
  <si>
    <t>0885773844
RIDGEVILLE SC</t>
  </si>
  <si>
    <t>4500154532-40</t>
  </si>
  <si>
    <t>94336-2.24</t>
  </si>
  <si>
    <t>0885773845 EASTVALE</t>
  </si>
  <si>
    <t>4500154532-50</t>
  </si>
  <si>
    <t>94362-2.26</t>
  </si>
  <si>
    <t>0885773895
MOBILE</t>
  </si>
  <si>
    <t>4500154532-60</t>
  </si>
  <si>
    <t>KOTRYNA GROUP, UAB</t>
  </si>
  <si>
    <t>立陶宛</t>
  </si>
  <si>
    <t>4500154811-20</t>
  </si>
  <si>
    <t>进口商贴纸（贴纸翻4500135326 &lt;(&gt;&amp;&lt;)&gt; 4500135339）</t>
  </si>
  <si>
    <t>日期码格式：ZURU INC(BVI) 标准格式 日期：按实际生产日期 
Packaging Info: 
 77485GQ6：B 版 1L MA 收缩膜+进口商贴纸（贴纸翻4500135326 &lt;(&gt;&amp;&lt;)&gt; 4500135339）；A 版 1L MA PDQ/ B 版 5L MA 收藏指南
Remark: 1、若产品有比例使用ZURU STD 比例
 2、所有item 均用MA UPC 条码，若包装不是UPC 条码的请告知
 3、此单出欧洲需满足EU测试标准要求。另外若产品本身含闪粉则需要出符合欧洲微塑料版本的产品</t>
  </si>
  <si>
    <t>Snowy</t>
  </si>
  <si>
    <t>94291-2.19</t>
  </si>
  <si>
    <t>AMAZON.COM.DEDC,LLC</t>
  </si>
  <si>
    <t>58SRIN4E</t>
  </si>
  <si>
    <t>4500153992-30</t>
  </si>
  <si>
    <t>日期码格式： 标准格式 日期：按实际生产日期
Packaging Info:
 #77486：2PK #77485入PVC圆筒。收藏指南用MA 5L，收缩膜用MA 1L不带UPC版。2PK铜版纸图稿翻单4500141223(两个球的配比不能重复)。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LCL散货， 直接送货到CDS保税仓</t>
  </si>
  <si>
    <t>kelly/Mia</t>
  </si>
  <si>
    <t>94376-2.27</t>
  </si>
  <si>
    <t>4AOAWCYU</t>
  </si>
  <si>
    <t>4500154101-140</t>
  </si>
  <si>
    <t>日期码格式： 标准格式 日期：按实际生产日期 
Packaging Info: 
 #77486：2PK #77485入PVC圆筒。收藏指南用MA 5L，收缩膜用MA 1L不带UPC版。2PK铜版纸图稿翻单4500141223。(两个球的配比不能重复)。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</si>
  <si>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94337-2.24</t>
  </si>
  <si>
    <t>Distribuidora Liverpool S.A de C.V.</t>
  </si>
  <si>
    <t>4500149460-150</t>
  </si>
  <si>
    <t>进口商贴纸翻单之前PO#4500137056</t>
  </si>
  <si>
    <t>日期码格式：ZURU INC(BVI) 标准格式 日期：按实际生产日期
Packaging Info:77485GQ7:MA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</si>
  <si>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94382-2.27</t>
  </si>
  <si>
    <t>4500151307-90</t>
  </si>
  <si>
    <t>UPC贴纸+进口商贴纸+客供价标贴纸</t>
  </si>
  <si>
    <t>日期码格式：ZURU INC(BVI) 标准格式 日期：按实际生产日期
Packaging Info:
77485GQ7:MA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</si>
  <si>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94352-2.25</t>
  </si>
  <si>
    <t>AMIC TRADING (PTY) LTD</t>
  </si>
  <si>
    <t>南非</t>
  </si>
  <si>
    <t>PO#6006-00522
6PI#110002571
5-2</t>
  </si>
  <si>
    <t>4500154694-40</t>
  </si>
  <si>
    <t>日期码格式：ZURU INC(BVI) 标准格式 日期：按实际生产日期 
Packaging Info: MA PKG, 优先1L +1张进口商贴纸（贴条码附近空白处，不得遮挡日期码）
 该客户只有一款进口商贴纸，所有款通用，进口商贴纸AW可翻此客户旧订单
Remark:</t>
  </si>
  <si>
    <t>Doris Shou</t>
  </si>
  <si>
    <t>94351-2.25</t>
  </si>
  <si>
    <t>TOYS "R" US – JAPAN, LTD</t>
  </si>
  <si>
    <t>日本</t>
  </si>
  <si>
    <t>47:0003113849</t>
  </si>
  <si>
    <t>4500154656-10</t>
  </si>
  <si>
    <t>日期码格式：ZURU INC(BVI) 标准格式 日期：按实际生产日期 
Packaging Info: 77485GQ7：MA 1L PKG+1张日语警语贴纸
Remark: 出日本首单需安排样板测试， 请按邮件要求先寄出MA包装的样板做测试。
 大货的产品内容和MA包装版本以及产品品质需严格跟到寄出的测试版。</t>
  </si>
  <si>
    <t>94602-3.21</t>
  </si>
  <si>
    <t>FB12131</t>
  </si>
  <si>
    <t>4500154847-60</t>
  </si>
  <si>
    <t>客户EAN条码（翻单4500148687）</t>
  </si>
  <si>
    <t>日期码格式：ZURU INC(BVI) 标准格式 日期：按实际生产日期 
Packaging Info: 
 77485GQ6: MA最新1L配套包装+客户EAN条码（翻单4500148687）覆盖ZURU 原条码，MA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</si>
  <si>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</si>
  <si>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0885773851
EASTVALE</t>
  </si>
  <si>
    <t>4500154533-10</t>
  </si>
  <si>
    <t>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</si>
  <si>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94543-3.13</t>
  </si>
  <si>
    <t>0885773855
MOBILE</t>
  </si>
  <si>
    <t>4500154533-20</t>
  </si>
  <si>
    <t>94451-3.5</t>
  </si>
  <si>
    <t>0885773864
STATESBORO</t>
  </si>
  <si>
    <t>4500154533-30</t>
  </si>
  <si>
    <t>94490-3.7</t>
  </si>
  <si>
    <t>0885773871
SUFFOLK</t>
  </si>
  <si>
    <t>4500154533-40</t>
  </si>
  <si>
    <t>0885773885 HOUSTON</t>
  </si>
  <si>
    <t>4500154533-50</t>
  </si>
  <si>
    <t>94571-3.17</t>
  </si>
  <si>
    <t>0885773894
RIDGEVILLE SC</t>
  </si>
  <si>
    <t>4500154533-60</t>
  </si>
  <si>
    <t>94512-3.11</t>
  </si>
  <si>
    <t>PPTOYS PTE LTD (SG)</t>
  </si>
  <si>
    <t>新加坡</t>
  </si>
  <si>
    <t>ZU24120901SG</t>
  </si>
  <si>
    <t>4500154572-40</t>
  </si>
  <si>
    <t>贴纸AW、位置图翻单如下：
 77485-4500131403</t>
  </si>
  <si>
    <t xml:space="preserve">日期码格式：ZURU INC(BVI) 标准格式 日期：按实际生产日期 
Packaging Info: MA UPC包装（优先1L)+1张进口商贴纸
 贴纸AW、位置图翻单如下：
 77485-4500131403
 所有item的贴纸图稿一模一样，请一起订购节省成本。
Remark: </t>
  </si>
  <si>
    <t>Emma Wu</t>
  </si>
  <si>
    <t>94491-3.7</t>
  </si>
  <si>
    <t>4500154604-140</t>
  </si>
  <si>
    <t>UPC贴纸/进口商贴纸翻单PO4500137056</t>
  </si>
  <si>
    <r>
      <rPr>
        <sz val="10"/>
        <rFont val="等线"/>
        <charset val="134"/>
      </rPr>
      <t>日期码格式：ZURU INC(BVI) 标准格式 日期：按实际生产日期
Packaging Info: 
 77485GQ7:MA 3LEAN包装+UPC贴纸+进口商贴纸+价标贴纸+箱唛，</t>
    </r>
    <r>
      <rPr>
        <sz val="10"/>
        <color rgb="FFFF0000"/>
        <rFont val="等线"/>
        <charset val="134"/>
      </rPr>
      <t>UPC贴纸/进口商贴纸翻单PO4500137056</t>
    </r>
    <r>
      <rPr>
        <sz val="10"/>
        <rFont val="等线"/>
        <charset val="134"/>
      </rPr>
      <t xml:space="preserve">
Remark: 1. 此单价格贴纸（ZURU定购).
2.此单有第三方监柜，不用额外准备备品，会在大货中每款拆1pc，拆了包装的产品会由监装员用客供胶带封好或在外箱上写上""opened by telescope”</t>
    </r>
  </si>
  <si>
    <t>94525-3.12</t>
  </si>
  <si>
    <t>Fratello (PTY) Ltd</t>
  </si>
  <si>
    <t>4500155828-30</t>
  </si>
  <si>
    <t>77485SK1-S002</t>
  </si>
  <si>
    <r>
      <rPr>
        <sz val="11"/>
        <rFont val="Arial"/>
        <charset val="134"/>
      </rPr>
      <t>3</t>
    </r>
    <r>
      <rPr>
        <sz val="11"/>
        <rFont val="宋体"/>
        <charset val="134"/>
      </rPr>
      <t>代迷你小手袋</t>
    </r>
    <r>
      <rPr>
        <sz val="11"/>
        <rFont val="Arial"/>
        <charset val="134"/>
      </rPr>
      <t xml:space="preserve">
</t>
    </r>
    <r>
      <rPr>
        <sz val="11"/>
        <rFont val="宋体"/>
        <charset val="134"/>
      </rPr>
      <t>展示架</t>
    </r>
    <r>
      <rPr>
        <sz val="11"/>
        <rFont val="Arial"/>
        <charset val="134"/>
      </rPr>
      <t>/</t>
    </r>
    <r>
      <rPr>
        <sz val="11"/>
        <rFont val="宋体"/>
        <charset val="134"/>
      </rPr>
      <t>带底座</t>
    </r>
  </si>
  <si>
    <r>
      <rPr>
        <sz val="10"/>
        <rFont val="等线"/>
        <charset val="134"/>
      </rPr>
      <t>日期码格式：ZURU INC(BVI) 标准格式 日期：按实际生产日期
Packaging Info:
 77485SK1: 展架MA</t>
    </r>
    <r>
      <rPr>
        <sz val="10"/>
        <color rgb="FFFF0000"/>
        <rFont val="等线"/>
        <charset val="134"/>
      </rPr>
      <t xml:space="preserve"> 3L</t>
    </r>
    <r>
      <rPr>
        <sz val="10"/>
        <rFont val="等线"/>
        <charset val="134"/>
      </rPr>
      <t xml:space="preserve"> PKG, 收缩膜MA 1L PKG, 收藏指南MA 5L PKG
Remark:</t>
    </r>
  </si>
  <si>
    <t>94513-3.11</t>
  </si>
  <si>
    <t>SEARS MEXICO</t>
  </si>
  <si>
    <t>4500153293-10</t>
  </si>
  <si>
    <t>日期码格式：ZURU INC(BVI) 标准格式 日期：按实际生产日期
Packaging Info: 77485GQ7：MA 5L 收藏指南+MA 3L 包装+UPC 贴纸+MA 3L PDQ 包装+进口商贴纸+箱唛
Remark:</t>
  </si>
  <si>
    <t>94489-3.7</t>
  </si>
  <si>
    <t>4500156777-10</t>
  </si>
  <si>
    <t>94542-3.13</t>
  </si>
  <si>
    <t>DISTRIBUIDORA JUGUETRON S.A. DE C.V</t>
  </si>
  <si>
    <t>4500156374-80</t>
  </si>
  <si>
    <t>此单有第三方监柜，需要每款多备1套完整物料</t>
  </si>
  <si>
    <t>日期码格式：ZURU INC(BVI) 标准格式 日期：按实际生产日期 
Packaging Info: 77485GQ7:MA 3L EAN包装+UPC贴纸+MA 3L PDQ+外箱贴纸+进口商贴纸+箱唛
Remark: 此单有第三方监柜，需要每款多备1套完整物料</t>
  </si>
  <si>
    <t>94515-3.11</t>
  </si>
  <si>
    <t>4500154624-140</t>
  </si>
  <si>
    <t>日期码格式：ZURU INC(BVI) 标准格式 日期：按实际生产日期 
Packaging Info: 
77485GQ7:MA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</si>
  <si>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94698-4.3</t>
  </si>
  <si>
    <t>0891979243
ELWOOD</t>
  </si>
  <si>
    <t>4500156438-10</t>
  </si>
  <si>
    <t>ZB00011-3.19</t>
  </si>
  <si>
    <t>0891979244
RIDGEVILLE SC</t>
  </si>
  <si>
    <t>4500156438-20</t>
  </si>
  <si>
    <t>ZB00036</t>
  </si>
  <si>
    <t>0891979249
MOBILE</t>
  </si>
  <si>
    <t>4500156438-30</t>
  </si>
  <si>
    <t>ZB00032</t>
  </si>
  <si>
    <t>0891979260
HOUSTON</t>
  </si>
  <si>
    <t>4500156438-40</t>
  </si>
  <si>
    <t>0891979261 STATESBORO</t>
  </si>
  <si>
    <t>4500156438-50</t>
  </si>
  <si>
    <t>ZB00072</t>
  </si>
  <si>
    <t>0891979269
SUFFOLK</t>
  </si>
  <si>
    <t>4500156438-60</t>
  </si>
  <si>
    <t>ZB00077</t>
  </si>
  <si>
    <t>0897254649</t>
  </si>
  <si>
    <t>4500157306-10</t>
  </si>
  <si>
    <t>ZB00014-3.19</t>
  </si>
  <si>
    <t>Ambiental Paraguay</t>
  </si>
  <si>
    <t>巴拉圭</t>
  </si>
  <si>
    <t>4500156544-60</t>
  </si>
  <si>
    <t>日期码格式：ZURU INC(BVI) 标准格式 日期：按实际生产日期 
Packaging Info: 77485GQ6:MA 3L EAN包装+进口商贴纸（进口商贴纸+UPC贴纸合并为一张）+箱唛
Remark:</t>
  </si>
  <si>
    <t>94726-4.8</t>
  </si>
  <si>
    <t>77485GQ6-S001-3L</t>
  </si>
  <si>
    <t>IMPORTADORA CHICOCOS</t>
  </si>
  <si>
    <t>玻利维亚</t>
  </si>
  <si>
    <t>4500158356-110</t>
  </si>
  <si>
    <t xml:space="preserve">日期码格式：ZURU INC(BVI) 标准格式 日期：按实际生产日期 
Packaging Info: 
 77485GQ7: MA多语EAN包装+UPC贴纸+MA PDQ包装+箱唛
Remark: </t>
  </si>
  <si>
    <t>94687-4.1</t>
  </si>
  <si>
    <t>ZMPO250257</t>
  </si>
  <si>
    <t>142空球</t>
  </si>
  <si>
    <t>Remark:大货最新版本/142PCS空球要用大货收缩膜收缩好;备注： 收到样品订单后尽快安排 ，注意样板品质质量要求要高于大货品质质量 ，送货时必须要附带送货单(没有送货单和QC检验合格报告的仓库一律拒绝收货)，请知悉，谢谢！</t>
  </si>
  <si>
    <t>Angus</t>
  </si>
  <si>
    <t>*</t>
  </si>
  <si>
    <t>7套散件</t>
  </si>
  <si>
    <t>Remark:大货最新版本/只需要齐全套散件，每款散件不要用纸袋子装，用透明塑胶袋装即可/麻烦用胶袋分装好一套为一袋;备注： 收到样品订单后尽快安排 ，注意样板品质质量要求要高于大货品质质量 ，送货时必须要附带送货单(没有送货单和QC检验合格报告的仓库一律拒绝收货)，请知悉，谢谢！</t>
  </si>
  <si>
    <t>CatchMe.lk (PVT) LTD</t>
  </si>
  <si>
    <t>斯里兰卡</t>
  </si>
  <si>
    <t>4500159239-10</t>
  </si>
  <si>
    <t>日期码格式：ZURU INC(BVI) 标准格式 日期：按实际生产日期
Packaging Info: MA PKG, 优先1L(UPC 条码）
Remark: 出斯里兰卡，需送货到汕头仓库</t>
  </si>
  <si>
    <t>94841-4.25</t>
  </si>
  <si>
    <t>Walmart Central America</t>
  </si>
  <si>
    <t>萨尔瓦多</t>
  </si>
  <si>
    <t>4500158302-40</t>
  </si>
  <si>
    <t>3/24，使用双坑外箱</t>
  </si>
  <si>
    <t>日期码格式：ZURU INC(BVI) 标准格式 日期：按实际生产日期 
Packaging Info: 1. 77485GQ7：MA 3L EAN包装+UPC贴纸+MA 3L PDQ包装+MA多语收藏指南+进口商贴纸+箱唛
Remark: 1.使用双坑外箱
 2.请注意产品包装条形码必须是UPC
 3.无第三方验货</t>
  </si>
  <si>
    <t>94865-4.28</t>
  </si>
  <si>
    <t>Walmart Central America-NI</t>
  </si>
  <si>
    <t>尼加拉瓜</t>
  </si>
  <si>
    <t>4500158358-20</t>
  </si>
  <si>
    <t>日期码格式：ZURU INC(BVI) 标准格式 日期：按实际生产日期
Packaging Info: 1. 77485GQ7：MA 3L EAN包装+UPC贴纸+MA 3L PDQ包装+MA多语收藏指南+进口商贴纸+箱唛
 所有贴纸翻单PO 4500158302
Remark: 1.使用双坑外箱
 2.请注意产品包装条形码必须是UPC
 3.无第三方验货</t>
  </si>
  <si>
    <t>94934-5.6</t>
  </si>
  <si>
    <t>Walmart Central America-HN</t>
  </si>
  <si>
    <t>洪都拉斯</t>
  </si>
  <si>
    <t>4500158415-40</t>
  </si>
  <si>
    <t>日期码格式：ZURU INC(BVI) 标准格式 日期：按实际生产日期 
Packaging Info: 1. 77485GQ7：MA 3L EAN包装+UPC贴纸+MA 3L PDQ包装+MA多语收藏指南+进口商贴纸+箱唛
 以上所有贴纸翻单PO4500158302
Remark: 1.使用双坑外箱
 2.请注意产品包装条形码必须是UPC
 3.无第三方验货</t>
  </si>
  <si>
    <t>94891-4.30</t>
  </si>
  <si>
    <t>Walmart Central America-CR</t>
  </si>
  <si>
    <t>4500158535-40</t>
  </si>
  <si>
    <t>日期码格式：ZURU INC(BVI) 标准格式 日期：按实际生产日期
Packaging Info: 1.77485GQ7：MA 3L EAN包装+UPC贴纸+MA 3L PDQ包装+MA多语收藏指南+进口商贴纸+箱唛
 以上贴纸翻单PO 4500158302
Remark: 1.使用双坑外箱
 2.请注意产品包装条形码必须是UPC
 3.无第三方验货</t>
  </si>
  <si>
    <t>94882-4.29</t>
  </si>
  <si>
    <t>Walmart Central America-GT</t>
  </si>
  <si>
    <t>危地马拉</t>
  </si>
  <si>
    <t>4500158447-40</t>
  </si>
  <si>
    <t>94923-5.5</t>
  </si>
  <si>
    <t>Distruibuciones Universales, SA - D</t>
  </si>
  <si>
    <t>4500160421-90</t>
  </si>
  <si>
    <t xml:space="preserve">日期码格式：ZURU INC(BVI) 标准格式 日期：按实际生产日期
Packaging Info: 
77485GQ7: MA多语EAN包装+UPC贴纸+MA多语收藏指南+MA多语PDQ+箱唛
Remark: </t>
  </si>
  <si>
    <t>94795-4.18</t>
  </si>
  <si>
    <t>WALMART INC.</t>
  </si>
  <si>
    <t>0906735630
EASTVALE</t>
  </si>
  <si>
    <t>4500161593-10</t>
  </si>
  <si>
    <t>4/29 第三方验货</t>
  </si>
  <si>
    <t>RFID贴纸</t>
  </si>
  <si>
    <t>ZB00227-5.9</t>
  </si>
  <si>
    <t>0906735634
HOUSTON</t>
  </si>
  <si>
    <t>4500161593-20</t>
  </si>
  <si>
    <t>ZB00226-5.9</t>
  </si>
  <si>
    <t>MTA Trade</t>
  </si>
  <si>
    <t>哈萨克斯坦</t>
  </si>
  <si>
    <t>4500160671-80</t>
  </si>
  <si>
    <t>进口商贴纸(翻PO4500148660)</t>
  </si>
  <si>
    <t>日期码格式：ZURU INC(BVI) 标准格式 日期：按实际生产日期
Packaging Info:
77485GQ6：MA UPC 收缩膜（优先1L)+进口商贴纸(翻PO4500148660);MA指南;MA PDQ(优先1L)
Remark:
标准配比</t>
  </si>
  <si>
    <t>Cora Zhou</t>
  </si>
  <si>
    <t>94843-4.25</t>
  </si>
  <si>
    <t>AMAZON UK</t>
  </si>
  <si>
    <t>Amazon
UK:5VZ9DDZU</t>
  </si>
  <si>
    <t>4500160662-20</t>
  </si>
  <si>
    <t>空白外箱（加印带Zuru字样的最新logo，除了邮包盒直接做外箱的产品） + SSCC LABEL一张, 无箱唛，MADE IN CHINA 外箱只印一正一侧。箱唛资料按照给定的
标准去做即可，无需发回我方再行审批(新标准将另行通知)。</t>
  </si>
  <si>
    <t>日期码格式：ZURU INC(BVI) 标准格式 日期：按实际生产日期
Packaging Info: Amazon UK(15701A/15711B/71109D/71126/77486/92104H/9296A/9548)/FR(77555)/DE(9258G)
5. 77486：2pcs 77485入PVC tube, 12tubes/ctn; MA 1L收缩膜包装(无barcode)+MA 3L(5L warning)C收藏指南+其他最新版MA包装，客版 3L(5L warning)彩卡包装
+1张贴纸(IT环保标); capsule need to use "no barcode"shrink wrap version 参考翻单PO#4500114776;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</si>
  <si>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</si>
  <si>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95011-5.17</t>
  </si>
  <si>
    <t>TOY KINGDOM (PTY) LTD</t>
  </si>
  <si>
    <t>4500161136-40</t>
  </si>
  <si>
    <t>日期码格式：ZURU INC(BVI) 标准格式 日期：按实际生产日期
Packaging Info: MA PKG ,优先1L
Remark:</t>
  </si>
  <si>
    <t>94837-4.24</t>
  </si>
  <si>
    <t>UPD, INC.</t>
  </si>
  <si>
    <t>PO# 34715</t>
  </si>
  <si>
    <t>4500162408-20</t>
  </si>
  <si>
    <t>5/19出货</t>
  </si>
  <si>
    <t>Sia Liu</t>
  </si>
  <si>
    <t>ZB00271-5.19</t>
  </si>
  <si>
    <t>4500160573-10</t>
  </si>
  <si>
    <t xml:space="preserve"> 此单有第三方监柜，至少多备一套完整的物料用于监柜，请多备料。
 5.WM墨西哥防霉的新要求:货物必须在出货主箱和集装箱中按要求放置干燥剂，干燥剂指定品牌干霸
77485GQ7：需要在每箱放入6小包干燥剂，每包干燥剂重量2g
 如走柜货等loading plan 确认后再通知集装箱干燥剂数量</t>
  </si>
  <si>
    <r>
      <rPr>
        <sz val="10"/>
        <rFont val="等线"/>
        <charset val="134"/>
      </rPr>
      <t xml:space="preserve">日期码格式：LOTDGYYYYMMDD 日期：按实际生产日期
Packaging Info: 1. 77485GQ7： 3L MA EAN 收缩膜+新UPC条码贴纸+进口商贴纸+MA 5L 收藏指南+MA 3L PDQ+箱唛；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77485GQ7：需要在每箱放入6小包干燥剂，每包干燥剂重量2g
 如走柜货等loading plan 确认后再通知集装箱干燥剂数量
</t>
    </r>
    <r>
      <rPr>
        <sz val="10"/>
        <color rgb="FFFF0000"/>
        <rFont val="等线"/>
        <charset val="134"/>
      </rPr>
      <t xml:space="preserve"> 此单兴信将安排8*40HC柜子，每个HC需要放置10包干燥剂，每包干燥剂1KG</t>
    </r>
  </si>
  <si>
    <t>95123-5.29</t>
  </si>
  <si>
    <t>NUEVOS ALMACENES, S.A.</t>
  </si>
  <si>
    <t>4500162922-60</t>
  </si>
  <si>
    <t>5/16 第三方验货</t>
  </si>
  <si>
    <t>日期码格式：ZURU INC(BVI) 标准格式 日期：按实际生产日期
Packaging Info: 77485GQ7:MA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</si>
  <si>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t>95154-5.30</t>
  </si>
  <si>
    <t>BINGO GLOBAL GROUP FOR TRADING SUPP</t>
  </si>
  <si>
    <t>埃及</t>
  </si>
  <si>
    <t>4500159286-40</t>
  </si>
  <si>
    <t>日期码格式：ZURU INC(BVI) 标准格式 日期：按实际生产日期
Packaging Info:
77485GQ7: MA 3L EAN 收缩膜+ 进口商贴纸 +MA收藏指南; MA PDQ
Remark: 
77485GQ7: With 4 Demo</t>
  </si>
  <si>
    <t>Lena Huang</t>
  </si>
  <si>
    <t>95406-6.24</t>
  </si>
  <si>
    <t>Dream Blossom Ltd</t>
  </si>
  <si>
    <t>PO004</t>
  </si>
  <si>
    <t>4500163667-10</t>
  </si>
  <si>
    <r>
      <rPr>
        <sz val="10"/>
        <rFont val="等线"/>
        <charset val="134"/>
      </rPr>
      <t xml:space="preserve">日期码格式：ZURU INC(BVI) 标准格式 日期：按实际生产日期
Packaging Info: MA 1L PKG+1张日语贴纸, </t>
    </r>
    <r>
      <rPr>
        <sz val="10"/>
        <color rgb="FFFF0000"/>
        <rFont val="等线"/>
        <charset val="134"/>
      </rPr>
      <t>收缩膜和收藏指南上需各加一张6+贴纸覆盖原本的3+。</t>
    </r>
    <r>
      <rPr>
        <sz val="10"/>
        <rFont val="等线"/>
        <charset val="134"/>
      </rPr>
      <t xml:space="preserve">
Remark: 出日本， 待客户确认是否需寄板做QC check。</t>
    </r>
  </si>
  <si>
    <t>95076-5.26</t>
  </si>
  <si>
    <t>Amazon CA (Vendor Center)</t>
  </si>
  <si>
    <t>加拿大</t>
  </si>
  <si>
    <t>7KBF18JF</t>
  </si>
  <si>
    <t>4500163897-180</t>
  </si>
  <si>
    <t>日期码格式：ZURU INC(BVI) 标准格式 日期：按实际生产日期
Packaging Info: #77486 2PK #77485入PVC圆筒。收藏指南用MA 5L, 收缩膜用MA 3L+空白UPC贴纸， 空白UPC贴纸图稿跟翻单#4500128507。2PK 3L铜版纸图稿跟返单4500141223 。
（两个球的配比不能重复）。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</si>
  <si>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95153-5.30</t>
  </si>
  <si>
    <t>77486-S001-3L（无闪粉）</t>
  </si>
  <si>
    <t>7CWDLS4X</t>
  </si>
  <si>
    <t>4500163897-190</t>
  </si>
  <si>
    <t>Jiwildy Ltd</t>
  </si>
  <si>
    <t>毛里求斯</t>
  </si>
  <si>
    <t>4500163069-10</t>
  </si>
  <si>
    <r>
      <rPr>
        <sz val="10"/>
        <rFont val="等线"/>
        <charset val="134"/>
      </rPr>
      <t>日期码格式：ZURU INC(BVI) 标准格式 日期：按实际生产日期
Packaging Info:</t>
    </r>
    <r>
      <rPr>
        <sz val="10"/>
        <color rgb="FFFF0000"/>
        <rFont val="等线"/>
        <charset val="134"/>
      </rPr>
      <t xml:space="preserve"> MA PKG, 优先1L（全部为 UPC 12位数字的条码）</t>
    </r>
    <r>
      <rPr>
        <sz val="10"/>
        <rFont val="等线"/>
        <charset val="134"/>
      </rPr>
      <t xml:space="preserve">
Remark:</t>
    </r>
  </si>
  <si>
    <t>95208-6.5</t>
  </si>
  <si>
    <t>PI:1100028524
出RU</t>
  </si>
  <si>
    <t>4500162852-40</t>
  </si>
  <si>
    <t>6/10 出货</t>
  </si>
  <si>
    <r>
      <rPr>
        <sz val="10"/>
        <rFont val="等线"/>
        <charset val="134"/>
      </rPr>
      <t xml:space="preserve">日期码格式：ZURU INC(BVI) 标准格式 日期：按实际生产日期
Packaging Info: 77485GQ6：MA 1L 收缩膜+进口商贴纸； MA 说明书/指南（如有）；MA PDQ；
Remark: 标准配比
</t>
    </r>
    <r>
      <rPr>
        <sz val="10"/>
        <color rgb="FFFF0000"/>
        <rFont val="等线"/>
        <charset val="134"/>
      </rPr>
      <t>出两个国家 ；</t>
    </r>
  </si>
  <si>
    <t>CORA ZHOU</t>
  </si>
  <si>
    <t>95287-6.10</t>
  </si>
  <si>
    <t>4500163057-10</t>
  </si>
  <si>
    <t>此单每款需要准备1pc的监柜样板，请知悉并安排，谢谢</t>
  </si>
  <si>
    <t>6/9 出货</t>
  </si>
  <si>
    <t>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t>
  </si>
  <si>
    <t>日期码格式：ZURU INC(BVI) 标准格式 日期：按实际生产日期
Packaging Info: 1. 77486 2PK #77485入PVC圆筒。收藏指南用MA 5L+收缩膜用MA 3L+空白条码贴纸+2PK铜版纸图稿跟返单4500112191+进口商贴纸+SSCC label.（两个球的配比不能
重复）。
Remark: 1. Amazon FOB订单，出口Mexico，外箱最长边不能超过25" （超过了，case pack只能为1），不符合要求的大货，一律不接受。
2. 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3. 日期码使用ZURU标准版</t>
  </si>
  <si>
    <t>4500163057-70</t>
  </si>
  <si>
    <t>4500164861-90</t>
  </si>
  <si>
    <t>进口商贴纸和UPC贴纸翻单PO4500156374</t>
  </si>
  <si>
    <t>日期码格式：ZURU INC(BVI) 标准格式 日期：按实际生产日期
Packaging Info:77485GQ7:MA 3L EAN包装+进口商贴纸+UPC贴纸+外箱贴纸+箱唛，进口商贴纸和UPC贴纸翻单PO4500156374
Remark: 此单有第三方监柜，需要每款多备1套完整物料</t>
  </si>
  <si>
    <t>95250-6.9</t>
  </si>
  <si>
    <t xml:space="preserve"> WALMART INC.</t>
  </si>
  <si>
    <t>0917251810</t>
  </si>
  <si>
    <t>4500166203-10</t>
  </si>
  <si>
    <t>6/9 自检</t>
  </si>
  <si>
    <t>箱印刷带条码的RFID箱唛：RFID紫色色带+WM Dept.图标+RFID图标+ITF-14条码，四面右下角印刷ZURU logo, ITFF条码只印刷在正唛一面，在加印的时候确保
 条形码能扫描出来，外箱侧面任一角落加印："MADE IN CHINA" 字样；</t>
  </si>
  <si>
    <t>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</si>
  <si>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 xml:space="preserve"> Maggie Xie</t>
  </si>
  <si>
    <t>ZB00476-6.14</t>
  </si>
  <si>
    <t>0917251814</t>
  </si>
  <si>
    <t>4500166203-20</t>
  </si>
  <si>
    <t>ZB00477-6.14</t>
  </si>
  <si>
    <t>0917251815</t>
  </si>
  <si>
    <t>4500166203-30</t>
  </si>
  <si>
    <t>ZB00536-6.21</t>
  </si>
  <si>
    <t xml:space="preserve"> MODELTOYS LTD</t>
  </si>
  <si>
    <t>马耳他</t>
  </si>
  <si>
    <t>4500165702-10</t>
  </si>
  <si>
    <t>日期码格式：ZURU INC(BVI) 标准格式 日期：按实际生产日期
Packaging Info: 77485GQ7：B 版 1L MA 收缩膜+进口商贴纸；B版 5L MA 收藏指南/A 版1L MA PDQ
Remark: 1、若产品有比例使用ZURU STD 比例
 2、所有item 均用MA UPC 条码，若包装不是UPC 条码的请告知
 3、此单出欧洲需满足EU测试标准要求</t>
  </si>
  <si>
    <t xml:space="preserve"> Snowy</t>
  </si>
  <si>
    <t>95374-6.21</t>
  </si>
  <si>
    <t xml:space="preserve"> AMIC TRADING (PTY) LTD</t>
  </si>
  <si>
    <t xml:space="preserve"> 6006-007111</t>
  </si>
  <si>
    <t>4500165851-80</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</si>
  <si>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</si>
  <si>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</si>
  <si>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95460-6.20</t>
  </si>
  <si>
    <t>CONTINENTE S.A.</t>
  </si>
  <si>
    <t>哥伦比亚</t>
  </si>
  <si>
    <t>COL66-25-FALL</t>
  </si>
  <si>
    <t>4500163691-210</t>
  </si>
  <si>
    <t>日期码格式：DG20250520</t>
  </si>
  <si>
    <t>日期码格式：DG20250520 日期：
Packaging Info:
77485GQ2:MA 3L EAN 包装+进口商贴纸+UPC贴纸+箱唛
Remark:</t>
  </si>
  <si>
    <t>95523-7.1</t>
  </si>
  <si>
    <t>Ramp-s Corporation</t>
  </si>
  <si>
    <t>菲律宾</t>
  </si>
  <si>
    <t>PO4-25-0009</t>
  </si>
  <si>
    <t>4500167360-10</t>
  </si>
  <si>
    <t>日期码格式：ZURU INC(BVI) 标准格式 日期：按实际生产日期
Packaging Info: 77485GQ7-MA UPC包装（优先1L)+1张进口商贴纸,
Remark:</t>
  </si>
  <si>
    <t>95441-6.27</t>
  </si>
  <si>
    <t>0919543642</t>
  </si>
  <si>
    <t>4500167618-10</t>
  </si>
  <si>
    <t>ZB00594-6.27</t>
  </si>
  <si>
    <t>0919543650</t>
  </si>
  <si>
    <t>4500167618-20</t>
  </si>
  <si>
    <t>ZB00652-7.4</t>
  </si>
  <si>
    <t>0919543661</t>
  </si>
  <si>
    <t>4500167618-30</t>
  </si>
  <si>
    <t>ZB00721-7.10</t>
  </si>
  <si>
    <t>0919543669</t>
  </si>
  <si>
    <t>4500167618-40</t>
  </si>
  <si>
    <t>ZB00755-7.15</t>
  </si>
  <si>
    <t>ToyChamp Belgium nv</t>
  </si>
  <si>
    <t>比利时</t>
  </si>
  <si>
    <t>250400000359</t>
  </si>
  <si>
    <t>4500166992-30</t>
  </si>
  <si>
    <t>日期码格式：ZURU INC(BVI) 标准格式 日期：按实际生产日期
Packaging Info:
3.77485GQ7：MA 3L+5L EAN收缩膜+1张荷兰语警告语贴纸+MA 5L+21L收藏指南+MA 3L PDQ；
Remark: 1.STD配比；
2.外箱需要印条码，请确保条码可以清晰扫描且条码内容正确；
3.出欧洲，微塑料需合规（如item本身不含微塑料,则忽略此要求）;
4.所有产品需要符合REACH申明。</t>
  </si>
  <si>
    <t>Bella Wang</t>
  </si>
  <si>
    <t>95850-7.31</t>
  </si>
  <si>
    <t>NASA Panama</t>
  </si>
  <si>
    <t>巴拿马</t>
  </si>
  <si>
    <t>4500168705-50</t>
  </si>
  <si>
    <t>日期码格式：ZURU INC(BVI) 标准格式 日期：按实际生产日期
Packaging Info:77485GQ7:MA多语EAN+UPC贴纸+箱唛
Remark: 请确保包装上的条形码是UPC，如有不一致，请及时提出。谢谢！</t>
  </si>
  <si>
    <t>Aimee Huang</t>
  </si>
  <si>
    <t>95628-7.12</t>
  </si>
  <si>
    <t>4500168463-90</t>
  </si>
  <si>
    <t>95582-7.7</t>
  </si>
  <si>
    <t>2I877DQQ</t>
  </si>
  <si>
    <t>4500168205-30</t>
  </si>
  <si>
    <t>6/17 空白UPC贴纸图稿跟翻单#4500128507</t>
  </si>
  <si>
    <r>
      <rPr>
        <sz val="12"/>
        <rFont val="宋体"/>
        <charset val="134"/>
        <scheme val="minor"/>
      </rPr>
      <t xml:space="preserve">日期码格式：ZURU INC(BVI) 标准格式 日期：按实际生产日期
Packaging Info: 出口加拿大，包装需要至少2/3L UPC版，无硼版本。
#77486 :2PK #77485入PVC圆筒. 收缩膜用MA 3L+空白UPC贴纸， 空白UPC贴纸图稿跟翻单#4500128507。2PK 3L铜版纸图稿跟返单4500141223 。 </t>
    </r>
    <r>
      <rPr>
        <sz val="12"/>
        <color rgb="FFFF0000"/>
        <rFont val="宋体"/>
        <charset val="134"/>
        <scheme val="minor"/>
      </rPr>
      <t>（两个球的配比
不能重复）。 打5月份的日期码</t>
    </r>
    <r>
      <rPr>
        <sz val="12"/>
        <rFont val="宋体"/>
        <charset val="134"/>
        <scheme val="minor"/>
      </rPr>
      <t xml:space="preserv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</si>
  <si>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Kelly Shen</t>
  </si>
  <si>
    <t>95673-7.17</t>
  </si>
  <si>
    <t>NASA PANAMA</t>
  </si>
  <si>
    <t>4500173135-20</t>
  </si>
  <si>
    <t>转单4500168594</t>
  </si>
  <si>
    <t>日期码格式：ZURU INC(BVI) 标准格式 日期：按实际生产日期
Packaging Info: 77485GQ7:MA多语EAN+UPC贴纸+箱唛
Remark: 请确保包装上的条形码是UPC，如有不一致，请及时提出。谢谢！</t>
  </si>
  <si>
    <t>95691-7.18</t>
  </si>
  <si>
    <t>系统转单</t>
  </si>
  <si>
    <t>ZMPO250522</t>
  </si>
  <si>
    <t>15套散件</t>
  </si>
  <si>
    <t>Remark:大货最新版本/只需要齐全套散件，每款散件不要用纸袋子装，用透明塑胶袋装即可/麻烦用胶袋分装好一套为一袋                                                                                                                备注： 收到样品订单后尽快安排 ，注意样板品质质量要求要高于大货品质质量 ，送货时必须要附带送货单(没有送货单和QC检验合格报告的仓库一律拒绝收货)，请知悉，谢谢！</t>
  </si>
  <si>
    <t>95861-7.31</t>
  </si>
  <si>
    <t>#</t>
  </si>
  <si>
    <t>JSC 􀂫Grand-Trade􀂻</t>
  </si>
  <si>
    <t>客户PO:PGT-67
8235</t>
  </si>
  <si>
    <t>4500163216-30</t>
  </si>
  <si>
    <r>
      <rPr>
        <sz val="12"/>
        <rFont val="宋体"/>
        <charset val="134"/>
        <scheme val="minor"/>
      </rPr>
      <t>日期码格式：ZURU INC(BVI) 标准格式 日期：按实际生产日期
Packaging Info:
 77485GQ6：MA 1L 收缩膜+</t>
    </r>
    <r>
      <rPr>
        <sz val="12"/>
        <color rgb="FFFF0000"/>
        <rFont val="宋体"/>
        <charset val="134"/>
        <scheme val="minor"/>
      </rPr>
      <t>进口商贴纸+EAN条码贴+空白帖，MA 1L PDQ（PDQ和收缩膜有recycled material需要用贴纸覆盖）</t>
    </r>
    <r>
      <rPr>
        <sz val="12"/>
        <rFont val="宋体"/>
        <charset val="134"/>
        <scheme val="minor"/>
      </rPr>
      <t xml:space="preserve">
 2. 需要安排loading inspection (装柜现场监柜)；
 3. 外箱侧唛右上角各一张贴纸（共2张） ；
Remark: 标准配比</t>
    </r>
  </si>
  <si>
    <t>95654-7.15</t>
  </si>
  <si>
    <t>4500168730-70</t>
  </si>
  <si>
    <r>
      <rPr>
        <sz val="12"/>
        <rFont val="宋体"/>
        <charset val="134"/>
        <scheme val="minor"/>
      </rPr>
      <t>日期码格式：ZURU INC(BVI) 标准格式 日期：按实际生产日期
Packaging Info: 
77485GQ6：MA UPC收缩膜+</t>
    </r>
    <r>
      <rPr>
        <sz val="12"/>
        <color rgb="FFFF0000"/>
        <rFont val="宋体"/>
        <charset val="134"/>
        <scheme val="minor"/>
      </rPr>
      <t>进口商贴纸</t>
    </r>
    <r>
      <rPr>
        <sz val="12"/>
        <rFont val="宋体"/>
        <charset val="134"/>
        <scheme val="minor"/>
      </rPr>
      <t>；MA指南；MA PDQ;
Remark: 标准配比</t>
    </r>
  </si>
  <si>
    <t>95738-7.23</t>
  </si>
  <si>
    <t>N.V. DREAMLAND</t>
  </si>
  <si>
    <t>4500169123-70</t>
  </si>
  <si>
    <t>荷兰语警告语贴纸（翻单4500166992）</t>
  </si>
  <si>
    <t>日期码格式：ZURU INC(BVI) 标准格式 日期：按实际生产日期
Packaging Info:
7.77485GQ7：MA 3L+5L EAN收缩膜+1张荷兰语警告语贴纸（翻单4500166992）+MA 5L+21L收藏指南+MA 3L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</si>
  <si>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95892-8.2</t>
  </si>
  <si>
    <t>4500169495-230</t>
  </si>
  <si>
    <t>77485-S001-MTS</t>
  </si>
  <si>
    <t>Amazon 箱唛</t>
  </si>
  <si>
    <t>日期码格式：ZURU INC(BVI) 标准格式 日期：按实际生产日期
Packaging Info:
#77485: MA 1L-UPC版本;
Remark: 1.Amazon domestic 订单。出口美国。外箱最长边不能超过25" （超过了，case pack只能为1），不符合要求的大货，一律不接受。
2.无第三方验货/测试要求。
3.日期码使用ZURU标准版本。
4.邮包盒要印刷日期码。</t>
  </si>
  <si>
    <t>AMAZON CA (VENDOR CENTER)</t>
  </si>
  <si>
    <t>7VSO8UPU</t>
  </si>
  <si>
    <t>4500169971-160</t>
  </si>
  <si>
    <t>欠，空白UPC贴纸图稿跟翻单#4500128507</t>
  </si>
  <si>
    <r>
      <rPr>
        <sz val="12"/>
        <rFont val="宋体"/>
        <charset val="134"/>
        <scheme val="minor"/>
      </rPr>
      <t>日期码格式：ZURU INC(BVI) 标准格式 日期：按实际生产日期
Packaging Info:
#77486 :2PK #77485入PVC圆筒. 收缩膜用MA 3L+空白UPC贴纸， 空白UPC贴纸图稿跟翻单#4500128507。2PK 3L铜版纸图稿跟返单4500141223 。</t>
    </r>
    <r>
      <rPr>
        <sz val="12"/>
        <color rgb="FFFF0000"/>
        <rFont val="宋体"/>
        <charset val="134"/>
        <scheme val="minor"/>
      </rPr>
      <t>打5月份的日期码</t>
    </r>
    <r>
      <rPr>
        <sz val="12"/>
        <rFont val="宋体"/>
        <charset val="134"/>
        <scheme val="minor"/>
      </rPr>
      <t xml:space="preserve">
；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</si>
  <si>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96102-8.7</t>
  </si>
  <si>
    <t>61G5ZUWZ</t>
  </si>
  <si>
    <t>4500169971-170</t>
  </si>
  <si>
    <t>11T6FKSI</t>
  </si>
  <si>
    <t>4500169971-180</t>
  </si>
  <si>
    <t>1PK6CTDV</t>
  </si>
  <si>
    <t>4500169971-190</t>
  </si>
  <si>
    <t>248ID8QS</t>
  </si>
  <si>
    <t>4500170137-450</t>
  </si>
  <si>
    <r>
      <rPr>
        <sz val="12"/>
        <rFont val="宋体"/>
        <charset val="134"/>
        <scheme val="minor"/>
      </rPr>
      <t>日期码格式：ZURU INC(BVI) 标准格式 日期：按实际生产日期
Packaging Info:
#77486 :2PK #77485入PVC圆筒. 收缩膜用MA 3L+空白UPC贴纸， 空白UPC贴纸图稿跟翻单#4500128507。2PK 3L铜版纸图稿跟返单4500141223 。</t>
    </r>
    <r>
      <rPr>
        <sz val="12"/>
        <color rgb="FFFF0000"/>
        <rFont val="宋体"/>
        <charset val="134"/>
        <scheme val="minor"/>
      </rPr>
      <t>打5月份的日期码
（两个球的配比不能重复）。</t>
    </r>
    <r>
      <rPr>
        <sz val="12"/>
        <rFont val="宋体"/>
        <charset val="134"/>
        <scheme val="minor"/>
      </rPr>
      <t xml:space="preserve">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</si>
  <si>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96103-8.7</t>
  </si>
  <si>
    <t>3T5DUGWH</t>
  </si>
  <si>
    <t>4500170137-460</t>
  </si>
  <si>
    <t>6W99INSM</t>
  </si>
  <si>
    <t>4500170137-470</t>
  </si>
  <si>
    <t>4MD887CH</t>
  </si>
  <si>
    <t>4500170137-480</t>
  </si>
  <si>
    <t>1R3VP7LY</t>
  </si>
  <si>
    <t>4500170137-490</t>
  </si>
  <si>
    <t>AMAZON.COM SERVICES LLC</t>
  </si>
  <si>
    <t>7PHV8HOW</t>
  </si>
  <si>
    <t>4500168600-80</t>
  </si>
  <si>
    <t>日期码格式：ZURU INC(BVI) 标准格式 日期：按实际生产日期
Packaging Info:
#77485: MA 1L-UPC版本;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</si>
  <si>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ZB00925-7.28</t>
  </si>
  <si>
    <t>4500169604-130</t>
  </si>
  <si>
    <t>日期码格式：ZURU INC(BVI) 标准格式 日期：按实际生产日期
Packaging Info: 
77485GQ7: MA 3L EAN PKG+UPC 条码贴纸+MA 3L PDQ+MA 收藏指南+箱唛
Remark:</t>
  </si>
  <si>
    <t>96590-3-9.30</t>
  </si>
  <si>
    <t>61971743</t>
  </si>
  <si>
    <t>4500165982-220</t>
  </si>
  <si>
    <t>日期码格式：ZURU INC(BVI) 标准格式 日期：按实际生产日期
Packaging Info:77485GQ7:MA 3L EAN包装+UPC贴纸+进口商贴纸+价标贴纸+箱唛
Remark: 1. 此单价格贴纸（ZURU定购).
2.此单有第三方监柜，不用额外准备备品，会在大货中每款拆1pc，拆了包装的产品会由监装员用客供胶带封好或在外箱上写上""opened by telescope”</t>
  </si>
  <si>
    <t xml:space="preserve"> Ava Liang</t>
  </si>
  <si>
    <t>95894-8.2</t>
  </si>
  <si>
    <t>4500164920-130</t>
  </si>
  <si>
    <t>日期码格式：ZURU INC(BVI) 标准格式 日期：按实际生产日期
Packaging Info:
77485GQ7:MA 3L EAN包装+UPC贴纸+进口商贴纸+价标贴纸+箱唛
Remark: 1. 此单价格贴纸（ZURU定购).
2.此单有第三方监柜，不用额外准备备品，会在大货中每款拆1pc，拆了包装的产品会由监装员用客供胶带封好或在外箱上写上"opened by telescope"</t>
  </si>
  <si>
    <t>95893-8.2</t>
  </si>
  <si>
    <t>4500168775-40</t>
  </si>
  <si>
    <t>ZB01122-8.7</t>
  </si>
  <si>
    <t>TJ MAXX
PO#767791
SKU#135216
DC#891-168pcs
,
DC#894-120pcs
,
DC#896-60pcs,
DC#897-144pcs
,
DC#898-108pcs</t>
  </si>
  <si>
    <t>4500171922-70</t>
  </si>
  <si>
    <t>7/11 寄出</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</si>
  <si>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</si>
  <si>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ZB01105R1-8.6</t>
  </si>
  <si>
    <t>77486-S001-3L无条码</t>
  </si>
  <si>
    <t>TJ MAXX
PO#767798
SKU#135474
DC#891-444pcs
,
DC#894-288pcs
,
DC#896-264pcs
,
DC#897-504pcs
,
DC#898-300pcs</t>
  </si>
  <si>
    <t>4500171921-70</t>
  </si>
  <si>
    <t>ZB01244R1-8.13  ZB01285R1-8.16</t>
  </si>
  <si>
    <t>TJ MAXX
PO#767793
SKU#135919
DC#891-288pcs
,
DC#894-216pcs
,
DC#896-156pcs
,
DC#897-324pcs
,
DC#898-216pcs</t>
  </si>
  <si>
    <t>4500171924-70</t>
  </si>
  <si>
    <t>ZB01139-8.8</t>
  </si>
  <si>
    <t>Marshalls
PO#767788
SKU#855953
DC#881-312pcs
,
DC#884-300pcs
,
DC#886-264pcs
,
DC#887-372pcs
,
DC#888-348pcs</t>
  </si>
  <si>
    <t>4500171907-70</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</si>
  <si>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</si>
  <si>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ZB01158-8.8  ZB01208-8.12  ZB01230-8.13</t>
  </si>
  <si>
    <t>Marshalls
PO#767789
SKU#855181
DC#881-192pcs
,
DC#884-168pcs
,
DC#886-216pcs
,
DC#887-216pcs
,
DC#888-204pcs</t>
  </si>
  <si>
    <t>4500171908-70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</si>
  <si>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</si>
  <si>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ZB01137-8.8</t>
  </si>
  <si>
    <t>TJ MAXX
PO#767796
SKU#134942
DC#891-288pcs
,
DC#894-192pcs
,
DC#896-180pcs
,
DC#897-336pcs
,
DC#898-204pcs</t>
  </si>
  <si>
    <t>4500171919-70</t>
  </si>
  <si>
    <t>ZB01138R1-8.8</t>
  </si>
  <si>
    <t>Marshalls
PO#767787
SKU#855444
DC#881-192pcs
,
DC#884-168pcs
,
DC#886-228pcs
,
DC#887-216pcs
,
DC#888-192pcs</t>
  </si>
  <si>
    <t>4500171916-70</t>
  </si>
  <si>
    <t>ZB01243R1-8.13</t>
  </si>
  <si>
    <t>Marshalls
PO#767785
SKU#855692
DC#881-120pcs
,
DC#884-96pcs,
DC#886-132pcs
,
DC#887-132pcs
,
DC#888-120pcs</t>
  </si>
  <si>
    <t>4500171914-70</t>
  </si>
  <si>
    <t>ZB01222R1-8.12</t>
  </si>
  <si>
    <t>TJ MAXX
PO#767795
SKU#136173
DC#891-456pcs
,
DC#894-204pcs
,
DC#896-300pcs
,
DC#897-528pcs
,
DC#898-312pcs</t>
  </si>
  <si>
    <t>4500171918-70</t>
  </si>
  <si>
    <t>ZB01223R1-8.12</t>
  </si>
  <si>
    <t>Marshalls
PO#767790
SKU#856231
DC#881-312pcs
,
DC#884-276pcs
,
DC#886-336pcs
,
DC#887-348pcs
,
DC#888-324pcs</t>
  </si>
  <si>
    <t>4500171912-70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</si>
  <si>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</si>
  <si>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ZB01398-8.21</t>
  </si>
  <si>
    <t>TJ MAXX
PO#767791
SKU#135277
DC#891-240pcs
,
DC#894-176pcs
,
DC#896-96pcs,
DC#897-216pcs
,
DC#898-168pcs</t>
  </si>
  <si>
    <t>4500171922-130</t>
  </si>
  <si>
    <t>77601-S002</t>
  </si>
  <si>
    <t>3代迷你小手袋 3PK圆筒装</t>
  </si>
  <si>
    <t>TJ MAXX
PO#767798
SKU#135548
DC#891-296pcs
,
DC#894-192pcs
,
DC#896-176pcs
,
DC#897-336pcs
,
DC#898-200pcs</t>
  </si>
  <si>
    <t>4500171921-140</t>
  </si>
  <si>
    <t>TJ MAXX
PO#767793
SKU#135993
DC#891-216pcs
,
DC#894-160pcs
,
DC#896-120pcs
,
DC#897-248pcs,
DC#898-152pcs</t>
  </si>
  <si>
    <t>4500171924-130</t>
  </si>
  <si>
    <t>TJ MAXX
PO#767792
SKU#135792
DC#891-288pcs
,
DC#894-216pcs
,
DC#896-160pcs
,
DC#897-328pcs
,
DC#898-208pcs</t>
  </si>
  <si>
    <t>4500171923-90</t>
  </si>
  <si>
    <t>ZB01220-8.12</t>
  </si>
  <si>
    <t>Marshalls
PO#767788
SKU#856021
DC#881-152pcs
,
DC#884-112pcs,
DC#887-128pcs
,
DC#888-208pcs</t>
  </si>
  <si>
    <t>4500171907-140</t>
  </si>
  <si>
    <t>ZB01158-8.8  ZB01208-8.12</t>
  </si>
  <si>
    <t>Marshalls
PO#767789
SKU#855256
DC#881-160pcs
,
DC#884-136pcs
,
DC#886-168pcs
,
DC#887-176pcs
,
DC#888-160pcs</t>
  </si>
  <si>
    <t>4500171908-140</t>
  </si>
  <si>
    <t>ZB01123-8.7   ZB01137-8.8   ZB01154-8.8</t>
  </si>
  <si>
    <t>TJ MAXX
PO#767796
SKU#135036
DC#891-240pcs
,
DC#894-160pcs
,
DC#896-152pcs
,
DC#897-280pcs
,
DC#898-168pcs</t>
  </si>
  <si>
    <t>4500171919-140</t>
  </si>
  <si>
    <t>Marshalls
PO#767787
SKU#855510
DC#881-120pcs
,
DC#884-104pcs
,
DC#886-136pcs
,
DC#887-128pcs
,
DC#888-112pcs</t>
  </si>
  <si>
    <t>4500171916-130</t>
  </si>
  <si>
    <t>Marshalls
PO#767785
SKU#855766
DC#881-120pcs
,
DC#884-96pcs,
DC#886-136pcs
,
DC#887-128pcs
,
DC#888-120pcs</t>
  </si>
  <si>
    <t>4500171914-130</t>
  </si>
  <si>
    <t>TJ MAXX
PO#767795
SKU#136242
DC#891-232pcs
,
DC#894-104pcs
,
DC#896-144pcs
,
DC#897-264pcs
,
DC#898-152pcs</t>
  </si>
  <si>
    <t>4500171918-140</t>
  </si>
  <si>
    <t>Marshalls
PO#767790
SKU#856314
DC#881-192pcs
,
DC#884-168pcs
,
DC#886-216pcs
,
DC#887-216pcs
,
DC#888-208pcs</t>
  </si>
  <si>
    <t>4500171912-140</t>
  </si>
  <si>
    <t>Marshalls
PO#767786
SKU#855038
DC#881-200pcs
,
DC#884-152pcs
,
DC#886-240pcs
,
DC#887-216pcs
,
DC#888-192pcs</t>
  </si>
  <si>
    <t>4500171915-90</t>
  </si>
  <si>
    <t>ZB01124-8.7  ZB01153-8.8</t>
  </si>
  <si>
    <t>TJX CANADA</t>
  </si>
  <si>
    <t>40276731 40276790</t>
  </si>
  <si>
    <t>4500171335-150</t>
  </si>
  <si>
    <t>77485GQ7-S002</t>
  </si>
  <si>
    <t>日期码格式：ZURU INC(BVI) 标准格式 日期：按实际生产日期
Packaging Info: 
77485 标版多语包装/说明书+多语PDQ， 加UPC 贴纸， UPC 193052057105（此款日期码打在2025.5.30 之前 ）
Remark: 出加拿大
有客供价格贴
每行对应不同的客户PO，唛头要一一对应， 放唛头时跟单会提供清单
Zuru验货.日期跟踪码：产品外包装及产品本身都必须有日期跟踪码，ZURU标准格式
日期码</t>
  </si>
  <si>
    <t>Summer Mo</t>
  </si>
  <si>
    <t>95906-8.4</t>
  </si>
  <si>
    <t>4500171335-250</t>
  </si>
  <si>
    <t>4500171335-340</t>
  </si>
  <si>
    <t>4500171335-430</t>
  </si>
  <si>
    <t>40279125 45276449</t>
  </si>
  <si>
    <t>4500171342-90</t>
  </si>
  <si>
    <t>日期码格式：ZURU INC(BVI) 标准格式 日期：按实际生产日期
Packaging Info:
77485 标版多语包装/说明书+多语PDQ， 加UPC 贴纸， UPC 193052057105（此款日期码打在2025.5.30 之前 ）
Remark: 出加拿大
有客供价格贴
每行对应不同的客户PO，唛头要一一对应， 放唛头时跟单会提供清单
Zuru验货.日期跟踪码：产品外包装及产品本身都必须有日期跟踪码，ZURU标准格式
日期码</t>
  </si>
  <si>
    <t>96596-2-9.30</t>
  </si>
  <si>
    <t>4500171342-280</t>
  </si>
  <si>
    <t>4500172246-10</t>
  </si>
  <si>
    <t>7/14 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</si>
  <si>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</si>
  <si>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Sharon Yang</t>
  </si>
  <si>
    <t>ZB01087-8.6</t>
  </si>
  <si>
    <t>4500171286-70</t>
  </si>
  <si>
    <t>9/8截补料</t>
  </si>
  <si>
    <t>日期码格式：ZURU INC(BVI) 标准格式 日期：按实际生产日期
Packaging Info:
77485GQ7：MA 多语EAN包装+UPC贴纸+MA多语收藏指南+MA多语PDQ+箱唛
Remark:</t>
  </si>
  <si>
    <t>96364-9.8</t>
  </si>
  <si>
    <t>4500172103-10</t>
  </si>
  <si>
    <r>
      <rPr>
        <sz val="12"/>
        <rFont val="宋体"/>
        <charset val="134"/>
        <scheme val="minor"/>
      </rPr>
      <t xml:space="preserve">日期码格式：ZURU INC(BVI) 标准格式 日期：按实际生产日期
Packaging Info: </t>
    </r>
    <r>
      <rPr>
        <sz val="12"/>
        <color rgb="FFFF0000"/>
        <rFont val="宋体"/>
        <charset val="134"/>
        <scheme val="minor"/>
      </rPr>
      <t>请确保包装上的条形码是UPC，如果是babyUPC，需要用mother UPC覆盖，如有不一致，请及时提出。谢谢!</t>
    </r>
    <r>
      <rPr>
        <sz val="12"/>
        <rFont val="宋体"/>
        <charset val="134"/>
        <scheme val="minor"/>
      </rPr>
      <t xml:space="preserve">
77485GQ7 MA 多语EAN包装+UPC贴纸+MA多语收藏指南+MA多语PDQ+箱唛
Remark: </t>
    </r>
  </si>
  <si>
    <t>96595-3-9.30</t>
  </si>
  <si>
    <t>BEALL'S OUTLET STORES, INC.</t>
  </si>
  <si>
    <t>4500171933-20</t>
  </si>
  <si>
    <t>7/3寄出</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</si>
  <si>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</si>
  <si>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</si>
  <si>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ZB01192-8.11</t>
  </si>
  <si>
    <t>77601-S002-1</t>
  </si>
  <si>
    <t>ARCHIBRAND, S.A. DE C.V.</t>
  </si>
  <si>
    <t>4500170750-150</t>
  </si>
  <si>
    <t>8/7 出货</t>
  </si>
  <si>
    <r>
      <rPr>
        <sz val="12"/>
        <rFont val="宋体"/>
        <charset val="134"/>
        <scheme val="minor"/>
      </rPr>
      <t xml:space="preserve">日期码格式：ZURU INC(BVI) 标准格式 日期：按实际生产日期
Packaging Info:77485GQ7:MA 3L EAN PKG+UPC 条码贴纸+MA 3L PDQ+MA 收藏指南+进口商贴纸+箱唛
</t>
    </r>
    <r>
      <rPr>
        <sz val="12"/>
        <color rgb="FFFF0000"/>
        <rFont val="宋体"/>
        <charset val="134"/>
        <scheme val="minor"/>
      </rPr>
      <t>所有带电产品的保证书通用1份</t>
    </r>
    <r>
      <rPr>
        <sz val="12"/>
        <rFont val="宋体"/>
        <charset val="134"/>
        <scheme val="minor"/>
      </rPr>
      <t xml:space="preserve">
Remark: </t>
    </r>
  </si>
  <si>
    <t>96589-3-9.30</t>
  </si>
  <si>
    <t>COPPEL CORPORATION</t>
  </si>
  <si>
    <t>4500169860-30</t>
  </si>
  <si>
    <t xml:space="preserve">日期码格式：ZURU INC(BVI) 标准格式 日期：按实际生产日期
Packaging Info: 77486: 2PK #77485入PVC圆筒，2PK铜版纸图稿翻单PO4500141223+进口商贴纸+价格贴纸+箱唛，77485用收缩膜用MA 3L+空白条码贴纸+MA 5L收藏指南（两个球的配
比不能重复）。
Remark: </t>
  </si>
  <si>
    <t>96179-8.27</t>
  </si>
  <si>
    <t>4500169860-60</t>
  </si>
  <si>
    <t>96162-8.26</t>
  </si>
  <si>
    <t>4500169860-90</t>
  </si>
  <si>
    <t>96092-8.21</t>
  </si>
  <si>
    <t>4500169860-120</t>
  </si>
  <si>
    <t>4500169860-150</t>
  </si>
  <si>
    <t>4500169860-180</t>
  </si>
  <si>
    <t>4500169860-210</t>
  </si>
  <si>
    <t>4500169860-240</t>
  </si>
  <si>
    <t>Marshalls
PO#777702
SKU#857106
DC#881-204pcs
,
DC#884-240pcs
,
DC#886-168pcs
,
DC#887-168pcs
,
DC#888-216pcs</t>
  </si>
  <si>
    <t>4500172365-70</t>
  </si>
  <si>
    <t>ZB01157-8.8</t>
  </si>
  <si>
    <t>TJ MAXX
PO#777711
SKU#136995
DC#891-276pcs
,
DC#894-192pcs
,
DC#896-168pcs
,
DC#897-348pcs
,
DC#898-216pcs</t>
  </si>
  <si>
    <t>4500172370-70</t>
  </si>
  <si>
    <t>ZB01221R1-8.12  ZB01227R1-8.13</t>
  </si>
  <si>
    <t>4500172252-10</t>
  </si>
  <si>
    <t>8/13 出货</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</si>
  <si>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</si>
  <si>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ZB01242-8.13</t>
  </si>
  <si>
    <t>JSC 􀂫Grand-Trade</t>
  </si>
  <si>
    <t>PGT-684629</t>
  </si>
  <si>
    <t>4500166910-60</t>
  </si>
  <si>
    <r>
      <rPr>
        <sz val="12"/>
        <rFont val="宋体"/>
        <charset val="134"/>
        <scheme val="minor"/>
      </rPr>
      <t>日期码格式：ZURU INC(BVI) 标准格式 日期：按实际生产日期
Packaging Info: 注意： 此客户不允许包装/产品/PDQ 上显示recycled material 字眼，如有请告知跟单需要加贴纸覆盖；
77485GQ6 MA UPC</t>
    </r>
    <r>
      <rPr>
        <sz val="12"/>
        <color rgb="FFFF0000"/>
        <rFont val="宋体"/>
        <charset val="134"/>
        <scheme val="minor"/>
      </rPr>
      <t>收缩膜</t>
    </r>
    <r>
      <rPr>
        <sz val="12"/>
        <rFont val="宋体"/>
        <charset val="134"/>
        <scheme val="minor"/>
      </rPr>
      <t>+进口商贴纸</t>
    </r>
    <r>
      <rPr>
        <sz val="12"/>
        <color rgb="FFFF0000"/>
        <rFont val="宋体"/>
        <charset val="134"/>
        <scheme val="minor"/>
      </rPr>
      <t>（覆盖recycled material 字眼）+EAN条码贴 , MA收藏指南（加贴1张空白帖覆盖recycled material 字眼,MA PDQ(优先1L，
加贴1张空白帖覆盖recycled material 字眼)</t>
    </r>
    <r>
      <rPr>
        <sz val="12"/>
        <rFont val="宋体"/>
        <charset val="134"/>
        <scheme val="minor"/>
      </rPr>
      <t xml:space="preserve">
2. 有第三方监柜
3. 外箱侧唛右上角各一张贴纸 （共2张）
Remark: 标准配比</t>
    </r>
  </si>
  <si>
    <t>96359-9.8</t>
  </si>
  <si>
    <t>4500173851-70</t>
  </si>
  <si>
    <t>日期码格式：ZURU INC(BVI) 标准格式 日期：按实际生产日期
Packaging Info: 
77486：3L铜板纸贴纸+进口商贴纸+箱唛，2个77485入1个PVC管，2个球不能是相同配比。77485用MA 3L 包装+MA 多语收藏指南+空白条码贴纸覆盖原球MA条码
Remark</t>
  </si>
  <si>
    <t>96253-8.30</t>
  </si>
  <si>
    <t>4500167710-20</t>
  </si>
  <si>
    <t>进口商贴纸翻单4500152087</t>
  </si>
  <si>
    <t>日期码格式：ZURU INC(BVI) 标准格式 日期：按实际生产日期
Packaging Info:
2. 77485GQ7：MA 多语EAN包装+UPC贴纸+MA多语收藏指南+MA多语PDQ+进口商贴纸+箱唛,进口商贴纸翻单4500152087
Remark:</t>
  </si>
  <si>
    <t>96401-9.11</t>
  </si>
  <si>
    <t>Amazon UK:
5RY5WLPY</t>
  </si>
  <si>
    <t>4500173446-30</t>
  </si>
  <si>
    <r>
      <rPr>
        <sz val="12"/>
        <rFont val="宋体"/>
        <charset val="134"/>
        <scheme val="minor"/>
      </rPr>
      <t xml:space="preserve">日期码格式：ZURU INC(BVI) 标准格式 日期：按实际生产日期
Packaging Info: Amazon UK(92104H/71109D/77486)/DE(92104H/9296E)/FR(71126/15701A)
3. 77486: 2pcs 77485入PVC tube, 12tubes/ctn; </t>
    </r>
    <r>
      <rPr>
        <sz val="12"/>
        <color rgb="FFFF0000"/>
        <rFont val="宋体"/>
        <charset val="134"/>
        <scheme val="minor"/>
      </rPr>
      <t>MA 3L(无barcode)B 收缩膜(参考翻单TJX US PO#4500171907)+客版彩卡(UPC#+英法德意西5L警示语+FR/ES环保标
+GPSR邮箱care@zuru.com，参考翻单TJX US PO#4500171907)+1张贴纸(1张IT环保标)+MA 3L(5L warning)C收藏指南+其他MA最新配套包装;</t>
    </r>
    <r>
      <rPr>
        <sz val="12"/>
        <rFont val="宋体"/>
        <charset val="134"/>
        <scheme val="minor"/>
      </rPr>
      <t xml:space="preserve">
7. 验货时间不迟于2025/8/20.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r>
  </si>
  <si>
    <t>96323-9.4</t>
  </si>
  <si>
    <t>0931286892</t>
  </si>
  <si>
    <t>4500174229-10</t>
  </si>
  <si>
    <t>8/15第三方验货</t>
  </si>
  <si>
    <r>
      <rPr>
        <sz val="12"/>
        <rFont val="宋体"/>
        <charset val="134"/>
        <scheme val="minor"/>
      </rPr>
      <t xml:space="preserve">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t>
    </r>
    <r>
      <rPr>
        <sz val="12"/>
        <color rgb="FFFF0000"/>
        <rFont val="宋体"/>
        <charset val="134"/>
        <scheme val="minor"/>
      </rPr>
      <t>6. 此单需要抽板和验货，抽板时间预计8/18，请多备料</t>
    </r>
    <r>
      <rPr>
        <sz val="12"/>
        <rFont val="宋体"/>
        <charset val="134"/>
        <scheme val="minor"/>
      </rPr>
      <t xml:space="preserve">
7. 此单以slip sheet出货，77485：1152pcs/96CTN/Slip Sheet</t>
    </r>
  </si>
  <si>
    <t>ZB01454-8.23</t>
  </si>
  <si>
    <t>0931286904</t>
  </si>
  <si>
    <t>4500174229-20</t>
  </si>
  <si>
    <t>ZB01497-8.26</t>
  </si>
  <si>
    <t>0931286916</t>
  </si>
  <si>
    <t>4500174229-30</t>
  </si>
  <si>
    <t>ZB01498-8.26</t>
  </si>
  <si>
    <t>0931286920</t>
  </si>
  <si>
    <t>4500174229-40</t>
  </si>
  <si>
    <t>8/18第三方抽办</t>
  </si>
  <si>
    <t>ZB01660(REV1)-9.3</t>
  </si>
  <si>
    <t>0931286921</t>
  </si>
  <si>
    <t>4500174229-50</t>
  </si>
  <si>
    <t>ZB01554-8.28</t>
  </si>
  <si>
    <t>0931286929</t>
  </si>
  <si>
    <t>4500174229-60</t>
  </si>
  <si>
    <t>ZB01555-8.28</t>
  </si>
  <si>
    <t>0931286941</t>
  </si>
  <si>
    <t>4500174229-70</t>
  </si>
  <si>
    <t>ZB01584-8.29</t>
  </si>
  <si>
    <t>FRATELLO (PTY) LTD</t>
  </si>
  <si>
    <t>1100029671-3</t>
  </si>
  <si>
    <t>4500173241-90</t>
  </si>
  <si>
    <t>日期码格式：ZURU INC(BVI) 标准格式 日期：按实际生产日期
Packaging Info: MA PKG , 优先1L
Remark:</t>
  </si>
  <si>
    <t>96463-8.26</t>
  </si>
  <si>
    <t>DREAM BLOSSOM LTD</t>
  </si>
  <si>
    <t>4500170921-10</t>
  </si>
  <si>
    <t>7/8 更新箱唛</t>
  </si>
  <si>
    <t>贴纸覆盖原本的3+(日语贴纸及年龄贴纸翻单：4500163667)。</t>
  </si>
  <si>
    <r>
      <rPr>
        <sz val="10"/>
        <rFont val="等线"/>
        <charset val="134"/>
      </rPr>
      <t>日期码格式：ZURU INC(BVI) 标准格式 日期：按实际生产日期
Packaging Info: 77485GQ6：MA 1L UPC PKG+MA 1L PDQ+1张日语贴纸, 收缩膜和收藏指南上需各加一张6+贴纸覆盖原本的3</t>
    </r>
    <r>
      <rPr>
        <sz val="10"/>
        <color rgb="FFFF0000"/>
        <rFont val="等线"/>
        <charset val="134"/>
      </rPr>
      <t>+(日语贴纸及年龄贴纸翻单：4500163667)。</t>
    </r>
    <r>
      <rPr>
        <sz val="10"/>
        <rFont val="等线"/>
        <charset val="134"/>
      </rPr>
      <t xml:space="preserve">
Remark: 1.出日本
2.需在生产完成后提供检针测试报告，需提供装柜图片。
3.待客户确认是否需寄板做QC check。</t>
    </r>
  </si>
  <si>
    <t>96301-9.3</t>
  </si>
  <si>
    <t>4500172260-10</t>
  </si>
  <si>
    <t>ZB02032-9.22</t>
  </si>
  <si>
    <t>77486-S001-1L</t>
  </si>
  <si>
    <t>4500174588-20</t>
  </si>
  <si>
    <t>SI,9/3</t>
  </si>
  <si>
    <t>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</si>
  <si>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ZB0174588-9.6</t>
  </si>
  <si>
    <t>4500174582-10</t>
  </si>
  <si>
    <t>ZB01748-9.6</t>
  </si>
  <si>
    <t>4500174585-10</t>
  </si>
  <si>
    <t>ZB01747-9.6</t>
  </si>
  <si>
    <t>18KN9OPR</t>
  </si>
  <si>
    <t>4500175043-70</t>
  </si>
  <si>
    <t>日期码格式：ZURU INC(BVI) 标准格式 日期：按实际生产日期
Packaging Info: 
#77486 :2PK #77485入PVC圆筒. 收缩膜用客版3L 无UPC版收缩膜，2PK 3L铜版纸； 客版收缩膜和铜版纸图稿跟TJX订单# 4500171907。（两个球的配比不能重复）
，跟ROSS 的订单合并订购物料。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</si>
  <si>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96449-9.16</t>
  </si>
  <si>
    <t>85SDJ71M</t>
  </si>
  <si>
    <t>4500175043-80</t>
  </si>
  <si>
    <t>4V331UTZ</t>
  </si>
  <si>
    <t>4500175043-90</t>
  </si>
  <si>
    <t>5KV85AQM</t>
  </si>
  <si>
    <t>4500175043-100</t>
  </si>
  <si>
    <t>2GTL3IMV</t>
  </si>
  <si>
    <t>4500175043-110</t>
  </si>
  <si>
    <t>5EEI57ON</t>
  </si>
  <si>
    <t>4500175043-120</t>
  </si>
  <si>
    <t>41BGWZTT</t>
  </si>
  <si>
    <t>4500175043-130</t>
  </si>
  <si>
    <t>0935462311</t>
  </si>
  <si>
    <t>4500175910-50</t>
  </si>
  <si>
    <t>9/8自检</t>
  </si>
  <si>
    <t>预排SO，9/11，9/9兴信做柜</t>
  </si>
  <si>
    <t>日期码格式：ZURU DGYYYYMMDD CHINA(日期避开周末和法定节假日即可） 日期：按实际生产日期
Packaging Info: 
77485SLB-S004
1.包装要求：
MA 1L收缩膜+ 客版 收藏指南B版+MA 纸袋+客版 1L PDQ，翻单：4500128976
每pcs产品上要贴1张RFID贴纸，贴纸由ZURU提供，贴纸位置请严格按照我们签回的签板；
Remark: 
77485SLB-S004
1.包装要求：
MA 1L收缩膜+ 客版 收藏指南B版+MA 纸袋+客版 1L PDQ，翻单：4500128976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</si>
  <si>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ZB01966-9.17</t>
  </si>
  <si>
    <t>已打印</t>
  </si>
  <si>
    <t>0935462331</t>
  </si>
  <si>
    <t>4500175910-60</t>
  </si>
  <si>
    <t>ZB01787(REV2)-9.9</t>
  </si>
  <si>
    <t>0935462341</t>
  </si>
  <si>
    <t>4500175910-70</t>
  </si>
  <si>
    <t>ZB01788-9.9</t>
  </si>
  <si>
    <t>0938508676</t>
  </si>
  <si>
    <t>4500176989-10</t>
  </si>
  <si>
    <t>9/17第三方验货</t>
  </si>
  <si>
    <t>日期码格式：ZURU DGYYYYMMDD CHINA(日期避开周末和法定节假日即可） 日期：按实际生产日期
Packaging Info: 77485SLB-S004
1.包装要求：
MA 1L收缩膜+ MA 收藏指南+MA 纸袋+客版 1L PDQ
每pcs产品上要贴1张RFID贴纸，贴纸由ZURU提供，贴纸位置请严格按照我们签回的签板；
Remark: 77485SLB-S004
1.包装要求：
MA 1L收缩膜+ MA 收藏指南+MA 纸袋+客版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sheet出货，77485：1152pcs/96CTN/Slip Sheet</t>
  </si>
  <si>
    <t>ZB02093-9.25</t>
  </si>
  <si>
    <t>77485SLB-S004-1</t>
  </si>
  <si>
    <t>9/8打印</t>
  </si>
  <si>
    <t>0938508741</t>
  </si>
  <si>
    <t>4500176989-20</t>
  </si>
  <si>
    <t>ZB02188-9.27</t>
  </si>
  <si>
    <t>0938508769</t>
  </si>
  <si>
    <t>4500176989-30</t>
  </si>
  <si>
    <t>ZB02054-9.23</t>
  </si>
  <si>
    <t>0938508796</t>
  </si>
  <si>
    <t>4500176989-40</t>
  </si>
  <si>
    <t>ZB02134-9.26</t>
  </si>
  <si>
    <t>ZMPO250685</t>
  </si>
  <si>
    <t>30套散件</t>
  </si>
  <si>
    <t>Remark：大货最新版本/只需要齐套散件/麻烦用胶袋分装好一套为一袋/箱唛参照邮件附件；备注：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</si>
  <si>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96600-9.30</t>
  </si>
  <si>
    <t>DD'S DISCOUNTS</t>
  </si>
  <si>
    <t>4500174780-10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</si>
  <si>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t>
  </si>
  <si>
    <t>ZB02021-9.20</t>
  </si>
  <si>
    <t>PO# 35261</t>
  </si>
  <si>
    <t>4500176521-40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</si>
  <si>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</si>
  <si>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</si>
  <si>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ZB02191-9.27</t>
  </si>
  <si>
    <t>ADIR INTERNATIOAL/ CURACAO</t>
  </si>
  <si>
    <t>Customer PO#
ALKAA-C</t>
  </si>
  <si>
    <t>4500175977-10</t>
  </si>
  <si>
    <t>日期码格式：ZURU INC(BVI) 标准格式 日期：按实际生产日期
Packaging Info: 1. 包装方式：MA UPC 优先1L 最新包装，出口美国
Remark: 2. 产品和包装上印刷tracking code信息，格式为ZURU常规;
3. ZURU QC验货即可出货。</t>
  </si>
  <si>
    <t>ZB02187-9.27</t>
  </si>
  <si>
    <t>1100030564-2</t>
  </si>
  <si>
    <t>4500176300-100</t>
  </si>
  <si>
    <t>日期码格式：ZURU INC(BVI) 标准格式 日期：按实际生产日期
Packaging Info: MA PKG,优先1L
Remark:</t>
  </si>
  <si>
    <t>Chelsea Luo</t>
  </si>
  <si>
    <t>96512-2-9.23</t>
  </si>
  <si>
    <t>4500178155-10</t>
  </si>
  <si>
    <t>日期码格式：ZURU INC(BVI) 标准格式 日期：按实际生产日期
Packaging Info: 77485GQ6：B 版 1L MA 收缩膜+进口商贴纸（翻4500135326 &lt;(&gt;&amp;&lt;)&gt; 4500135339）；A 版 1L MA PDQ/B 版 5L MA 收藏指南
Remark: 1、若产品有比例使用ZURU STD 比例
2、所有item 均用MA UPC 条码，若包装不是UPC 条码的请告知
3、此单出欧洲需满足EU测试标准要求</t>
  </si>
  <si>
    <t>A96770-10.30</t>
  </si>
  <si>
    <t>4500176169-10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</si>
  <si>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</si>
  <si>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ZB02563-10.23</t>
  </si>
  <si>
    <t>AMAZON FR</t>
  </si>
  <si>
    <t>法国</t>
  </si>
  <si>
    <t>Amazon FR:
56N6QXYC</t>
  </si>
  <si>
    <t>4500177504-10</t>
  </si>
  <si>
    <t>1.空白外箱（加印带Zuru字样的最新logo，除了邮包盒直接做外箱的产品） + SSCC LABEL一张, 无箱唛，MADE IN CHINA 外箱只印一正一侧。箱唛资料按照给定的
 标准去做即可，无需发回我方再行审批(新标准将另行通知)。</t>
  </si>
  <si>
    <t>欠SSCC贴纸，+1张贴纸(1张IT环保标，参考翻单PO#4500173446)+</t>
  </si>
  <si>
    <t>日期码格式：ZURU INC(BVI) 标准格式 日期：按实际生产日期
Packaging Info: Amazon UK(77785)/FR(77486/9279G)
2. 77486: 2pcs 77485入PVC tube, 12tubes/ctn; MA 3L(5L warning EAN)B 收缩膜(EAN条码用空白贴纸覆盖，空白贴纸尺寸自行裁定)+客版彩卡(UPC#+英法德意西
5L警示语+FR/ES环保标+GPSR邮箱care@zuru.com，参考翻单TJX US PO#4500171907)+1张贴纸(1张IT环保标，参考翻单PO#4500173446)+MA 3L(5L warning)C收藏指南
+其他MA最新配套包装;
4. 验货时间不迟于2025/10/17.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</si>
  <si>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96777-10.31</t>
  </si>
  <si>
    <t>THE HAMLEYS GROUP LTD</t>
  </si>
  <si>
    <t>HLL-PO-000015
760</t>
  </si>
  <si>
    <t>4500178312-20</t>
  </si>
  <si>
    <t>日期码格式：ZURU INC(BVI) 标准格式 日期：按实际生产日期
Packaging Info:
77485:MA 3L EAN最新包装+UPC贴纸，UPC:193052057105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</si>
  <si>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</si>
  <si>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96916-11.3</t>
  </si>
  <si>
    <t>PO# 33036</t>
  </si>
  <si>
    <t>4500179366-30</t>
  </si>
  <si>
    <t>日期码格式：ZURU INC(BVI) 标准格式 日期：按实际生产日期
Packaging Info: 1. ZURU 标准日期码格式，
2. 无第三方测试和验货，ZURU 内部QC验货即可出货
Remark: 3. 优先 MA 1L UPC包装;
4. 纸箱印ZURU LOGO，出口美国；</t>
  </si>
  <si>
    <t>ZB02660-10.27</t>
  </si>
  <si>
    <t>ZMPO250959</t>
  </si>
  <si>
    <t>Remark:大货最新版本/只需要齐全套散件/麻烦用胶袋分装好一套为一袋;备注： 收到样品订单后尽快安排 ，注意样板品质质量要求要高于大货品质质量 ，送货时必须要附带送货单(没有送货单和QC检验合格报告的仓库一律拒绝收货)，请知悉，谢谢！</t>
  </si>
  <si>
    <t>4500176581-10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</si>
  <si>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</si>
  <si>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ZB03147-11.28</t>
  </si>
  <si>
    <t>WALGREENS CO.</t>
  </si>
  <si>
    <t>4500182963-70</t>
  </si>
  <si>
    <r>
      <rPr>
        <sz val="11"/>
        <color rgb="FF010CDD"/>
        <rFont val="宋体"/>
        <charset val="134"/>
        <scheme val="minor"/>
      </rPr>
      <t>WIC</t>
    </r>
    <r>
      <rPr>
        <sz val="9"/>
        <color rgb="FF010CDD"/>
        <rFont val="宋体"/>
        <charset val="134"/>
      </rPr>
      <t>贴纸（</t>
    </r>
    <r>
      <rPr>
        <sz val="9"/>
        <color rgb="FF010CDD"/>
        <rFont val="STSong-Light-Identity-H"/>
        <charset val="134"/>
      </rPr>
      <t>WIC#744431</t>
    </r>
    <r>
      <rPr>
        <sz val="9"/>
        <color rgb="FF010CDD"/>
        <rFont val="宋体"/>
        <charset val="134"/>
      </rPr>
      <t>）</t>
    </r>
  </si>
  <si>
    <t>日期码格式：ZURU INC(BVI) 标准格式 日期：12-08-2025
Packaging Info: 取消11/21抽板,工厂只需在12/4 完成100%大货并通过ZURU 验货就可以出货.
请确保所来来料测试符合美国联邦和各州法规后才可以做大货。
Remark: 客版1L PDQ +MA 1L包装 + WIC贴纸（WIC#744431）+ MA 收藏指南 + PDQ折页 （同PO 4500142744）
产品和包装上面要有ZURU 标准格式TRACKING CODE， DG20251208</t>
  </si>
  <si>
    <t>ZB03378-12.11</t>
  </si>
  <si>
    <t>4500182963-80</t>
  </si>
  <si>
    <t>ZB03379-12.11</t>
  </si>
  <si>
    <t>I-VISION TOYS.INC</t>
  </si>
  <si>
    <t>韩国</t>
  </si>
  <si>
    <t>IVI-0930PM</t>
  </si>
  <si>
    <t>4500182298-20</t>
  </si>
  <si>
    <t>1张韩语贴纸</t>
  </si>
  <si>
    <t>日期码格式：ZURU INC(BVI) 标准格式 日期：按实际生产日期
Packaging Info: 
77485GQ6： MA 1L 收缩膜 ,+1张韩语贴纸， MA 收藏指南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</si>
  <si>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t>97046-11.27</t>
  </si>
  <si>
    <t>4500182963-10</t>
  </si>
  <si>
    <t>ZB03372-12.11</t>
  </si>
  <si>
    <t>4500182963-20</t>
  </si>
  <si>
    <t>ZB03373-12.11</t>
  </si>
  <si>
    <t>4500182963-30</t>
  </si>
  <si>
    <t>ZB03374-12.11</t>
  </si>
  <si>
    <t>4500182963-40</t>
  </si>
  <si>
    <t>ZB03375-12.11</t>
  </si>
  <si>
    <t>4500182963-50</t>
  </si>
  <si>
    <t>ZB03376-12.11</t>
  </si>
  <si>
    <t>4500182963-60</t>
  </si>
  <si>
    <t>ZB03377-12.11</t>
  </si>
  <si>
    <t>4500182963-90</t>
  </si>
  <si>
    <t>ZB03380-12.11</t>
  </si>
  <si>
    <t>4500184367-20</t>
  </si>
  <si>
    <t>日期码格式：ZURU INC(BVI) 标准格式 日期：按实际生产日期
Packaging Info: 1. STD Items
Remark: 1. Cus Item
#77486：MA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</si>
  <si>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ZB03340R1-12.12</t>
  </si>
  <si>
    <t>JUGUESAL S.A. DE C.V.</t>
  </si>
  <si>
    <t>25-1071942JUS</t>
  </si>
  <si>
    <t>4500181141-40</t>
  </si>
  <si>
    <r>
      <rPr>
        <sz val="9"/>
        <color rgb="FF010CDD"/>
        <rFont val="宋体"/>
        <charset val="134"/>
      </rPr>
      <t>进口商贴纸</t>
    </r>
    <r>
      <rPr>
        <sz val="9"/>
        <color rgb="FF010CDD"/>
        <rFont val="STSong-Light-Identity-H"/>
        <charset val="134"/>
      </rPr>
      <t>+UPC</t>
    </r>
    <r>
      <rPr>
        <sz val="9"/>
        <color rgb="FF010CDD"/>
        <rFont val="宋体"/>
        <charset val="134"/>
      </rPr>
      <t>贴纸</t>
    </r>
  </si>
  <si>
    <t>日期码格式：ZURU INC(BVI) 标准格式 日期：按实际生产日期
Packaging Info:77485GQ7:MA 多语EAN包装+进口商贴纸+UPC贴纸+箱唛
Remark: 进口商贴纸内容会显示日期码为：2025-12，包装/产品/外箱可按ZURU标准日期码，不需要跟回进口商贴纸上的日期码</t>
  </si>
  <si>
    <t>97180-12.10</t>
  </si>
  <si>
    <t>Marshalls
PO#533156,SKU
#892269
DC#881-204PCS
,
DC#884-156PCS
,
DC#886-240PCS
,
DC#887-192PCS
,
DC#888-204PCS</t>
  </si>
  <si>
    <t>4500183797-50</t>
  </si>
  <si>
    <r>
      <rPr>
        <sz val="9"/>
        <color rgb="FF010CDD"/>
        <rFont val="宋体"/>
        <charset val="134"/>
      </rPr>
      <t>价格贴纸，价格贴纸客供。</t>
    </r>
    <r>
      <rPr>
        <sz val="9"/>
        <color rgb="FF010CDD"/>
        <rFont val="STSong-Light-Identity-H"/>
        <charset val="134"/>
      </rPr>
      <t xml:space="preserve">
 2PK</t>
    </r>
    <r>
      <rPr>
        <sz val="9"/>
        <color rgb="FF010CDD"/>
        <rFont val="宋体"/>
        <charset val="134"/>
      </rPr>
      <t>的球用无条码收缩膜或加空白贴纸覆盖原条码</t>
    </r>
  </si>
  <si>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</si>
  <si>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ZB03263-12.8</t>
  </si>
  <si>
    <t>TJ MAXX
PO#533249,SKU
#170688
DC#891-264PCS
,
DC#894-180PCS
,
DC#896-288PCS
,
DC#897-228PCS
,
DC#898-240PCS</t>
  </si>
  <si>
    <t>4500183798-50</t>
  </si>
  <si>
    <t>ZB03264-12.8</t>
  </si>
  <si>
    <t>TOYZOONA LIMITED</t>
  </si>
  <si>
    <t>肯尼亚</t>
  </si>
  <si>
    <t>4500184858-10</t>
  </si>
  <si>
    <t>97166-12.9</t>
  </si>
  <si>
    <t>1BTKENUX</t>
  </si>
  <si>
    <t>4500184839-10</t>
  </si>
  <si>
    <t>日期码格式：ZURU INC(BVI) 标准格式 日期：按实际生产日期
Packaging Info: 出口加拿大，包装需要至少2/3L UPC版，无硼版本。
#77486 :2PK #77485入PVC圆筒. 收缩膜用客版3L 无UPC版收缩膜，2PK 3L铜版纸； 客版收缩膜和铜版纸图稿跟TJX订单# 4500171907。（两个球的配比不能重复）
，跟Amazon US 的订单合并订购物料。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</si>
  <si>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97345-12.27</t>
  </si>
  <si>
    <t>38L6UOJM</t>
  </si>
  <si>
    <t>4500184839-20</t>
  </si>
  <si>
    <t>57F7NOFY</t>
  </si>
  <si>
    <t>4500184839-30</t>
  </si>
  <si>
    <t>76PAY8DW</t>
  </si>
  <si>
    <t>4500184839-40</t>
  </si>
  <si>
    <t>7BC9D7KG</t>
  </si>
  <si>
    <t>4500184839-50</t>
  </si>
  <si>
    <t>SWATOW PUERTO RICO CORP.</t>
  </si>
  <si>
    <t>4500184568-10</t>
  </si>
  <si>
    <r>
      <rPr>
        <sz val="11"/>
        <color rgb="FF010CDD"/>
        <rFont val="Arial"/>
        <charset val="134"/>
      </rPr>
      <t>3</t>
    </r>
    <r>
      <rPr>
        <sz val="11"/>
        <color rgb="FF010CDD"/>
        <rFont val="宋体"/>
        <charset val="134"/>
      </rPr>
      <t>代迷你小手袋</t>
    </r>
    <r>
      <rPr>
        <sz val="11"/>
        <color rgb="FF010CDD"/>
        <rFont val="Arial"/>
        <charset val="134"/>
      </rPr>
      <t xml:space="preserve">
</t>
    </r>
    <r>
      <rPr>
        <sz val="11"/>
        <color rgb="FF010CDD"/>
        <rFont val="宋体"/>
        <charset val="134"/>
      </rPr>
      <t>展示架</t>
    </r>
    <r>
      <rPr>
        <sz val="11"/>
        <color rgb="FF010CDD"/>
        <rFont val="Arial"/>
        <charset val="134"/>
      </rPr>
      <t>/</t>
    </r>
    <r>
      <rPr>
        <sz val="11"/>
        <color rgb="FF010CDD"/>
        <rFont val="宋体"/>
        <charset val="134"/>
      </rPr>
      <t>带底座</t>
    </r>
  </si>
  <si>
    <t>日期码格式：ZURU INC(BVI) 标准格式 日期：按实际生产日期
Packaging Info: 1. ZURU MA （首选1L/多语可以接受）UPC包装
Remark: 2. 产品和包装上印刷tracking code信息，格式为ZURU常规
3. 外箱需要印ZURU LOGO, 箱唛资料由跟单提供
4. ZURU 验货通过后便可出货</t>
  </si>
  <si>
    <t>ZB03561R1-12.27</t>
  </si>
  <si>
    <t>25-1071592JEC</t>
  </si>
  <si>
    <t>4500179365-30</t>
  </si>
  <si>
    <t>欠进口商贴纸+UPC贴纸</t>
  </si>
  <si>
    <t>日期码格式：ZURU INC(BVI) 标准格式 日期：按实际生产日期
Packaging Info: MA 多语EAN包装+进口商贴纸+UPC贴纸+箱唛
Remark: 进口商贴纸内容会显示日期码为：2025-12，包装/产品/外箱可按ZURU标准日期码，不需要跟回进口商贴纸上的日期码</t>
  </si>
  <si>
    <t>97375-12.29</t>
  </si>
  <si>
    <t>TJ MAXX
PO#534823,
SKU#171167</t>
  </si>
  <si>
    <t>4500183810-50</t>
  </si>
  <si>
    <r>
      <rPr>
        <sz val="9"/>
        <rFont val="宋体"/>
        <charset val="134"/>
      </rPr>
      <t>价格贴纸，价格贴纸客供。</t>
    </r>
    <r>
      <rPr>
        <sz val="9"/>
        <rFont val="STSong-Light-Identity-H"/>
        <charset val="134"/>
      </rPr>
      <t xml:space="preserve">
 2PK</t>
    </r>
    <r>
      <rPr>
        <sz val="9"/>
        <rFont val="宋体"/>
        <charset val="134"/>
      </rPr>
      <t>的球用无条码收缩膜或加空白贴纸覆盖原条码</t>
    </r>
  </si>
  <si>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1个DC#893出货。
3. ZURU QC验货。</t>
  </si>
  <si>
    <t>Marshalls
PO#534820,
SKU#892750</t>
  </si>
  <si>
    <t>4500183806-50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</si>
  <si>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1个DC#883出货
3. ZURU QC验货。</t>
  </si>
  <si>
    <t>4500185285-20</t>
  </si>
  <si>
    <t>日期码格式：ZURU INC(BVI) 标准格式 日期：按实际生产日期
Packaging Info: 1. Cus Item ： MA UPC 现有包装+PVC桶, 铜板纸+客供价格贴纸，优先使用MA 1L最新版本
Remark: 1. Cus Item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</si>
  <si>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4500187228-10</t>
  </si>
  <si>
    <t>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</si>
  <si>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item#77486: Marshalls PO#765819,SKU#899631 DC#882-804PCS;</t>
  </si>
  <si>
    <t>4500187232-10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</si>
  <si>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PO#765820,SKU#178290 DC#891-204PCS, DC#894-168PCS, DC#896-156PCS, DC#897-312PCS, DC#898-156PCS;</t>
  </si>
  <si>
    <t>4500187231-40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</si>
  <si>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item#77486: Marshalls PO#770791,SKU#899823 DC#882-996PCS;</t>
  </si>
  <si>
    <t>4500187236-40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</si>
  <si>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PO#770793,SKU#178471 DC#891-264PCS, DC#894-204PCS, DC#896-168PCS, DC#897-336PCS, DC#898-228PCS;</t>
  </si>
  <si>
    <t>4L5WI4ER</t>
  </si>
  <si>
    <t>4500186530-40</t>
  </si>
  <si>
    <t>SSCC Label(客供贴纸，由跟单订购</t>
  </si>
  <si>
    <t>日期码格式：ZURU INC(BVI) 标准格式 日期：按实际生产日期
Packaging Info: 
#77486 :2PK #77485入PVC圆筒. 收缩膜用客版3L 无UPC版收缩膜，2PK 3L铜版纸； 客版收缩膜和铜版纸图稿跟TJX订单# 4500171907。（两个球的配比不能重复）
，跟Amazon US 的订单合并订购物料。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</si>
  <si>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5M2MXUCL</t>
  </si>
  <si>
    <t>4500184640-110</t>
  </si>
  <si>
    <t>日期码格式：ZURU INC(BVI) 标准格式 日期：按实际生产日期
Packaging Info: 
#77486：2PK #77485入PVC圆筒。收藏指南用MA 5L，收缩膜用MA 1L不带UPC版。2PK铜版纸图稿翻单4500154101。(两个球的配比不能重复)。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</si>
  <si>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83WFXYJM</t>
  </si>
  <si>
    <t>4500184640-120</t>
  </si>
  <si>
    <t>2ARVEA4U</t>
  </si>
  <si>
    <t>4500184679-110</t>
  </si>
  <si>
    <t>4J4H3NCB</t>
  </si>
  <si>
    <t>4500184679-120</t>
  </si>
  <si>
    <t>8ZQEAWEI</t>
  </si>
  <si>
    <t>4500187446-40</t>
  </si>
  <si>
    <t>SSCC LABEL（客供贴纸</t>
  </si>
  <si>
    <t>日期码格式：ZURU INC(BVI) 标准格式 日期：按实际生产日期
Packaging Info:
#77486 :2PK #77485入PVC圆筒. 收缩膜用客版3L 无UPC版收缩膜，2PK 3L铜版纸； 客版收缩膜和铜版纸图稿跟TJX订单# 4500171907。（两个球的配比不能重复）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</si>
  <si>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6BD1GKRD</t>
  </si>
  <si>
    <t>4500187446-50</t>
  </si>
  <si>
    <t>3RF3XL5U</t>
  </si>
  <si>
    <t>4500187446-60</t>
  </si>
  <si>
    <t>4500189691-170</t>
  </si>
  <si>
    <t>UPC贴纸</t>
  </si>
  <si>
    <t>日期码格式：ZURU INC(BVI) 标准格式 日期：按实际生产日期
Packaging Info: 请确保包装上的条形码是UPC，如果是babyUPC，需要用mother UPC覆盖，如有不一致，请及时提出。谢谢!
77485GQ7,,MA 多语EAN包装+UPC贴纸+MA 多语收藏指南+MA多语PDQ+箱唛,,
Remark:
77485GQ7,, With 4pcs Demo/PDQ,,</t>
  </si>
  <si>
    <t>系统下单</t>
  </si>
  <si>
    <t>DOLGENCORP, LLC</t>
  </si>
  <si>
    <t>4500189455-20</t>
  </si>
  <si>
    <t>77485SLB-S005</t>
  </si>
  <si>
    <r>
      <rPr>
        <sz val="12"/>
        <rFont val="宋体"/>
        <charset val="134"/>
        <scheme val="minor"/>
      </rPr>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#77485SLB-S005-MINI BRANDS-FASHION-SERIES 3-CAPSULE,WITH DEMO,25PCS/GRAVITY PDQ/CTN</t>
    </r>
    <r>
      <rPr>
        <sz val="12"/>
        <color rgb="FFFF0000"/>
        <rFont val="宋体"/>
        <charset val="134"/>
        <scheme val="minor"/>
      </rPr>
      <t>&lt;(&gt;,&lt;)&gt; 750PCS/30CTN/SLIP</t>
    </r>
    <r>
      <rPr>
        <sz val="12"/>
        <rFont val="宋体"/>
        <charset val="134"/>
        <scheme val="minor"/>
      </rPr>
      <t xml:space="preserve"> SHEET
具体的产品item# 77485GQ7-S002
客户SKU# 43986701
客户描述：PSZ26 MINI BRANDS FASHION
ZURU MA UPC#193052057105, 此款无需加UPC贴纸。</t>
    </r>
  </si>
  <si>
    <t>4500186609-20</t>
  </si>
  <si>
    <t>日期码格式：ZURU INC(BVI) 标准格式 日期：按实际生产日期
Packaging Info: 1. STD Items: ZURU MA UPC 现有包装+客供价格贴纸，优先使用MA 1L最新版本（可接受多语）,出口美国
Remark: 1. Cus Item
#77486：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</si>
  <si>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3XGOZBNG</t>
  </si>
  <si>
    <t>4500190061-170</t>
  </si>
  <si>
    <t>SSCC LABEL（客供贴纸)</t>
  </si>
  <si>
    <t>日期码格式：ZURU INC(BVI) 标准格式 日期：按实际生产日期
Packaging Info: 出口加拿大，包装需要至少2/3L UPC版，无硼版本。
#77486 :2PK #77485入PVC圆筒. 收缩膜用客版3L 无UPC版收缩膜，2PK 3L铜版纸； 客版收缩膜和铜版纸图稿跟TJX订单# 4500171907。（两个球的配比不能重复）
.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</si>
  <si>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7ZYDKWQJ</t>
  </si>
  <si>
    <t>4500190061-180</t>
  </si>
  <si>
    <t>49OK3CLQ</t>
  </si>
  <si>
    <t>4500190061-190</t>
  </si>
  <si>
    <t>8J516KSE</t>
  </si>
  <si>
    <t>4500190061-200</t>
  </si>
  <si>
    <t>69RFQE8B</t>
  </si>
  <si>
    <t>4500184802-20</t>
  </si>
  <si>
    <t>1Q1BZYLS</t>
  </si>
  <si>
    <t>4500184897-90</t>
  </si>
  <si>
    <t>7XIP3D6T</t>
  </si>
  <si>
    <t>4500184897-100</t>
  </si>
  <si>
    <t>7GUUNDGO</t>
  </si>
  <si>
    <t>4500184902-40</t>
  </si>
  <si>
    <t>日期码格式：ZURU INC(BVI) 标准格式 日期：按实际生产日期
Packaging Info:
#77486：2PK #77485入PVC圆筒。收藏指南用MA 5L，收缩膜用MA 1L不带UPC版。2PK铜版纸图稿翻单4500154101。(两个球的配比不能重复)。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</si>
  <si>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76U2W5YL</t>
  </si>
  <si>
    <t>4500184901-30</t>
  </si>
  <si>
    <t>CITITRENDS INC</t>
  </si>
  <si>
    <t>0000189847</t>
  </si>
  <si>
    <t>4500191491-30</t>
  </si>
  <si>
    <t>欠客供外箱贴纸</t>
  </si>
  <si>
    <t>日期码格式：ZURU INC(BVI) 标准格式 日期：按实际生产日期
Packaging Info: 1：MA UPC（首选1L/多语言) 包装 + 客供价格贴纸 (跟单提供）
每个产品有一个价格贴纸, 价格贴放在每个产品的正面右下角，贴的时候要是会覆盖包装上重要的信息和图案，需要告知跟单。
Remark: 2：产品和包装要加上tracking code, 格式为ZURU常规格式
3. 整柜FCL 出货，（装柜工厂）装柜时最后一箱正唛贴上装箱单, 装箱单需用塑胶袋装好贴在其中一箱上，装柜的时候放在柜们旁。</t>
  </si>
  <si>
    <t>4500186326-10</t>
  </si>
  <si>
    <t>日期码格式：ZURU INC(BVI) 标准格式 日期：按实际生产日期
Packaging Info: 1. STD Items: ZURU MA UPC 现有包装+客供价格贴纸，优先使用MA 1L最新版本（可接受多语）,出口美国
Remark: 1. Cus Item
#77486: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</si>
  <si>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IVI-0205PMD</t>
  </si>
  <si>
    <t>4500194073-30</t>
  </si>
  <si>
    <t>箱唛翻单4500182298</t>
  </si>
  <si>
    <t>欠1张韩语贴纸</t>
  </si>
  <si>
    <t>日期码格式：ZURU INC(BVI) 标准格式 日期：按实际生产日期
Packaging Info:
77485GQ6： MA 1L 收缩膜 ,+1张韩语贴纸， MA 收藏指南， MA PDQ , 优先1L ， 箱唛翻单4500182298
Remark: 由于韩国法律法规要求，吸塑需PET材质，产品需符合韩国KC测试标准。</t>
  </si>
  <si>
    <t>4500194771-20</t>
  </si>
  <si>
    <t>欠价格贴纸，价格贴纸客供。2PK的球用无条码收缩膜或加空白贴纸覆盖原条码</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</si>
  <si>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分4个DC出货，每款产品每个DC的箱唛资料不同，具体DC数量如下：
item#77486: Marshalls PO#305509,SKU#916688 DC#881-2400PCS, DC#884-2424PCS, DC#887-1464PCS, DC#888-1704PCS</t>
  </si>
  <si>
    <t>305516</t>
  </si>
  <si>
    <t>4500194772-20</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</si>
  <si>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PO#305516,SKU#196310 DC#891-1848PCS, DC#894-1056PCS, DC#896-1296PCS, DC#897-2328PCS, DC#898-1464PCS</t>
  </si>
  <si>
    <t>4500194843-30</t>
  </si>
  <si>
    <t>3/2确认OK</t>
  </si>
  <si>
    <t>日期码格式：ZURU INC(BVI) 标准格式 日期：按实际生产日期
Packaging Info: 
77485：MA 3L(5L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客供价格贴纸位置为产品正面右上角，不能遮住产品信息，有无客供价格贴纸请参考该单包装信息一栏的备注，没备注就是没有；如有请在大货生产前把贴纸位
置先发给跟单确认
6. 涉及到相关款式会有闪粉的或者微塑料的，请统一默认出无闪粉或者不含微塑料版本;
7. 外箱封箱必须是工字型封箱方式；"</t>
  </si>
  <si>
    <t>4500193772-10</t>
  </si>
  <si>
    <t>3/5寄出价格贴纸，价格贴纸客供。2PK的球用无条码收缩膜或加空白贴纸覆盖原条码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</si>
  <si>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item#77486: Marshalls PO#272593,SKU#913212 DC#881-468PCS, DC#884-360PCS, DC#886-504PCS, DC#887-420PCS, DC#888-444PCS</t>
  </si>
  <si>
    <t>4500193773-10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</si>
  <si>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item#77486: TJ MAXX PO#272597,SKU#192438 DC#891-504PCS, DC#894-408PCS, DC#896-336PCS, DC#897-672PCS, DC#898-480PCS</t>
  </si>
  <si>
    <t>4500186354-30</t>
  </si>
  <si>
    <t>日期码格式：ZURU INC(BVI) 标准格式 日期：按实际生产日期
Packaging Info: 1. Cus Item
#77486 ： MA UPC 现有包装+PVC桶，铜板纸+客供价格贴纸，优先使用MA 1L最新版本
Remark: 1. Cus Item
#77486 ：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</si>
  <si>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PT. STAKOM TRIJAYA ANDALA</t>
  </si>
  <si>
    <t>印度尼西亚</t>
  </si>
  <si>
    <t>4500192280-10</t>
  </si>
  <si>
    <t>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t>
  </si>
  <si>
    <t>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t>
  </si>
  <si>
    <t>4500193766-70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</si>
  <si>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item#77486: Marshalls PO#272591,SKU#913087 DC#881-468PCS, DC#884-360PCS, DC#886-504PCS, DC#887-420PCS, DC#888-444PCS</t>
  </si>
  <si>
    <t>4500193767-70</t>
  </si>
  <si>
    <t>WONDERLAND TOYS, INC.</t>
  </si>
  <si>
    <t>4500193621-10</t>
  </si>
  <si>
    <t>日期码格式：ZURU INC(BVI) 标准格式 日期：按实际生产日期
Packaging Info: 1. 出口美国，MA UPC 版本包装，优先1L。
Remark: 2. ZURU QC 验货即可。</t>
  </si>
  <si>
    <t>Abby Mai,Lluvia Zeng</t>
  </si>
  <si>
    <t>4500193768-40</t>
  </si>
  <si>
    <t>4500193769-40</t>
  </si>
  <si>
    <t>4500193110-110</t>
  </si>
  <si>
    <t xml:space="preserve"> 产品和包装上面要有zuru标准格式的tracking code DG20260407</t>
  </si>
  <si>
    <t>WIC贴纸（WIC#744431）+ PDQ折页 （同PO 4500142744）</t>
  </si>
  <si>
    <t>日期码格式：ZURU INC(BVI) 标准格式 日期：04-07-2026
Packaging Info: 
77485GQ4：客版1L PDQ +MA 1L包装 + WIC贴纸（WIC#744431）+ MA 收藏指南 + PDQ折页 （同PO 4500142744）
Remark: 产品和包装上面要有zuru标准格式的tracking code DG20260407</t>
  </si>
  <si>
    <t>77485GQ4-SOO2</t>
  </si>
  <si>
    <t>4500193110-120</t>
  </si>
  <si>
    <t>4500193110-130</t>
  </si>
  <si>
    <t>4500193110-140</t>
  </si>
  <si>
    <t>4500193110-150</t>
  </si>
  <si>
    <t>4500193110-160</t>
  </si>
  <si>
    <t>4500193110-170</t>
  </si>
  <si>
    <t>4500193110-180</t>
  </si>
  <si>
    <t>4500193110-190</t>
  </si>
  <si>
    <t>TOYZOONA  LIMITED</t>
  </si>
  <si>
    <t>4500197104-40</t>
  </si>
  <si>
    <t>日期码格式：ZURU INC(BVI) 标准格式 日期：按实际生产日期
Packaging Info: 此票出肯尼亚，客户会到工厂自提，请留意船务出货安排，并及时送货
MA PKG ， 优先1L
Remark:</t>
  </si>
  <si>
    <t>Chelsea  Luo</t>
  </si>
  <si>
    <t>TJX  UK  C/O  TJX  DISTRIBUTION  LTD  &amp;  C</t>
  </si>
  <si>
    <t>4500197032-20</t>
  </si>
  <si>
    <t>3/19客供价格贴纸</t>
  </si>
  <si>
    <t>日期码格式：ZURU INC(BVI) 标准格式 日期：按实际生产日期
Packaging Info: 
77485GQ7:MA 3L(5L WARNING)最新EAN包装+一张警告语贴纸（荷兰语/波兰语）+一张客供价格贴纸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出口欧洲，微塑料需符合法规，涉及到相关款式会有闪粉的或者微塑料的，请统一默认出无闪粉或者不含微塑料版本;
8. 外箱封箱必须是工字型封箱方式；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t>
  </si>
  <si>
    <t>Aaron  Xia</t>
  </si>
  <si>
    <t>2ZCUCAFR</t>
  </si>
  <si>
    <t>4500194506-100</t>
  </si>
  <si>
    <t>欠SSCC Label(客供贴纸，由跟单订购</t>
  </si>
  <si>
    <t>2YKQT84O</t>
  </si>
  <si>
    <t>4500194511-20</t>
  </si>
  <si>
    <t>日期码格式：ZURU INC(BVI) 标准格式 日期：按实际生产日期
Packaging Info: 
#77485: MA 1L-UPC版本;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</si>
  <si>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227XALMY</t>
  </si>
  <si>
    <t>4500194501-160</t>
  </si>
  <si>
    <t>45S2ULTA</t>
  </si>
  <si>
    <t>4500194509-110</t>
  </si>
  <si>
    <t>4500197857-50</t>
  </si>
  <si>
    <t xml:space="preserve">日期码格式：ZURU INC(BVI) 标准格式                  日期：按实际生产日期
Packaging Info: MA PKG , 优先1L
Remark: </t>
  </si>
  <si>
    <t>4500196523-10</t>
  </si>
  <si>
    <t>日期码格式：ZURU INC(BVI) 标准格式 日期：04-28-2026
Packaging Info: 77485GQ4：客版1L PDQ +MA 1L包装 + WIC贴纸（WIC#744431）+ MA 收藏指南 + PDQ折页 （同PO 4500142744）
Remark: 产品和包装上面要有zuru标准格式的tracking code DG20260428</t>
  </si>
  <si>
    <t>4500196523-20</t>
  </si>
  <si>
    <t>4500196523-30</t>
  </si>
  <si>
    <t>4500196523-40</t>
  </si>
  <si>
    <t>4500196523-50</t>
  </si>
  <si>
    <t>4500196523-60</t>
  </si>
  <si>
    <t>4500196523-70</t>
  </si>
  <si>
    <t>4500196523-80</t>
  </si>
  <si>
    <t>4500196523-90</t>
  </si>
  <si>
    <t>4500195559-10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</si>
  <si>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Marshalls PO#332427,SKU#918874 DC#881-480PCS, DC#884-384PCS, DC#886-756PCS, DC#887-396PCS, DC#888-180PCS</t>
  </si>
  <si>
    <t>4500195560-10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</si>
  <si>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PO#332429,SKU#197984 DC#891-492PCS, DC#894-408PCS, DC#896-372PCS, DC#897-744PCS, DC#898-384PCS</t>
  </si>
  <si>
    <t>4500194774-10</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</si>
  <si>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PO#305514,SKU#196257 DC#891-1944PCS, DC#894-1032PCS, DC#896-1224PCS, DC#897-2568PCS, DC#898-1248PCS</t>
  </si>
  <si>
    <t>4500194773-10</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</si>
  <si>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Marshalls PO#305506,SKU#916739 DC#881-1800PCS, DC#884-1416PCS, DC#886-1824PCS, DC#887-1584PCS, DC#888-1368PCS</t>
  </si>
  <si>
    <t>4500197545-30</t>
  </si>
  <si>
    <t>TJX  UK</t>
  </si>
  <si>
    <t>4500197551-30</t>
  </si>
  <si>
    <t>4/2客供价格贴纸</t>
  </si>
  <si>
    <t>日期码格式：ZURU INC(BVI) 标准格式 日期：按实际生产日期
Packaging Info: 
77485GQ7:MA 3L(5L WARNING)最新EAN包装+一张客供价格贴纸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客供价格贴纸位置为产品正面右上角，不能遮住产品信息，有无客供价格贴纸请参考该单包装信息一栏的备注，没备注就是没有；如有请在大货生产前把贴纸位
置先发给跟单确认
6. 涉及到相关款式会有闪粉的或者微塑料的，请统一默认出无闪粉或者不含微塑料版本;
7. 外箱封箱必须是工字型封箱方式；"</t>
  </si>
  <si>
    <t>4500200296</t>
  </si>
  <si>
    <t>130349</t>
  </si>
  <si>
    <t>4500200296-20</t>
  </si>
  <si>
    <t>4/20价格贴纸，价格贴纸客供。2PK的球用无条码收缩膜或加空白贴纸覆盖原条码。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</si>
  <si>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Marshalls PO#130349,SKU#926253 DC#881-468PCS, DC#884-348PCS, DC#886-516PCS, DC#887-444PCS, DC#888-420PCS</t>
  </si>
  <si>
    <t>Emily  Wu</t>
  </si>
  <si>
    <t>4500200297</t>
  </si>
  <si>
    <t>130360</t>
  </si>
  <si>
    <t>4500200297-20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</si>
  <si>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PO#130360,SKU#205839 DC#891-624PCS, DC#894-360PCS, DC#896-288PCS, DC#897-660PCS, DC#898-468PCS</t>
  </si>
  <si>
    <t>4500186375-30</t>
  </si>
  <si>
    <t>4/9客供价格贴纸</t>
  </si>
  <si>
    <t>日期码格式：ZURU INC(BVI) 标准格式 日期：按实际生产日期
Packaging Info: 1. STD Items: ZURU MA UPC 现有包装+客供价格贴纸，优先使用MA 1L最新版本（可接受多语）,出口美国
Remark: 1. Cus Item
77486：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</si>
  <si>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4500200300</t>
  </si>
  <si>
    <t>130351</t>
  </si>
  <si>
    <t>4500200300-20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</si>
  <si>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Marshalls PO#130351,SKU#926196 DC#881-468PCS, DC#884-348PCS, DC#886-516PCS, DC#887-444PCS, DC#888-420PCS</t>
  </si>
  <si>
    <t>4500200301</t>
  </si>
  <si>
    <t>130362</t>
  </si>
  <si>
    <t>4500200301-20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</si>
  <si>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PO#130362,SKU#205913 DC#891-504PCS, DC#894-396PCS, DC#896-348PCS, DC#897-744PCS, DC#898-408PCS</t>
  </si>
  <si>
    <t>4500199607</t>
  </si>
  <si>
    <t>36567</t>
  </si>
  <si>
    <t>4500199607-40</t>
  </si>
  <si>
    <t>5/7确定</t>
  </si>
  <si>
    <t>日期码格式：ZURU INC(BVI) 标准格式                  日期：按实际生产日期
Packaging Info: 1. 包装方式：MA UPC 优先1L 最新包装，出口美国
Remark: 2. 外箱箱唛红色和黑色双色印刷
 3. 产品和包装上印刷tracking code信息，格式为ZURU常规</t>
  </si>
  <si>
    <t>4500194777-10</t>
  </si>
  <si>
    <t>4/20价格贴纸，价格贴纸客供。2PK的球用无条码收缩膜或加空白贴纸覆盖原条码</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</si>
  <si>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TJ MAXX PO#305513,SKU#196221 DC#891-2088PCS, DC#894-1344PCS, DC#896-1440PCS, DC#897-2424PCS, DC#898-1704PCS</t>
  </si>
  <si>
    <t>4500194775-10</t>
  </si>
  <si>
    <t>日期码格式：ZURU INC(BVI) 标准格式 日期：按实际生产日期
Packaging Info: 消耗库存的物料。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item#77486: Marshalls PO#305505,SKU#916647 DC#881-1872PCS, DC#884-1584PCS, DC#886-1824PCS, DC#887-1248PCS, DC#888-2472PCS</t>
  </si>
  <si>
    <t>4500204515</t>
  </si>
  <si>
    <t>4563089371</t>
  </si>
  <si>
    <t>4500204515-10</t>
  </si>
  <si>
    <t>WIC贴纸（WIC#744431,同PO 4500152749）</t>
  </si>
  <si>
    <t>日期码格式：ZURU INC(BVI) 标准格式                  日期：06-09-2026
Packaging Info: 77485GQ4：客版1L PDQ +MA 1L包装 + WIC贴纸（WIC#744431,同PO 4500152749）+ MA 收藏指南 + PDQ折页  （同PO 4500196523）
Remark: 产品和包装上面要有zuru标准格式的tracking code DG20260609</t>
  </si>
  <si>
    <t>4563089309</t>
  </si>
  <si>
    <t>4500204515-20</t>
  </si>
  <si>
    <t>4563089446</t>
  </si>
  <si>
    <t>4500204515-30</t>
  </si>
  <si>
    <t>4563089195</t>
  </si>
  <si>
    <t>4500204515-40</t>
  </si>
  <si>
    <t>4563089417</t>
  </si>
  <si>
    <t>4500204515-50</t>
  </si>
  <si>
    <t>4563088999</t>
  </si>
  <si>
    <t>4500204515-60</t>
  </si>
  <si>
    <t>4563089170</t>
  </si>
  <si>
    <t>4500204515-70</t>
  </si>
  <si>
    <t>1100031134-1</t>
  </si>
  <si>
    <t>4500193377-10</t>
  </si>
  <si>
    <t xml:space="preserve">日期码格式：ZURU INC(BVI) 标准格式 日期：按实际生产日期
Packaging Info: MA PKG ,优先1L
Remark: </t>
  </si>
  <si>
    <t>4500204609</t>
  </si>
  <si>
    <t>70089405</t>
  </si>
  <si>
    <t>4500204609-50</t>
  </si>
  <si>
    <t>5/9铜板纸+客供价格贴纸</t>
  </si>
  <si>
    <t>日期码格式：ZURU INC(BVI) 标准格式                  日期：按实际生产日期
Packaging Info: 1. Cus Item：
MA UPC 现有包装+PVC桶, 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</si>
  <si>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4500204860</t>
  </si>
  <si>
    <t>8SIZHHZW</t>
  </si>
  <si>
    <t>4500204860-20</t>
  </si>
  <si>
    <t>6/8 SSCC LABEL一张</t>
  </si>
  <si>
    <t>日期码格式：ZURU INC(BVI) 标准格式                  日期：按实际生产日期
Packaging Info: Amazon UK：8SIZHHZW
UK(77555/77486/77515/9543E)
2.77486:2pcs 77485入PVC tube, 12tubes/ctn; MA 3L(无barcode)收缩膜(新FR/DK/UK)+客版彩卡(UPC#+英法德意西5L警示语+FR/ES环保标+GPSR邮箱care@zuru.com
+新FR/DK/UK)+1张贴纸(1张IT环保标，参考翻单PO#4500173446)+MA 3L(5L warning)C收藏指南+其他MA最新配套包装;
5.验货时间不迟于2026/6/29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</si>
  <si>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Luna Lin</t>
  </si>
  <si>
    <t>4500206551</t>
  </si>
  <si>
    <t>70089407</t>
  </si>
  <si>
    <t>4500206551-60</t>
  </si>
  <si>
    <t>6/5寄出客供价格贴纸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</si>
  <si>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</si>
  <si>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4500212370</t>
  </si>
  <si>
    <t>115818</t>
  </si>
  <si>
    <t>4500212370-10</t>
  </si>
  <si>
    <t>7/9 价格贴纸，价格贴纸客供。2PK/3PK的球用无条码收缩膜或加空白贴纸覆盖原条码</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</si>
  <si>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Marshalls PO#115818,SKU#943944 DC#881-444PCS, DC#884-360PCS, DC#886-516PCS, DC#887-492PCS, DC#888-432PCS
</t>
  </si>
  <si>
    <t>4500212372</t>
  </si>
  <si>
    <t>115824</t>
  </si>
  <si>
    <t>4500212372-10</t>
  </si>
  <si>
    <t>7/8 价格贴纸，价格贴纸客供。2PK/3PK的球用无条码收缩膜或加空白贴纸覆盖原条码</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</si>
  <si>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TJ MAXX PO#115824,SKU#223331 DC#891-492PCS, DC#894-396PCS, DC#896-324PCS, DC#897-672PCS, DC#898-372PCS
</t>
  </si>
  <si>
    <t>4500212378</t>
  </si>
  <si>
    <t>115819</t>
  </si>
  <si>
    <t>4500212378-20</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</si>
  <si>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Marshalls PO#115819,SKU#943774 DC#881-612PCS, DC#884-492PCS, DC#886-648PCS, DC#887-648PCS, DC#888-600PCS
</t>
  </si>
  <si>
    <t>4500212379</t>
  </si>
  <si>
    <t>115820</t>
  </si>
  <si>
    <t>4500212379-30</t>
  </si>
  <si>
    <t>8/6~8/7</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</si>
  <si>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Marshalls PO#115820,SKU#943703 DC#881-612PCS, DC#884-492PCS, DC#886-648PCS, DC#887-648PCS, DC#888-600PCS
</t>
  </si>
  <si>
    <t>4500212384</t>
  </si>
  <si>
    <t>115826</t>
  </si>
  <si>
    <t>4500212384-20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</si>
  <si>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TJ MAXX PO#115826,SKU#223270 DC#891-648PCS, DC#894-516PCS, DC#896-444PCS, DC#897-864PCS, DC#898-528PCS</t>
  </si>
  <si>
    <t>4500212386</t>
  </si>
  <si>
    <t>115827</t>
  </si>
  <si>
    <t>4500212386-30</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</si>
  <si>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TJ MAXX PO#115827,SKU#223432 DC#891-648PCS, DC#894-516PCS, DC#896-444PCS, DC#897-864PCS, DC#898-528PCS
</t>
  </si>
  <si>
    <t>AMAZON  UK</t>
  </si>
  <si>
    <t>5DUFVPTZ</t>
  </si>
  <si>
    <t>4500209704-30</t>
  </si>
  <si>
    <t>客版彩卡(UPC#+英法德意西5L警示语+FR/ES环保标+GPS
   R邮箱care@zuru.com+新FR/DK/UK，翻单4500204860)+1张贴纸(1张IT环保标，参考翻单PO#4500173446)+6/18 外箱贴</t>
  </si>
  <si>
    <r>
      <rPr>
        <sz val="12"/>
        <color rgb="FF0000FF"/>
        <rFont val="宋体"/>
        <charset val="134"/>
      </rPr>
      <t>日期码格式：ZURU</t>
    </r>
    <r>
      <rPr>
        <sz val="10"/>
        <color rgb="FF0000FF"/>
        <rFont val="等线"/>
        <charset val="134"/>
      </rPr>
      <t xml:space="preserve">  INC(BVI)  标准格式                                    日期</t>
    </r>
    <r>
      <rPr>
        <sz val="10"/>
        <color rgb="FF0000FF"/>
        <rFont val="汉仪书宋二KW"/>
        <charset val="134"/>
      </rPr>
      <t>：</t>
    </r>
    <r>
      <rPr>
        <sz val="10"/>
        <color rgb="FF0000FF"/>
        <rFont val="等线"/>
        <charset val="134"/>
      </rPr>
      <t>按实际生产日期
Packaging Info: Amazon  UK</t>
    </r>
    <r>
      <rPr>
        <sz val="10"/>
        <color rgb="FF0000FF"/>
        <rFont val="汉仪书宋二KW"/>
        <charset val="134"/>
      </rPr>
      <t>：</t>
    </r>
    <r>
      <rPr>
        <sz val="10"/>
        <color rgb="FF0000FF"/>
        <rFont val="等线"/>
        <charset val="134"/>
      </rPr>
      <t>3PQWTD1L/5DUFVPTZ
UK(77858/77555/77486/9543AE)
   3.  77486:2pcs  77485入PVC  tube,  12tubes/ctn;  MA  3L(无barcode)  收缩膜(新FR/DK/UK</t>
    </r>
    <r>
      <rPr>
        <sz val="10"/>
        <color rgb="FF0000FF"/>
        <rFont val="汉仪书宋二KW"/>
        <charset val="134"/>
      </rPr>
      <t>，</t>
    </r>
    <r>
      <rPr>
        <sz val="10"/>
        <color rgb="FF0000FF"/>
        <rFont val="等线"/>
        <charset val="134"/>
      </rPr>
      <t>翻单4500204860)+客版彩卡(UPC#+英法德意西5L警示语+FR/ES环保标+GPS
   R邮箱</t>
    </r>
    <r>
      <rPr>
        <sz val="10"/>
        <color rgb="FF000000"/>
        <rFont val="等线"/>
        <charset val="134"/>
      </rPr>
      <t>care@zuru.com+</t>
    </r>
    <r>
      <rPr>
        <sz val="10"/>
        <color rgb="FF0000FF"/>
        <rFont val="等线"/>
        <charset val="134"/>
      </rPr>
      <t>新FR/DK/UK</t>
    </r>
    <r>
      <rPr>
        <sz val="10"/>
        <color rgb="FF0000FF"/>
        <rFont val="汉仪书宋二KW"/>
        <charset val="134"/>
      </rPr>
      <t>，</t>
    </r>
    <r>
      <rPr>
        <sz val="10"/>
        <color rgb="FF0000FF"/>
        <rFont val="等线"/>
        <charset val="134"/>
      </rPr>
      <t>翻单4500204860)+1张贴纸(1张IT环保标</t>
    </r>
    <r>
      <rPr>
        <sz val="10"/>
        <color rgb="FF0000FF"/>
        <rFont val="汉仪书宋二KW"/>
        <charset val="134"/>
      </rPr>
      <t>，</t>
    </r>
    <r>
      <rPr>
        <sz val="10"/>
        <color rgb="FF0000FF"/>
        <rFont val="等线"/>
        <charset val="134"/>
      </rPr>
      <t>参考翻单PO#4500173446)+MA  3L(5L  warning)C收藏指南+其他MA最新配套包装;
   5.  最晚验货时间7/23
   6.  77858验货时需要将产品六面图</t>
    </r>
    <r>
      <rPr>
        <sz val="10"/>
        <color rgb="FF0000FF"/>
        <rFont val="汉仪书宋二KW"/>
        <charset val="134"/>
      </rPr>
      <t>，</t>
    </r>
    <r>
      <rPr>
        <sz val="10"/>
        <color rgb="FF0000FF"/>
        <rFont val="等线"/>
        <charset val="134"/>
      </rPr>
      <t xml:space="preserve">     邮包盒(含产品)测量尺寸图片&lt;(&gt;&amp;&lt;)&gt;重量图片放进验货报告
Remark: 1.空白外箱</t>
    </r>
    <r>
      <rPr>
        <sz val="10"/>
        <color rgb="FF0000FF"/>
        <rFont val="汉仪书宋二KW"/>
        <charset val="134"/>
      </rPr>
      <t>（</t>
    </r>
    <r>
      <rPr>
        <sz val="10"/>
        <color rgb="FF0000FF"/>
        <rFont val="等线"/>
        <charset val="134"/>
      </rPr>
      <t>加印带Zuru字样的最新logo</t>
    </r>
    <r>
      <rPr>
        <sz val="10"/>
        <color rgb="FF0000FF"/>
        <rFont val="汉仪书宋二KW"/>
        <charset val="134"/>
      </rPr>
      <t>，</t>
    </r>
    <r>
      <rPr>
        <sz val="10"/>
        <color rgb="FF0000FF"/>
        <rFont val="等线"/>
        <charset val="134"/>
      </rPr>
      <t>除了邮包盒直接做外箱的产品</t>
    </r>
    <r>
      <rPr>
        <sz val="10"/>
        <color rgb="FF0000FF"/>
        <rFont val="汉仪书宋二KW"/>
        <charset val="134"/>
      </rPr>
      <t>）</t>
    </r>
    <r>
      <rPr>
        <sz val="10"/>
        <color rgb="FF0000FF"/>
        <rFont val="等线"/>
        <charset val="134"/>
      </rPr>
      <t xml:space="preserve">    +  SSCC  LABEL一张,  无箱唛</t>
    </r>
    <r>
      <rPr>
        <sz val="10"/>
        <color rgb="FF0000FF"/>
        <rFont val="汉仪书宋二KW"/>
        <charset val="134"/>
      </rPr>
      <t>，</t>
    </r>
    <r>
      <rPr>
        <sz val="10"/>
        <color rgb="FF0000FF"/>
        <rFont val="等线"/>
        <charset val="134"/>
      </rPr>
      <t>MADE  IN  CHINA  外箱只印一正一侧。箱唛资料按照给定的
标准去做即可</t>
    </r>
    <r>
      <rPr>
        <sz val="10"/>
        <color rgb="FF0000FF"/>
        <rFont val="汉仪书宋二KW"/>
        <charset val="134"/>
      </rPr>
      <t>，</t>
    </r>
    <r>
      <rPr>
        <sz val="10"/>
        <color rgb="FF0000FF"/>
        <rFont val="等线"/>
        <charset val="134"/>
      </rPr>
      <t>无需发回我方再行审批(新标准将另行通知)。
(SSCC  LABEL竖贴在外箱正面的正中间</t>
    </r>
    <r>
      <rPr>
        <sz val="10"/>
        <color rgb="FF0000FF"/>
        <rFont val="汉仪书宋二KW"/>
        <charset val="134"/>
      </rPr>
      <t>，</t>
    </r>
    <r>
      <rPr>
        <sz val="10"/>
        <color rgb="FF0000FF"/>
        <rFont val="等线"/>
        <charset val="134"/>
      </rPr>
      <t>贴一面即可,贴纸离外箱边距必须至少3.2CM。如竖贴无法满足要求</t>
    </r>
    <r>
      <rPr>
        <sz val="10"/>
        <color rgb="FF0000FF"/>
        <rFont val="汉仪书宋二KW"/>
        <charset val="134"/>
      </rPr>
      <t>，</t>
    </r>
    <r>
      <rPr>
        <sz val="10"/>
        <color rgb="FF0000FF"/>
        <rFont val="等线"/>
        <charset val="134"/>
      </rPr>
      <t>则横贴。如横贴也无法满足要求</t>
    </r>
    <r>
      <rPr>
        <sz val="10"/>
        <color rgb="FF0000FF"/>
        <rFont val="汉仪书宋二KW"/>
        <charset val="134"/>
      </rPr>
      <t>，</t>
    </r>
    <r>
      <rPr>
        <sz val="10"/>
        <color rgb="FF0000FF"/>
        <rFont val="等线"/>
        <charset val="134"/>
      </rPr>
      <t>则竖贴</t>
    </r>
    <r>
      <rPr>
        <sz val="10"/>
        <color rgb="FF0000FF"/>
        <rFont val="汉仪书宋二KW"/>
        <charset val="134"/>
      </rPr>
      <t>，</t>
    </r>
    <r>
      <rPr>
        <sz val="10"/>
        <color rgb="FF0000FF"/>
        <rFont val="等线"/>
        <charset val="134"/>
      </rPr>
      <t>遮到ZURU  lo
go无影响),  SSCC贴纸由工厂直接跟勤得采购或者工厂自行采购</t>
    </r>
    <r>
      <rPr>
        <sz val="10"/>
        <color rgb="FF0000FF"/>
        <rFont val="汉仪书宋二KW"/>
        <charset val="134"/>
      </rPr>
      <t>，</t>
    </r>
    <r>
      <rPr>
        <sz val="10"/>
        <color rgb="FF0000FF"/>
        <rFont val="等线"/>
        <charset val="134"/>
      </rPr>
      <t>每一张SSCC  Label都是唯一且有不同流水及条码</t>
    </r>
    <r>
      <rPr>
        <sz val="10"/>
        <color rgb="FF0000FF"/>
        <rFont val="汉仪书宋二KW"/>
        <charset val="134"/>
      </rPr>
      <t>，</t>
    </r>
    <r>
      <rPr>
        <sz val="10"/>
        <color rgb="FF0000FF"/>
        <rFont val="等线"/>
        <charset val="134"/>
      </rPr>
      <t>且需要检查条码是否能正常扫描</t>
    </r>
    <r>
      <rPr>
        <sz val="10"/>
        <color rgb="FF0000FF"/>
        <rFont val="汉仪书宋二KW"/>
        <charset val="134"/>
      </rPr>
      <t>，</t>
    </r>
    <r>
      <rPr>
        <sz val="10"/>
        <color rgb="FF0000FF"/>
        <rFont val="等线"/>
        <charset val="134"/>
      </rPr>
      <t>另外</t>
    </r>
    <r>
      <rPr>
        <sz val="10"/>
        <color rgb="FF0000FF"/>
        <rFont val="汉仪书宋二KW"/>
        <charset val="134"/>
      </rPr>
      <t>，</t>
    </r>
    <r>
      <rPr>
        <sz val="10"/>
        <color rgb="FF0000FF"/>
        <rFont val="等线"/>
        <charset val="134"/>
      </rPr>
      <t>此贴纸
印刷不可出现模糊</t>
    </r>
    <r>
      <rPr>
        <sz val="10"/>
        <color rgb="FF0000FF"/>
        <rFont val="汉仪书宋二KW"/>
        <charset val="134"/>
      </rPr>
      <t>，</t>
    </r>
    <r>
      <rPr>
        <sz val="10"/>
        <color rgb="FF0000FF"/>
        <rFont val="等线"/>
        <charset val="134"/>
      </rPr>
      <t>溢出及粘胶不牢易脱落等现象</t>
    </r>
    <r>
      <rPr>
        <sz val="10"/>
        <color rgb="FF0000FF"/>
        <rFont val="汉仪书宋二KW"/>
        <charset val="134"/>
      </rPr>
      <t>，</t>
    </r>
    <r>
      <rPr>
        <sz val="10"/>
        <color rgb="FF0000FF"/>
        <rFont val="等线"/>
        <charset val="134"/>
      </rPr>
      <t>如工厂不按此要求导致贴纸有任何问题产生的罚款将由工厂承担一切责任  ,&lt;(&gt;,&lt;)&gt;  此要求只适用Amazon  UK/DE
/FR/ES/IT,不适用Amazon  GPE</t>
    </r>
    <r>
      <rPr>
        <sz val="10"/>
        <color rgb="FF0000FF"/>
        <rFont val="汉仪书宋二KW"/>
        <charset val="134"/>
      </rPr>
      <t>，</t>
    </r>
    <r>
      <rPr>
        <sz val="10"/>
        <color rgb="FF0000FF"/>
        <rFont val="等线"/>
        <charset val="134"/>
      </rPr>
      <t>Amazon  GPE无SSCC  label,  但是有对应箱唛</t>
    </r>
    <r>
      <rPr>
        <sz val="10"/>
        <color rgb="FF0000FF"/>
        <rFont val="汉仪书宋二KW"/>
        <charset val="134"/>
      </rPr>
      <t>，</t>
    </r>
    <r>
      <rPr>
        <sz val="10"/>
        <color rgb="FF0000FF"/>
        <rFont val="等线"/>
        <charset val="134"/>
      </rPr>
      <t xml:space="preserve">需印刷到外箱  。
2. 出往UK的产品+包装务必打上UKCA  logo  </t>
    </r>
    <r>
      <rPr>
        <sz val="10"/>
        <color rgb="FF0000FF"/>
        <rFont val="汉仪书宋二KW"/>
        <charset val="134"/>
      </rPr>
      <t>，</t>
    </r>
    <r>
      <rPr>
        <sz val="10"/>
        <color rgb="FF0000FF"/>
        <rFont val="等线"/>
        <charset val="134"/>
      </rPr>
      <t>否则客人会退货且当地会有罚款。Amazon  GPE</t>
    </r>
    <r>
      <rPr>
        <sz val="10"/>
        <color rgb="FF0000FF"/>
        <rFont val="汉仪书宋二KW"/>
        <charset val="134"/>
      </rPr>
      <t>（</t>
    </r>
    <r>
      <rPr>
        <sz val="10"/>
        <color rgb="FF0000FF"/>
        <rFont val="等线"/>
        <charset val="134"/>
      </rPr>
      <t>包含UK/FR/ES/DE/IT</t>
    </r>
    <r>
      <rPr>
        <sz val="10"/>
        <color rgb="FF0000FF"/>
        <rFont val="汉仪书宋二KW"/>
        <charset val="134"/>
      </rPr>
      <t>）</t>
    </r>
    <r>
      <rPr>
        <sz val="10"/>
        <color rgb="FF0000FF"/>
        <rFont val="等线"/>
        <charset val="134"/>
      </rPr>
      <t>的订单也需满足此要求。
3.订单必须经过ZURU  QC验货或者工厂自检通过后方可出货</t>
    </r>
    <r>
      <rPr>
        <sz val="10"/>
        <color rgb="FF0000FF"/>
        <rFont val="汉仪书宋二KW"/>
        <charset val="134"/>
      </rPr>
      <t>，</t>
    </r>
    <r>
      <rPr>
        <sz val="10"/>
        <color rgb="FF0000FF"/>
        <rFont val="等线"/>
        <charset val="134"/>
      </rPr>
      <t>不涉及第三方验货。
4.法国订单要求包装不使用矿物油</t>
    </r>
    <r>
      <rPr>
        <sz val="10"/>
        <color rgb="FF0000FF"/>
        <rFont val="汉仪书宋二KW"/>
        <charset val="134"/>
      </rPr>
      <t>，</t>
    </r>
    <r>
      <rPr>
        <sz val="10"/>
        <color rgb="FF0000FF"/>
        <rFont val="等线"/>
        <charset val="134"/>
      </rPr>
      <t xml:space="preserve">请按要求提供以下其中一份文件再出货  </t>
    </r>
    <r>
      <rPr>
        <sz val="10"/>
        <color rgb="FF0000FF"/>
        <rFont val="汉仪书宋二KW"/>
        <charset val="134"/>
      </rPr>
      <t>，</t>
    </r>
    <r>
      <rPr>
        <sz val="10"/>
        <color rgb="FF0000FF"/>
        <rFont val="等线"/>
        <charset val="134"/>
      </rPr>
      <t>产品出到法国被相关部门抽检出现包装不符合此要求的</t>
    </r>
    <r>
      <rPr>
        <sz val="10"/>
        <color rgb="FF0000FF"/>
        <rFont val="汉仪书宋二KW"/>
        <charset val="134"/>
      </rPr>
      <t>，</t>
    </r>
    <r>
      <rPr>
        <sz val="10"/>
        <color rgb="FF0000FF"/>
        <rFont val="等线"/>
        <charset val="134"/>
      </rPr>
      <t>供应商需要为此承担责任</t>
    </r>
    <r>
      <rPr>
        <sz val="10"/>
        <color rgb="FF0000FF"/>
        <rFont val="汉仪书宋二KW"/>
        <charset val="134"/>
      </rPr>
      <t>，</t>
    </r>
    <r>
      <rPr>
        <sz val="10"/>
        <color rgb="FF0000FF"/>
        <rFont val="等线"/>
        <charset val="134"/>
      </rPr>
      <t xml:space="preserve">
故此请严格把关。Am~azon  GPE</t>
    </r>
    <r>
      <rPr>
        <sz val="10"/>
        <color rgb="FF0000FF"/>
        <rFont val="汉仪书宋二KW"/>
        <charset val="134"/>
      </rPr>
      <t>（</t>
    </r>
    <r>
      <rPr>
        <sz val="10"/>
        <color rgb="FF0000FF"/>
        <rFont val="等线"/>
        <charset val="134"/>
      </rPr>
      <t>包含UK/FR/ES/DE/IT</t>
    </r>
    <r>
      <rPr>
        <sz val="10"/>
        <color rgb="FF0000FF"/>
        <rFont val="汉仪书宋二KW"/>
        <charset val="134"/>
      </rPr>
      <t>）</t>
    </r>
    <r>
      <rPr>
        <sz val="10"/>
        <color rgb="FF0000FF"/>
        <rFont val="等线"/>
        <charset val="134"/>
      </rPr>
      <t>的订单也需满足此要求。
-油墨物质""""由1      7个芳香环组成的MOAH""""的包装检测报告</t>
    </r>
    <r>
      <rPr>
        <sz val="10"/>
        <color rgb="FF0000FF"/>
        <rFont val="汉仪书宋二KW"/>
        <charset val="134"/>
      </rPr>
      <t>，</t>
    </r>
    <r>
      <rPr>
        <sz val="10"/>
        <color rgb="FF0000FF"/>
        <rFont val="等线"/>
        <charset val="134"/>
      </rPr>
      <t>要求限值≤1.0%</t>
    </r>
    <r>
      <rPr>
        <sz val="10"/>
        <color rgb="FF0000FF"/>
        <rFont val="汉仪书宋二KW"/>
        <charset val="134"/>
      </rPr>
      <t>；</t>
    </r>
    <r>
      <rPr>
        <sz val="10"/>
        <color rgb="FF0000FF"/>
        <rFont val="等线"/>
        <charset val="134"/>
      </rPr>
      <t xml:space="preserve">
   -包装材料清单</t>
    </r>
    <r>
      <rPr>
        <sz val="10"/>
        <color rgb="FF0000FF"/>
        <rFont val="汉仪书宋二KW"/>
        <charset val="134"/>
      </rPr>
      <t>，</t>
    </r>
    <r>
      <rPr>
        <sz val="10"/>
        <color rgb="FF0000FF"/>
        <rFont val="等线"/>
        <charset val="134"/>
      </rPr>
      <t>包括包装油墨或物质的信息</t>
    </r>
    <r>
      <rPr>
        <sz val="10"/>
        <color rgb="FF0000FF"/>
        <rFont val="汉仪书宋二KW"/>
        <charset val="134"/>
      </rPr>
      <t>；</t>
    </r>
    <r>
      <rPr>
        <sz val="10"/>
        <color rgb="FF0000FF"/>
        <rFont val="等线"/>
        <charset val="134"/>
      </rPr>
      <t xml:space="preserve">
   -油墨制造商的证书</t>
    </r>
    <r>
      <rPr>
        <sz val="10"/>
        <color rgb="FF0000FF"/>
        <rFont val="汉仪书宋二KW"/>
        <charset val="134"/>
      </rPr>
      <t>；</t>
    </r>
    <r>
      <rPr>
        <sz val="10"/>
        <color rgb="FF0000FF"/>
        <rFont val="等线"/>
        <charset val="134"/>
      </rPr>
      <t xml:space="preserve">
5.每一批次出货只能有一个生产日期</t>
    </r>
    <r>
      <rPr>
        <sz val="10"/>
        <color rgb="FF0000FF"/>
        <rFont val="汉仪书宋二KW"/>
        <charset val="134"/>
      </rPr>
      <t>，</t>
    </r>
    <r>
      <rPr>
        <sz val="10"/>
        <color rgb="FF0000FF"/>
        <rFont val="等线"/>
        <charset val="134"/>
      </rPr>
      <t>不可多个生产日期混在同一批次出货</t>
    </r>
    <r>
      <rPr>
        <sz val="10"/>
        <color rgb="FF0000FF"/>
        <rFont val="汉仪书宋二KW"/>
        <charset val="134"/>
      </rPr>
      <t>；</t>
    </r>
    <r>
      <rPr>
        <sz val="10"/>
        <color rgb="FF0000FF"/>
        <rFont val="等线"/>
        <charset val="134"/>
      </rPr>
      <t>且零售包装上必须统一加上日期码</t>
    </r>
    <r>
      <rPr>
        <sz val="10"/>
        <color rgb="FF0000FF"/>
        <rFont val="汉仪书宋二KW"/>
        <charset val="134"/>
      </rPr>
      <t>；</t>
    </r>
    <r>
      <rPr>
        <sz val="10"/>
        <color rgb="FF0000FF"/>
        <rFont val="等线"/>
        <charset val="134"/>
      </rPr>
      <t>外箱对于日期码没有硬性规定</t>
    </r>
    <r>
      <rPr>
        <sz val="10"/>
        <color rgb="FF0000FF"/>
        <rFont val="汉仪书宋二KW"/>
        <charset val="134"/>
      </rPr>
      <t>；</t>
    </r>
    <r>
      <rPr>
        <sz val="10"/>
        <color rgb="FF0000FF"/>
        <rFont val="等线"/>
        <charset val="134"/>
      </rPr>
      <t xml:space="preserve">
6.涉及到相关款式会有闪粉的或者微塑料的</t>
    </r>
    <r>
      <rPr>
        <sz val="10"/>
        <color rgb="FF0000FF"/>
        <rFont val="汉仪书宋二KW"/>
        <charset val="134"/>
      </rPr>
      <t>，</t>
    </r>
    <r>
      <rPr>
        <sz val="10"/>
        <color rgb="FF0000FF"/>
        <rFont val="等线"/>
        <charset val="134"/>
      </rPr>
      <t>请统一默认出无闪粉或者不含微塑料版本</t>
    </r>
    <r>
      <rPr>
        <sz val="10"/>
        <color rgb="FF0000FF"/>
        <rFont val="汉仪书宋二KW"/>
        <charset val="134"/>
      </rPr>
      <t>；</t>
    </r>
    <r>
      <rPr>
        <sz val="10"/>
        <color rgb="FF0000FF"/>
        <rFont val="等线"/>
        <charset val="134"/>
      </rPr>
      <t xml:space="preserve">
7. 邮包盒及外箱封箱必须是工字型封箱方式</t>
    </r>
    <r>
      <rPr>
        <sz val="10"/>
        <color rgb="FF0000FF"/>
        <rFont val="汉仪书宋二KW"/>
        <charset val="134"/>
      </rPr>
      <t>；</t>
    </r>
    <r>
      <rPr>
        <sz val="10"/>
        <color rgb="FF0000FF"/>
        <rFont val="等线"/>
        <charset val="134"/>
      </rPr>
      <t xml:space="preserve">
   8.5  Surprise  or  Mini  Brands涉及包装是2个及2个以上的球入PVC桶包装时</t>
    </r>
    <r>
      <rPr>
        <sz val="10"/>
        <color rgb="FF0000FF"/>
        <rFont val="汉仪书宋二KW"/>
        <charset val="134"/>
      </rPr>
      <t>，</t>
    </r>
    <r>
      <rPr>
        <sz val="10"/>
        <color rgb="FF0000FF"/>
        <rFont val="等线"/>
        <charset val="134"/>
      </rPr>
      <t>单个球上若有UPC#或者EAN#</t>
    </r>
    <r>
      <rPr>
        <sz val="10"/>
        <color rgb="FF0000FF"/>
        <rFont val="汉仪书宋二KW"/>
        <charset val="134"/>
      </rPr>
      <t>，</t>
    </r>
    <r>
      <rPr>
        <sz val="10"/>
        <color rgb="FF0000FF"/>
        <rFont val="等线"/>
        <charset val="134"/>
      </rPr>
      <t>请用空白贴纸覆盖住</t>
    </r>
    <r>
      <rPr>
        <sz val="10"/>
        <color rgb="FF0000FF"/>
        <rFont val="汉仪书宋二KW"/>
        <charset val="134"/>
      </rPr>
      <t>，</t>
    </r>
    <r>
      <rPr>
        <sz val="10"/>
        <color rgb="FF0000FF"/>
        <rFont val="等线"/>
        <charset val="134"/>
      </rPr>
      <t>贴纸尺寸自行测量能覆盖原条码即
可</t>
    </r>
    <r>
      <rPr>
        <sz val="10"/>
        <color rgb="FF0000FF"/>
        <rFont val="汉仪书宋二KW"/>
        <charset val="134"/>
      </rPr>
      <t>；</t>
    </r>
    <r>
      <rPr>
        <sz val="10"/>
        <color rgb="FF0000FF"/>
        <rFont val="等线"/>
        <charset val="134"/>
      </rPr>
      <t xml:space="preserve">
   9.  无论是工厂自检还是ZURU验货</t>
    </r>
    <r>
      <rPr>
        <sz val="10"/>
        <color rgb="FF0000FF"/>
        <rFont val="汉仪书宋二KW"/>
        <charset val="134"/>
      </rPr>
      <t>，</t>
    </r>
    <r>
      <rPr>
        <sz val="10"/>
        <color rgb="FF0000FF"/>
        <rFont val="等线"/>
        <charset val="134"/>
      </rPr>
      <t>验货报告中必须有产品6面图(正面/背面/左面/右面/顶部/底部</t>
    </r>
    <r>
      <rPr>
        <sz val="10"/>
        <color rgb="FF0000FF"/>
        <rFont val="汉仪书宋二KW"/>
        <charset val="134"/>
      </rPr>
      <t>，</t>
    </r>
    <r>
      <rPr>
        <sz val="10"/>
        <color rgb="FF0000FF"/>
        <rFont val="等线"/>
        <charset val="134"/>
      </rPr>
      <t>不带包装);
   10.  按空海运鉴定报告的要求</t>
    </r>
    <r>
      <rPr>
        <sz val="10"/>
        <color rgb="FF0000FF"/>
        <rFont val="汉仪书宋二KW"/>
        <charset val="134"/>
      </rPr>
      <t>，</t>
    </r>
    <r>
      <rPr>
        <sz val="10"/>
        <color rgb="FF0000FF"/>
        <rFont val="等线"/>
        <charset val="134"/>
      </rPr>
      <t>只要带锂电池出货</t>
    </r>
    <r>
      <rPr>
        <sz val="10"/>
        <color rgb="FF0000FF"/>
        <rFont val="汉仪书宋二KW"/>
        <charset val="134"/>
      </rPr>
      <t>，</t>
    </r>
    <r>
      <rPr>
        <sz val="10"/>
        <color rgb="FF0000FF"/>
        <rFont val="等线"/>
        <charset val="134"/>
      </rPr>
      <t>都需要加贴UN贴纸</t>
    </r>
    <r>
      <rPr>
        <sz val="10"/>
        <color rgb="FF0000FF"/>
        <rFont val="汉仪书宋二KW"/>
        <charset val="134"/>
      </rPr>
      <t>；</t>
    </r>
    <r>
      <rPr>
        <sz val="10"/>
        <color rgb="FF0000FF"/>
        <rFont val="等线"/>
        <charset val="134"/>
      </rPr>
      <t xml:space="preserve">
   11.  所有出往GAS市场(德国/奥地利/瑞士)的电子产品身上需要加字唛</t>
    </r>
    <r>
      <rPr>
        <sz val="10"/>
        <color rgb="FF0000FF"/>
        <rFont val="汉仪书宋二KW"/>
        <charset val="134"/>
      </rPr>
      <t>，</t>
    </r>
    <r>
      <rPr>
        <sz val="10"/>
        <color rgb="FF0000FF"/>
        <rFont val="等线"/>
        <charset val="134"/>
      </rPr>
      <t>为ZURU  FRANCE  地址</t>
    </r>
    <r>
      <rPr>
        <sz val="10"/>
        <color rgb="FF0000FF"/>
        <rFont val="汉仪书宋二KW"/>
        <charset val="134"/>
      </rPr>
      <t>，</t>
    </r>
    <r>
      <rPr>
        <sz val="10"/>
        <color rgb="FF0000FF"/>
        <rFont val="等线"/>
        <charset val="134"/>
      </rPr>
      <t>需跟包装上的地址一致  (如无电子产品</t>
    </r>
    <r>
      <rPr>
        <sz val="10"/>
        <color rgb="FF0000FF"/>
        <rFont val="汉仪书宋二KW"/>
        <charset val="134"/>
      </rPr>
      <t>，</t>
    </r>
    <r>
      <rPr>
        <sz val="10"/>
        <color rgb="FF0000FF"/>
        <rFont val="等线"/>
        <charset val="134"/>
      </rPr>
      <t>产品布标有此地址</t>
    </r>
    <r>
      <rPr>
        <sz val="10"/>
        <color rgb="FF0000FF"/>
        <rFont val="汉仪书宋二KW"/>
        <charset val="134"/>
      </rPr>
      <t>，</t>
    </r>
    <r>
      <rPr>
        <sz val="10"/>
        <color rgb="FF0000FF"/>
        <rFont val="等线"/>
        <charset val="134"/>
      </rPr>
      <t>或产品
太小无法增加可忽略此信息。如产品无法加字唛</t>
    </r>
    <r>
      <rPr>
        <sz val="10"/>
        <color rgb="FF0000FF"/>
        <rFont val="汉仪书宋二KW"/>
        <charset val="134"/>
      </rPr>
      <t>，</t>
    </r>
    <r>
      <rPr>
        <sz val="10"/>
        <color rgb="FF0000FF"/>
        <rFont val="等线"/>
        <charset val="134"/>
      </rPr>
      <t>需让对应跟单提供产品贴纸资料);</t>
    </r>
    <r>
      <rPr>
        <sz val="10"/>
        <color rgb="FF0000FF"/>
        <rFont val="汉仪书宋二KW"/>
        <charset val="134"/>
      </rPr>
      <t>（</t>
    </r>
    <r>
      <rPr>
        <sz val="10"/>
        <color rgb="FF0000FF"/>
        <rFont val="等线"/>
        <charset val="134"/>
      </rPr>
      <t>Amazon  GPE的订单也需满足此要求</t>
    </r>
    <r>
      <rPr>
        <sz val="10"/>
        <color rgb="FF0000FF"/>
        <rFont val="汉仪书宋二KW"/>
        <charset val="134"/>
      </rPr>
      <t>）</t>
    </r>
    <r>
      <rPr>
        <sz val="10"/>
        <color rgb="FF0000FF"/>
        <rFont val="等线"/>
        <charset val="134"/>
      </rPr>
      <t xml:space="preserve">
   12.  所有出往GAS德国  (瑞士</t>
    </r>
    <r>
      <rPr>
        <sz val="10"/>
        <color rgb="FF0000FF"/>
        <rFont val="汉仪书宋二KW"/>
        <charset val="134"/>
      </rPr>
      <t>，</t>
    </r>
    <r>
      <rPr>
        <sz val="10"/>
        <color rgb="FF0000FF"/>
        <rFont val="等线"/>
        <charset val="134"/>
      </rPr>
      <t>奥地利)。水弹枪系列必须使用EN71版本</t>
    </r>
    <r>
      <rPr>
        <sz val="10"/>
        <color rgb="FF0000FF"/>
        <rFont val="汉仪书宋二KW"/>
        <charset val="134"/>
      </rPr>
      <t>（</t>
    </r>
    <r>
      <rPr>
        <sz val="10"/>
        <color rgb="FF0000FF"/>
        <rFont val="等线"/>
        <charset val="134"/>
      </rPr>
      <t>电子和非电子水弹枪系列都需要符合);  护目镜需打日期码,  格式跟ZURU标准格式一样;  枪
身上增加ZURU  FRANCE公司名和地址。使用贴纸和辐射上去都可以。如果有位置</t>
    </r>
    <r>
      <rPr>
        <sz val="10"/>
        <color rgb="FF0000FF"/>
        <rFont val="汉仪书宋二KW"/>
        <charset val="134"/>
      </rPr>
      <t>，</t>
    </r>
    <r>
      <rPr>
        <sz val="10"/>
        <color rgb="FF0000FF"/>
        <rFont val="等线"/>
        <charset val="134"/>
      </rPr>
      <t>最好增加ZURU  Represented  by:  (此最好翻译德语</t>
    </r>
    <r>
      <rPr>
        <sz val="10"/>
        <color rgb="FF0000FF"/>
        <rFont val="汉仪书宋二KW"/>
        <charset val="134"/>
      </rPr>
      <t>，</t>
    </r>
    <r>
      <rPr>
        <sz val="10"/>
        <color rgb="FF0000FF"/>
        <rFont val="等线"/>
        <charset val="134"/>
      </rPr>
      <t>如果位置不允许</t>
    </r>
    <r>
      <rPr>
        <sz val="10"/>
        <color rgb="FF0000FF"/>
        <rFont val="汉仪书宋二KW"/>
        <charset val="134"/>
      </rPr>
      <t>，</t>
    </r>
    <r>
      <rPr>
        <sz val="10"/>
        <color rgb="FF0000FF"/>
        <rFont val="等线"/>
        <charset val="134"/>
      </rPr>
      <t>那么就只增
加ZURU法国和地址)。使用最新的EN71版包装和说明书</t>
    </r>
    <r>
      <rPr>
        <sz val="10"/>
        <color rgb="FF0000FF"/>
        <rFont val="汉仪书宋二KW"/>
        <charset val="134"/>
      </rPr>
      <t>）</t>
    </r>
    <r>
      <rPr>
        <sz val="10"/>
        <color rgb="FF0000FF"/>
        <rFont val="等线"/>
        <charset val="134"/>
      </rPr>
      <t>。Amazon  GPE</t>
    </r>
    <r>
      <rPr>
        <sz val="10"/>
        <color rgb="FF0000FF"/>
        <rFont val="汉仪书宋二KW"/>
        <charset val="134"/>
      </rPr>
      <t>（</t>
    </r>
    <r>
      <rPr>
        <sz val="10"/>
        <color rgb="FF0000FF"/>
        <rFont val="等线"/>
        <charset val="134"/>
      </rPr>
      <t>包含UK/FR/ES/DE/IT</t>
    </r>
    <r>
      <rPr>
        <sz val="10"/>
        <color rgb="FF0000FF"/>
        <rFont val="汉仪书宋二KW"/>
        <charset val="134"/>
      </rPr>
      <t>）</t>
    </r>
    <r>
      <rPr>
        <sz val="10"/>
        <color rgb="FF0000FF"/>
        <rFont val="等线"/>
        <charset val="134"/>
      </rPr>
      <t>的订单也需满足此要求。</t>
    </r>
  </si>
  <si>
    <r>
      <rPr>
        <sz val="12"/>
        <color rgb="FF0000FF"/>
        <rFont val="宋体"/>
        <charset val="134"/>
        <scheme val="minor"/>
      </rPr>
      <t>Crystal</t>
    </r>
    <r>
      <rPr>
        <sz val="10"/>
        <color rgb="FF0000FF"/>
        <rFont val="等线"/>
        <charset val="134"/>
      </rPr>
      <t xml:space="preserve">  Chen</t>
    </r>
  </si>
  <si>
    <t>MA  3L(无barcode)  收缩膜(新FR/DK/UK，翻单4500204860)</t>
  </si>
  <si>
    <t>4500212389</t>
  </si>
  <si>
    <t>115821</t>
  </si>
  <si>
    <t>4500212389-20</t>
  </si>
  <si>
    <t>8/13~8/15</t>
  </si>
  <si>
    <t>欠价格贴纸，价格贴纸客供。2PK/3PK的球用无条码收缩膜或加空白贴纸覆盖原条码</t>
  </si>
  <si>
    <t xml:space="preserve">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Marshalls PO#115821,SKU#943857 DC#881-600PCS, DC#884-492PCS, DC#886-660PCS, DC#887-648PCS, DC#888-600PCS
</t>
  </si>
  <si>
    <t>4500212394</t>
  </si>
  <si>
    <t>115828</t>
  </si>
  <si>
    <t>4500212394-20</t>
  </si>
  <si>
    <t>8.14-8.18</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</si>
  <si>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item#77486: TJ MAXX PO#115828,SKU#223189 DC#891-636PCS, DC#894-516PCS, DC#896-408PCS, DC#897-912PCS, DC#898-528PCS</t>
  </si>
  <si>
    <t>WALGREENS  CO.</t>
  </si>
  <si>
    <t>4500214466</t>
  </si>
  <si>
    <t>4566868426</t>
  </si>
  <si>
    <t>4500214466-10</t>
  </si>
  <si>
    <t>日期码格式：ZURU  INC(BVI)  标准格式                                    日期：08-11-2026
Packaging Info: 77485GQ4：客版1L  PDQ  +MA  1L包装  +  WIC贴纸（WIC#744431,同PO  4500152749）+  MA  收藏指南  +  PDQ折页    （同PO  4500196523）
Remark: 产品和包装上面要有zuru标准格式的tracking  code</t>
  </si>
  <si>
    <t>Cara  Li</t>
  </si>
  <si>
    <t>4566868368</t>
  </si>
  <si>
    <t>4500214466-20</t>
  </si>
  <si>
    <t>4566868448</t>
  </si>
  <si>
    <t>4500214466-30</t>
  </si>
  <si>
    <t>4566868503</t>
  </si>
  <si>
    <t>4500214466-40</t>
  </si>
  <si>
    <t>4566868493</t>
  </si>
  <si>
    <t>4500214466-50</t>
  </si>
  <si>
    <t>4566868496</t>
  </si>
  <si>
    <t>4500214466-60</t>
  </si>
  <si>
    <t>4566868319</t>
  </si>
  <si>
    <t>4500214466-70</t>
  </si>
  <si>
    <t>4566868470</t>
  </si>
  <si>
    <t>4500214466-80</t>
  </si>
  <si>
    <t>4566868495</t>
  </si>
  <si>
    <t>4500214466-90</t>
  </si>
  <si>
    <t>4500208038</t>
  </si>
  <si>
    <t>70089408</t>
  </si>
  <si>
    <t>4500208038-100</t>
  </si>
  <si>
    <t>7/3 客供价格贴纸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</si>
  <si>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
#15714，ratio-b:d:e:g:m=2:2:2:2:4
#15733，去除K款，其余平均
#77516，消耗AMAZON.COM SERVICES LLC取消单，订单PO4500156588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</si>
  <si>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AMAZON  ES</t>
  </si>
  <si>
    <t>41ZQAF2I</t>
  </si>
  <si>
    <t>4500215818-10</t>
  </si>
  <si>
    <t>9/7-9/11</t>
  </si>
  <si>
    <r>
      <rPr>
        <sz val="12"/>
        <color rgb="FF000000"/>
        <rFont val="宋体"/>
        <charset val="134"/>
      </rPr>
      <t>空白外箱（加印带Zuru字样的最新logo，除了邮包盒直接做外箱的产品） + SSCC LABEL一张, 无箱唛，MADE IN CHINA 外箱只印一正一侧。箱唛资料按照给定的
 标准去做即可，无需发回我方再行审批(新标准将另行通知)</t>
    </r>
    <r>
      <rPr>
        <sz val="12"/>
        <color rgb="FFFF0000"/>
        <rFont val="宋体"/>
        <charset val="134"/>
      </rPr>
      <t xml:space="preserve"> 应最新EU&lt;(&gt;&amp;&lt;)&gt;UK法规PPWR要求，所有外箱上都需要加印如下地址和邮箱，(具体位置：外箱正面右下角)
 ZURU FRANCE. 33 rue Paul Meurice 75020 Paris, France.
 care@zuru.com</t>
    </r>
  </si>
  <si>
    <t>1张贴纸(1张IT环保标，参考翻单PO#4500173446)+ 7/28 SSCC LABEL一张</t>
  </si>
  <si>
    <r>
      <rPr>
        <sz val="12"/>
        <color rgb="FF000000"/>
        <rFont val="宋体"/>
        <charset val="134"/>
      </rPr>
      <t xml:space="preserve">日期码格式：ZURU INC(BVI) 标准格式 日期：按实际生产日期 Tracking Code:
Packaging Info: Amazon ES: 41ZQAF2I
 Amazon UK: 1X7ZQMVY
 Amazon ES (77486)/ UK(9543BE)
 1. 77486:2pcs 77485入PVC tube, 12tubes/ctn; MA 3L(无barcode) 收缩膜(新FR/DK/UK，翻单4500204860)+客版彩卡(UPC#+英法德意西5L警示语+FR/ES环保标+GPS
R邮箱+新FR/DK/UK地址，翻单4500204860)+1张贴纸(1张IT环保标，参考翻单PO#4500173446)+MA 3L(5L warning)C收藏指南+其他MA最新配套包装;
</t>
    </r>
    <r>
      <rPr>
        <sz val="12"/>
        <color rgb="FFFF0000"/>
        <rFont val="宋体"/>
        <charset val="134"/>
      </rPr>
      <t xml:space="preserve"> 应最新EU&lt;(&gt;&amp;&lt;)&gt;UK法规PPWR要求，所有外箱上都需要加印如下地址和邮箱，(具体位置：外箱正面右下角)
 ZURU FRANCE. 33 rue Paul Meurice 75020 Paris, France.
 care@zuru.com</t>
    </r>
    <r>
      <rPr>
        <sz val="12"/>
        <color rgb="FF000000"/>
        <rFont val="宋体"/>
        <charset val="134"/>
      </rPr>
      <t xml:space="preserve">
 2.9543BE:
 --9543B:9543B 24pcs/ctn, no inner, pink; 客版邮包盒(UPC#+英法德意西5L警示语+ES环保标+GPSR邮箱care@zuru.com+新UK地址，翻单PO4500213967)+1张贴纸
 （1张含FR/IT环保标+洗涤说明，贴邮包盒）+MA 3L（5L warning EAN#）D收缩膜+MA 5L(9L warning) C 说明书+WEEE_不带电池走货 _ 说明书欧洲EN+29L_C版；
 --9543E:9543E 24pcs/ctn, no inner, orange; 客版邮包盒(UPC#+英法德意西5L警示语+FR/ES/IT环保标+GPSR邮箱care@zuru.com+新UK地址，参考翻单PO#4500202
 513)+1张贴纸（1张含FR/IT环保标+洗涤说明，贴邮包盒）+MA 3L（5L warning EAN#）D收缩膜+MA 5L(9L warning) C 说明书+WEEE_不带电池走货 _ 说明书欧洲EN+
 29L_C版；
 3. 验货时间不迟于2026/08/28.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</si>
  <si>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2"/>
        <color rgb="FF000000"/>
        <rFont val="宋体"/>
        <charset val="134"/>
        <scheme val="minor"/>
      </rPr>
      <t>Aria</t>
    </r>
    <r>
      <rPr>
        <sz val="10"/>
        <color rgb="FF000000"/>
        <rFont val="宋体"/>
        <charset val="134"/>
        <scheme val="minor"/>
      </rPr>
      <t xml:space="preserve">  Zhou</t>
    </r>
  </si>
  <si>
    <t>MA 3L(无barcode) 收缩膜(新FR/DK/UK，翻单4500204860)+客版彩卡(UPC#+英法德意西5L警示语+FR/ES环保标+GPS
R邮箱+新FR/DK/UK地址，翻单4500204860)+</t>
  </si>
  <si>
    <t>AMAZON MEXICO, S. DE RL  DE CV</t>
  </si>
  <si>
    <t>6257Z5MN</t>
  </si>
  <si>
    <t>4500217358-40</t>
  </si>
  <si>
    <t>欠SSCC LABEL(客供贴纸）+8/14 进口商贴纸</t>
  </si>
  <si>
    <r>
      <rPr>
        <sz val="12"/>
        <color rgb="FF000000"/>
        <rFont val="宋体"/>
        <charset val="134"/>
      </rPr>
      <t xml:space="preserve">日期码格式：ZURU INC(BVI) 标准格式 日期：按实际生产日期 Tracking Code:
Packaging Info: 
 #77486 :2PK #77485入PVC圆筒. 收缩膜用客版3L 无UPC版收缩膜，2PK 3L铜版纸； 客版收缩膜和铜版纸图稿跟TJX订单# 4500171907。（两个球的配比不能重复）
 ; </t>
    </r>
    <r>
      <rPr>
        <sz val="12"/>
        <color rgb="FFFF0000"/>
        <rFont val="宋体"/>
        <charset val="134"/>
      </rPr>
      <t>SSCC lable+进口商贴纸</t>
    </r>
    <r>
      <rPr>
        <sz val="12"/>
        <color rgb="FF000000"/>
        <rFont val="宋体"/>
        <charset val="134"/>
      </rPr>
      <t xml:space="preserve">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Label都是唯一且有不同流水及条码的，没有损耗，绝对不可贴错，否则贴
 错或损坏一张会导致全部都错，千万要注意！
 2. 日期码使用ZURU标准版</t>
    </r>
  </si>
  <si>
    <t>Candy Liu</t>
  </si>
  <si>
    <t>199Q7BSD</t>
  </si>
  <si>
    <t>4500217358-160</t>
  </si>
  <si>
    <t>3ZVHFYAU</t>
  </si>
  <si>
    <t>4500217358-230</t>
  </si>
  <si>
    <t>ADIR  INTERNATIOAL/  CURACAO</t>
  </si>
  <si>
    <t>4500218039-10</t>
  </si>
  <si>
    <t>日期码格式：ZURU  INC(BVI)  标准格式                                    日期：按实际生产日期
Remark: 1.  包装方式：MA  UPC  优先1L  最新包装，出口美国
   2.  产品和包装上印刷tracking  code信息，格式为ZURU常规;
   3.  ZURU  QC验货即可出货。</t>
  </si>
  <si>
    <r>
      <rPr>
        <sz val="12"/>
        <color rgb="FF000000"/>
        <rFont val="宋体"/>
        <charset val="134"/>
        <scheme val="minor"/>
      </rPr>
      <t>Echo</t>
    </r>
    <r>
      <rPr>
        <sz val="10"/>
        <color rgb="FF000000"/>
        <rFont val="等线"/>
        <charset val="134"/>
      </rPr>
      <t xml:space="preserve">  Zhang</t>
    </r>
  </si>
  <si>
    <t>4500211572</t>
  </si>
  <si>
    <t>70089409</t>
  </si>
  <si>
    <t>4500211572-20</t>
  </si>
  <si>
    <t>8/6 客供价格贴纸</t>
  </si>
  <si>
    <r>
      <rPr>
        <sz val="12"/>
        <rFont val="宋体"/>
        <charset val="134"/>
      </rPr>
      <t>日期码格式：ZURU INC(BVI) 标准格式</t>
    </r>
    <r>
      <rPr>
        <sz val="12"/>
        <color rgb="FF000000"/>
        <rFont val="宋体"/>
        <charset val="134"/>
      </rPr>
      <t xml:space="preserve">                  日期：按实际生产日期
Packaging Info: 1.ZURU MA UPC 最新版本包装 + 客供价格贴纸，出口美国 , 优先1L，可接受多语 。
#9564,#77486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r>
  </si>
  <si>
    <t>Blanche</t>
  </si>
  <si>
    <t>4500215065</t>
  </si>
  <si>
    <t>70089411</t>
  </si>
  <si>
    <t>4500215065-10</t>
  </si>
  <si>
    <t>欠 客供价格贴纸</t>
  </si>
  <si>
    <t>铜板纸（翻单4500204609）</t>
  </si>
  <si>
    <r>
      <rPr>
        <sz val="12"/>
        <color rgb="FF000000"/>
        <rFont val="宋体"/>
        <charset val="134"/>
      </rPr>
      <t>日期码格式：ZURU</t>
    </r>
    <r>
      <rPr>
        <sz val="10"/>
        <color rgb="FF000000"/>
        <rFont val="等线"/>
        <charset val="134"/>
      </rPr>
      <t xml:space="preserve">  INC(BVI) 标准格式                                    日期</t>
    </r>
    <r>
      <rPr>
        <sz val="10"/>
        <color rgb="FF000000"/>
        <rFont val="汉仪书宋二KW"/>
        <charset val="134"/>
      </rPr>
      <t>：</t>
    </r>
    <r>
      <rPr>
        <sz val="10"/>
        <color rgb="FF000000"/>
        <rFont val="等线"/>
        <charset val="134"/>
      </rPr>
      <t>按实际生产日期
Packaging Info: 1.ZURU MA UPC 最新版本包装  + 客供价格贴纸</t>
    </r>
    <r>
      <rPr>
        <sz val="10"/>
        <color rgb="FF000000"/>
        <rFont val="汉仪书宋二KW"/>
        <charset val="134"/>
      </rPr>
      <t>，</t>
    </r>
    <r>
      <rPr>
        <sz val="10"/>
        <color rgb="FF000000"/>
        <rFont val="等线"/>
        <charset val="134"/>
      </rPr>
      <t>出口美国  , 优先1L</t>
    </r>
    <r>
      <rPr>
        <sz val="10"/>
        <color rgb="FF000000"/>
        <rFont val="汉仪书宋二KW"/>
        <charset val="134"/>
      </rPr>
      <t>，</t>
    </r>
    <r>
      <rPr>
        <sz val="10"/>
        <color rgb="FF000000"/>
        <rFont val="等线"/>
        <charset val="134"/>
      </rPr>
      <t>可接受多语  。
#77486   MA UPC 现有包装+PVC桶, 铜板纸</t>
    </r>
    <r>
      <rPr>
        <sz val="10"/>
        <color rgb="FF000000"/>
        <rFont val="汉仪书宋二KW"/>
        <charset val="134"/>
      </rPr>
      <t>（</t>
    </r>
    <r>
      <rPr>
        <sz val="10"/>
        <color rgb="FF000000"/>
        <rFont val="等线"/>
        <charset val="134"/>
      </rPr>
      <t>翻单4500204609</t>
    </r>
    <r>
      <rPr>
        <sz val="10"/>
        <color rgb="FF000000"/>
        <rFont val="汉仪书宋二KW"/>
        <charset val="134"/>
      </rPr>
      <t>）</t>
    </r>
    <r>
      <rPr>
        <sz val="10"/>
        <color rgb="FF000000"/>
        <rFont val="等线"/>
        <charset val="134"/>
      </rPr>
      <t>+客供价格贴纸</t>
    </r>
    <r>
      <rPr>
        <sz val="10"/>
        <color rgb="FF000000"/>
        <rFont val="汉仪书宋二KW"/>
        <charset val="134"/>
      </rPr>
      <t>，</t>
    </r>
    <r>
      <rPr>
        <sz val="10"/>
        <color rgb="FF000000"/>
        <rFont val="等线"/>
        <charset val="134"/>
      </rPr>
      <t>优先使用MA  1L最新版本</t>
    </r>
    <r>
      <rPr>
        <sz val="10"/>
        <color rgb="FF000000"/>
        <rFont val="汉仪书宋二KW"/>
        <charset val="134"/>
      </rPr>
      <t>（</t>
    </r>
    <r>
      <rPr>
        <sz val="10"/>
        <color rgb="FF000000"/>
        <rFont val="等线"/>
        <charset val="134"/>
      </rPr>
      <t>可接受多语</t>
    </r>
    <r>
      <rPr>
        <sz val="10"/>
        <color rgb="FF000000"/>
        <rFont val="汉仪书宋二KW"/>
        <charset val="134"/>
      </rPr>
      <t>），</t>
    </r>
    <r>
      <rPr>
        <sz val="10"/>
        <color rgb="FF000000"/>
        <rFont val="等线"/>
        <charset val="134"/>
      </rPr>
      <t>出口美国。
Remark: 2 .价格贴纸位于包装正面右下角</t>
    </r>
    <r>
      <rPr>
        <sz val="10"/>
        <color rgb="FF000000"/>
        <rFont val="汉仪书宋二KW"/>
        <charset val="134"/>
      </rPr>
      <t>，</t>
    </r>
    <r>
      <rPr>
        <sz val="10"/>
        <color rgb="FF000000"/>
        <rFont val="等线"/>
        <charset val="134"/>
      </rPr>
      <t>不挡住重要信息即可</t>
    </r>
    <r>
      <rPr>
        <sz val="10"/>
        <color rgb="FF000000"/>
        <rFont val="汉仪书宋二KW"/>
        <charset val="134"/>
      </rPr>
      <t>，</t>
    </r>
    <r>
      <rPr>
        <sz val="10"/>
        <color rgb="FF000000"/>
        <rFont val="等线"/>
        <charset val="134"/>
      </rPr>
      <t>可适当调整</t>
    </r>
    <r>
      <rPr>
        <sz val="10"/>
        <color rgb="FF000000"/>
        <rFont val="汉仪书宋二KW"/>
        <charset val="134"/>
      </rPr>
      <t>，</t>
    </r>
    <r>
      <rPr>
        <sz val="10"/>
        <color rgb="FF000000"/>
        <rFont val="等线"/>
        <charset val="134"/>
      </rPr>
      <t>价格贴纸由跟单提供。
  3 .标准日期码格式</t>
    </r>
    <r>
      <rPr>
        <sz val="10"/>
        <color rgb="FF000000"/>
        <rFont val="汉仪书宋二KW"/>
        <charset val="134"/>
      </rPr>
      <t>，</t>
    </r>
    <r>
      <rPr>
        <sz val="10"/>
        <color rgb="FF000000"/>
        <rFont val="等线"/>
        <charset val="134"/>
      </rPr>
      <t>产品和包装必须有日期码  。
  4 .同个产品同个货期不可出现不同的包装。
  5. 跟单提供ROSS/DDS通用的箱唛模版</t>
    </r>
    <r>
      <rPr>
        <sz val="10"/>
        <color rgb="FF000000"/>
        <rFont val="汉仪书宋二KW"/>
        <charset val="134"/>
      </rPr>
      <t>，</t>
    </r>
    <r>
      <rPr>
        <sz val="10"/>
        <color rgb="FF000000"/>
        <rFont val="等线"/>
        <charset val="134"/>
      </rPr>
      <t xml:space="preserve">工厂根据箱唛资料提供箱唛排版来确认。
  6. 所有产品和包装须符合华盛顿州及俄勒冈州  CHCC/ HPCCCH测试要求。
  7. PVC 桶中球不能出现完全相同的ASSORTMENT  </t>
    </r>
    <r>
      <rPr>
        <sz val="10"/>
        <color rgb="FF000000"/>
        <rFont val="汉仪书宋二KW"/>
        <charset val="134"/>
      </rPr>
      <t>，</t>
    </r>
    <r>
      <rPr>
        <sz val="10"/>
        <color rgb="FF000000"/>
        <rFont val="等线"/>
        <charset val="134"/>
      </rPr>
      <t xml:space="preserve">     即同一个PVC 中球里的ASSORTMENT 需要不同。     以免消费者失望。
  8.PVC  桶中球的UPC条码可以不需要空白贴纸覆盖。</t>
    </r>
  </si>
  <si>
    <t>·</t>
  </si>
  <si>
    <t>球数</t>
  </si>
  <si>
    <t>MA 1L A收缩膜</t>
  </si>
  <si>
    <t>中文吊牌</t>
  </si>
  <si>
    <t>1L 13pcs
GQ1</t>
  </si>
  <si>
    <t>3L
13pcs
GQ1</t>
  </si>
  <si>
    <t>1L 25pcs
GQ2</t>
  </si>
  <si>
    <t>3L 25pcs
GQ2-S001</t>
  </si>
  <si>
    <t>1L 16PCS GQ4-S001</t>
  </si>
  <si>
    <t xml:space="preserve">26PCS TARGET-客版SQ1 </t>
  </si>
  <si>
    <t>3L 
SK1-S002 30pcs</t>
  </si>
  <si>
    <t>1L 
SK1-S001  30pcs</t>
  </si>
  <si>
    <t>1L 
SK1-S002 30pcs</t>
  </si>
  <si>
    <t>77806 圆筒</t>
  </si>
  <si>
    <t>77806 彩纸</t>
  </si>
  <si>
    <t>77806 贴纸</t>
  </si>
  <si>
    <t>GQ2/GQ4</t>
  </si>
  <si>
    <t>SK1/SK</t>
  </si>
  <si>
    <t>ZPO2506009</t>
  </si>
  <si>
    <t>77770GQ2-S001</t>
  </si>
  <si>
    <t>迷你包包S4</t>
  </si>
  <si>
    <t>Remark:跟PP订单一起安排/大货标准箱装箱/箱唛请参照邮件附件;备注：收到样品订单后尽快安排 ，注意样板品质质量要求要高于大货品质要求 ，送货时必须要附带送货单(没有送货单和QC检验合格报告的仓库一律拒绝收货)，请知悉，谢谢！</t>
  </si>
  <si>
    <t>Lynn</t>
  </si>
  <si>
    <t>N/A</t>
  </si>
  <si>
    <t>ZMPO250496</t>
  </si>
  <si>
    <t>77770-S001</t>
  </si>
  <si>
    <t>迷你包包S4套散件</t>
  </si>
  <si>
    <t>Remark:跟PP订单一起安排/只需要齐全套三散件/麻烦用胶袋分装好一套为一袋/箱唛请参照邮件附件;备注：收到样品订单后尽快安排 ，注意样板品质质量要求要高于大货品质要求 ，送货时必须要附带送货单(没有送货单和QC检验合格报告的仓库一律拒绝收货)，请知悉，谢谢！</t>
  </si>
  <si>
    <t>77770GQ1-S001</t>
  </si>
  <si>
    <t>迷你包包S4个空PDQ</t>
  </si>
  <si>
    <t>Remark:跟PP订单一起安排/请配齐PDQ上原有的Demo+吸塑;备注：收到样品订单后尽快安排 ，注意样板品质质量要求要高于大货品质要求 ，送货时必须要附带送货单(没有送货单和QC检验合格报告的仓库一律拒绝收货)，请知悉，谢谢！</t>
  </si>
  <si>
    <t>KMART AUSTRALIA LTD</t>
  </si>
  <si>
    <t>4500173688-20</t>
  </si>
  <si>
    <t>77770GQ1-S002</t>
  </si>
  <si>
    <t>迷你包包S4 13pcs/箱</t>
  </si>
  <si>
    <t>日期码格式：ZURU INC(BVI) 标准格式 日期：按实际生产日期
Packaging Info: 
77770GQ1:MA英语UPC版本包装（收缩膜和说明书, MA首选1L，如无1L可用多语且含英语的配套多语包装) + 1张防盗贴纸+箱唛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</si>
  <si>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</si>
  <si>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A96798-10.31</t>
  </si>
  <si>
    <t>东莞生产</t>
  </si>
  <si>
    <t>KMART AUSTRALIA LTD(NEW ZEALAND)</t>
  </si>
  <si>
    <t>新西兰</t>
  </si>
  <si>
    <t>4500173689-20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</si>
  <si>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</si>
  <si>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A96799-10.31</t>
  </si>
  <si>
    <t>TARGET US</t>
  </si>
  <si>
    <t>Draft PO-77770SQ1</t>
  </si>
  <si>
    <t>4500173932-10</t>
  </si>
  <si>
    <t>77770SQ1-S001</t>
  </si>
  <si>
    <t>迷你包包S4 26 pcs/PDQ/箱</t>
  </si>
  <si>
    <t>日期码格式：ZURU INC(BVI) 标准格式 日期：按实际生产日期
Packaging Info: 产品包装(UPC 版) MA 1L收缩膜 + MA 5L 收藏指南/说明书+客版 PDQ(PDQ中需放置一张折卡，印有Remove信息)+背身UPC贴纸；
Remark: 1. 77770SQ1-S001-MINI BRANDS-FASHION MINI BRANDS-SERIES 4-CAPSULE,26PCS/PDQ,26PCS/PDQ/CTN
2. 产品包装(UPC 版) MA 1L收缩膜 + MA 5L 收藏指南/说明书+客版 PDQ(PDQ中需放置一张折卡，印有Remove信息)+背身UPC贴纸；收缩膜上的UPC显示193052089465
；客版PDQ背面居中位置需要贴背身贴纸，背身贴纸内容显示客户的 DPCI: 086-02-6519，UPC：193052097507；
3. 外箱正唛左上角位置粘贴条码箱贴纸，每箱只贴一张，由ZURU订购。来料贴纸上显示的客户DPCI# 086-02-1748, UPC显示193052097514;
4. 外箱正唛信息右侧空白位置粘贴一张Event label贴纸，贴纸内容显示：Christmas Morning Magic Rear Seasonal Set Date: 11/30/2025 ；由工厂自己订购；
5. 产品和包装上印刷 tracking code信息，格式为ZURU常规格式;
6. 出货方式：货代自提</t>
  </si>
  <si>
    <t>Holly Zheng</t>
  </si>
  <si>
    <t>ZB02193(REV1)-9.27  ZB02253(REV1)-9.30</t>
  </si>
  <si>
    <t>4500175924-130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</si>
  <si>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</si>
  <si>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A96807-2-10.31</t>
  </si>
  <si>
    <t>4500175924-140</t>
  </si>
  <si>
    <t>A96807-2-10.31
A96808-2-10.31</t>
  </si>
  <si>
    <t>4500175925-130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</si>
  <si>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</si>
  <si>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96808-9.19</t>
  </si>
  <si>
    <t>47:0003158165</t>
  </si>
  <si>
    <t>4500176402-10</t>
  </si>
  <si>
    <t>日期码格式：ZURU INC(BVI) 标准格式 日期：按实际生产日期
Packaging Info: MA 1L UPC PKG+1张日语警语贴纸(贴纸不能遮挡日期码)
Remark: 1. 出日本
2. 77770GQ2请安排寄3 套样板到SGS 实验室安排测试，测试pass 后才能出货。大货样需严格跟到测试样。
3. 请多备1-2个外箱出货，避免外箱到仓库后出现破损情况。</t>
  </si>
  <si>
    <t>A96794-10.31</t>
  </si>
  <si>
    <t>ALL BRANDS TOYS PTY LTD</t>
  </si>
  <si>
    <t>4500175512-10</t>
  </si>
  <si>
    <t>77770GQ2-S002</t>
  </si>
  <si>
    <t>迷你包包S4 25pcs/箱</t>
  </si>
  <si>
    <t>日期码格式：ZURU INC(BVI) 标准格式 日期：按实际生产日期
Packaging Info: MA 1L PKG +1张客人通用进口商贴纸，贴于包装背面空白处， 请提供位置图确认。
Remark: 1.按实际生产日期;
2.出澳大利亚，请按照相应标准生产;</t>
  </si>
  <si>
    <t>A96793-10.31</t>
  </si>
  <si>
    <t>MEIJER DISTRIBUTION, INC.</t>
  </si>
  <si>
    <t>4500176410-10</t>
  </si>
  <si>
    <t>截SI
9/22</t>
  </si>
  <si>
    <t>日期码格式：ZURU INC(BVI) 标准格式 日期：
Packaging Info: 1. MA 1L 包装
2. 客人指定箱唛排版
Remark: 出货前 Zuru QC 验货</t>
  </si>
  <si>
    <t>Agnes Zheng</t>
  </si>
  <si>
    <t>ZB02464-10.16</t>
  </si>
  <si>
    <t>4500176411-10</t>
  </si>
  <si>
    <t>ZB02465-10.16</t>
  </si>
  <si>
    <t>0938210290</t>
  </si>
  <si>
    <t>4500177086-10</t>
  </si>
  <si>
    <t>77770GQ4-S001</t>
  </si>
  <si>
    <t>迷你包包S4 16pcs/箱</t>
  </si>
  <si>
    <t>9/22预计安排抽板，2025/10/9第三方验货</t>
  </si>
  <si>
    <t>抽板订单的球上加贴布标贴纸</t>
  </si>
  <si>
    <t>日期码格式：ZURU DGYYYYMMDD CHINA(日期避开周末和法定节假日即可） 日期：按实际生产日期
Packaging Info: 77770GQ4-S001
1. 包装要求：
77770：MA 1L A版收缩膜+MA 5L A版收藏指南+MA A版纸袋+客版 1L A版PDQ
需加贴布标贴纸
每pcs产品要贴一张RFID贴纸，RFID贴纸由ZURU提供，贴纸位置要严格按照客人签板
Remark: 77770GQ4-S001
1. 包装要求：
77770：MA 1L A版收缩膜+MA 5L A版收藏指南+MA A版纸袋+客版 1L A版PDQ
需加贴布标贴纸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此单需要抽板和验货，抽板时间预计9/22，请多备料
6. 此单以loose carton出货，16pcs/PDQ/CTN</t>
  </si>
  <si>
    <t>ZB02491-10.17</t>
  </si>
  <si>
    <t>BRICKLAND LLC</t>
  </si>
  <si>
    <t>蒙古</t>
  </si>
  <si>
    <t>Zuru.2025Q3</t>
  </si>
  <si>
    <t>4500177281-80</t>
  </si>
  <si>
    <t>日期码格式：ZURU INC(BVI) 标准格式 日期：按实际生产日期
Packaging Info: MA UPC包装(优先1L)+1张进口商贴纸,贴纸资料及位置图翻单如下
其他items待提供
Remark:</t>
  </si>
  <si>
    <t>96896-2-11.8</t>
  </si>
  <si>
    <t>SS26</t>
  </si>
  <si>
    <t>4500177396-10</t>
  </si>
  <si>
    <t>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照片标准待提供,做完货请帮忙同步提供照片;</t>
  </si>
  <si>
    <t>日期码格式：ZURU INC(BVI) 标准格式 日期：按实际生产日期
Packaging Info: 1.MA UPC(优先1L,所有包装仅需英文语言即可;) package, 无需任何贴纸;
2.可能会有测试样品需求,待确认被抽中的款, 请多备料;
3.玩具订单一般都是第三方视频验货,实际不会有第三方的人到厂验货;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照片标准待提供,做完货请帮忙同步提供照片;
Remark:</t>
  </si>
  <si>
    <t>A96792-10.31</t>
  </si>
  <si>
    <t>ZMPO250719</t>
  </si>
  <si>
    <t>Remark：大货最新版本/产品按大货比例入PDQ/大货标准箱装箱/箱唛参照邮件附件；备注：收到样品订单后尽快安排 ，注意样板品质质量要求要高于大货品质要求 ，送货时必须要附带送货单(没有送货单和QC检验合格报告的仓库一律拒绝收货)，请知悉，谢谢！</t>
  </si>
  <si>
    <t>96835-10.31</t>
  </si>
  <si>
    <t>ZURU NEW ZEALAND LIMITED</t>
  </si>
  <si>
    <t>77770GQ1-S
001-MTS</t>
  </si>
  <si>
    <t>外箱除常规箱唛外，需要贴一张黄色A4贴纸，印“test order".</t>
  </si>
  <si>
    <t>更换试销订单专用UPC贴纸</t>
  </si>
  <si>
    <t>Date code format：ZURU Standard format                  Date：Manufactory DateMA 1L UPC包装，每箱需要增加黄色A4贴纸，印“Test Order"字样，每个产品需要更换UPC贴纸，用试销专用的UPC条码</t>
  </si>
  <si>
    <t>SD92</t>
  </si>
  <si>
    <t>A96791-10.31</t>
  </si>
  <si>
    <t>ZURU GERMANY GMBH</t>
  </si>
  <si>
    <t>4500175551-20</t>
  </si>
  <si>
    <t>77770GQ1-S002-MTS</t>
  </si>
  <si>
    <t>迷你包包S4 13pcs/箱-MTS</t>
  </si>
  <si>
    <t>日期码格式：ZURU INC(BVI) 标准格式 日期：按实际生产日期
Packaging Info: 
2. 77770GQ1：MA 3L EAN收缩膜+1*多语折叠警语贴纸+MA 5L收藏指南+MA 纸袋+其他MA包装。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</si>
  <si>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A96790-10.31</t>
  </si>
  <si>
    <t>4500177726-40</t>
  </si>
  <si>
    <t>日期码格式：ZURU INC(BVI) 标准格式 日期：按实际生产日期
Packaging Info: 1. 出口美国，MA UPC 版本包装，优先1L。
Remark: 2. Zuru QC 验货即可。</t>
  </si>
  <si>
    <t>ZB02466-10.16</t>
  </si>
  <si>
    <t>10001444618-3891</t>
  </si>
  <si>
    <t>4500177334-10</t>
  </si>
  <si>
    <t>日期码格式：ZURU INC(BVI) 标准格式 日期：按实际生产日期
Packaging Info: 77770GQ2: 产品包装(UPC 版) MA 1L收缩膜 +MA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4. 外箱正唛信息右侧空白位置粘贴一张Event label贴纸，贴纸内容显示：Toys Set Date：1/11/2026；由工厂自己订购；
5. 产品和包装上印刷 tracking code信息，格式为ZURU常规格式;
6. 出货方式：货代自提</t>
  </si>
  <si>
    <t>ZB02960-11.19</t>
  </si>
  <si>
    <t>0938210281</t>
  </si>
  <si>
    <t>4500177643-10</t>
  </si>
  <si>
    <t>日期码格式：ZURU DGYYYYMMDD CHINA(日期避开周末和法定节假日即可） 日期：按实际生产日期
Packaging Info: 77770
1. 包装要求：
77770：MA 1L A版收缩膜+MA 5L A版收藏指南+MA A版纸袋+客版 1L A版PDQ，翻单：4500177086
每pcs产品要贴一张RFID贴纸，RFID贴纸由ZURU提供，贴纸位置要严格按照客人签板
Remark: 77770
1. 包装要求：
77770：MA 1L A版收缩膜+MA 5L A版收藏指南+MA A版纸袋+客版 1L A版PDQ，翻单：4500177086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</si>
  <si>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ZB02551-10.22</t>
  </si>
  <si>
    <t>0938210340</t>
  </si>
  <si>
    <t>4500177643-20</t>
  </si>
  <si>
    <t>ZB02602-10.24</t>
  </si>
  <si>
    <t>0938210382</t>
  </si>
  <si>
    <t>4500177643-30</t>
  </si>
  <si>
    <t>ZB02603-10.24</t>
  </si>
  <si>
    <t>0936942375</t>
  </si>
  <si>
    <t>4500177088-10</t>
  </si>
  <si>
    <t>日期码格式：ZURU DGYYYYMMDD CHINA(日期避开周末和法定节假日即可） 日期：按实际生产日期
Packaging Info: 77770GQ4-S001
1. 包装要求：
77770：MA 1L A版收缩膜+MA 5L A版收藏指南+MA A版纸袋+客版 1L A版PDQ
每pcs产品要贴一张RFID贴纸，RFID贴纸由ZURU提供，贴纸位置要严格按照客人签板
Remark: 77770GQ4-S001
1. 包装要求：
77770：MA 1L A版收缩膜+MA 5L A版收藏指南+MA A版纸袋+客版 1L A版PDQ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carton出货，16pcs/PDQ/CTN</t>
  </si>
  <si>
    <t>ZB02693-10.29</t>
  </si>
  <si>
    <t>4500177240-40</t>
  </si>
  <si>
    <t>外箱SSCC Label
 (贴纸以及位置图翻单PO#4500173688）</t>
  </si>
  <si>
    <t>96626-10.10</t>
  </si>
  <si>
    <t>4500177236-40</t>
  </si>
  <si>
    <t>96625-10.10</t>
  </si>
  <si>
    <t>4500177974-80</t>
  </si>
  <si>
    <t>96681-2-10.17</t>
  </si>
  <si>
    <t>21105437</t>
  </si>
  <si>
    <t>4500177972-80</t>
  </si>
  <si>
    <t>96680-2-10.17</t>
  </si>
  <si>
    <t>0936942331</t>
  </si>
  <si>
    <t>4500177091-10</t>
  </si>
  <si>
    <t>ZB02807-11.4</t>
  </si>
  <si>
    <t>0936942359</t>
  </si>
  <si>
    <t>4500177091-20</t>
  </si>
  <si>
    <t>ZB02806-11.4</t>
  </si>
  <si>
    <t>0938210337</t>
  </si>
  <si>
    <t>4500177644-10</t>
  </si>
  <si>
    <t>ZB02963-11.19</t>
  </si>
  <si>
    <t>4500178243-10</t>
  </si>
  <si>
    <t>10/18送库有拼柜</t>
  </si>
  <si>
    <t>1张客人通用进口商贴纸(翻单4500175512）</t>
  </si>
  <si>
    <t>日期码格式：ZURU INC(BVI) 标准格式 日期：按实际生产日期
Packaging Info: 77770GQ2: MA 1L PKG +1张客人通用进口商贴纸(翻单4500175512）
Remark: 1.按实际生产日期;
2.出澳大利亚，请按照相应标准生产;</t>
  </si>
  <si>
    <t>96676-10.17</t>
  </si>
  <si>
    <t>10001444616-3890</t>
  </si>
  <si>
    <t>4500177333-10</t>
  </si>
  <si>
    <t>10/20客上柜</t>
  </si>
  <si>
    <t>ZB02961-11.19</t>
  </si>
  <si>
    <t>10001493622-3891</t>
  </si>
  <si>
    <t>4500177938-20</t>
  </si>
  <si>
    <t>10/22预提货</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</si>
  <si>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以上所以item均：
1. 产品和包装上均要印刷tracking code信息，格式为ZURU常规格式;
2. 出货方式：货代自提</t>
  </si>
  <si>
    <t>ZB02562-10.23
zb02957-11.19</t>
  </si>
  <si>
    <t>4500178926-40</t>
  </si>
  <si>
    <t>10/22-24交仓</t>
  </si>
  <si>
    <t>96678-10.17</t>
  </si>
  <si>
    <t>欠11号鞋子</t>
  </si>
  <si>
    <t>10001502358-3891</t>
  </si>
  <si>
    <t>4500178501-20</t>
  </si>
  <si>
    <t>10/21客上柜</t>
  </si>
  <si>
    <t>粘贴条码箱贴纸，每箱只贴一张，由ZURU订购</t>
  </si>
  <si>
    <t>日期码格式：ZURU INC(BVI) 标准格式 日期：按实际生产日期
Packaging Info: 
77770GQ2: 产品包装(UPC 版) MA 1L收缩膜 +MA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4. 产品和包装上印刷 tracking code信息，格式为ZURU常规格式;
5. 出货方式：货代自提</t>
  </si>
  <si>
    <t>ZB02537-10.21</t>
  </si>
  <si>
    <t>4500178925-40</t>
  </si>
  <si>
    <t>96677-10.17</t>
  </si>
  <si>
    <t>0936942305</t>
  </si>
  <si>
    <t>4500177093-10</t>
  </si>
  <si>
    <t>BV验货转自检10/24</t>
  </si>
  <si>
    <t>ZB02601-10.24</t>
  </si>
  <si>
    <t>0936942326</t>
  </si>
  <si>
    <t>4500177093-20</t>
  </si>
  <si>
    <t>ZB02771-11.3</t>
  </si>
  <si>
    <t>0938210279</t>
  </si>
  <si>
    <t>4500178134-10</t>
  </si>
  <si>
    <t>验货10/24转自检</t>
  </si>
  <si>
    <t>ZB02977-11.19</t>
  </si>
  <si>
    <t>0938210352</t>
  </si>
  <si>
    <t>4500178134-20</t>
  </si>
  <si>
    <t>ZB02980-11.19</t>
  </si>
  <si>
    <t>ASIA GOAL LIMITED TAIWAN BRANCH (H.</t>
  </si>
  <si>
    <t>台湾</t>
  </si>
  <si>
    <t>AG250201-TW</t>
  </si>
  <si>
    <t>4500178971-10</t>
  </si>
  <si>
    <t>日期码格式：ZURU INC(BVI) 标准格式 日期：按实际生产日期
Packaging Info: 此单出TW
77770GQ1 ： MA PKG 优先1L +1张警语贴纸
Remark:</t>
  </si>
  <si>
    <t>96738-10.27</t>
  </si>
  <si>
    <t>21105442</t>
  </si>
  <si>
    <t>4500179341-90</t>
  </si>
  <si>
    <t>10月29日-10月31日交仓</t>
  </si>
  <si>
    <t>1张防盗贴纸+箱唛 + 外箱SSCC Label
 (贴纸以及位置图翻单PO#4500173688）</t>
  </si>
  <si>
    <t>A96772-2-10.30</t>
  </si>
  <si>
    <t>4500179340-90</t>
  </si>
  <si>
    <t xml:space="preserve">10 月 29 日   入裕泰仓 </t>
  </si>
  <si>
    <t>A96773-2-10.30</t>
  </si>
  <si>
    <t>0936942198</t>
  </si>
  <si>
    <t>4500177094-10</t>
  </si>
  <si>
    <t>转自检10/30</t>
  </si>
  <si>
    <t>ZB02913-11.14</t>
  </si>
  <si>
    <t>0936942303</t>
  </si>
  <si>
    <t>4500177094-20</t>
  </si>
  <si>
    <t>ZB02808-11.4</t>
  </si>
  <si>
    <t>0938210349</t>
  </si>
  <si>
    <t>4500178135-10</t>
  </si>
  <si>
    <t>BV验货转自检10/30</t>
  </si>
  <si>
    <t>ZB02878-11.11</t>
  </si>
  <si>
    <t>4500178799-40</t>
  </si>
  <si>
    <t>进口商贴纸</t>
  </si>
  <si>
    <t xml:space="preserve">日期码格式：ZURU INC(BVI) 标准格式 日期：按实际生产日期
Packaging Info: 
77770GQ2: 包装MA EAN收缩膜+进口商贴纸，MA PDQ，收缩膜EAN条码显示4894680050518，产品年龄3+；
客人箱唛排版，印4面，条码内容4894680050518;
Remark: </t>
  </si>
  <si>
    <t>Nora Pan</t>
  </si>
  <si>
    <t>A97467-1.7</t>
  </si>
  <si>
    <t>77770GQ2-S001-3L</t>
  </si>
  <si>
    <t>10001493620-3890</t>
  </si>
  <si>
    <t>4500177942-20</t>
  </si>
  <si>
    <t>2025/11/3提货</t>
  </si>
  <si>
    <t>日期码格式：ZURU INC(BVI) 标准格式 日期：按实际生产日期
Packaging Info: ；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以上所以item均：
1. 产品和包装上均要印刷tracking code信息，格式为ZURU常规格式;
2. 出货方式：货代自提</t>
  </si>
  <si>
    <t>ZB02956-11.19</t>
  </si>
  <si>
    <t>10001493848-3891</t>
  </si>
  <si>
    <t>4500179008-20</t>
  </si>
  <si>
    <t>2025/11/6提货</t>
  </si>
  <si>
    <t>粘贴条码箱贴纸</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</si>
  <si>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以上所有item均：
1. 产品和包装上均要印刷tracking code信息，格式为ZURU常规格式;
2. 出货方式：货代自提</t>
  </si>
  <si>
    <t>ZB02958-11.19</t>
  </si>
  <si>
    <t>4500179977-20</t>
  </si>
  <si>
    <t>11/5-11/7交仓</t>
  </si>
  <si>
    <t>96880-11.6</t>
  </si>
  <si>
    <t>4500179979-20</t>
  </si>
  <si>
    <t>96881-11.6</t>
  </si>
  <si>
    <t>7KBRJIJB</t>
  </si>
  <si>
    <t>4500179751-10</t>
  </si>
  <si>
    <t>77806-S001</t>
  </si>
  <si>
    <t>迷你包包S4 2PK 圆筒装</t>
  </si>
  <si>
    <t>原domestic PO4500177327转FOB单</t>
  </si>
  <si>
    <t>10/31-11/1</t>
  </si>
  <si>
    <t>外箱正面印ZURU Logo+SSCC Label(客供贴纸，由跟单订购</t>
  </si>
  <si>
    <t>日期码格式：ZURU INC(BVI) 标准格式 日期：按实际生产日期
Packaging Info: #77806: 2PK STD #77770入PVC筒,客版3L无UPC版收缩膜，客版3L铜版纸（跟单提供）。收藏指南和说明书为MA版本。（两个球的配比不能重复）。
（原domestic PO4500177327转FOB单）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</si>
  <si>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ZB02994-11.19</t>
  </si>
  <si>
    <t>10001502356-3890</t>
  </si>
  <si>
    <t>4500178842-20</t>
  </si>
  <si>
    <t>11/5截SI</t>
  </si>
  <si>
    <t>日期码格式：ZURU INC(BVI) 标准格式 日期：按实际生产日期
Packaging Info:
77770GQ2: 产品包装(UPC 版) MA 1L收缩膜 +MA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4. 产品和包装上印刷 tracking code信息，格式为ZURU常规格式;
5. 出货方式：货代自提</t>
  </si>
  <si>
    <t>ZB02809-11.4
ZB02857-11.8</t>
  </si>
  <si>
    <t>THE KROGER CO.</t>
  </si>
  <si>
    <t>PO#500-50688</t>
  </si>
  <si>
    <t>4500180563-10</t>
  </si>
  <si>
    <t>77770SK1-S002</t>
  </si>
  <si>
    <t>迷你包包4代
展示架/带底座</t>
  </si>
  <si>
    <t>不可延期（促销单）</t>
  </si>
  <si>
    <t>2025/11/7交仓</t>
  </si>
  <si>
    <t>日期码格式：ZURU INC(BVI) 标准格式 日期：按实际生产日期
Packaging Info: 1、包装方式：MA UPC优先1L最新版+展示架（展示架带底座且带挂钩，挂钩数量同标版无底座版本），出口美国
Remark: 2、无第三方测试&lt;(&gt;&amp;&lt;)&gt;验货要求
3、纸箱4面印ZURU LOGO + 箱唛
4、日期码请按ZURU标准版执行即可
5、ZURU OQC验货</t>
  </si>
  <si>
    <t>Vicky Wu</t>
  </si>
  <si>
    <t>ZB03620-11.6</t>
  </si>
  <si>
    <t>77770SK1-S002-带底座</t>
  </si>
  <si>
    <t>PO#600-76024</t>
  </si>
  <si>
    <t>4500180563-20</t>
  </si>
  <si>
    <t>11/5-11/6交仓</t>
  </si>
  <si>
    <t>ZB03621-11.6</t>
  </si>
  <si>
    <t>PO#800-35707</t>
  </si>
  <si>
    <t>4500180563-30</t>
  </si>
  <si>
    <t>ZB03622-11.7</t>
  </si>
  <si>
    <t>PO#994-98863</t>
  </si>
  <si>
    <t>4500180563-50</t>
  </si>
  <si>
    <t>11/7-11/10</t>
  </si>
  <si>
    <t>ZB03623-11.10</t>
  </si>
  <si>
    <t>ASIA GOAL LIMITED</t>
  </si>
  <si>
    <t>香港</t>
  </si>
  <si>
    <t>AG250200-HK</t>
  </si>
  <si>
    <t>4500178966-10</t>
  </si>
  <si>
    <t>11/7入仓</t>
  </si>
  <si>
    <t>日期码格式：ZURU INC(BVI) 标准格式 日期：按实际生产日期
Packaging Info: 此单出HK
MA PKG 优先1L +客供警语贴纸（1张贴球底部，1张贴收藏指南）
Remark:</t>
  </si>
  <si>
    <t>96879R1-11.6</t>
  </si>
  <si>
    <t>0938210302</t>
  </si>
  <si>
    <t>4500180990-10</t>
  </si>
  <si>
    <t>2025/11/7转自检</t>
  </si>
  <si>
    <t>11月8日入盐田2号仓</t>
  </si>
  <si>
    <t>FRID贴纸</t>
  </si>
  <si>
    <t>日期码格式：ZURU DGYYYYMMDD CHINA(日期避开周末和法定节假日即可） 日期：按实际生产日期
Packaging Info: 77770GQ4-S001
1. 包装要求：
77770：MA 1L A版收缩膜+MA 5L A版收藏指南+MA A版纸袋+客版 1L A版PDQ，翻单：4500177086
每pcs产品要贴一张RFID贴纸，RFID贴纸由ZURU提供，贴纸位置要严格按照客人签板
Remark: 77770GQ4-S001
1. 包装要求：
77770：MA 1L A版收缩膜+MA 5L A版收藏指南+MA A版纸袋+客版 1L A版PDQ，翻单：4500177086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</si>
  <si>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ZB02868-11.10</t>
  </si>
  <si>
    <t>0938210339</t>
  </si>
  <si>
    <t>4500180990-20</t>
  </si>
  <si>
    <t>2025/11/10转自检</t>
  </si>
  <si>
    <t>ZB02950-11.18</t>
  </si>
  <si>
    <t>0938210341</t>
  </si>
  <si>
    <t>4500180990-30</t>
  </si>
  <si>
    <t>ZB02951-11.18</t>
  </si>
  <si>
    <t>ARGOS LIMITED</t>
  </si>
  <si>
    <t>PO#134320</t>
  </si>
  <si>
    <t>4500181196-10</t>
  </si>
  <si>
    <t>不可延期（试销单）</t>
  </si>
  <si>
    <t>11/9送搏锐拼柜，深圳报关</t>
  </si>
  <si>
    <t>客人白色cat label 覆盖ZURU条码，贴纸要求可扫，扫描结果为7798724</t>
  </si>
  <si>
    <t>日期码格式：ZURU INC(BVI) 标准格式 日期：按实际生产日期
Packaging Info: 1. 1L MA UPC包装+客人白色cat label 覆盖ZURU条码，贴纸要求可扫，扫描结果为7798724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3.请先检查条码是否正确再安排做，标签上的目录编号7798724数字高度必须至少为5mm （14.17pt）
-订单对应客户PO号备注有显示。
Remark: *MA包装按最新版本安排(MA包装上含英文信息)。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</si>
  <si>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96892-11.8</t>
  </si>
  <si>
    <t xml:space="preserve"> ZMPO250719</t>
  </si>
  <si>
    <t>迷你包包S4散件</t>
  </si>
  <si>
    <t>Remark：大货最新版本/只需要齐全套三散件/麻烦用胶袋分装好一套为一袋/箱唛请参照邮件附件；备注：收到样品订单后尽快安排 ，注意样板品质质量要求要高于大货品质要求 ，送货时必须要附带送货单(没有送货单和QC检验合格报告的仓库一律拒绝收货)，请知悉，谢谢！</t>
  </si>
  <si>
    <t>10001493846-3890</t>
  </si>
  <si>
    <t>4500180027-20</t>
  </si>
  <si>
    <t>不可延期（推广单）</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</si>
  <si>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以上所有item均：
1. 产品和包装上均要印刷tracking code信息，格式为ZURU常规格式;
2. 出货方式：货代自提</t>
  </si>
  <si>
    <t>ZB02959-11.19</t>
  </si>
  <si>
    <t>218139740 DC
086</t>
  </si>
  <si>
    <t>4500179587-90</t>
  </si>
  <si>
    <t>ZB03126-11.27</t>
  </si>
  <si>
    <t>218139742 DC
802</t>
  </si>
  <si>
    <t>4500179587-100</t>
  </si>
  <si>
    <t>4500180534-10</t>
  </si>
  <si>
    <t>11/12入仓</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</si>
  <si>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</si>
  <si>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96940-11.13</t>
  </si>
  <si>
    <t>4500180535-10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</si>
  <si>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</si>
  <si>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96941-11.13</t>
  </si>
  <si>
    <t>PO#910-97686</t>
  </si>
  <si>
    <t>4500180563-40</t>
  </si>
  <si>
    <t>11/13入勤辉仓</t>
  </si>
  <si>
    <t>ZMPO250904</t>
  </si>
  <si>
    <t>Remark:大货最新版本/款号平均/请按款号装箱/并在外箱上注明款号/大货标准箱装箱/箱唛请参照邮件附件;备注：收到样品订单后尽快安排 ，注意样板品质质量要求要高于大货品质要求 ，送货时必须要附带送货单(没有送货单和QC检验合格报告的仓库一律拒绝收货)，请知悉，谢谢！</t>
  </si>
  <si>
    <t>97092-11.29</t>
  </si>
  <si>
    <t>ZMPO250891</t>
  </si>
  <si>
    <t>Remark：大货最新版本/只需要PDQ的Demo+吸塑；备注： 收到样品订单后尽快安排 ，此订单麻烦在外箱上备注是海运订单/注意样板品质质量要求要高于大货品质质量 ，送货时必须要附带送货单(没有送货单和QC检验合格报告的仓库一律拒绝收货)，请知悉，谢谢！</t>
  </si>
  <si>
    <t>大货最新版本/只需要PDQ的Demo+吸塑</t>
  </si>
  <si>
    <t>10001493518-3891</t>
  </si>
  <si>
    <t>4500180023-20</t>
  </si>
  <si>
    <t>11/18出货</t>
  </si>
  <si>
    <t>ZB02992-11.19</t>
  </si>
  <si>
    <t>SUOMEN OSUUSKAUPPOJEN KESKUSKUNTA</t>
  </si>
  <si>
    <t>芬兰</t>
  </si>
  <si>
    <t>4500175911-10</t>
  </si>
  <si>
    <t xml:space="preserve"> EAN#4894680019836/care@zuru.com邮箱地址做成一张贴纸贴在彩盒上(贴纸和位置图翻PO#4500161056)+一张芬兰语警告
语翻译贴纸覆盖原本MA错误的芬兰语翻译(贴纸和位置图翻PO#4500161056)</t>
  </si>
  <si>
    <t>日期码格式：ZURU INC(BVI) 标准格式 日期：按实际生产日期
Packaging Info: 1. 77770GQ1: MA A3L EAN版收缩膜+瑞典芬兰爱沙尼亚警告语/MADE IN CHINA翻译成瑞典芬兰爱沙尼亚语做成一张贴纸+MA A5L(23L warning)收藏指南+MA A3L PDQ
Remark: *. 77770GQ1新款: 需要在11/13安排ITS第三方验货，请多备料
77770GQ1新款: 请在11/2之前提供三个带包装的球+三套所有散配件(每一套放一个polybag里面)大货签板给我们签回供第三方验货用，签板必须跟大货完全一致，否
则验货会不合格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77770GQ1-S002:4894680050518</t>
  </si>
  <si>
    <t>Sheba</t>
  </si>
  <si>
    <t>97053-11.28</t>
  </si>
  <si>
    <t>77770GQ1-S002-3L</t>
  </si>
  <si>
    <t>GLOBUS LOGISTIK GMBH AND CO KG</t>
  </si>
  <si>
    <t>10357170 10357227</t>
  </si>
  <si>
    <t>4500180582-30</t>
  </si>
  <si>
    <t>迷你包包S4 25pcs/箱-3L</t>
  </si>
  <si>
    <t>DE警语贴纸</t>
  </si>
  <si>
    <t>日期码格式：ZURU INC(BVI) 标准格式 日期：按实际生产日期
Packaging Info:
77770GQ2-S002：最新MA 3L EAN收缩膜+DE警语贴纸，MA 5L收藏指南，MA纸袋，MA 3L PDQ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</si>
  <si>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Nicole Ye</t>
  </si>
  <si>
    <t>97025-11.26</t>
  </si>
  <si>
    <t>77770GQ2-S002-3L</t>
  </si>
  <si>
    <t>AB GEE OF RIPLEY LTD.</t>
  </si>
  <si>
    <t>777 3JAN26</t>
  </si>
  <si>
    <t>4500180232-30</t>
  </si>
  <si>
    <t>77770GQ2-S003</t>
  </si>
  <si>
    <t>迷你包包S4 25pcs/箱-S003</t>
  </si>
  <si>
    <t>日期码格式：ZURU INC(BVI) 标准格式 日期：按实际生产日期
Packaging Info: MA 最新UPC包装，各款的条码如下，请先检查条码是否正确再安排做货，如有问题请告知,配比跟MA
3.77770GQ2：193052089465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</si>
  <si>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Zoe Zhou</t>
  </si>
  <si>
    <t>97006-11.24</t>
  </si>
  <si>
    <t>BIG W</t>
  </si>
  <si>
    <t>47882806 SYD</t>
  </si>
  <si>
    <t>4500181756-10</t>
  </si>
  <si>
    <t>1张进口商贴纸；</t>
  </si>
  <si>
    <t>日期码格式：ZURU INC(BVI) 标准格式 日期：按实际生产日期
Packaging Info: 1. 包装：
77770GQ1：英文MA包装 (UPC版本，首选1L，无1L可用多L含英语)+1张进口商贴纸；
2. 进口商贴纸上已经去掉日期码，产品和包装上的日期码一致，请按要求在包装上打日期码（进口商贴纸不覆盖日期码）
3. 原指定日期码DDMMYY可改用ZURU标准日期码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</si>
  <si>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97051-11.29</t>
  </si>
  <si>
    <t>47882807 BNE</t>
  </si>
  <si>
    <t>4500181756-20</t>
  </si>
  <si>
    <t>47882808 MEL</t>
  </si>
  <si>
    <t>4500181756-30</t>
  </si>
  <si>
    <t>97007-11.24</t>
  </si>
  <si>
    <t>47882809 FRE</t>
  </si>
  <si>
    <t>4500181756-40</t>
  </si>
  <si>
    <t>10/21入仓</t>
  </si>
  <si>
    <t>96988-11.21</t>
  </si>
  <si>
    <t>ZURU DENMARK APS</t>
  </si>
  <si>
    <t>丹麦</t>
  </si>
  <si>
    <t>4500181278-130</t>
  </si>
  <si>
    <t>多语警语贴纸</t>
  </si>
  <si>
    <t>日期码格式：ZURU INC(BVI) 标准格式 日期：按实际生产日期
Packaging Info:
77711GQ1: 最新MA PDQ+最新 MA 3L EAN 收缩膜 +1*多语折叠警告语贴纸（翻单4500157858） + MA 5L收藏指南+ MA 23L说明书+ MA UV胶黑白警告语 + MA纸袋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</si>
  <si>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Niki Chen</t>
  </si>
  <si>
    <t>97026-11.26</t>
  </si>
  <si>
    <t>0938210321</t>
  </si>
  <si>
    <t>4500182120-10</t>
  </si>
  <si>
    <t>转自检</t>
  </si>
  <si>
    <t>ZB03032-11.22</t>
  </si>
  <si>
    <t>0938210363</t>
  </si>
  <si>
    <t>4500182120-20</t>
  </si>
  <si>
    <t>ZB03146-11.28</t>
  </si>
  <si>
    <t>0938210572</t>
  </si>
  <si>
    <t>4500182120-50</t>
  </si>
  <si>
    <t>11/25交仓</t>
  </si>
  <si>
    <t>10001493517-3890</t>
  </si>
  <si>
    <t>4500181503-20</t>
  </si>
  <si>
    <t>日期码格式：ZURU INC(BVI) 标准格式 日期：按实际生产日期
Packaging Info: 15760UQ1 产品包装MA, 5L 吊牌，MA 5L PDQ；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以上所有item均：
1. 产品和包装上均要印刷tracking code信息，格式为ZURU常规格式;
2. 出货方式：货代自提</t>
  </si>
  <si>
    <t>ZB03173-12.1</t>
  </si>
  <si>
    <t>Amazon UK:
8SM5GNLX</t>
  </si>
  <si>
    <t>4500181154-20</t>
  </si>
  <si>
    <t>1.空白外箱（加印带Zuru字样的最新logo，除了邮包盒直接做外箱的产品） + SSCC LABEL一张, 无箱唛，MADE IN CHINA 外箱只印一正一侧。箱唛资料按照给定的
 标准去做即可，无需发回我方再行审批(新标准将另行通知)</t>
  </si>
  <si>
    <t>1张贴纸(IT环保标)+ SSCC LABEL一张,</t>
  </si>
  <si>
    <t>日期码格式：ZURU INC(BVI) 标准格式 日期：按实际生产日期
Packaging Info: Amazon UK(15754BDEGH/77806/77809)/DE(15754DEH)/FR(15754BDGH/92129ABEGHJ)
2. 77806: 2PK#77770 in PVC TUBE,12tubes/ctn; 客版 3L(3L warning no barcode)A收缩膜(参考Amazon US翻单PO#4500179751)+MA 5L(23L warning)A收藏指南+M
A其他最新配套包装+客版3L(5L warning)A PVC彩卡(参考Amazon US翻单PO#4500179751)+1张贴纸(IT环保标)；
5.验货时间不迟于2025/11/24.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</si>
  <si>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97125-10.2</t>
  </si>
  <si>
    <t>FREDMEYER INC</t>
  </si>
  <si>
    <t>000041592487</t>
  </si>
  <si>
    <t>4500180560-10</t>
  </si>
  <si>
    <t>12/1入仓</t>
  </si>
  <si>
    <t>ZB03619-11.28</t>
  </si>
  <si>
    <t>0938210394</t>
  </si>
  <si>
    <t>4500182123-10</t>
  </si>
  <si>
    <t>ZB03291R1-12.10</t>
  </si>
  <si>
    <t>ZU25090502SG</t>
  </si>
  <si>
    <t>4500181542-10</t>
  </si>
  <si>
    <t>1张固定图稿的进口商贴纸,贴纸资料待提供</t>
  </si>
  <si>
    <t>日期码格式：ZURU INC(BVI) 标准格式 日期：按实际生产日期
Packaging Info: MA UPC包装(优先1L)+1张固定图稿的进口商贴纸,贴纸资料待提供;
77770GQ1待维持20GP的单价
Remark: 92129-7 assortments, Ratio: Elephant: Toucan: Zebra: Sloth: Giraffe: Tiger: Peacock=10: 10: 10: 10: 10: 8: 2</t>
  </si>
  <si>
    <t>97050-11.28</t>
  </si>
  <si>
    <t>PO#500-53937</t>
  </si>
  <si>
    <t>4500182662-10</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</si>
  <si>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</si>
  <si>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ZB03339R1-12.12</t>
  </si>
  <si>
    <t>PO#600-78146</t>
  </si>
  <si>
    <t>4500182662-20</t>
  </si>
  <si>
    <t>ZB03347-12.13</t>
  </si>
  <si>
    <t>ICA SVERIGE AB</t>
  </si>
  <si>
    <t>瑞典</t>
  </si>
  <si>
    <t>849625/38434</t>
  </si>
  <si>
    <t>4500181046-20</t>
  </si>
  <si>
    <t>瑞典芬兰爱沙尼亚警告语/MADE IN CHINA翻译成瑞典芬兰爱沙尼亚语做成一张贴纸(贴纸和位置图翻SOK PO#4500175911)</t>
  </si>
  <si>
    <t>日期码格式：ZURU INC(BVI) 标准格式 日期：按实际生产日期
Packaging Info: 
2. 77770GQ1: MA A3L EAN版收缩膜+瑞典芬兰爱沙尼亚警告语/MADE IN CHINA翻译成瑞典芬兰爱沙尼亚语做成一张贴纸(贴纸和位置图翻SOK PO#4500175911)+MA A5L
(23L warning)收藏指南+MA A3L PDQ
Remark: 1. 包装如含PVC,请改为PET并第一时间通知跟单
2. 产品/包装要求无硼无香，出欧洲，微塑料需合规。
3. ICA针对带电池出货的产品，都要用碱性电池
4. 不能出带军事元素的产品，如有:请拿掉并告知跟单
5. 带电池出货的产品所用到的电池需要符合欧洲电池新规(EU) 2023-1542
6. 有胶袋的产品：要求产品的胶袋厚度要大于等于0.05mm
7. 关于贴纸，如果贴纸位置图的包装版本与大货不一致，请工厂第一时间提前提出。跟单会重新调整确认是否更新贴纸或调整位置图
8. 产品/包装不含PFAS成分
9. 如外箱重量超过15KG请马上通知跟单，需要客人审批才能出货
10. 产品条码如下: 请先检查条码是否正确再安排做货，如有问题请告知
ZURU ITEM#&lt;(&gt;&amp;&lt;)&gt;EAN#
77770GQ1-S002:4894680050518</t>
  </si>
  <si>
    <t>97124-10.2</t>
  </si>
  <si>
    <t>AMAZON ES</t>
  </si>
  <si>
    <t>Amazon ES:
6ZEGNFNV</t>
  </si>
  <si>
    <t>4500181123-20</t>
  </si>
  <si>
    <t>12/5入仓</t>
  </si>
  <si>
    <t>1张贴纸(IT环保标)77806贴纸参考翻单PO#4500181154+ SSCC LABEL一张,</t>
  </si>
  <si>
    <t>日期码格式：ZURU INC(BVI) 标准格式 日期：按实际生产日期
Packaging Info: Amazon ES(77806/77809)/IT(77806/77809)
1. 77806：2PK#77770 in PVC TUBE,12tubes/ctn; 客版 3L(3L warning no barcode)A收缩膜(参考Amazon US翻单PO#4500179751)+MA 5L(23L warning)A收藏指南+M
A其他最新配套包装+客版3L(5L warning)A PVC彩卡(参考Amazon US翻单PO#4500179751)+1张贴纸(IT环保标,参考翻单PO#4500181154)；
3. 最迟验货不得晚于2025/11/27;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</si>
  <si>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Mandy Hu</t>
  </si>
  <si>
    <t>97171-12.9</t>
  </si>
  <si>
    <t>意大利</t>
  </si>
  <si>
    <t>Amazon IT:
27KF1ZOX</t>
  </si>
  <si>
    <t>4500181123-40</t>
  </si>
  <si>
    <t>97194-12.11</t>
  </si>
  <si>
    <t>NORWEGIAN TOY IMPORT AS - DOM</t>
  </si>
  <si>
    <t>挪威</t>
  </si>
  <si>
    <t>4500182163-180</t>
  </si>
  <si>
    <t>日期码格式：ZURU INC(BVI) 标准格式 日期：按实际生产日期
Packaging Info:
77770GQ1-S002:3L EAN A版包装+进口商贴纸+其它MA 包装/PDQ
77770SK1-S002:3L EAN A版包装+进口商贴纸+其它MA 包装+3L 展示架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t>
  </si>
  <si>
    <t>97365-12.3</t>
  </si>
  <si>
    <t>4500182163-210</t>
  </si>
  <si>
    <t>迷你包包4代
展示架/带底座-3L</t>
  </si>
  <si>
    <t>日期码格式：ZURU INC(BVI) 标准格式 日期：按实际生产日期
Packaging Info: 
77770GQ1-S002:3L EAN A版包装+进口商贴纸+其它MA 包装/PDQ
77770SK1-S002:3L EAN A版包装+进口商贴纸+其它MA 包装+1L 展示架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t>
  </si>
  <si>
    <t>AMAZON EU SARL, NDL DEUTSCHLAND</t>
  </si>
  <si>
    <t>Amazon DE:
362WDRWM</t>
  </si>
  <si>
    <t>4500181162-10</t>
  </si>
  <si>
    <t>1张贴纸(IT环保标, 参考翻单PO#4500181154)</t>
  </si>
  <si>
    <t>日期码格式：ZURU INC(BVI) 标准格式 日期：按实际生产日期
Packaging Info: Amazon DE(77806)/FR(157102/157103/157107AB/15746ABDE/15747/15749ABDEGH/15750ABDEH/15752ABDEGH/15755ABDE/15757/77806)
1. 77806: 2PK#77770 in PVC TUBE,12tubes/ctn; 客版 3L(3L warning no barcode)A收缩膜(参考Amazon US翻单PO#4500179751)+MA 5L(23L warning)A收藏指南+M
A其他最新配套包装+客版3L(5L warning)A PVC彩卡(参考Amazon US翻单PO#4500179751)+1张贴纸(IT环保标, 参考翻单PO#4500181154)；
12.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</si>
  <si>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97170-12.9</t>
  </si>
  <si>
    <t>Amazon FR:
889GH8TX</t>
  </si>
  <si>
    <t>4500181162-20</t>
  </si>
  <si>
    <t>THE WAREHOUSE LIMITED</t>
  </si>
  <si>
    <t>4500184328-10</t>
  </si>
  <si>
    <t>日期码格式：ZURU INC(BVI) 标准格式 日期：按实际生产日期
Packaging Info: MA UPC 英语包装（优先1L英语版本，或者3L/5L含英语都可）
Remark: 1.此客人不接受易掉落或者剥落或者可直接触碰的闪粉，可降解也不行，但可以接
受符合欧洲微塑料标准的珠光粉或者闪片。</t>
  </si>
  <si>
    <t>Ivy Li</t>
  </si>
  <si>
    <t>97161-12.8</t>
  </si>
  <si>
    <t>4500184328-20</t>
  </si>
  <si>
    <t>LLC SALUS</t>
  </si>
  <si>
    <t>4500181881-300</t>
  </si>
  <si>
    <t>进口商贴纸+ QR code贴纸（要求每1PCS 的QR 不一样 ）</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</si>
  <si>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</si>
  <si>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97109-3-12.1</t>
  </si>
  <si>
    <t>843820/37982</t>
  </si>
  <si>
    <t>4500178715-20</t>
  </si>
  <si>
    <t>日期码格式：ZURU INC(BVI) 标准格式 日期：按实际生产日期
Packaging Info:
2. 77770GQ1: MA A3L EAN版收缩膜+瑞典芬兰爱沙尼亚警告语/MADE IN CHINA翻译成瑞典芬兰爱沙尼亚语做成一张贴纸(贴纸和位置图翻SOK PO#4500175911)+MA A5L
(23L warning)收藏指南+MA A3L PDQ
Remark: *. 新款，请在11/20各寄两套大货样给客人留底
1. 包装如含PVC,请改为PET并第一时间通知跟单
2. 产品/包装要求无硼无香，出欧洲，微塑料需合规。
3. ICA针对带电池出货的产品，都要用碱性电池
4. 不能出带军事元素的产品，如有:请拿掉并告知跟单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77770GQ1-S002:4894680050518</t>
  </si>
  <si>
    <t>97359-12.9</t>
  </si>
  <si>
    <t>GEKAS ULLAREED AB</t>
  </si>
  <si>
    <t>4500176686-90</t>
  </si>
  <si>
    <t>77770-S002</t>
  </si>
  <si>
    <t>迷你包包S4-2</t>
  </si>
  <si>
    <t>瑞典语警告语贴纸</t>
  </si>
  <si>
    <t>日期码格式：ZURU INC(BVI) 标准格式 日期：按实际生产日期
Packaging Info:
77770-S002:77770-S002:MA A 3L EAN 收缩膜+瑞典语警告语贴纸+MA collector guide+MA 纸袋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77770-S002-4894680050518</t>
  </si>
  <si>
    <t>97395-12.8</t>
  </si>
  <si>
    <t>0938210362</t>
  </si>
  <si>
    <t>4500183832-10</t>
  </si>
  <si>
    <t>ZB03290-12.10</t>
  </si>
  <si>
    <t>0938210369</t>
  </si>
  <si>
    <t>4500183832-20</t>
  </si>
  <si>
    <t>ZB03369-12.15</t>
  </si>
  <si>
    <t>0938210391</t>
  </si>
  <si>
    <t>4500183832-30</t>
  </si>
  <si>
    <t>12/11第三方验货到厂</t>
  </si>
  <si>
    <t>ZB03394-12.16</t>
  </si>
  <si>
    <t>NORDIC TOY TEAM AS - DOM</t>
  </si>
  <si>
    <t>4500183281-20</t>
  </si>
  <si>
    <t>日期码格式：ZURU INC(BVI) 标准格式 日期：按实际生产日期
Packaging Info: 
2. 77770GQ1: MA A3L EAN版收缩膜+进口商贴纸+MA A5L(23L warning)收藏指南+MA A3L PDQ
Remark: 1/配比跟MA
2/产品和包装要求无硼无香，包装不能含有PVC
3/出欧洲，微塑料需合规
4/带电池出货的产品，所用到的电池需要符合欧洲电池新规(EU)2023-1542</t>
  </si>
  <si>
    <t>97188-12.11</t>
  </si>
  <si>
    <t>TAS IMPORT AS(LEKEKASSEN)</t>
  </si>
  <si>
    <t>4500177965-50</t>
  </si>
  <si>
    <t>12/8出货</t>
  </si>
  <si>
    <t>警告语和MADE IN CHINA翻译成丹麦瑞典挪威语/客人进口商地址做成一张贴纸</t>
  </si>
  <si>
    <t>日期码格式：ZURU INC(BVI) 标准格式 日期：按实际生产日期
Packaging Info:
5. 77770GQ1: MA A3L EAN版收缩膜+警告语和MADE IN CHINA翻译成丹麦瑞典挪威语/客人进口商地址做成一张贴纸+MA A5L(23L warning)收藏指南+MA A3L 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77770GQ1-S002:4894680050518</t>
  </si>
  <si>
    <t>Sheba Ye</t>
  </si>
  <si>
    <t>97384-12.6</t>
  </si>
  <si>
    <t>4500181141-70</t>
  </si>
  <si>
    <t>进口商贴纸+UPC贴纸</t>
  </si>
  <si>
    <t>日期码格式：ZURU INC(BVI) 标准格式 日期：按实际生产日期
Packaging Info: 77770GQ2:MA 多语EAN包装+进口商贴纸+UPC贴纸+箱唛
Remark: 进口商贴纸内容会显示日期码为：2025-12，包装/产品/外箱可按ZURU标准日期码，不需要跟回进口商贴纸上的日期码</t>
  </si>
  <si>
    <t>97180-2-12.10</t>
  </si>
  <si>
    <t>ZHUYU(SHENZHEN)TRADING CO.,LTD.</t>
  </si>
  <si>
    <t>中国</t>
  </si>
  <si>
    <t>4500180429-10</t>
  </si>
  <si>
    <t>迷你包包S4 13pcs/箱-中文单</t>
  </si>
  <si>
    <t>SI 12/17</t>
  </si>
  <si>
    <t>收缩膜年龄贴（8+）</t>
  </si>
  <si>
    <t>日期码格式：ZURU INC(BVI) 标准格式 日期：按实际生产日期
Packaging Info: 物料要求 SKU
1 77770GQ1 MA PDQ +外挂中文收藏指南+ 收缩膜年龄贴（8+）
首单 需要提供 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</si>
  <si>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Dona Tang</t>
  </si>
  <si>
    <t>97225-12.16</t>
  </si>
  <si>
    <t>77770GQ1-S002-中文单</t>
  </si>
  <si>
    <t>MIGROS-GENOSSENSCHAFTS-BUND</t>
  </si>
  <si>
    <t>瑞士</t>
  </si>
  <si>
    <t>4500185407-20</t>
  </si>
  <si>
    <t>德意警告语贴纸+</t>
  </si>
  <si>
    <t>日期码格式：ZURU INC(BVI) 标准格式 日期：按实际生产日期
Packaging Info:
77770GQ1: MA 3L EAN收缩膜 +德意警告语贴纸+ MA 5L 收藏指南+MA纸袋 +MA PDQ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</si>
  <si>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</si>
  <si>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97202-12.13</t>
  </si>
  <si>
    <t>10001493630-3891</t>
  </si>
  <si>
    <t>4500182969-20</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</si>
  <si>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以上所有item均：
1. 产品和包装上均要印刷tracking code信息，格式为ZURU常规格式;
2. 出货方式：货代自提</t>
  </si>
  <si>
    <t>ZB03370-12.15</t>
  </si>
  <si>
    <t>0938210384</t>
  </si>
  <si>
    <t>4500183833-10</t>
  </si>
  <si>
    <t>12/15第三方验货</t>
  </si>
  <si>
    <t>ZB03558-12.27</t>
  </si>
  <si>
    <t>Amazon UK:
1ISO444L</t>
  </si>
  <si>
    <t>4500181165-20</t>
  </si>
  <si>
    <t>2025/12/12入仓</t>
  </si>
  <si>
    <t>日期码格式：ZURU INC(BVI) 标准格式 日期：按实际生产日期
Packaging Info: Amazon UK(77806/77809)/FR(92129ABEGHJ)
1.77806: 2PK#77770 in PVC TUBE,12tubes/ctn; 客版 3L(3L warning no barcode)A收缩膜(参考Amazon US翻单PO#4500179751)+MA 5L(23L warning)A收藏指南+MA
其他最新配套包装+客版3L(5L warning)A PVC彩卡(参考Amazon US翻单PO#4500179751)+1张贴纸(IT环保标, 参考翻单PO#4500181154)；
4.验货时间不迟于2025/12/5.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</si>
  <si>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97199-12.12</t>
  </si>
  <si>
    <t>ROFU KINDERLAND SPIELWARENHANDELSGE</t>
  </si>
  <si>
    <t>4500181904-10</t>
  </si>
  <si>
    <t>德语警告语贴纸+1*价格贴纸+ MA 5L 收藏指南+MA纸袋</t>
  </si>
  <si>
    <t>日期码格式：ZURU INC(BVI) 标准格式 日期：按实际生产日期
Packaging Info: 77770： MA 3L EAN收缩膜 +德语警告语贴纸+1*价格贴纸+ MA 5L 收藏指南+MA纸袋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</si>
  <si>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97230-12.17</t>
  </si>
  <si>
    <t>77770-S001-3L</t>
  </si>
  <si>
    <t>LEKIA AB</t>
  </si>
  <si>
    <t>4500183825-100</t>
  </si>
  <si>
    <t>可折叠贴纸</t>
  </si>
  <si>
    <t>日期码格式：ZURU INC(BVI) 标准格式 日期：按实际生产日期
Packaging Info: 
77770GQ1-S002//3L-EAN A版收缩膜4894680050518+可折叠贴纸+MA 收藏指南/纸袋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</si>
  <si>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t>
  </si>
  <si>
    <t>97405-12.16</t>
  </si>
  <si>
    <t>4500183825-110</t>
  </si>
  <si>
    <t>日期码格式：ZURU INC(BVI) 标准格式 日期：按实际生产日期
Packaging Info: 
77770SK1-S002//3L-EAN A版收缩膜4894680050518+可折叠贴纸+MA 收藏指南/纸袋+1L 展示架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</si>
  <si>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4500184570-50</t>
  </si>
  <si>
    <t>多语警语折叠贴</t>
  </si>
  <si>
    <t>日期码格式：ZURU INC(BVI) 标准格式 日期：按实际生产日期
Packaging Info:
77770GQ1：最新NS 3L PDQ+最新MA 3L EAN收缩膜+1*多语警语折叠贴纸+最新MA 5L+23L警语收藏指南+MA纸袋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</si>
  <si>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97224-12.16</t>
  </si>
  <si>
    <t>4500180429-50</t>
  </si>
  <si>
    <t>0938210370</t>
  </si>
  <si>
    <t>4500183834-10</t>
  </si>
  <si>
    <t>12/25第三方验货</t>
  </si>
  <si>
    <t>ZB03459-12.22</t>
  </si>
  <si>
    <t>0938210377</t>
  </si>
  <si>
    <t>4500183834-20</t>
  </si>
  <si>
    <t>ZB03610-12.31</t>
  </si>
  <si>
    <t>0938210408</t>
  </si>
  <si>
    <t>4500183834-30</t>
  </si>
  <si>
    <t>0938210419</t>
  </si>
  <si>
    <t>4500183834-40</t>
  </si>
  <si>
    <t>7OAGSKGK</t>
  </si>
  <si>
    <t>4500184839-120</t>
  </si>
  <si>
    <t>SCC LABEL（客供贴纸+空白贴纸和客版3L铜版纸资料跟翻单#4500179751+</t>
  </si>
  <si>
    <t>日期码格式：ZURU INC(BVI) 标准格式 日期：按实际生产日期
Packaging Info: 出口加拿大，包装需要至少2/3L UPC版，无硼版本。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</si>
  <si>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2WSTIFBQ</t>
  </si>
  <si>
    <t>4500184839-130</t>
  </si>
  <si>
    <t>5M2XSV4L</t>
  </si>
  <si>
    <t>4500184839-140</t>
  </si>
  <si>
    <t>2EB8HBQW</t>
  </si>
  <si>
    <t>4500184839-150</t>
  </si>
  <si>
    <t>2PES3YVI</t>
  </si>
  <si>
    <t>4500184839-160</t>
  </si>
  <si>
    <t>0938210366</t>
  </si>
  <si>
    <t>4500183835-10</t>
  </si>
  <si>
    <t>12/30第三方验货</t>
  </si>
  <si>
    <t>ZMPO251070</t>
  </si>
  <si>
    <t>ZMPO251070-10</t>
  </si>
  <si>
    <t>Remark：大货最新版本/只需要齐全套三散件/麻烦用胶袋分装好一套为一袋/箱唛请参照邮件附件
备注：收到样品订单后尽快安排 ，注意样板品质质量要求要高于大货品质要求 ，送货时必须要附带送货单(没有送货单和QC检验合格报告的仓库一律拒绝收货)，请知悉，谢谢！</t>
  </si>
  <si>
    <t>ZMPO251070-20</t>
  </si>
  <si>
    <t>Remark：大货最新版本/产品按大货比例入PDQ/大货标准箱装箱/箱唛参照邮件附件
备注：收到样品订单后尽快安排 ，注意样板品质质量要求要高于大货品质要求 ，送货时必须要附带送货单(没有送货单和QC检验合格报告的仓库一律拒绝收货)，请知悉，谢谢！</t>
  </si>
  <si>
    <t>ZMPO251070-30</t>
  </si>
  <si>
    <t>10001502368-3890</t>
  </si>
  <si>
    <t>4500182971-40</t>
  </si>
  <si>
    <t>2025/12/24客上柜</t>
  </si>
  <si>
    <t>ZB03510R1-12.25</t>
  </si>
  <si>
    <t>DISTRIBUIDORA LIVERPOOL S.A DE C.V.</t>
  </si>
  <si>
    <t>4500182578-90</t>
  </si>
  <si>
    <t>日期码格式：ZURU INC(BVI) 标准格式 日期：按实际生产日期
Packaging Info: 77770GQ2:MA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</si>
  <si>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A97534-1.14</t>
  </si>
  <si>
    <t>4500180866-90</t>
  </si>
  <si>
    <t>UPC条码贴纸+进口商贴纸</t>
  </si>
  <si>
    <t>日期码格式：LOTDGYYYYMMDD 日期：按实际生产日期
Packaging Info: 
7. 77770GQ2：MA 3L EAN包装+UPC条码贴纸+进口商贴纸+MA 5L收藏指南+MA 3L PDQ+箱唛
注意所有带电产品所用的保证书是通用的。
Remark: 1. 客版日期码要求：LOT+ZURU标准日期码格式。东莞生产的格式：LOTDGYYYYMMDD, DG是东莞拼音首字母，
YYYYMMDD是实际的年月日，例如(LOTDG20240920)
4. 此单有第三方监柜，至少多备一套完整的物料用于监柜，请多备料。
5. WM墨西哥防霉的新要求:货物必须在出货主箱和集装箱中按要求放置干燥剂，干燥剂指定品牌干霸
77770GQ2：需要在每箱放入6小包干燥剂，每包干燥剂重量2g
如走柜货等loading plan 确认后再通知集装箱干燥剂数量
此单会和其他工厂订单合并出4*40HC，每个HC需要放置20包干燥剂，每包干燥剂1KG</t>
  </si>
  <si>
    <t>A97572-1.20</t>
  </si>
  <si>
    <t>WALMART CENTRAL AMERICA-CR</t>
  </si>
  <si>
    <t>4500184316-90</t>
  </si>
  <si>
    <t>UPC贴纸+MA +进口商贴纸</t>
  </si>
  <si>
    <t>日期码格式：ZURU INC(BVI) 标准格式 日期：按实际生产日期
Packaging Info:
8. 77770GQ2：MA 3L EAN包装+UPC贴纸+MA 多语收藏指南+MA 3L PDQ包装+进口商贴纸+箱唛
Remark: 1.请注意产品包装条形码必须是UPC
2.无第三方验货</t>
  </si>
  <si>
    <t>97403-12.31</t>
  </si>
  <si>
    <t>WALMART CENTRAL AMERICA-GT</t>
  </si>
  <si>
    <t>4500184355-90</t>
  </si>
  <si>
    <t>UPC贴纸+MA +进口商贴纸单翻单PO4500184316</t>
  </si>
  <si>
    <t>日期码格式：ZURU INC(BVI) 标准格式 日期：按实际生产日期
Packaging Info:
8. 77770GQ2：MA 3L EAN包装+UPC贴纸+MA 多语收藏指南+MA 3L PDQ包装+进口商贴纸+箱唛，贴纸翻单PO4500184316
Remark: 1.请注意产品包装条形码必须是UPC
2.无第三方验货</t>
  </si>
  <si>
    <t>97404-12.31</t>
  </si>
  <si>
    <t>WALMART CENTRAL AMERICA-HN</t>
  </si>
  <si>
    <t>4500184422-90</t>
  </si>
  <si>
    <t>97402-12.30</t>
  </si>
  <si>
    <t>BOL.COM</t>
  </si>
  <si>
    <t>荷兰</t>
  </si>
  <si>
    <t>BOL.COM:
P2516799A</t>
  </si>
  <si>
    <t>4500186266-70</t>
  </si>
  <si>
    <t>2张贴纸(1张EAN贴纸+1张NL警告语)</t>
  </si>
  <si>
    <t>日期码格式：ZURU INC(BVI) 标准格式 日期：按实际生产日期
Packaging Info: BOL.COM(15754BDEGH/15757/77806/77809/92129ABDEGHJ/157126/157127/157125A/77731/15728EG/71152/15762AB/15763AB)
3. 77806: 2PK#77770 in PVC TUBE,12tubes/ctn; 客版 3L(3L warning no barcode)A收缩膜(参考Amazon US翻单PO#4500179751)+MA 5L(23L warning)A收藏指南+M
A其他最新配套包装+客版3L(5L warning)A PVC彩卡(参考Amazon US翻单PO#4500179751)+2张贴纸(1张EAN贴纸+1张NL警告语)；
14. 验货时间不迟于2025/12/24.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</si>
  <si>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97326-12.25</t>
  </si>
  <si>
    <t>50212600121</t>
  </si>
  <si>
    <t>4500184791-160</t>
  </si>
  <si>
    <t>进口商贴纸+UPC贴纸+外箱贴纸</t>
  </si>
  <si>
    <t>日期码格式：ZURU INC(BVI) 标准格式 日期：按实际生产日期
Packaging Info: 77770GQ2:MA 多语EAN包装+进口商贴纸+UPC贴纸+外箱贴纸+箱唛
Remark: 此单有第三方监柜，需要每款多备1套完整物料</t>
  </si>
  <si>
    <t>97362-12.29</t>
  </si>
  <si>
    <t>4500179365-10</t>
  </si>
  <si>
    <t>Walgreens</t>
  </si>
  <si>
    <t>MPO03857</t>
  </si>
  <si>
    <t>MPO03857-10</t>
  </si>
  <si>
    <t>12/11抽板</t>
  </si>
  <si>
    <t>12/23送库有</t>
  </si>
  <si>
    <t>WIC贴贴纸纸</t>
  </si>
  <si>
    <t>Product Requirement
Remark: 1. 2% 损耗
2. 送货前必需通知我司安排验货
3. MA 1L包装 + WIC贴纸
77770 WIC # 756916
4. 产品和包装上要有ZURU 标准格式标准格式 tracking code DG20251210，产品和包装的日期必须一致。
5. 此单分为20%和80%数量，20%数量完成后用于抽板。77770和77711-NA 12/10完成后12/11抽板，抽板后才可以安排送货。12/18送20%数量到库有组装展示架，
对应PO号4500184559。80%数量 12/27送货。先安排20%数量，80%数量等收到客户正式PO后再安排。
6. 所有来料都要测试符合美国联邦法规和州法规后才可以做大货，特别是带液体，粉末，口水胶的产品，抽板需要做测微生物测试，必须保证化学品已经测过并达标
才可用生产。因测试问题延期造成罚款需由工厂承担，请知悉单独一款产品测试有问题都会影响整个展示架交期，罚款金额按整个展示架计算，请做好品质管控。
7. 装箱方式需要另外跟PM确认，展示架每款球装6PCS，需要工厂先分好比例，每款6个球装一起且款式不能重复，方便组装工厂直接入展示架。外箱用周转箱/周转
框，出货前需提供装箱清单。送货时周转箱/周转框带卡板加围好围膜，如未按要求送货需要工厂自行安排人手卸货。
8. 大货样需要每款球12PCS，待通知后再寄出。
9. 订单的所有测试与样品要求以跟单的要求为准，且为了避免QC验货拆货来不及补货，请准备适量的贴纸和产品备品。此订单数量只作为大货生产，不包含样板与备
品。
10. 关于混装展示架，各工厂交子件到最终母件工厂时，务必要 "带卡板出+围好围膜"。
如果没按要求的，请各工厂自行安排人手卸货。
11. 请贵司确保交货数量准确，与收货方交收清楚，如收货方提出任何异常，请立即安排处理解决。</t>
  </si>
  <si>
    <t>已出货未打发票</t>
  </si>
  <si>
    <t>MPO03912</t>
  </si>
  <si>
    <t>Remark: 1. 包装：ZURU MA UPC版本最新包装；出口美国；
2. 日期码：产品包装及产品本身都必须有日期跟踪码，ZURU标准格式日期码，因该单是多工厂混装，为了统一，日期可以统一打12月17日
出货配比：
#MSLD161-S001-MIX BRAND-TOYS-MIXED-SERIES 1-MINI BRANDS/MY MINI BABY/SNACKLES/BUNCH O BALLOONS/XSHOT WATER/XSHOT
MIXED IN DISPLAY,74PCS/DISPLAY/
SLIP SHEET
子件成品于12月26送子件成品到koyo组装
First layer:
77770 Mini Fashions -6pcs
3. 订单的所有测试与样品要求以跟单的要求为准，且为了避免QC验货拆货来不及补货，请准备适量的贴纸和产品备品。此订单数量只作为大货生产，不包含
样板与备品。
4. 关于混装展示架，各工厂交子件到最终母件工厂时，务必要 "带卡板出+围好围膜"。
如果没按要求的，请各工厂自行安排人手卸货。
5. 请贵司确保交货数量准确，与收货方交收清楚，如收货方提出任何异常，请立即安排处理解决。</t>
  </si>
  <si>
    <t>Elsa Zheng/Mila Yao</t>
  </si>
  <si>
    <t>MPO03857-20</t>
  </si>
  <si>
    <t>12/31送库有</t>
  </si>
  <si>
    <t>ZMPO251087</t>
  </si>
  <si>
    <t>ZMPO251087-40</t>
  </si>
  <si>
    <t>Remark:大货版本/只要空球，球要用大货收缩膜收好
备注：收到样品订单后尽快安排 ，注意样板品质质量要求要高于大货品质要求 ，送货时必须要附带送货单(没有送货单和QC检验合格报告的仓库一律拒绝收货)，请知悉，谢谢！</t>
  </si>
  <si>
    <t>ZMPO251087-50</t>
  </si>
  <si>
    <t>Remark:大货版本/只需要齐全套散件/每款散件不需要用纸袋装好/麻烦用胶袋分装好一套为一袋
备注：收到样品订单后尽快安排 ，注意样板品质质量要求要高于大货品质要求 ，送货时必须要附带送货单(没有送货单和QC检验合格报告的仓库一律拒绝收货)，请知悉，谢谢！</t>
  </si>
  <si>
    <t>GP TURKEY</t>
  </si>
  <si>
    <t>土耳其</t>
  </si>
  <si>
    <t>4500184934-10</t>
  </si>
  <si>
    <t>进口商贴纸（含客户条码）</t>
  </si>
  <si>
    <t>日期码格式：ZURU INC(BVI) 标准格式 日期：按实际生产日期
Packaging Info: 1. 77770SK1: MA 1L收缩膜+进口商贴纸（含客户条码）; MA SK；MA 5L收藏指南；
77770GQ2: MA 1L收缩膜+进口商贴纸（含客户条码）; MA PDQ；MA 5L收藏指南；
需要增加一张WEEE声明（带电池走货版本的通用30L说明书）
2. 日期码：外箱上需要印客户日期码和ZURU STD日期码，其中客户日期码为ZUR5353；产品/布标/包装印zuru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Remark:</t>
  </si>
  <si>
    <t>4500184934-20</t>
  </si>
  <si>
    <t>日期码格式：ZURU INC(BVI) 标准格式 日期：按实际生产日期
Packaging Info: 1. 
77770GQ2: MA 1L收缩膜+进口商贴纸（含客户条码）; MA PDQ；MA 5L收藏指南+贴纸；
2. 日期码：外箱上需要印客户日期码和ZURU STD日期码，其中客户日期码为ZUR5353；产品/布标/包装印zuru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Remark:</t>
  </si>
  <si>
    <t>PO# 35486</t>
  </si>
  <si>
    <t>4500181566-10</t>
  </si>
  <si>
    <t>日期码格式：ZURU INC(BVI) 标准格式 日期：按实际生产日期
Packaging Info: 1. 包装方式：MA UPC 优先1L 最新包装，出口美国
Remark: 2. 外箱箱唛红色和黑色双色印刷
3. 产品和包装上印刷tracking code信息，格式为ZURU常规
4. ITEM 92129TQ1
* S001-RAINBOCORNS-SPARKLE HEART SURPRISE-SERIES1-WILD HEART SURPRISE-SHRINK WRAP,3FACING6PCS/PDQ,12PCS/2PDQ/CTN
* 包装方式：MA 1L UPC包装 + MA 5L 收藏指南</t>
  </si>
  <si>
    <t>0938210372</t>
  </si>
  <si>
    <t>4500183836-10</t>
  </si>
  <si>
    <t>12/31第三方验货</t>
  </si>
  <si>
    <t>0938210420</t>
  </si>
  <si>
    <t>4500183836-20</t>
  </si>
  <si>
    <t>4500186878-10</t>
  </si>
  <si>
    <t>77770SK1-S001</t>
  </si>
  <si>
    <t>迷你包包4代
展示架-1L</t>
  </si>
  <si>
    <t>1/6bv</t>
  </si>
  <si>
    <t>日期码格式：ZURU DGYYYYMMDD CHINA(日期避开周末和法定节假日即可） 日期：按实际生产日期
Packaging Info: 1. 包装要求：
77770SK：MA 1L A版收缩膜+MA 5L A版收藏指南+MA A版纸袋+MA 1L sidekick包装
每pcs产品要贴一张RFID贴纸，RFID贴纸由ZURU提供，贴纸位置要严格按照客人签板
Remark: 1. 包装要求：
77770SK：MA 1L A版收缩膜+MA 5L A版收藏指南+MA A版纸袋+MA 1L sidekick包装
每pcs产品要贴一张RFID贴纸，RFID贴纸由ZURU提供，贴纸位置要严格按照客人签板
2.外箱RFID箱唛（四面右下角需印Zuru Logo)+ ITF-14条码；ITF-14条码印刷在外箱主唛左下角，外箱任一侧面角落备注："MADE IN CHINA" 字样，外箱箱唛资料待
提供。
3. 在产品上和包装上要有日期码、以及要有MADE IN CHINA和ZURU字样；
4. 产品如有扎带口要剪平，不能刮手。
5. 此单需要验货，请自行多备包装物料。
6. 30pcs/Sidekick/CTN</t>
  </si>
  <si>
    <t>77770SK1-S001-1L</t>
  </si>
  <si>
    <t>MANOR AG</t>
  </si>
  <si>
    <t>P015788486/S</t>
  </si>
  <si>
    <t>4500187019-20</t>
  </si>
  <si>
    <t>款号贴纸+DE IT警语贴纸</t>
  </si>
  <si>
    <t>日期码格式：ZURU INC(BVI) 标准格式 日期：按实际生产日期
Packaging Info:
77770GQ1：最新MA 3L EAN收缩膜+款号贴纸+DE IT警语贴纸，MA 5L收藏指南，MA纸袋，MA 3L PDQ
Remark: 1.此单出瑞士，微塑料需符合法规。
2.此单务必准时出货，如有推期会有罚款和空运。
其中推期1至7天扣款5%，推期8至14天扣款10%，推期15至21天扣款20%, 如此类推。
3.此单无须客户第三方验货，但是需要在12/31提供客人格式验货报告，待客人放货后才会放SO安排走货。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</si>
  <si>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77770GQ1-S001-3L</t>
  </si>
  <si>
    <t>4500186879-10</t>
  </si>
  <si>
    <t>1/9第三方转自检</t>
  </si>
  <si>
    <t>一张RFID贴纸</t>
  </si>
  <si>
    <t>4500186879-20</t>
  </si>
  <si>
    <t>RAMP-S CORPORATION</t>
  </si>
  <si>
    <t>10-25-0021</t>
  </si>
  <si>
    <t>4500187918-10</t>
  </si>
  <si>
    <t>进口商贴纸,</t>
  </si>
  <si>
    <t>日期码格式：ZURU INC(BVI) 标准格式 日期：按实际生产日期
Packaging Info: MA UPC包装(优先1L)+进口商贴纸,待提供贴纸资料
Remark:</t>
  </si>
  <si>
    <t>ZU02-26</t>
  </si>
  <si>
    <t>4500183616-150</t>
  </si>
  <si>
    <t>客版物料翻单PO450016130</t>
  </si>
  <si>
    <t>进口商贴纸+箱唛+UPC贴纸</t>
  </si>
  <si>
    <t xml:space="preserve">日期码格式：ZURU INC(BVI) 标准格式 日期：按实际生产日期
Packaging Info:
其余item：MA 多语EAN包装+进口商贴纸+UPC贴纸+箱唛
Remark: </t>
  </si>
  <si>
    <t>A97525-1.13</t>
  </si>
  <si>
    <t>4500186880-10</t>
  </si>
  <si>
    <t>1/13第三方</t>
  </si>
  <si>
    <t>8OGOYCEQ</t>
  </si>
  <si>
    <t>4500186530-60</t>
  </si>
  <si>
    <t>空白贴纸+ SSCC LABEL（客供贴纸)</t>
  </si>
  <si>
    <t>日期码格式：ZURU INC(BVI)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</si>
  <si>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4500186881-10</t>
  </si>
  <si>
    <t>1/14第三方</t>
  </si>
  <si>
    <t>0938210361</t>
  </si>
  <si>
    <t>4500187235-10</t>
  </si>
  <si>
    <t>0938210387</t>
  </si>
  <si>
    <t>4500187235-20</t>
  </si>
  <si>
    <t>1/21第三方</t>
  </si>
  <si>
    <t>0938210401</t>
  </si>
  <si>
    <t>4500187235-30</t>
  </si>
  <si>
    <t>0938210404</t>
  </si>
  <si>
    <t>4500187235-40</t>
  </si>
  <si>
    <t>0938210413</t>
  </si>
  <si>
    <t>4500187235-50</t>
  </si>
  <si>
    <t>ZMPO260015</t>
  </si>
  <si>
    <t>ZMPO260015-20</t>
  </si>
  <si>
    <t>Remark:大货最新版本/只需要空展示架/请配齐展示架Demo+吸塑盒
备注：收到样品订单后尽快安排 ，注意样板品质质量要求要高于大货品质要求 ，送货时必须要附带送货单(没有送货单和QC检验合格报告的仓库一律拒绝收货)，请知悉，谢谢！</t>
  </si>
  <si>
    <t>4500187623-60</t>
  </si>
  <si>
    <t>1/16第三方</t>
  </si>
  <si>
    <t>日期码格式：ZURU INC(BVI) 标准格式 日期：按实际生产日期
Packaging Info: 
77770GQ2:MA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</si>
  <si>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4500185120-70</t>
  </si>
  <si>
    <t>UPC贴纸+箱唛，无客户贴纸纸</t>
  </si>
  <si>
    <t>日期码格式：ZURU INC(BVI) 标准格式 日期：按实际生产日期
Packaging Info: 
其余item：MA 多语包装+ UPC贴纸+箱唛，无客户贴纸
Remark:</t>
  </si>
  <si>
    <t>ZMPO260003</t>
  </si>
  <si>
    <t>Remark：大货最新版本/只需要左图中散件每套包含图中所有角色各34pcs
小黄鸡和小熊挂件也要
以及黑猫上带的粉色墨镜
备注：收到样品订单后尽快安排 ，注意样板品质质量要求要高于大货品质要求 ，送货时必须要附带送货单(没有送货单和QC检验合格报告的仓库一律拒绝收货)，请知悉，谢谢！</t>
  </si>
  <si>
    <t>JUGUETES PASTOR S.L.</t>
  </si>
  <si>
    <t>4500186008-10</t>
  </si>
  <si>
    <t>一张西班牙环保标贴纸</t>
  </si>
  <si>
    <t>日期码格式：ZURU INC(BVI) 标准格式 日期：按实际生产日期
Packaging Info: 1.77770GQ2：最新MA 3L EAN包装+一张西班牙环保标贴纸+MA 3L PDQ+MA 5L 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</si>
  <si>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Miya Fang</t>
  </si>
  <si>
    <t>7TUI3PTI</t>
  </si>
  <si>
    <t>4500187446-110</t>
  </si>
  <si>
    <t xml:space="preserve"> SSCC LABEL（客供贴纸</t>
  </si>
  <si>
    <t>4500188181-10</t>
  </si>
  <si>
    <t>西班牙环保标贴纸</t>
  </si>
  <si>
    <t>日期码格式：ZURU INC(BVI) 标准格式 日期：按实际生产日期
Packaging Info: 77770GQ2：最新MA 3L EAN版本包装+西班牙环保标贴纸+MA 收藏指南+MA 3L PDQ；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</si>
  <si>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Mary Zhong</t>
  </si>
  <si>
    <t>4500186882-10</t>
  </si>
  <si>
    <t>0938210398</t>
  </si>
  <si>
    <t>4500187240-10</t>
  </si>
  <si>
    <t>1/26第三方</t>
  </si>
  <si>
    <t>SANBORN HERMANOS, S. A. DE C. V.</t>
  </si>
  <si>
    <t>4500188145-10</t>
  </si>
  <si>
    <r>
      <rPr>
        <sz val="12"/>
        <rFont val="宋体"/>
        <charset val="134"/>
        <scheme val="minor"/>
      </rPr>
      <t xml:space="preserve">日期码格式：ZURU INC(BVI) 标准格式 日期：按实际生产日期
Packaging Info: 1. 77770GQ2：3L MA EAN 收缩膜+UPC条码贴纸+进口商贴纸+MA 5L 收藏指南+MA 3L PDQ+箱唛
Remark: 77673：3PCS AG13 BATTERIES(INCLUDED)
15756：5 Assortments
15760UQ1：10 Assortment
15750：6 Assortments
15752：6 Assortments
</t>
    </r>
    <r>
      <rPr>
        <sz val="12"/>
        <color rgb="FFFF0000"/>
        <rFont val="宋体"/>
        <charset val="134"/>
        <scheme val="minor"/>
      </rPr>
      <t>客户有监装要求，每款需要多备1pc监柜样板用于监装，监柜样板要和大货一致</t>
    </r>
  </si>
  <si>
    <t>4500186883-10</t>
  </si>
  <si>
    <t>PLASTICOSUR S.A.</t>
  </si>
  <si>
    <t>4500189088-10</t>
  </si>
  <si>
    <t>一张西班牙环保标贴纸+（贴纸翻单4500186008）</t>
  </si>
  <si>
    <t>日期码格式：ZURU INC(BVI) 标准格式 日期：按实际生产日期
Packaging Info: 77770GQ2：最新MA 3L EAN包装+一张西班牙环保标贴纸+MA 3L PDQ+MA 5L 收藏指南；（贴纸翻单4500186008）；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</si>
  <si>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0938210385</t>
  </si>
  <si>
    <t>4500187241-10</t>
  </si>
  <si>
    <t>2/2第三方</t>
  </si>
  <si>
    <t>0938210418</t>
  </si>
  <si>
    <t>4500187243-10</t>
  </si>
  <si>
    <t>0938210438</t>
  </si>
  <si>
    <t>4500187243-20</t>
  </si>
  <si>
    <t>COL-15-26-SPR</t>
  </si>
  <si>
    <t>4500187640-100</t>
  </si>
  <si>
    <t>日期码格式：DG20260120 日期：按实际生产日期
Packaging Info: 其余item：MA 多语包装+进口商贴纸+UPC贴纸+箱唛
Remark: 外箱/产品/包装-指定日期码：DG20260120</t>
  </si>
  <si>
    <t>000042845203</t>
  </si>
  <si>
    <t>4500189179-20</t>
  </si>
  <si>
    <t>日期码格式：ZURU INC(BVI) 标准格式 日期：按实际生产日期
Packaging Info: 1、包装方式：MA UPC优先1L最新版，出口美国
Remark: 2、无测试无验货要求
3、纸箱4面印ZURU LOGO + 箱唛
4、日期码请按ZURU标准版执行即可
5、ZURU OQC验货</t>
  </si>
  <si>
    <t>KAUFHAUS MARTIN STOLZ GMBH</t>
  </si>
  <si>
    <t>26-128</t>
  </si>
  <si>
    <t>4500189254-40</t>
  </si>
  <si>
    <t>DE IT警语贴纸（翻4500187019）</t>
  </si>
  <si>
    <r>
      <rPr>
        <sz val="12"/>
        <rFont val="宋体"/>
        <charset val="134"/>
        <scheme val="minor"/>
      </rPr>
      <t>日期码格式：ZURU INC(BVI) 标准格式 日期：按实际生产日期
Packaging Info:
此单有客供价格贴纸，预计1/2前提供
77770GQ1：最新MA 3L EAN收缩膜+DE IT警语贴纸</t>
    </r>
    <r>
      <rPr>
        <sz val="12"/>
        <color rgb="FFFF0000"/>
        <rFont val="宋体"/>
        <charset val="134"/>
        <scheme val="minor"/>
      </rPr>
      <t>（翻4500187019）</t>
    </r>
    <r>
      <rPr>
        <sz val="12"/>
        <rFont val="宋体"/>
        <charset val="134"/>
        <scheme val="minor"/>
      </rPr>
      <t>，MA 5L收藏指南，MA纸袋，MA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r>
  </si>
  <si>
    <t>MCD BRANDS SAS</t>
  </si>
  <si>
    <t>4500188881-60</t>
  </si>
  <si>
    <t>进口商贴纸+条码贴纸</t>
  </si>
  <si>
    <t>日期码格式：ZURU INC(BVI) 标准格式 日期：按实际生产日期
Packaging Info: 
其余item：MA 多语包装+进口商贴纸+条码贴纸+箱唛
Remark: 进口商贴纸请多备料5pcs,出货后需要寄给客户</t>
  </si>
  <si>
    <t>4500190234-50</t>
  </si>
  <si>
    <t>请确保包装上的条形码是UPC，如果是babyUPC、需要用mother UPC覆盖</t>
  </si>
  <si>
    <t xml:space="preserve">日期码格式：ZURU INC(BVI) 标准格式 日期：按实际生产日期
Packaging Info: 1.优先多语 MA UPC或者3L/5L MA EAN 包装
2.请确保包装上的条形码是UPC，如果是babyUPC、需要用mother UPC覆盖，如有不一致，请及时提出。谢谢!
Remark: </t>
  </si>
  <si>
    <t>4500189691-60</t>
  </si>
  <si>
    <t>日期码格式：ZURU INC(BVI) 标准格式 日期：按实际生产日期
Packaging Info: 请确保包装上的条形码是UPC，如果是babyUPC，需要用mother UPC覆盖，如有不一致，请及时提出。谢谢!
77770GQ2,,MA 多语EAN包装+UPC贴纸+MA多语收藏指南+MA PDQ+箱唛,,
Remark: 
Common: Equal ratio,,</t>
  </si>
  <si>
    <t>4500189203-30</t>
  </si>
  <si>
    <t>日期码格式：ZURU INC(BVI) 标准格式 日期：按实际生产日期
Packaging Info: 请确保包装上的条形码是UPC，如果是babyUPC，需要用mother UPC覆盖，如有不一致，请及时提出。谢谢!
77770GQ2,,MA 多语EAN包装+UPC贴纸+MA多语收藏指南+MA PDQ+箱唛,,
Remark: 
Common: Equal ratio</t>
  </si>
  <si>
    <t>4500188248-90</t>
  </si>
  <si>
    <r>
      <rPr>
        <sz val="12"/>
        <rFont val="宋体"/>
        <charset val="134"/>
        <scheme val="minor"/>
      </rPr>
      <t xml:space="preserve">日期码格式：ZURU INC(BVI) 标准格式 日期：按实际生产日期
Packaging Info: 请确保包装上的条形码是UPC，如果是babyUPC，需要用mother UPC覆盖，如有不一致，请及时提出。谢谢!
</t>
    </r>
    <r>
      <rPr>
        <sz val="12"/>
        <color rgb="FFFF0000"/>
        <rFont val="宋体"/>
        <charset val="134"/>
        <scheme val="minor"/>
      </rPr>
      <t>77555GQ2,,MA 多语EAN包装+UPC贴纸+MA 多语收藏指南+MA多语PDQ+箱唛,,</t>
    </r>
    <r>
      <rPr>
        <sz val="12"/>
        <rFont val="宋体"/>
        <charset val="134"/>
        <scheme val="minor"/>
      </rPr>
      <t xml:space="preserve">
Remark: </t>
    </r>
  </si>
  <si>
    <t>4500188307-70</t>
  </si>
  <si>
    <t>如果是EAN条码请用UPC 贴纸覆盖</t>
  </si>
  <si>
    <t>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t>
  </si>
  <si>
    <t>CMS FAMOUS TOYS</t>
  </si>
  <si>
    <t>PO0001591</t>
  </si>
  <si>
    <t>4500189941-100</t>
  </si>
  <si>
    <t>进口商贴纸加UPC贴纸</t>
  </si>
  <si>
    <r>
      <rPr>
        <sz val="12"/>
        <rFont val="宋体"/>
        <charset val="134"/>
        <scheme val="minor"/>
      </rPr>
      <t xml:space="preserve">日期码格式：ZURU INC(BVI) 标准格式 日期：按实际生产日期
Packaging Info: </t>
    </r>
    <r>
      <rPr>
        <sz val="12"/>
        <color rgb="FFFF0000"/>
        <rFont val="宋体"/>
        <charset val="134"/>
        <scheme val="minor"/>
      </rPr>
      <t>出加拿大
每款产品都需要加进口商贴纸
Zuru验货.日期跟踪码：产品外包装及产品本身都必须有日期跟踪码，ZURU标准格式日期码</t>
    </r>
    <r>
      <rPr>
        <sz val="12"/>
        <rFont val="宋体"/>
        <charset val="134"/>
        <scheme val="minor"/>
      </rPr>
      <t xml:space="preserve">
Remark:
77770GQ1： MA 3L 加UPC贴纸</t>
    </r>
  </si>
  <si>
    <t>Bella Tan</t>
  </si>
  <si>
    <t>4500190045-130</t>
  </si>
  <si>
    <t>UPC贴纸+进口商贴纸</t>
  </si>
  <si>
    <t xml:space="preserve">日期码格式：ZURU INC(BVI) 标准格式 日期：按实际生产日期
Packaging Info: 
13. 77770GQ2：MA 3L EAN包装+UPC贴纸+MA 多语收藏指南+MA 3L PDQ包装+进口商贴纸+箱唛
所有带电产品的保证书是通用的
Remark: </t>
  </si>
  <si>
    <t>TIENDAS CHEDRAUI, S.A. DE C.V.</t>
  </si>
  <si>
    <t>4500190462-80</t>
  </si>
  <si>
    <t>纸箱消耗4500184412和4500184413</t>
  </si>
  <si>
    <t>说明书贴纸</t>
  </si>
  <si>
    <t xml:space="preserve">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 </t>
  </si>
  <si>
    <t xml:space="preserve">OK </t>
  </si>
  <si>
    <t>0938210390</t>
  </si>
  <si>
    <t>4500189982-60</t>
  </si>
  <si>
    <t>BV2/5</t>
  </si>
  <si>
    <t>日期码格式：ZURU DGYYYYMMDD CHINA(日期避开周末和法定节假日即可） 日期：按实际生产日期
Packaging Info: 77770
1. 包装要求：
77770：MA 1L A版收缩膜+MA 5L A版收藏指南+MA A版纸袋+客版 1L A版PDQ，翻单：4500177086
每pcs产品要贴一张RFID贴纸，RFID贴纸由ZURU提供，贴纸位置要严格按照客人签板
Remark: 77770/77773
1. 包装要求：
77770：MA 1L A版收缩膜+MA 5L A版收藏指南+MA A版纸袋+客版 1L A版PDQ，翻单：4500177086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</si>
  <si>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0938210399</t>
  </si>
  <si>
    <t>4500189982-70</t>
  </si>
  <si>
    <t>2/9 BV验货</t>
  </si>
  <si>
    <t>0938210415</t>
  </si>
  <si>
    <t>4500189982-80</t>
  </si>
  <si>
    <t>0938210430</t>
  </si>
  <si>
    <t>4500189982-90</t>
  </si>
  <si>
    <t>2/6 BV验货</t>
  </si>
  <si>
    <t>0938210466</t>
  </si>
  <si>
    <t>4500189982-100</t>
  </si>
  <si>
    <t>0938210412</t>
  </si>
  <si>
    <t>4500189983-30</t>
  </si>
  <si>
    <t>2/25 BV验货</t>
  </si>
  <si>
    <t>Amazon UK:
6OAN6JZC</t>
  </si>
  <si>
    <t>4500189248-130</t>
  </si>
  <si>
    <t>.空白外箱（加印带Zuru字样的最新logo，除了邮包盒直接做外箱的产品）</t>
  </si>
  <si>
    <t>SSCC LABEL一张</t>
  </si>
  <si>
    <t>日期码格式：ZURU INC(BVI) 标准格式 日期：按实际生产日期
Packaging Info: Amazon UK(15728AG/77806/71152/77731)/DE(15710B)/ES(15726A/15728E/77731/71152/15714D/15710B/9565ABD)/IT(15726K/9565ABD)
2. 77806: 2PK#77770 in PVC TUBE,12tubes/ctn; 客版 3L(3L warning no barcode)A收缩膜(参考Amazon US翻单PO#4500179751)+MA 5L(23L warning)A收藏指南+M
A其他最新配套包装+客版3L(5L warning)A PVC彩卡(参考Amazon US翻单PO#4500179751)+1张贴纸(IT环保标, 参考翻单PO#4500181154)；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</si>
  <si>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0938210425</t>
  </si>
  <si>
    <t>4500189985-40</t>
  </si>
  <si>
    <t>2/28 BV验货</t>
  </si>
  <si>
    <t>0938210458</t>
  </si>
  <si>
    <t>4500189985-50</t>
  </si>
  <si>
    <t>4500188871-40</t>
  </si>
  <si>
    <t>1张防盗贴纸</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</si>
  <si>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</si>
  <si>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Louise Lu</t>
  </si>
  <si>
    <t>SUBURBIA S DE R. L. DE C. V.</t>
  </si>
  <si>
    <t>4500186204-30</t>
  </si>
  <si>
    <t>UPC贴纸+进口商贴纸+价标贴纸</t>
  </si>
  <si>
    <t>日期码格式：ZURU INC(BVI) 标准格式 日期：按实际生产日期
Packaging Info: 
77770GQ2 MA 3L EAN 包装+UPC贴纸+MA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</si>
  <si>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0938210414</t>
  </si>
  <si>
    <t>4500190002-10</t>
  </si>
  <si>
    <t>3/13 BV验货</t>
  </si>
  <si>
    <t>0938210431</t>
  </si>
  <si>
    <t>4500190002-20</t>
  </si>
  <si>
    <t>3/20 BV验货</t>
  </si>
  <si>
    <t>0938210520</t>
  </si>
  <si>
    <t>4500190002-30</t>
  </si>
  <si>
    <t>4500191164-20</t>
  </si>
  <si>
    <t>77806-S001-MTS</t>
  </si>
  <si>
    <t>空白贴纸，空白贴纸和3L铜版纸翻单4500179751</t>
  </si>
  <si>
    <t>日期码格式：ZURU INC(BVI) 标准格式 日期：按实际生产日期
Packaging Info:
#77806: 2PK STD #77770入PVC筒,MA 1L UPC版本+空白贴纸，空白贴纸和3L铜版纸翻单4500179751。收藏指南和说明书为MA版本。（两个球的配比不能重复）。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</si>
  <si>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SD24</t>
  </si>
  <si>
    <t>8PVERA6H</t>
  </si>
  <si>
    <t>4500191631-40</t>
  </si>
  <si>
    <t>空白贴纸和3L铜版纸翻单4500179751 欠外箱贴纸</t>
  </si>
  <si>
    <t>日期码格式：ZURU INC(BVI) 标准格式 日期：按实际生产日期
Packaging Info:
#77806: 2PK STD #77770入PVC筒,MA 1L UPC版本+空白贴纸，空白贴纸和3L铜版纸翻单4500179751。收藏指南和说明书为MA版本。（两个球的配比不能重复）。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</si>
  <si>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5IMAAIFU</t>
  </si>
  <si>
    <t>4500191202-280</t>
  </si>
  <si>
    <t>日期码格式：ZURU INC(BVI)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</si>
  <si>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3U6RBDXB</t>
  </si>
  <si>
    <t>4500191202-290</t>
  </si>
  <si>
    <t>8J1Q1ZRZ</t>
  </si>
  <si>
    <t>4500191202-300</t>
  </si>
  <si>
    <t>0938210429</t>
  </si>
  <si>
    <t>4500190004-10</t>
  </si>
  <si>
    <t>3/6 BV验货</t>
  </si>
  <si>
    <t>0938210452</t>
  </si>
  <si>
    <t>4500190004-20</t>
  </si>
  <si>
    <t>0938210456</t>
  </si>
  <si>
    <t>4500190004-30</t>
  </si>
  <si>
    <t>0938210532</t>
  </si>
  <si>
    <t>4500190004-40</t>
  </si>
  <si>
    <t>4500190876-10</t>
  </si>
  <si>
    <t>此单消耗PO#4500182440外箱29个(外箱请打最新的日期码)</t>
  </si>
  <si>
    <t>1张进口商贴纸； 贴纸及位置图翻单#4500181756</t>
  </si>
  <si>
    <t>日期码格式：ZURU INC(BVI) 标准格式 日期：按实际生产日期
Packaging Info: 1. 包装
77770GQ1：英文MA包装 (UPC版本，首选1L，无1L可用多L含英语)+1张进口商贴纸； 贴纸及位置图翻单#4500181756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</si>
  <si>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4500190876-20</t>
  </si>
  <si>
    <t>4500190876-30</t>
  </si>
  <si>
    <t>4500190876-40</t>
  </si>
  <si>
    <t>CARLOS FEDERSPIEL &amp; CIA. - UNIVERSA</t>
  </si>
  <si>
    <t>4500191577-90</t>
  </si>
  <si>
    <t>日期码格式：ZURU INC(BVI) 标准格式 日期：按实际生产日期
Packaging Info: 
其余item：MA 多语 包装+进口商贴纸+UPC贴纸+箱唛
Remark:</t>
  </si>
  <si>
    <t>56FDKGHU</t>
  </si>
  <si>
    <t>4500191855-40</t>
  </si>
  <si>
    <t>欠外箱贴纸</t>
  </si>
  <si>
    <t>日期码格式：ZURU INC(BVI) 标准格式 日期：按实际生产日期
Packaging Info:
Amazon DE:56FDKGHU
AmazonDE(77806)
6. 77806:2PK#77770 in PVC TUBE,12tubes/ctn; 客版 3L(3L warning no barcode)A收缩膜(参考Amazon US翻单PO#4500179751)+MA 5L(23L warning)A收藏指南+MA
其他最新配套包装+客版3L(5L warning)A PVC彩卡(参考Amazon US翻单PO#4500179751)+1张贴纸(IT环保标, 参考翻单PO#4500181154)；
12. 验货时间不迟于2026/3/23.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</si>
  <si>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0978314732</t>
  </si>
  <si>
    <t>4500193218-10</t>
  </si>
  <si>
    <t>3/27 BV验货</t>
  </si>
  <si>
    <t>0978314726</t>
  </si>
  <si>
    <t>4500193218-20</t>
  </si>
  <si>
    <t>0978314729</t>
  </si>
  <si>
    <t>4500193218-30</t>
  </si>
  <si>
    <t>0978314731</t>
  </si>
  <si>
    <t>4500193218-40</t>
  </si>
  <si>
    <t>0978314721</t>
  </si>
  <si>
    <t>4500193218-50</t>
  </si>
  <si>
    <t>0978314725</t>
  </si>
  <si>
    <t>4500193218-60</t>
  </si>
  <si>
    <t>0978314718</t>
  </si>
  <si>
    <t>4500193218-70</t>
  </si>
  <si>
    <t>0938210436</t>
  </si>
  <si>
    <t>4500192878-60</t>
  </si>
  <si>
    <t>4/2 BV自检</t>
  </si>
  <si>
    <t>0938210440</t>
  </si>
  <si>
    <t>4500192878-70</t>
  </si>
  <si>
    <t>0938210479</t>
  </si>
  <si>
    <t>4500192878-80</t>
  </si>
  <si>
    <t>0938210483</t>
  </si>
  <si>
    <t>4500192878-90</t>
  </si>
  <si>
    <t>0938210499</t>
  </si>
  <si>
    <t>4500192878-100</t>
  </si>
  <si>
    <t>0979604357</t>
  </si>
  <si>
    <t>4500193953-20</t>
  </si>
  <si>
    <t>0979604355</t>
  </si>
  <si>
    <t>4500193953-10</t>
  </si>
  <si>
    <t>4/8 BV自检</t>
  </si>
  <si>
    <t>0979604359</t>
  </si>
  <si>
    <t>4500193953-30</t>
  </si>
  <si>
    <t>4/8 BV验货</t>
  </si>
  <si>
    <t>0979604360</t>
  </si>
  <si>
    <t>4500193953-40</t>
  </si>
  <si>
    <t>0979604364</t>
  </si>
  <si>
    <t>4500193953-50</t>
  </si>
  <si>
    <t>0979604373</t>
  </si>
  <si>
    <t>4500193953-60</t>
  </si>
  <si>
    <t>4/1 BV验货</t>
  </si>
  <si>
    <t>0979604548</t>
  </si>
  <si>
    <t>4500193953-70</t>
  </si>
  <si>
    <t>4500192252-170</t>
  </si>
  <si>
    <t>翻单： 4500180429</t>
  </si>
  <si>
    <t>收缩膜年龄贴（8+）翻单： 4500180429</t>
  </si>
  <si>
    <t>日期码格式：ZURU INC(BVI) 标准格式 日期：按实际生产日期
Packaging Info: 物料要求 SKU
7 77770GQ1 MA PDQ +外挂中文收藏指南+ 收缩膜年龄贴（8+） 翻单： 4500180429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</si>
  <si>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0938210462</t>
  </si>
  <si>
    <t>4500195023-60</t>
  </si>
  <si>
    <t>4/9 BV验货</t>
  </si>
  <si>
    <t>0938210488</t>
  </si>
  <si>
    <t>4500195023-70</t>
  </si>
  <si>
    <t>0938210494</t>
  </si>
  <si>
    <t>4500195023-80</t>
  </si>
  <si>
    <t>0938210516</t>
  </si>
  <si>
    <t>4500195023-90</t>
  </si>
  <si>
    <t xml:space="preserve">已入 </t>
  </si>
  <si>
    <t>0938210541</t>
  </si>
  <si>
    <t>4500195023-100</t>
  </si>
  <si>
    <t>4500194320-70</t>
  </si>
  <si>
    <t>pASS</t>
  </si>
  <si>
    <t>欠价标贴纸</t>
  </si>
  <si>
    <t>日期码格式：ZURU INC(BVI) 标准格式 日期：按实际生产日期
Packaging Info:77770GQ2:MA 多语包装+UPC贴纸+进口商贴纸+价标贴纸+箱唛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</si>
  <si>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6O9NOJEM</t>
  </si>
  <si>
    <t>4500194885-230</t>
  </si>
  <si>
    <t>3/16 寄出</t>
  </si>
  <si>
    <t>日期码格式：ZURU INC(BVI) 标准格式 日期：按实际生产日期
Packaging Info: 出口加拿大，包装需要至少2/3L UPC版，无硼版本.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</si>
  <si>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77806-S001-1</t>
  </si>
  <si>
    <t>5ZS2PZ6M</t>
  </si>
  <si>
    <t>4500194885-240</t>
  </si>
  <si>
    <t>3VKWL9MH</t>
  </si>
  <si>
    <t>4500194885-250</t>
  </si>
  <si>
    <t>1PMB4M1C</t>
  </si>
  <si>
    <t>4500194885-260</t>
  </si>
  <si>
    <t>2VYARP1M</t>
  </si>
  <si>
    <t>4500193215-160</t>
  </si>
  <si>
    <t>空白贴纸和客版3L铜版纸资料跟翻单#4500179751 欠外箱贴纸</t>
  </si>
  <si>
    <t>日期码格式：ZURU INC(BVI) 标准格式 日期：按实际生产日期
Packaging Info: 出口加拿大，包装需要至少2/3L UPC版，无硼版本。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</si>
  <si>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7KCMRZ1R</t>
  </si>
  <si>
    <t>4500193215-170</t>
  </si>
  <si>
    <t>78RUKG5C</t>
  </si>
  <si>
    <t>4500193215-180</t>
  </si>
  <si>
    <t>KMART  AUSTRALIA  LTD</t>
  </si>
  <si>
    <t>4500196544-10</t>
  </si>
  <si>
    <t>Louise  Lu</t>
  </si>
  <si>
    <t>KMART  AUSTRALIA  LTD(NEW  ZEALAND)</t>
  </si>
  <si>
    <t>4500196549-10</t>
  </si>
  <si>
    <t>ZHUYU(SHENZHEN)TRADING  CO.,LTD.</t>
  </si>
  <si>
    <t>4500197253-20</t>
  </si>
  <si>
    <t>日期码格式：ZURU INC(BVI) 标准格式 日期：按实际生产日期
Packaging Info: 物料要求 SKU
2 77770GQ1 MA PDQ +外挂中文收藏指南+ 收缩膜年龄贴（8+） 翻单： 4500180429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</si>
  <si>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Dona  Tang</t>
  </si>
  <si>
    <t>26-1073774JDO</t>
  </si>
  <si>
    <t>4500196119-100</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</si>
  <si>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</si>
  <si>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Grace Zhang</t>
  </si>
  <si>
    <t>4500197253-40</t>
  </si>
  <si>
    <t>日期码格式：ZURU INC(BVI) 标准格式                  日期：按实际生产日期
Packaging Info: 物料要求 SKU
2 77770GQ1 MA PDQ +外挂中文收藏指南+ 收缩膜年龄贴（8+）   翻单：  4500180429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</si>
  <si>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7OHX13GT</t>
  </si>
  <si>
    <t>4500197917-260</t>
  </si>
  <si>
    <t>空白贴纸和客版3L铜版纸资料跟翻单#4500194447+欠SSCC LABEL（客供贴纸)</t>
  </si>
  <si>
    <t>日期码格式：ZURU INC(BVI) 标准格式                  日期：按实际生产日期
Packaging Info: 出口加拿大，包装需要至少2/3L UPC版，无硼版本。
#71109-2026: 25282-2026产品直接入彩盒+MA说明书，  彩盒图稿翻单#4500196174. B/D款要加UPC贴纸，  UPC贴纸图稿跟返单4500112288，A：193052062963, B:193
052062970, d:193052062987;
#7166-2026: MA 3L 版本+UPC贴纸，UPC贴纸翻单#4500187446。需要加一张客供防伪帖纸，贴纸跟单提供。UPC:193052062703.
#77516: 2PK #77515 入PVC圆筒。收藏指南用MA 5L. 3L不带UPC版收缩膜,3L 2PK铜版纸图稿跟返单4500134367。   （两个球的配比不能重复）。消耗PO#4500156588
取消订单成品；
#77584：2PK MA 3L-B版本#77555入PVC圆桶，空白贴纸覆盖EAN条码，空白贴纸跟返单4500132623，  3L铜版纸图稿跟Amazon UK/EU PO 4500134367，  铜版纸需要加
英法双语贴纸，英法双语贴纸跟翻单#4500166364；
#77731:2PK  #77711入PVC桶，收藏指南，说明书均为MA 2L标版，2L 无UPC版收缩膜,2PK铜版纸翻单#4500194447。（两个球的配比不能重复）。
#77806: 2PK STD #77770入PVC筒,MA 3L 版收缩膜+空白贴纸和客版3L铜版纸资料跟翻单#4500194447。收藏指南和说明书为MA版本。（两个球的配比不能重复）。
#92119: MA 3L B版本 +UPC贴纸, 贴纸资料翻单4500160498 (但不需要印刷IT环保标贴纸) . A:193052083821 B:193052083838 D:193052083845 E:193052083852 G:
193052083869 H:193052083876
#92125:MA 3L UPC版包装入邮包盒, 邮包盒图稿同订单#4500160539。。92125H:193052086983
#9296: MA 3L加UPC贴纸，图稿跟返单4500113996, B:193052062161;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</si>
  <si>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82B2SVKU</t>
  </si>
  <si>
    <t>4500197917-270</t>
  </si>
  <si>
    <t>6ILJYQVF</t>
  </si>
  <si>
    <t>4500197917-280</t>
  </si>
  <si>
    <t>0938210464</t>
  </si>
  <si>
    <t>4500190006-10</t>
  </si>
  <si>
    <t>3/18 BV验货</t>
  </si>
  <si>
    <t>0938210509</t>
  </si>
  <si>
    <t>4500190006-20</t>
  </si>
  <si>
    <t>4500192690-10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</si>
  <si>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PO#4500193942一起合并计算，另外9574实际上走LCL出货</t>
  </si>
  <si>
    <t>4500192794-10</t>
  </si>
  <si>
    <t>日期码格式：ZURU INC(BVI) 标准格式 日期：
Packaging Info: 1. 产品MA UPC包装（优先1L）出美国
2. 客人指定箱唛排版
Remark: 出货前 Zuru QC 验货</t>
  </si>
  <si>
    <t>4500192794-20</t>
  </si>
  <si>
    <t>MINISO TRADING CANADA INC.</t>
  </si>
  <si>
    <t>4500191753-40</t>
  </si>
  <si>
    <t>欠PDQ条码贴纸</t>
  </si>
  <si>
    <t>日期码格式：ZURU INC(BVI) 标准格式 日期：按实际生产日期
Packaging Info: 1. 包装方式：MA UPC 3L 最新包装，出口加拿大；#77711GQ2用MA 2L UPC包装；
2. 产品和包装上印刷tracking code信息，格式为ZURU常规；
3. ZURU QC 验货合格后即可出货.
Remark: 
7. 77770GQ2-S002 PDQ上需要贴一张UPC 条码贴纸,UPC显示：193052089465，贴纸AW跟单提供，工厂自行采购.</t>
  </si>
  <si>
    <t>43MRU2PL</t>
  </si>
  <si>
    <t>4500194447-200</t>
  </si>
  <si>
    <t>日期码格式：ZURU INC(BVI) 标准格式 日期：按实际生产日期
Packaging Info: Amazon UK: 8FVDM9BK/7FYUOBCQ/6DXZ8BCR;
Amazon DE: 3ZD62XDQ/7UMX6PDU/53V2T6XU/43MRU2PL/3FVERSAT/1XD8NF1S
Amazon FR: 2DGUQHWW
Amazon ES: 171ZD1ZU
Amazon IT: 8YOYCXKB/8OF4ZEGZ/3SOTGHKF
Amazon UK(157101/157103/15710B/15726A/15747/15752DH/15755ABDE/15757/77673/77731/92129AHJ/9565E)/DE(157107AB/15726A/15746ABD/15747/15749ABDEGH/15
752ABDEGH/15754DEH/15755ABD/15757/15762D/77584/77731/77785/77806/92129B)/FR(15754G/77731)/ES(157103/77809)/IT(15746E/15754B/15755E/77809)
20. 77806: 2PK#77770 in PVC TUBE,12tubes/ctn; 客版 3L(3L warning no barcode)A收缩膜(参考Amazon US翻单PO#4500179751)+MA 5L(23L warning)A收藏指南+
MA其他最新配套包装+客版3L(5L warning)A PVC彩卡(参考Amazon US翻单PO#4500179751)+1张贴纸(IT环保标, 参考翻单PO#4500181154)；
22.验货时间不迟于2026/4/23.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
Ord</t>
  </si>
  <si>
    <t>AMAZON  EU  SARL,  NDL  DEUTSCHLAND</t>
  </si>
  <si>
    <t>8GL4A1BX</t>
  </si>
  <si>
    <t>4500197216-20</t>
  </si>
  <si>
    <t>日期码格式：ZURU INC(BVI) 标准格式 日期：按实际生产日期
Packaging Info: Amazon DE: 8GL4A1BX
Amazon ES: 2E8M6XXW
Amazon DE(15714K/77806/15752A)/ES(77731)
2. 77806:2PK#77770 in PVC TUBE,12tubes/ctn; 客版 3L(3L warning no barcode)收缩膜(翻单PO#4500194447)+MA 5L(23L warning)A收藏指南+MA其他最新配套包
装+客版3L(5L warning) PVC彩卡(翻单PO#4500194447)+1张贴纸(IT环保标, 参考翻单PO#4500181154)；
5. 验货时间不迟于2026/4/30.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</si>
  <si>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</si>
  <si>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4500198007-40</t>
  </si>
  <si>
    <t>欠1张防盗贴纸 + 外箱SSCC Label
  (贴纸以及位置图翻单PO#4500173688）</t>
  </si>
  <si>
    <t>4500198008-40</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</si>
  <si>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92147实际上是走LCL散货出柜</t>
  </si>
  <si>
    <t>4500195747-10</t>
  </si>
  <si>
    <t>进口商贴纸请多备料5pcs,出货后需要寄给客户</t>
  </si>
  <si>
    <t>欠进口商贴纸+条码贴纸</t>
  </si>
  <si>
    <t>日期码格式：ZURU INC(BVI) 标准格式 日期：按实际生产日期
Packaging Info: 
77843：MA 多语包装+进口商贴纸+条码贴纸+箱唛
Remark: 进口商贴纸请多备料5pcs,出货后需要寄给客户</t>
  </si>
  <si>
    <t>PLANET OF TOYS LTD</t>
  </si>
  <si>
    <t>吉尔吉吉斯坦</t>
  </si>
  <si>
    <t>4500198237-10</t>
  </si>
  <si>
    <t>通用贴纸</t>
  </si>
  <si>
    <t>日期码格式：ZURU INC(BVI) 标准格式 日期：按实际生产日期
Packaging Info: 1L MA UPC 包装 + 通用贴纸 ， MA 说明书/指南/PDQ （如有）；
Remark: 标准配比；</t>
  </si>
  <si>
    <t>4C4E34DP</t>
  </si>
  <si>
    <t>4500197220-100</t>
  </si>
  <si>
    <t>日期码格式：ZURU INC(BVI) 标准格式 日期：按实际生产日期
Packaging Info: Amazon UK: 7RZARQMK/3R7YU9OY
Amazon DE: 7GRHBFGR/4N2M13CY/4C4E34DP
Amazon ES: 53I45JNC
Amazon UK(157101/15728E/15757/77673/77731/77785)/DE(157101/157103/15714H/15752ABDEGH/77806)/ES(77673)
9. 77806:2PK#77770 in PVC TUBE,12tubes/ctn; 客版 3L(3L warning no barcode)收缩膜(翻单PO#4500194447)+MA 5L(23L warning)A收藏指南+MA其他最新配套包
装+客版3L(5L warning) PVC彩卡(翻单PO#4500194447)+1张贴纸(IT环保标, 参考翻单PO#4500181154)；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</si>
  <si>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4500200948</t>
  </si>
  <si>
    <t>47948790</t>
  </si>
  <si>
    <t>4500200948-10</t>
  </si>
  <si>
    <t>欠1张进口商贴纸</t>
  </si>
  <si>
    <t>日期码格式：ZURU INC(BVI) 标准格式                  日期：按实际生产日期
Packaging Info: 1. 包装
77770GQ1：英文MA包装 (UPC版本，首选1L，无1L可用多L含英语)+1张进口商贴纸；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</si>
  <si>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47948795</t>
  </si>
  <si>
    <t>4500200948-20</t>
  </si>
  <si>
    <t>47948796</t>
  </si>
  <si>
    <t>4500200948-30</t>
  </si>
  <si>
    <t>47948797</t>
  </si>
  <si>
    <t>4500200948-40</t>
  </si>
  <si>
    <t>4500199495</t>
  </si>
  <si>
    <t>5200009500</t>
  </si>
  <si>
    <t>4500199495-30</t>
  </si>
  <si>
    <t>日期码格式：ZURU INC(BVI) 标准格式                  日期：按实际生产日期
Packaging Info: 
#77806: 2PK STD #77770入PVC筒,MA 1L UPC版本+空白贴纸，空白贴纸和3L铜版纸翻单4500179751。收藏指南和说明书为MA版本。（两个球的配比不能重复）。
Remark: 1.TikTok US订单。出口美国。外箱尺寸不能超过26*26*26" ，不符合要求的大货，一律不接受。
2.无第三方验货/测试要求。
3. 日期码使用ZURU标准版本。
4.如果大货有要求入邮包盒，则对应的邮包盒上面要打上日期码。</t>
  </si>
  <si>
    <t>4500199674</t>
  </si>
  <si>
    <t>21629668</t>
  </si>
  <si>
    <t>4500199674-40</t>
  </si>
  <si>
    <t>欠1张防盗贴纸 外箱SSCC Label
 (贴纸以及位置图翻单PO#4500173688）</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</si>
  <si>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</si>
  <si>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4500199491</t>
  </si>
  <si>
    <t>86072</t>
  </si>
  <si>
    <t>4500199491-10</t>
  </si>
  <si>
    <t>通用进口商贴纸(翻单4500175512）</t>
  </si>
  <si>
    <t>日期码格式：ZURU INC(BVI) 标准格式                  日期：按实际生产日期
Packaging Info: 77770GQ2: MA 1L PKG +1张客人通用进口商贴纸(翻单4500175512）
Remark: 1.按实际生产日期;
2.出澳大利亚，请按照相应标准生产;</t>
  </si>
  <si>
    <t>4500198705-40</t>
  </si>
  <si>
    <t>指定日期码为DG20260515</t>
  </si>
  <si>
    <t>4/29进口商贴纸+UPC贴纸</t>
  </si>
  <si>
    <t>日期码格式：DG20260515                  日期：
Packaging Info: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</si>
  <si>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8SRTRZLX</t>
  </si>
  <si>
    <t>4500201277-40</t>
  </si>
  <si>
    <t>迷你包包S42PK圆筒装</t>
  </si>
  <si>
    <t>空白外箱（加印带Zuru字样的最新logo，除了邮包盒直接做外箱的产品）  + SSCC LABEL一张, 无箱唛，MADE IN CHINA 外箱只印一正一侧。箱唛资料按照给定的
标准去做即可，无需发回我方再行审批(新标准将另行通知)。</t>
  </si>
  <si>
    <t>PVC彩卡(翻单PO#4500194447)+1张贴纸(IT环保标, 参考翻单PO#4500181154) + 4/29提供SSCC LABEL一张</t>
  </si>
  <si>
    <t>日期码格式：ZURU INC(BVI) 标准格式 日期：按实际生产日期
Packaging Info: Amazon DE:48F4XT2K
Amazon ES:8SRTRZLX
Amazon UK:76R8OF5K/5L2NQ1EM/5AKNDX6G/56V56PGC/1W8YE3KG
DE(9574/157114A)/ES(15757/77806/77731/77673)/UK(157143/17588A/71172/77876/92146BDG/9574)
8. 77806:2PK#77770 in PVC TUBE,12tubes/ctn; 客版 3L(3L warning no barcode)收缩膜(翻单PO#4500194447)+MA 5L(23L warning)A收藏指南+MA其他最新配套包
装+客版3L(5L warning) PVC彩卡(翻单PO#4500194447)+1张贴纸(IT环保标, 参考翻单PO#4500181154)；
12. 最迟验货不得晚于5/26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</si>
  <si>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4500199607-50</t>
  </si>
  <si>
    <t>5/7确认</t>
  </si>
  <si>
    <t>4500202788</t>
  </si>
  <si>
    <t/>
  </si>
  <si>
    <t>4500202788-10</t>
  </si>
  <si>
    <t xml:space="preserve">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 </t>
  </si>
  <si>
    <t>ANSALDO CHILE</t>
  </si>
  <si>
    <t>4500199289</t>
  </si>
  <si>
    <t>JCL5300628851</t>
  </si>
  <si>
    <t>4500199289-60</t>
  </si>
  <si>
    <t>5/1价格贴纸+UPC贴纸</t>
  </si>
  <si>
    <t>日期码格式：ZURU INC(BVI) 标准格式 日期：按实际生产日期
Packaging Info: MA 多语包装价格贴纸+UPC贴纸+箱唛
Remark:</t>
  </si>
  <si>
    <t>LEKEKASSEN AS</t>
  </si>
  <si>
    <t>4500197359-70</t>
  </si>
  <si>
    <t>警告语和MADE IN CHINA翻译成丹麦瑞典挪威语/客人进口商地址做成一张贴纸(-贴纸和位置图翻PO#4500177965)</t>
  </si>
  <si>
    <t>日期码格式：ZURU INC(BVI) 标准格式                  日期：按实际生产日期
Packaging Info:
 7. 77770GQ1: MA A3L EAN版收缩膜+警告语和MADE IN CHINA翻译成丹麦瑞典挪威语/客人进口商地址做成一张贴纸(-贴纸和位置图翻PO#4500177965)+MA A5L(23L w
 arning)收藏指南+MA A3L 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77770GQ1-S002:4894680050518</t>
  </si>
  <si>
    <t>4500200405</t>
  </si>
  <si>
    <t>4500200405-30</t>
  </si>
  <si>
    <t>日期码格式：ZURU INC(BVI) 标准格式                  日期：按实际生产日期
Packaging Info: MA PDQ, MA PKG ,优先1L ,MA 收藏指南，MA 说明书</t>
  </si>
  <si>
    <t>4500199969-120</t>
  </si>
  <si>
    <t>进口商贴纸+UPC贴纸+5/1价标贴纸，进口商贴纸/UPC贴纸翻单PO4500182578</t>
  </si>
  <si>
    <t>日期码格式：ZURU INC(BVI) 标准格式 日期：按实际生产日期
Packaging Info: 
77711GQ2/77770GQ2/15756UQ1/15760UQ1：MA 多语包装+进口商贴纸+UPC贴纸+价标贴纸+箱唛，进口商贴纸/UPC贴纸翻单PO4500182578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</si>
  <si>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5V3BLUMK</t>
  </si>
  <si>
    <t>4500201281-10</t>
  </si>
  <si>
    <t>1.空白外箱（加印带Zuru字样的最新logo，除了邮包盒直接做外箱的产品）  + SSCC LABEL一张, 无箱唛，MADE IN CHINA 外箱只印一正一侧。箱唛资料按照给定的
标准去做即可，无需发回我方再行审批(新标准将另行通知)。</t>
  </si>
  <si>
    <t>PVC彩卡(翻单PO#4500194447)+1张贴纸(IT环保标, 参考翻单PO#4500181154) + 4/24 SSCC LABEL一张</t>
  </si>
  <si>
    <t>日期码格式：ZURU INC(BVI) 标准格式                  日期：按实际生产日期
Packaging Info: Amazon ES:5V3BLUMK
Amazon FR:41VBZ3OI
Amazon IT(87HSB9BG
Amazon UK(4JWPFBIZ)
ES(77806/15728G)/FR(15757)/IT(77673)/UK(77673)
 4. 77806:2PK#77770 in PVC TUBE,12tubes/ctn; 客版 3L(3L warning no barcode)收缩膜(翻单PO#4500194447)+MA 5L(23L warning)A收藏指南+MA其他最新配套包
装+客版3L(5L warning) PVC彩卡(翻单PO#4500194447)+1张贴纸(IT环保标, 参考翻单PO#4500181154)；
 5.  最迟验货不得晚于6/2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</si>
  <si>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4500204454</t>
  </si>
  <si>
    <t>4500204454-100</t>
  </si>
  <si>
    <t>迷你包包S413pcs/箱</t>
  </si>
  <si>
    <t>5/11警告语和MADE IN CHINA翻译成丹麦瑞典芬兰挪威语贴纸</t>
  </si>
  <si>
    <t>日期码格式：ZURU INC(BVI) 标准格式                  日期：按实际生产日期
Packaging Info: 
10.77770GQ1-S002:MA A3L EAN版收缩膜+警告语和MADE IN CHINA翻译成丹麦瑞典芬兰挪威语贴纸+MA A5L(23L warning)收藏指南+MA A3L PDQ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77770GQ1-S002:4894680050518</t>
  </si>
  <si>
    <t>4500202742</t>
  </si>
  <si>
    <t>56LBLVCZ</t>
  </si>
  <si>
    <t>4500202742-10</t>
  </si>
  <si>
    <t>5/18 SSCC LABEL（客供贴纸)+空白贴纸和客版3L铜版纸资料跟翻单#4500179751</t>
  </si>
  <si>
    <t>日期码格式：ZURU INC(BVI)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</si>
  <si>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3V1UF2GS</t>
  </si>
  <si>
    <t>4500202742-20</t>
  </si>
  <si>
    <t>46TI9R9S</t>
  </si>
  <si>
    <t>4500202742-30</t>
  </si>
  <si>
    <t>8RMX3QJR</t>
  </si>
  <si>
    <t>4500202742-40</t>
  </si>
  <si>
    <t>4500203574</t>
  </si>
  <si>
    <t>P016396446/S</t>
  </si>
  <si>
    <t>4500203574-30</t>
  </si>
  <si>
    <t>5/10确认</t>
  </si>
  <si>
    <t>款号贴纸（翻单4500187019）  + DE IT警语贴纸（翻单4500187019）</t>
  </si>
  <si>
    <t>日期码格式：ZURU INC(BVI) 标准格式                  日期：按实际生产日期
Packaging Info: 
77770GQ1：最新MA 3L EAN收缩膜 + 款号贴纸（翻单4500187019）  + DE IT警语贴纸（翻单4500187019），MA 5L收藏指南，MA纸袋，MA 3L PDQ
Remark: 1.此单出瑞士，微塑料需符合法规。
2.此单务必准时出货，如有推期会有罚款和空运。
其中推期1至7天扣款5%，推期8至14天扣款10%，推期15至21天扣款20%, 如此类推。
3.此单无须客户第三方验货，但是需要在2026/6/5提供客人格式验货报告，待客人放货后才会放SO安排走货。
4.此单出货前要寄2套大货签办给到客户办公室+1套大货签办到罗湖办公室
5.所有出往欧洲订单的电子产品需增加一张通用29L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
8.标准配比</t>
  </si>
  <si>
    <t>4500204257</t>
  </si>
  <si>
    <t>47948918</t>
  </si>
  <si>
    <t>4500204257-10</t>
  </si>
  <si>
    <t>1张进口商贴纸；  贴纸及位置图翻单#4500200948</t>
  </si>
  <si>
    <t>日期码格式：ZURU INC(BVI) 标准格式                  日期：按实际生产日期
Packaging Info: 1. 包装
77770GQ1：英文MA包装 (UPC版本，首选1L，无1L可用多L含英语)+1张进口商贴纸；  贴纸及位置图翻单#4500200948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</si>
  <si>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47948919</t>
  </si>
  <si>
    <t>4500204257-20</t>
  </si>
  <si>
    <t>日期码格式：ZURU INC(BVI) 标准格式                  日期：按实际生产日期
Packaging Info: 1. 包装
77770GQ1：英文MA包装 (UPC版本，首选1L，无1L可用多L含英语)+1张进口商贴纸；  贴纸及位置图翻单#4500200948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</si>
  <si>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47948920</t>
  </si>
  <si>
    <t>4500204257-30</t>
  </si>
  <si>
    <t>47948921</t>
  </si>
  <si>
    <t>4500204257-40</t>
  </si>
  <si>
    <t>4500205316</t>
  </si>
  <si>
    <t>600-25789</t>
  </si>
  <si>
    <t>4500205316-40</t>
  </si>
  <si>
    <t>日期码格式：ZURU INC(BVI) 标准格式                  日期：按实际生产日期
Packaging Info: 1、包装方式:
其他Item：MA UPC优先1L最新版，出口美国
Remark: 2、无测试无验货要求
 3、纸箱4面印ZURU LOGO + 箱唛
 4、日期码请按ZURU标准版执行即可
 5、ZURU QC验货</t>
  </si>
  <si>
    <t>KOTRYNA  GROUP,  UAB</t>
  </si>
  <si>
    <t>4500206155</t>
  </si>
  <si>
    <t>4500206155-60</t>
  </si>
  <si>
    <t>5/21进口商贴纸</t>
  </si>
  <si>
    <t>日期码格式：ZURU INC(BVI) 标准格式 日期：按实际生产日期
Packaging Info: 77770GQ1：MA UPC 1L A 版收缩膜+MA复合袋+5L C版收藏指南+ MA PDQ，加进口商贴纸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</si>
  <si>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Sharon  Zhao</t>
  </si>
  <si>
    <t>MODELTOYS LTD</t>
  </si>
  <si>
    <t>4500204707</t>
  </si>
  <si>
    <t>4500204707-60</t>
  </si>
  <si>
    <t>5/15进口商贴纸</t>
  </si>
  <si>
    <t>日期码格式：ZURU INC(BVI) 标准格式                  日期：按实际生产日期
Packaging Info: 
77770GQ2：A 版 1L MA 收缩膜+进口商贴纸；A 版 5L MA 收藏指南/A 版 MA PDQ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</si>
  <si>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4500202166-30</t>
  </si>
  <si>
    <t>5/9寄出客供价格贴纸</t>
  </si>
  <si>
    <t>日期码格式：ZURU INC(BVI) 标准格式                  日期：按实际生产日期
Packaging Info: 1.  STD Items: ZURU MA UPC 现有包装+客供价格贴纸，优先使用MA 1L最新版本（可接受多语）,出口美国
Remark: 1. Cus Item
#77584,#77731,#77806：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</si>
  <si>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4500204806</t>
  </si>
  <si>
    <t>219372965</t>
  </si>
  <si>
    <t>4500204806-10</t>
  </si>
  <si>
    <t>日期码格式：ZURU INC(BVI) 标准格式                  日期：
Packaging Info: 1.   产品MA UPC包装（优先1L）出美国
  2.  客人指定箱唛排版
Remark</t>
  </si>
  <si>
    <t>219372964</t>
  </si>
  <si>
    <t>4500204806-20</t>
  </si>
  <si>
    <t>ENTERTAINMENT EARTH, LLC.</t>
  </si>
  <si>
    <t>4500196353-130</t>
  </si>
  <si>
    <t>日期码格式：ZURU INC(BVI) 标准格式 日期：按实际生产日期
Packaging Info: 1.包材: ZURU MA UPC 版本最新包装，出口美国
Remark: 2、日期跟踪码:ZURU标准格式日期码、产品包装及产品本身都必须有ZURU标准格式日期码，并且确保两者信息保持一致(请自行调整具体年月日生产期，但不能为周
末)。
3.外箱要求
* #157117UQ1的第一箱需贴有packing list的信封。Packing List 装在信封里，再打印一张印有"PACKING LIST ENCLOSED"的纸放在信封外面，漏掉会有罚款（Pac
king List 收到SO 后船务会一起发给工厂）。
4.出货配比: ZURU 标版配比</t>
  </si>
  <si>
    <t>Elsa Zheng</t>
  </si>
  <si>
    <t>4500203640</t>
  </si>
  <si>
    <t>73AL5Y3W</t>
  </si>
  <si>
    <t>4500203640-70</t>
  </si>
  <si>
    <t>空白外箱（加印带Zuru字样的最新logo，除了邮包盒直接做外箱的产品）</t>
  </si>
  <si>
    <t>1张贴纸(IT环保标, 参考翻单PO#4500181154)；+ 5/22 SSCC LABEL一张</t>
  </si>
  <si>
    <t>日期码格式：ZURU INC(BVI) 标准格式                  日期：按实际生产日期
Packaging Info: Amazon ES: 65KOECLK
Amazon IT: 4NMKFNFS
Amazon UK: 73AL5Y3W
ES(15747/15752A/77785/15714H)/IT(77731)/UK(157103/15750D/15747/15752BE/15750H/77806/77785/15714D/71137)
9.77806: 2PK#77770 in PVC TUBE,12tubes/ctn; 客版 3L(3L warning no barcode)收缩膜(翻单PO#4500194447)+MA 5L(23L warning)A收藏指南+MA其他最新配套包
装+客版3L(5L warning) PVC彩卡(翻单PO#4500194447)+1张贴纸(IT环保标, 参考翻单PO#4500181154)；
10.验货时间不晚于2026/06/18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</si>
  <si>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NASA  PANAMA</t>
  </si>
  <si>
    <t>4500205582</t>
  </si>
  <si>
    <t>04113-BOD-09FALL</t>
  </si>
  <si>
    <t>4500205582-100</t>
  </si>
  <si>
    <t>5/29 UPC 贴纸</t>
  </si>
  <si>
    <t xml:space="preserve">日期码格式：ZURU INC(BVI) 标准格式 日期：按实际生产日期
Packaging Info: 1.优先多语 MA UPC或者3L/5L MA EAN 包装,EAN 包装则需加UPC 贴纸.
2.请确保包装上的条形码是UPC， 如果是baby UPC，需要用mother UPC覆盖。
3 .MA PDQ 优先用3L,MA 只有1L版本的情况下就用1L PDQ
4.此单MA 3L UPC/EAN 包装（EAN 包装需要用UPC贴纸覆盖）+箱唛
Remark: </t>
  </si>
  <si>
    <t>Aimee  Huang</t>
  </si>
  <si>
    <t>IMPORTACIONES PICCOLINO - JACOBO WI</t>
  </si>
  <si>
    <t>4500199743</t>
  </si>
  <si>
    <t>4500199743-30</t>
  </si>
  <si>
    <t>5/27 UPC贴纸</t>
  </si>
  <si>
    <t>日期码格式：ZURU INC(BVI) 标准格式                  日期：按实际生产日期
Packaging Info: 7
其余item：MA多语包装+UPC贴纸+箱唛
Remark:</t>
  </si>
  <si>
    <t>ARCHIBRAND,  S.A.  DE  C.V.</t>
  </si>
  <si>
    <t>4500208703</t>
  </si>
  <si>
    <t>4500208703-10</t>
  </si>
  <si>
    <t>6/1UPC贴纸+进口商贴纸</t>
  </si>
  <si>
    <t>日期码格式：ZURU  INC(BVI)  标准格式                                    日期：按实际生产日期
Packaging Info: 77770:  MA  3L  EAN包装+UPC贴纸+进口商贴纸+箱唛
Remark:</t>
  </si>
  <si>
    <t>Ever  Li</t>
  </si>
  <si>
    <t>4500205041</t>
  </si>
  <si>
    <t>62110212</t>
  </si>
  <si>
    <t>4500205041-60</t>
  </si>
  <si>
    <t>进口商贴纸+UPC贴纸+6/17寄出价标贴纸，进口商贴纸和UPC贴纸翻单PO4500194320</t>
  </si>
  <si>
    <t>日期码格式：ZURU INC(BVI) 标准格式                  日期：按实际生产日期
Packaging Info: 
77770GQ2/77711GQ2:MA 多语包装+进口商贴纸+UPC贴纸+价标贴纸+箱唛，进口商贴纸和UPC贴纸翻单PO4500194320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</si>
  <si>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手工单</t>
  </si>
  <si>
    <t>ZMPO260723</t>
  </si>
  <si>
    <t>ZMPO260723-10</t>
  </si>
  <si>
    <t>80套散件</t>
  </si>
  <si>
    <r>
      <rPr>
        <sz val="12"/>
        <color rgb="FF0000FF"/>
        <rFont val="宋体"/>
        <charset val="134"/>
        <scheme val="minor"/>
      </rPr>
      <t>Remark:大货最新版本/只需要左图指定3款散件</t>
    </r>
    <r>
      <rPr>
        <sz val="11"/>
        <color rgb="FF0000FF"/>
        <rFont val="宋体"/>
        <charset val="0"/>
        <scheme val="minor"/>
      </rPr>
      <t xml:space="preserve">
备注：收到样品订单后尽快安排 ，注意样板品质质量要求要高于大货品质要求 ，送货时必须要附带送货单(没有送货单和QC检验合格报告的仓库一律拒绝收货)，请知悉，谢谢！</t>
    </r>
  </si>
  <si>
    <t>MPO10597</t>
  </si>
  <si>
    <t>4500206633-
00050-
20260710,
4500206633-
00060-
20260710,
4500206633-
00080-
20260710,
4500206633-
00090-
20260710</t>
  </si>
  <si>
    <t>MPO10597-10</t>
  </si>
  <si>
    <t>24个球入1个周转箱</t>
  </si>
  <si>
    <t>WIC贴纸 （WIC # 756916，同MPO03857）</t>
  </si>
  <si>
    <r>
      <rPr>
        <sz val="12"/>
        <color rgb="FF0000FF"/>
        <rFont val="宋体"/>
        <charset val="134"/>
        <scheme val="minor"/>
      </rPr>
      <t>Product Requirement</t>
    </r>
    <r>
      <rPr>
        <sz val="10"/>
        <color rgb="FF0000FF"/>
        <rFont val="等线"/>
        <charset val="134"/>
      </rPr>
      <t xml:space="preserve">
Remark:
1. 每款需要多备2% 备品。
2. 送货前必需通知我司安排验货
3. MA 包装</t>
    </r>
    <r>
      <rPr>
        <sz val="10"/>
        <color rgb="FF0000FF"/>
        <rFont val="汉仪书宋二KW"/>
        <charset val="134"/>
      </rPr>
      <t>（</t>
    </r>
    <r>
      <rPr>
        <sz val="10"/>
        <color rgb="FF0000FF"/>
        <rFont val="等线"/>
        <charset val="134"/>
      </rPr>
      <t>出</t>
    </r>
    <r>
      <rPr>
        <sz val="10"/>
        <color rgb="FF0000FF"/>
        <rFont val="汉仪书宋二KW"/>
        <charset val="134"/>
      </rPr>
      <t>⼝</t>
    </r>
    <r>
      <rPr>
        <sz val="10"/>
        <color rgb="FF0000FF"/>
        <rFont val="等线"/>
        <charset val="134"/>
      </rPr>
      <t>美国</t>
    </r>
    <r>
      <rPr>
        <sz val="10"/>
        <color rgb="FF0000FF"/>
        <rFont val="汉仪书宋二KW"/>
        <charset val="134"/>
      </rPr>
      <t>，</t>
    </r>
    <r>
      <rPr>
        <sz val="10"/>
        <color rgb="FF0000FF"/>
        <rFont val="等线"/>
        <charset val="134"/>
      </rPr>
      <t xml:space="preserve"> 优先1L</t>
    </r>
    <r>
      <rPr>
        <sz val="10"/>
        <color rgb="FF0000FF"/>
        <rFont val="汉仪书宋二KW"/>
        <charset val="134"/>
      </rPr>
      <t>）</t>
    </r>
    <r>
      <rPr>
        <sz val="10"/>
        <color rgb="FF0000FF"/>
        <rFont val="等线"/>
        <charset val="134"/>
      </rPr>
      <t xml:space="preserve"> + WIC贴纸
ZURU INC
UNIT 1201-01 12/F ENERGY PLAZA 92 GRANVILLE RD TST EAST
Tel:+86 755 6688 1988
Purchase Order77770 MA收缩膜 + WIC贴纸 </t>
    </r>
    <r>
      <rPr>
        <sz val="10"/>
        <color rgb="FF0000FF"/>
        <rFont val="汉仪书宋二KW"/>
        <charset val="134"/>
      </rPr>
      <t>（</t>
    </r>
    <r>
      <rPr>
        <sz val="10"/>
        <color rgb="FF0000FF"/>
        <rFont val="等线"/>
        <charset val="134"/>
      </rPr>
      <t>WIC # 756916</t>
    </r>
    <r>
      <rPr>
        <sz val="10"/>
        <color rgb="FF0000FF"/>
        <rFont val="汉仪书宋二KW"/>
        <charset val="134"/>
      </rPr>
      <t>，</t>
    </r>
    <r>
      <rPr>
        <sz val="10"/>
        <color rgb="FF0000FF"/>
        <rFont val="等线"/>
        <charset val="134"/>
      </rPr>
      <t xml:space="preserve"> 同MPO03857</t>
    </r>
    <r>
      <rPr>
        <sz val="10"/>
        <color rgb="FF0000FF"/>
        <rFont val="汉仪书宋二KW"/>
        <charset val="134"/>
      </rPr>
      <t>）</t>
    </r>
    <r>
      <rPr>
        <sz val="10"/>
        <color rgb="FF0000FF"/>
        <rFont val="等线"/>
        <charset val="134"/>
      </rPr>
      <t xml:space="preserve">
4. 产品和包装上要有ZURU 标准格式标准格式 tracking code DG20260624</t>
    </r>
    <r>
      <rPr>
        <sz val="10"/>
        <color rgb="FF0000FF"/>
        <rFont val="汉仪书宋二KW"/>
        <charset val="134"/>
      </rPr>
      <t>，</t>
    </r>
    <r>
      <rPr>
        <sz val="10"/>
        <color rgb="FF0000FF"/>
        <rFont val="等线"/>
        <charset val="134"/>
      </rPr>
      <t xml:space="preserve"> 产品和包装的</t>
    </r>
    <r>
      <rPr>
        <sz val="10"/>
        <color rgb="FF0000FF"/>
        <rFont val="汉仪书宋二KW"/>
        <charset val="134"/>
      </rPr>
      <t>⽇</t>
    </r>
    <r>
      <rPr>
        <sz val="10"/>
        <color rgb="FF0000FF"/>
        <rFont val="等线"/>
        <charset val="134"/>
      </rPr>
      <t>期必须</t>
    </r>
    <r>
      <rPr>
        <sz val="10"/>
        <color rgb="FF0000FF"/>
        <rFont val="汉仪书宋二KW"/>
        <charset val="134"/>
      </rPr>
      <t>⼀</t>
    </r>
    <r>
      <rPr>
        <sz val="10"/>
        <color rgb="FF0000FF"/>
        <rFont val="等线"/>
        <charset val="134"/>
      </rPr>
      <t>致。
5. 此单分2批送货</t>
    </r>
    <r>
      <rPr>
        <sz val="10"/>
        <color rgb="FF0000FF"/>
        <rFont val="汉仪书宋二KW"/>
        <charset val="134"/>
      </rPr>
      <t>，</t>
    </r>
    <r>
      <rPr>
        <sz val="10"/>
        <color rgb="FF0000FF"/>
        <rFont val="等线"/>
        <charset val="134"/>
      </rPr>
      <t xml:space="preserve"> 第</t>
    </r>
    <r>
      <rPr>
        <sz val="10"/>
        <color rgb="FF0000FF"/>
        <rFont val="汉仪书宋二KW"/>
        <charset val="134"/>
      </rPr>
      <t>⼀</t>
    </r>
    <r>
      <rPr>
        <sz val="10"/>
        <color rgb="FF0000FF"/>
        <rFont val="等线"/>
        <charset val="134"/>
      </rPr>
      <t>批CRD 6/24</t>
    </r>
    <r>
      <rPr>
        <sz val="10"/>
        <color rgb="FF0000FF"/>
        <rFont val="汉仪书宋二KW"/>
        <charset val="134"/>
      </rPr>
      <t>，</t>
    </r>
    <r>
      <rPr>
        <sz val="10"/>
        <color rgb="FF0000FF"/>
        <rFont val="等线"/>
        <charset val="134"/>
      </rPr>
      <t xml:space="preserve"> 6/26前需送到丹尼。 第</t>
    </r>
    <r>
      <rPr>
        <sz val="10"/>
        <color rgb="FF0000FF"/>
        <rFont val="汉仪书宋二KW"/>
        <charset val="134"/>
      </rPr>
      <t>⼆</t>
    </r>
    <r>
      <rPr>
        <sz val="10"/>
        <color rgb="FF0000FF"/>
        <rFont val="等线"/>
        <charset val="134"/>
      </rPr>
      <t>批CRD 7/8</t>
    </r>
    <r>
      <rPr>
        <sz val="10"/>
        <color rgb="FF0000FF"/>
        <rFont val="汉仪书宋二KW"/>
        <charset val="134"/>
      </rPr>
      <t>，</t>
    </r>
    <r>
      <rPr>
        <sz val="10"/>
        <color rgb="FF0000FF"/>
        <rFont val="等线"/>
        <charset val="134"/>
      </rPr>
      <t xml:space="preserve"> 7/10前需送到丹尼。 对应PO号4500206633。
6. 所有来料都要测试符合美国联邦法规和州法规后才可以做</t>
    </r>
    <r>
      <rPr>
        <sz val="10"/>
        <color rgb="FF0000FF"/>
        <rFont val="汉仪书宋二KW"/>
        <charset val="134"/>
      </rPr>
      <t>⼤</t>
    </r>
    <r>
      <rPr>
        <sz val="10"/>
        <color rgb="FF0000FF"/>
        <rFont val="等线"/>
        <charset val="134"/>
      </rPr>
      <t>货</t>
    </r>
    <r>
      <rPr>
        <sz val="10"/>
        <color rgb="FF0000FF"/>
        <rFont val="汉仪书宋二KW"/>
        <charset val="134"/>
      </rPr>
      <t>，</t>
    </r>
    <r>
      <rPr>
        <sz val="10"/>
        <color rgb="FF0000FF"/>
        <rFont val="等线"/>
        <charset val="134"/>
      </rPr>
      <t xml:space="preserve"> 特别是带液体</t>
    </r>
    <r>
      <rPr>
        <sz val="10"/>
        <color rgb="FF0000FF"/>
        <rFont val="汉仪书宋二KW"/>
        <charset val="134"/>
      </rPr>
      <t>，</t>
    </r>
    <r>
      <rPr>
        <sz val="10"/>
        <color rgb="FF0000FF"/>
        <rFont val="等线"/>
        <charset val="134"/>
      </rPr>
      <t xml:space="preserve"> 粉末</t>
    </r>
    <r>
      <rPr>
        <sz val="10"/>
        <color rgb="FF0000FF"/>
        <rFont val="汉仪书宋二KW"/>
        <charset val="134"/>
      </rPr>
      <t>，</t>
    </r>
    <r>
      <rPr>
        <sz val="10"/>
        <color rgb="FF0000FF"/>
        <rFont val="等线"/>
        <charset val="134"/>
      </rPr>
      <t xml:space="preserve"> </t>
    </r>
    <r>
      <rPr>
        <sz val="10"/>
        <color rgb="FF0000FF"/>
        <rFont val="汉仪书宋二KW"/>
        <charset val="134"/>
      </rPr>
      <t>⼝⽔</t>
    </r>
    <r>
      <rPr>
        <sz val="10"/>
        <color rgb="FF0000FF"/>
        <rFont val="等线"/>
        <charset val="134"/>
      </rPr>
      <t>㬵的产品</t>
    </r>
    <r>
      <rPr>
        <sz val="10"/>
        <color rgb="FF0000FF"/>
        <rFont val="汉仪书宋二KW"/>
        <charset val="134"/>
      </rPr>
      <t>，</t>
    </r>
    <r>
      <rPr>
        <sz val="10"/>
        <color rgb="FF0000FF"/>
        <rFont val="等线"/>
        <charset val="134"/>
      </rPr>
      <t xml:space="preserve"> 必须保证化学品已经测过并达标才可</t>
    </r>
    <r>
      <rPr>
        <sz val="10"/>
        <color rgb="FF0000FF"/>
        <rFont val="汉仪书宋二KW"/>
        <charset val="134"/>
      </rPr>
      <t>⽤⽣</t>
    </r>
    <r>
      <rPr>
        <sz val="10"/>
        <color rgb="FF0000FF"/>
        <rFont val="等线"/>
        <charset val="134"/>
      </rPr>
      <t>产。
7. 装箱</t>
    </r>
    <r>
      <rPr>
        <sz val="10"/>
        <color rgb="FF0000FF"/>
        <rFont val="汉仪书宋二KW"/>
        <charset val="134"/>
      </rPr>
      <t>⽅</t>
    </r>
    <r>
      <rPr>
        <sz val="10"/>
        <color rgb="FF0000FF"/>
        <rFont val="等线"/>
        <charset val="134"/>
      </rPr>
      <t>式需要另外跟PM确认</t>
    </r>
    <r>
      <rPr>
        <sz val="10"/>
        <color rgb="FF0000FF"/>
        <rFont val="汉仪书宋二KW"/>
        <charset val="134"/>
      </rPr>
      <t>，</t>
    </r>
    <r>
      <rPr>
        <sz val="10"/>
        <color rgb="FF0000FF"/>
        <rFont val="等线"/>
        <charset val="134"/>
      </rPr>
      <t xml:space="preserve"> 展</t>
    </r>
    <r>
      <rPr>
        <sz val="10"/>
        <color rgb="FF0000FF"/>
        <rFont val="汉仪书宋二KW"/>
        <charset val="134"/>
      </rPr>
      <t>⽰</t>
    </r>
    <r>
      <rPr>
        <sz val="10"/>
        <color rgb="FF0000FF"/>
        <rFont val="等线"/>
        <charset val="134"/>
      </rPr>
      <t>架77770 装8pcs</t>
    </r>
    <r>
      <rPr>
        <sz val="10"/>
        <color rgb="FF0000FF"/>
        <rFont val="汉仪书宋二KW"/>
        <charset val="134"/>
      </rPr>
      <t>，</t>
    </r>
    <r>
      <rPr>
        <sz val="10"/>
        <color rgb="FF0000FF"/>
        <rFont val="等线"/>
        <charset val="134"/>
      </rPr>
      <t xml:space="preserve"> 77772装4pcs</t>
    </r>
    <r>
      <rPr>
        <sz val="10"/>
        <color rgb="FF0000FF"/>
        <rFont val="汉仪书宋二KW"/>
        <charset val="134"/>
      </rPr>
      <t>，</t>
    </r>
    <r>
      <rPr>
        <sz val="10"/>
        <color rgb="FF0000FF"/>
        <rFont val="等线"/>
        <charset val="134"/>
      </rPr>
      <t xml:space="preserve"> 15785装6pcs, 需要</t>
    </r>
    <r>
      <rPr>
        <sz val="10"/>
        <color rgb="FF0000FF"/>
        <rFont val="汉仪书宋二KW"/>
        <charset val="134"/>
      </rPr>
      <t>⼯⼚</t>
    </r>
    <r>
      <rPr>
        <sz val="10"/>
        <color rgb="FF0000FF"/>
        <rFont val="等线"/>
        <charset val="134"/>
      </rPr>
      <t>先分好</t>
    </r>
    <r>
      <rPr>
        <sz val="10"/>
        <color rgb="FF0000FF"/>
        <rFont val="汉仪书宋二KW"/>
        <charset val="134"/>
      </rPr>
      <t>⽐</t>
    </r>
    <r>
      <rPr>
        <sz val="10"/>
        <color rgb="FF0000FF"/>
        <rFont val="等线"/>
        <charset val="134"/>
      </rPr>
      <t>例</t>
    </r>
    <r>
      <rPr>
        <sz val="10"/>
        <color rgb="FF0000FF"/>
        <rFont val="汉仪书宋二KW"/>
        <charset val="134"/>
      </rPr>
      <t>，</t>
    </r>
    <r>
      <rPr>
        <sz val="10"/>
        <color rgb="FF0000FF"/>
        <rFont val="等线"/>
        <charset val="134"/>
      </rPr>
      <t xml:space="preserve"> 每个展</t>
    </r>
    <r>
      <rPr>
        <sz val="10"/>
        <color rgb="FF0000FF"/>
        <rFont val="汉仪书宋二KW"/>
        <charset val="134"/>
      </rPr>
      <t>⽰</t>
    </r>
    <r>
      <rPr>
        <sz val="10"/>
        <color rgb="FF0000FF"/>
        <rFont val="等线"/>
        <charset val="134"/>
      </rPr>
      <t>架的球不能重复且</t>
    </r>
    <r>
      <rPr>
        <sz val="10"/>
        <color rgb="FF0000FF"/>
        <rFont val="汉仪书宋二KW"/>
        <charset val="134"/>
      </rPr>
      <t>⽅</t>
    </r>
    <r>
      <rPr>
        <sz val="10"/>
        <color rgb="FF0000FF"/>
        <rFont val="等线"/>
        <charset val="134"/>
      </rPr>
      <t>便组装</t>
    </r>
    <r>
      <rPr>
        <sz val="10"/>
        <color rgb="FF0000FF"/>
        <rFont val="汉仪书宋二KW"/>
        <charset val="134"/>
      </rPr>
      <t>⼯⼚</t>
    </r>
    <r>
      <rPr>
        <sz val="10"/>
        <color rgb="FF0000FF"/>
        <rFont val="等线"/>
        <charset val="134"/>
      </rPr>
      <t>直接</t>
    </r>
    <r>
      <rPr>
        <sz val="10"/>
        <color rgb="FF0000FF"/>
        <rFont val="汉仪书宋二KW"/>
        <charset val="134"/>
      </rPr>
      <t>⼊</t>
    </r>
    <r>
      <rPr>
        <sz val="10"/>
        <color rgb="FF0000FF"/>
        <rFont val="等线"/>
        <charset val="134"/>
      </rPr>
      <t>展</t>
    </r>
    <r>
      <rPr>
        <sz val="10"/>
        <color rgb="FF0000FF"/>
        <rFont val="汉仪书宋二KW"/>
        <charset val="134"/>
      </rPr>
      <t>⽰</t>
    </r>
    <r>
      <rPr>
        <sz val="10"/>
        <color rgb="FF0000FF"/>
        <rFont val="等线"/>
        <charset val="134"/>
      </rPr>
      <t>架。 外箱</t>
    </r>
    <r>
      <rPr>
        <sz val="10"/>
        <color rgb="FF0000FF"/>
        <rFont val="汉仪书宋二KW"/>
        <charset val="134"/>
      </rPr>
      <t>⽤</t>
    </r>
    <r>
      <rPr>
        <sz val="10"/>
        <color rgb="FF0000FF"/>
        <rFont val="等线"/>
        <charset val="134"/>
      </rPr>
      <t>周
转箱/周转框</t>
    </r>
    <r>
      <rPr>
        <sz val="10"/>
        <color rgb="FF0000FF"/>
        <rFont val="汉仪书宋二KW"/>
        <charset val="134"/>
      </rPr>
      <t>，</t>
    </r>
    <r>
      <rPr>
        <sz val="10"/>
        <color rgb="FF0000FF"/>
        <rFont val="等线"/>
        <charset val="134"/>
      </rPr>
      <t xml:space="preserve"> 出货前需提供装箱清单。 送货时周转箱/周转框带卡板加围好围膜</t>
    </r>
    <r>
      <rPr>
        <sz val="10"/>
        <color rgb="FF0000FF"/>
        <rFont val="汉仪书宋二KW"/>
        <charset val="134"/>
      </rPr>
      <t>，</t>
    </r>
    <r>
      <rPr>
        <sz val="10"/>
        <color rgb="FF0000FF"/>
        <rFont val="等线"/>
        <charset val="134"/>
      </rPr>
      <t xml:space="preserve"> 如未按要求送货需要</t>
    </r>
    <r>
      <rPr>
        <sz val="10"/>
        <color rgb="FF0000FF"/>
        <rFont val="汉仪书宋二KW"/>
        <charset val="134"/>
      </rPr>
      <t>⼯⼚⾃⾏</t>
    </r>
    <r>
      <rPr>
        <sz val="10"/>
        <color rgb="FF0000FF"/>
        <rFont val="等线"/>
        <charset val="134"/>
      </rPr>
      <t>安排</t>
    </r>
    <r>
      <rPr>
        <sz val="10"/>
        <color rgb="FF0000FF"/>
        <rFont val="汉仪书宋二KW"/>
        <charset val="134"/>
      </rPr>
      <t>⼈⼿</t>
    </r>
    <r>
      <rPr>
        <sz val="10"/>
        <color rgb="FF0000FF"/>
        <rFont val="等线"/>
        <charset val="134"/>
      </rPr>
      <t xml:space="preserve">卸货。
8. </t>
    </r>
    <r>
      <rPr>
        <sz val="10"/>
        <color rgb="FF0000FF"/>
        <rFont val="汉仪书宋二KW"/>
        <charset val="134"/>
      </rPr>
      <t>⼤</t>
    </r>
    <r>
      <rPr>
        <sz val="10"/>
        <color rgb="FF0000FF"/>
        <rFont val="等线"/>
        <charset val="134"/>
      </rPr>
      <t>货样需要77770 16PCS</t>
    </r>
    <r>
      <rPr>
        <sz val="10"/>
        <color rgb="FF0000FF"/>
        <rFont val="汉仪书宋二KW"/>
        <charset val="134"/>
      </rPr>
      <t>，</t>
    </r>
    <r>
      <rPr>
        <sz val="10"/>
        <color rgb="FF0000FF"/>
        <rFont val="等线"/>
        <charset val="134"/>
      </rPr>
      <t xml:space="preserve"> 77772 8PCS, 15785 12PCS待通知后再寄出。
9.订单的所有测试与样品要求以跟单的要求为准</t>
    </r>
    <r>
      <rPr>
        <sz val="10"/>
        <color rgb="FF0000FF"/>
        <rFont val="汉仪书宋二KW"/>
        <charset val="134"/>
      </rPr>
      <t>，</t>
    </r>
    <r>
      <rPr>
        <sz val="10"/>
        <color rgb="FF0000FF"/>
        <rFont val="等线"/>
        <charset val="134"/>
      </rPr>
      <t xml:space="preserve"> 且为了避免QC验货拆货来不及补货</t>
    </r>
    <r>
      <rPr>
        <sz val="10"/>
        <color rgb="FF0000FF"/>
        <rFont val="汉仪书宋二KW"/>
        <charset val="134"/>
      </rPr>
      <t>，</t>
    </r>
    <r>
      <rPr>
        <sz val="10"/>
        <color rgb="FF0000FF"/>
        <rFont val="等线"/>
        <charset val="134"/>
      </rPr>
      <t xml:space="preserve"> 请准备适量的贴纸和产品备品。 此订单数量只作为</t>
    </r>
    <r>
      <rPr>
        <sz val="10"/>
        <color rgb="FF0000FF"/>
        <rFont val="汉仪书宋二KW"/>
        <charset val="134"/>
      </rPr>
      <t>⼤</t>
    </r>
    <r>
      <rPr>
        <sz val="10"/>
        <color rgb="FF0000FF"/>
        <rFont val="等线"/>
        <charset val="134"/>
      </rPr>
      <t>货</t>
    </r>
    <r>
      <rPr>
        <sz val="10"/>
        <color rgb="FF0000FF"/>
        <rFont val="汉仪书宋二KW"/>
        <charset val="134"/>
      </rPr>
      <t>⽣</t>
    </r>
    <r>
      <rPr>
        <sz val="10"/>
        <color rgb="FF0000FF"/>
        <rFont val="等线"/>
        <charset val="134"/>
      </rPr>
      <t>产</t>
    </r>
    <r>
      <rPr>
        <sz val="10"/>
        <color rgb="FF0000FF"/>
        <rFont val="汉仪书宋二KW"/>
        <charset val="134"/>
      </rPr>
      <t>，</t>
    </r>
    <r>
      <rPr>
        <sz val="10"/>
        <color rgb="FF0000FF"/>
        <rFont val="等线"/>
        <charset val="134"/>
      </rPr>
      <t xml:space="preserve"> 不包含样板与备品。
10.请贵司确保交货数量准确</t>
    </r>
    <r>
      <rPr>
        <sz val="10"/>
        <color rgb="FF0000FF"/>
        <rFont val="汉仪书宋二KW"/>
        <charset val="134"/>
      </rPr>
      <t>，</t>
    </r>
    <r>
      <rPr>
        <sz val="10"/>
        <color rgb="FF0000FF"/>
        <rFont val="等线"/>
        <charset val="134"/>
      </rPr>
      <t xml:space="preserve"> 与收货</t>
    </r>
    <r>
      <rPr>
        <sz val="10"/>
        <color rgb="FF0000FF"/>
        <rFont val="汉仪书宋二KW"/>
        <charset val="134"/>
      </rPr>
      <t>⽅</t>
    </r>
    <r>
      <rPr>
        <sz val="10"/>
        <color rgb="FF0000FF"/>
        <rFont val="等线"/>
        <charset val="134"/>
      </rPr>
      <t>交收清楚</t>
    </r>
    <r>
      <rPr>
        <sz val="10"/>
        <color rgb="FF0000FF"/>
        <rFont val="汉仪书宋二KW"/>
        <charset val="134"/>
      </rPr>
      <t>，</t>
    </r>
    <r>
      <rPr>
        <sz val="10"/>
        <color rgb="FF0000FF"/>
        <rFont val="等线"/>
        <charset val="134"/>
      </rPr>
      <t xml:space="preserve"> 如收货</t>
    </r>
    <r>
      <rPr>
        <sz val="10"/>
        <color rgb="FF0000FF"/>
        <rFont val="汉仪书宋二KW"/>
        <charset val="134"/>
      </rPr>
      <t>⽅</t>
    </r>
    <r>
      <rPr>
        <sz val="10"/>
        <color rgb="FF0000FF"/>
        <rFont val="等线"/>
        <charset val="134"/>
      </rPr>
      <t>提出任何异常</t>
    </r>
    <r>
      <rPr>
        <sz val="10"/>
        <color rgb="FF0000FF"/>
        <rFont val="汉仪书宋二KW"/>
        <charset val="134"/>
      </rPr>
      <t>，</t>
    </r>
    <r>
      <rPr>
        <sz val="10"/>
        <color rgb="FF0000FF"/>
        <rFont val="等线"/>
        <charset val="134"/>
      </rPr>
      <t xml:space="preserve"> 请</t>
    </r>
    <r>
      <rPr>
        <sz val="10"/>
        <color rgb="FF0000FF"/>
        <rFont val="汉仪书宋二KW"/>
        <charset val="134"/>
      </rPr>
      <t>⽴</t>
    </r>
    <r>
      <rPr>
        <sz val="10"/>
        <color rgb="FF0000FF"/>
        <rFont val="等线"/>
        <charset val="134"/>
      </rPr>
      <t>即安排处理解决。
11.关于混装展</t>
    </r>
    <r>
      <rPr>
        <sz val="10"/>
        <color rgb="FF0000FF"/>
        <rFont val="汉仪书宋二KW"/>
        <charset val="134"/>
      </rPr>
      <t>⽰</t>
    </r>
    <r>
      <rPr>
        <sz val="10"/>
        <color rgb="FF0000FF"/>
        <rFont val="等线"/>
        <charset val="134"/>
      </rPr>
      <t>架</t>
    </r>
    <r>
      <rPr>
        <sz val="10"/>
        <color rgb="FF0000FF"/>
        <rFont val="汉仪书宋二KW"/>
        <charset val="134"/>
      </rPr>
      <t>，</t>
    </r>
    <r>
      <rPr>
        <sz val="10"/>
        <color rgb="FF0000FF"/>
        <rFont val="等线"/>
        <charset val="134"/>
      </rPr>
      <t xml:space="preserve"> 各</t>
    </r>
    <r>
      <rPr>
        <sz val="10"/>
        <color rgb="FF0000FF"/>
        <rFont val="汉仪书宋二KW"/>
        <charset val="134"/>
      </rPr>
      <t>⼯⼚</t>
    </r>
    <r>
      <rPr>
        <sz val="10"/>
        <color rgb="FF0000FF"/>
        <rFont val="等线"/>
        <charset val="134"/>
      </rPr>
      <t>交</t>
    </r>
    <r>
      <rPr>
        <sz val="10"/>
        <color rgb="FF0000FF"/>
        <rFont val="汉仪书宋二KW"/>
        <charset val="134"/>
      </rPr>
      <t>⼦</t>
    </r>
    <r>
      <rPr>
        <sz val="10"/>
        <color rgb="FF0000FF"/>
        <rFont val="等线"/>
        <charset val="134"/>
      </rPr>
      <t>件到最终</t>
    </r>
    <r>
      <rPr>
        <sz val="10"/>
        <color rgb="FF0000FF"/>
        <rFont val="Arial"/>
        <charset val="134"/>
      </rPr>
      <t>⺟</t>
    </r>
    <r>
      <rPr>
        <sz val="10"/>
        <color rgb="FF0000FF"/>
        <rFont val="等线"/>
        <charset val="134"/>
      </rPr>
      <t>件</t>
    </r>
    <r>
      <rPr>
        <sz val="10"/>
        <color rgb="FF0000FF"/>
        <rFont val="汉仪书宋二KW"/>
        <charset val="134"/>
      </rPr>
      <t>⼯⼚</t>
    </r>
    <r>
      <rPr>
        <sz val="10"/>
        <color rgb="FF0000FF"/>
        <rFont val="等线"/>
        <charset val="134"/>
      </rPr>
      <t>时</t>
    </r>
    <r>
      <rPr>
        <sz val="10"/>
        <color rgb="FF0000FF"/>
        <rFont val="汉仪书宋二KW"/>
        <charset val="134"/>
      </rPr>
      <t>，</t>
    </r>
    <r>
      <rPr>
        <sz val="10"/>
        <color rgb="FF0000FF"/>
        <rFont val="等线"/>
        <charset val="134"/>
      </rPr>
      <t xml:space="preserve"> 务必要 "带卡板出+围好围膜"。 如果没按要求的</t>
    </r>
    <r>
      <rPr>
        <sz val="10"/>
        <color rgb="FF0000FF"/>
        <rFont val="汉仪书宋二KW"/>
        <charset val="134"/>
      </rPr>
      <t>，</t>
    </r>
    <r>
      <rPr>
        <sz val="10"/>
        <color rgb="FF0000FF"/>
        <rFont val="等线"/>
        <charset val="134"/>
      </rPr>
      <t xml:space="preserve"> 请各</t>
    </r>
    <r>
      <rPr>
        <sz val="10"/>
        <color rgb="FF0000FF"/>
        <rFont val="汉仪书宋二KW"/>
        <charset val="134"/>
      </rPr>
      <t>⼯⼚⾃⾏</t>
    </r>
    <r>
      <rPr>
        <sz val="10"/>
        <color rgb="FF0000FF"/>
        <rFont val="等线"/>
        <charset val="134"/>
      </rPr>
      <t>安排</t>
    </r>
    <r>
      <rPr>
        <sz val="10"/>
        <color rgb="FF0000FF"/>
        <rFont val="汉仪书宋二KW"/>
        <charset val="134"/>
      </rPr>
      <t>⼈⼿</t>
    </r>
    <r>
      <rPr>
        <sz val="10"/>
        <color rgb="FF0000FF"/>
        <rFont val="等线"/>
        <charset val="134"/>
      </rPr>
      <t>卸货。</t>
    </r>
  </si>
  <si>
    <t>4500206633-
00010-
20260724,
4500206633-
00020-
20260724,
4500206633-
00030-
20260724,
4500206633-
00040-
20260724,
4500206633-
00100-
20260724</t>
  </si>
  <si>
    <t>MPO10597-20</t>
  </si>
  <si>
    <t>4500206381</t>
  </si>
  <si>
    <t>36JBQIWA</t>
  </si>
  <si>
    <t>4500206381-70</t>
  </si>
  <si>
    <t>6/16寄出SSCC LABEL（客供贴纸)</t>
  </si>
  <si>
    <t>日期码格式：ZURU INC(BVI)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</si>
  <si>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5UYUP3ME</t>
  </si>
  <si>
    <t>4500206381-80</t>
  </si>
  <si>
    <t>4PEASOVR</t>
  </si>
  <si>
    <t>4500206381-90</t>
  </si>
  <si>
    <t>4MBBV23T</t>
  </si>
  <si>
    <t>4500206381-100</t>
  </si>
  <si>
    <t>4E5APXGF</t>
  </si>
  <si>
    <t>4500206381-110</t>
  </si>
  <si>
    <t>8KG3ILZA</t>
  </si>
  <si>
    <t>4500206381-120</t>
  </si>
  <si>
    <t>6ZGW3KDJ</t>
  </si>
  <si>
    <t>4500206381-130</t>
  </si>
  <si>
    <t>3LRM72XX</t>
  </si>
  <si>
    <t>4500206381-140</t>
  </si>
  <si>
    <t>4500207709</t>
  </si>
  <si>
    <t>PO036</t>
  </si>
  <si>
    <t>4500207709-20</t>
  </si>
  <si>
    <t>6/11一张警语贴纸+一张日语警语贴纸+一张6+年龄贴纸（覆盖收藏指南上原本的3+）</t>
  </si>
  <si>
    <t>日期码格式： ZURU INC(BVI) 标准格式 日期：按实际生产日期
Packaging Info: 
77770GQ2：MA UPC PKG(优先1L)+MA说明书+一张日语警语贴纸（贴球底部）+一张6+年龄贴纸（覆盖收藏指南上原本的3+）
Remark: 1.出日本
2.需提供装柜图片。
3.待客户确认是否需寄板做QC check, 请多备料。装柜前需填回QC check form 给客户approval 后才能出货。
77773GQ2: Rare: 1/48, Common: Equal ratio</t>
  </si>
  <si>
    <t>Lillian Li</t>
  </si>
  <si>
    <t>4500202167-10</t>
  </si>
  <si>
    <t>5/9客供价格贴纸</t>
  </si>
  <si>
    <t>日期码格式：ZURU INC(BVI) 标准格式                  日期：按实际生产日期
Packaging Info: 1.  STD Items: ZURU MA UPC 现有包装+客供价格贴纸，优先使用MA 1L最新版本（可接受多语）,出口美国
Remark: 1. Cus Item
#77806：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</si>
  <si>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4500206390</t>
  </si>
  <si>
    <t>05712-LNV-FALL</t>
  </si>
  <si>
    <t>4500206390-100</t>
  </si>
  <si>
    <t xml:space="preserve">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 </t>
  </si>
  <si>
    <t>AMAZON  CA  (VENDOR  CENTER)</t>
  </si>
  <si>
    <t>4E6JO8VG</t>
  </si>
  <si>
    <t>4500210757-10</t>
  </si>
  <si>
    <t xml:space="preserve"> 外箱正面印ZURU  Logo  +  SSCC  LABEL（客供贴纸)，侧面印item#（订单上显示的SKU#)  +  carton  size(以工厂实际尺寸为准，单位:  inch)  +  MADE  IN  CHINA，
日期使用ZURU  标准版本  SSCC  Label  显示的是客人自己的item#</t>
  </si>
  <si>
    <t>空白贴纸和客版3L铜版纸资料跟翻单#4500179751+6/22寄出SSCC  LABEL（客供贴纸)</t>
  </si>
  <si>
    <t>日期码格式：ZURU  INC(BVI)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</si>
  <si>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Kelly  Shen</t>
  </si>
  <si>
    <t>客版3L铜版纸资料跟翻单#4500179751</t>
  </si>
  <si>
    <t>4500203225</t>
  </si>
  <si>
    <t>4500203225-60</t>
  </si>
  <si>
    <t>5/29UPC 贴纸</t>
  </si>
  <si>
    <t xml:space="preserve">日期码格式：ZURU INC(BVI) 标准格式                  日期：按实际生产日期
Packaging Info: 1.优先多语 MA UPC或者3L/5L MA EAN 包装
2.请确保包装上的条形码是UPC，如果是babyUPC、需要用mother UPC覆盖，如有不一致，请及时提出。谢谢!
77770GQ2 MA 多语EAN 包装+UPC 贴纸+C+MA 多语 PDQ+箱唛
Remark: </t>
  </si>
  <si>
    <t>4500208840</t>
  </si>
  <si>
    <t>4500208840-290</t>
  </si>
  <si>
    <t>空白贴纸+6/8寄出客供价格贴</t>
  </si>
  <si>
    <t>日期码格式：  标准格式                  日期：按实际生产日期
Packaging Info: 
77806 英法铜版纸UPC版本193052092571。77770 MA 多语EAN收缩膜+空白贴纸
Remark: 出加拿大
有客供价格贴
每行对应不同的客户PO，唛头要一一对应，  放唛头时跟单会提供清单
Zuru验货. 日期跟踪码：产品外包装及产品本身都必须有日期跟踪码，ZURU标准格式
日期码</t>
  </si>
  <si>
    <t>KATRINA XIE</t>
  </si>
  <si>
    <t>40060536</t>
  </si>
  <si>
    <t>4500208840-300</t>
  </si>
  <si>
    <t>日期码格式：  标准格式                  日期：按实际生产日期
Packaging Info:  
77806 英法铜版纸UPC版本193052092571。77770 MA 多语EAN收缩膜+空白贴纸
Remark: 出加拿大
有客供价格贴
每行对应不同的客户PO，唛头要一一对应，  放唛头时跟单会提供清单
Zuru验货. 日期跟踪码：产品外包装及产品本身都必须有日期跟踪码，ZURU标准格式
日期码</t>
  </si>
  <si>
    <t>4500197940-30</t>
  </si>
  <si>
    <t>5/18一张进口商贴纸</t>
  </si>
  <si>
    <t>日期码格式：ZURU INC(BVI) 标准格式                  日期：按实际生产日期
Packaging Info:
 3. 77770GQ2: MA EAN版本（1L/多L含英语版本都可接受，如有1L 首选出1L版本）+一张进口商贴纸+箱唛
Remark: MA EAN版本包装+进口商贴纸</t>
  </si>
  <si>
    <t>4500210181</t>
  </si>
  <si>
    <t>21796478</t>
  </si>
  <si>
    <t>4500210181-20</t>
  </si>
  <si>
    <t>1张防盗贴纸+箱唛 + 6/22外箱SSCC Label
  (贴纸以及位置图翻单PO#4500173688）</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</si>
  <si>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PO#4500210184一起合并计算</t>
  </si>
  <si>
    <t>4500210184</t>
  </si>
  <si>
    <t>21796479</t>
  </si>
  <si>
    <t>4500210184-10</t>
  </si>
  <si>
    <t>1张防盗贴纸+箱唛 + 6/22 外箱SSCC Label
  (贴纸以及位置图翻单PO#4500173688）</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</si>
  <si>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PO#4500210181一起合并计算</t>
  </si>
  <si>
    <t>BOSCOV'S DEPARTMENT STORE,LLC</t>
  </si>
  <si>
    <t>4500209005</t>
  </si>
  <si>
    <t>725922</t>
  </si>
  <si>
    <t>4500209005-60</t>
  </si>
  <si>
    <t>6/9 价格贴纸(价贴位于产品包装背面右下角，跟单提供价贴资料，工厂采购）+6/26UCC LABEL</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</si>
  <si>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#77770GQ2-S001-MINI BRANDS-FASHION-SERIES 4-CAPSULE,WITH DEMO,25PCS/GRAVITY PDQ,50PCS/2PDQ/CTN</t>
  </si>
  <si>
    <t>4500207765</t>
  </si>
  <si>
    <t>1EMADWAX</t>
  </si>
  <si>
    <t>4500207765-30</t>
  </si>
  <si>
    <t>PVC彩卡(翻单PO#4500194447)+1张贴纸(IT环保标, 参考翻单PO#4500181154);+ 5/22提供SSCC LABEL一张</t>
  </si>
  <si>
    <t>日期码格式：ZURU INC(BVI) 标准格式                  日期：按实际生产日期
Packaging Info: Amazon DE: 1EMADWAX
Amazon DE(11806/15752A/15750H)
1. 77806: 2PK#77770 in PVC TUBE,12tubes/ctn; 客版 3L(3L warning no barcode)收缩膜(翻单PO#4500194447)+MA 5L(23L warning)A收藏指南+MA其他最新配套
包装+客版3L(5L warning) PVC彩卡(翻单PO#4500194447)+1张贴纸(IT环保标, 参考翻单PO#4500181154);
 4. 验货时间不迟于2026/6/5.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</si>
  <si>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4500206200</t>
  </si>
  <si>
    <t>500-15550</t>
  </si>
  <si>
    <t>4500206200-50</t>
  </si>
  <si>
    <t>日期码格式：ZURU INC(BVI) 标准格式                  日期：按实际生产日期
Packaging Info: 1、包装方式: MA UPC优先1L最新版，出口美国
Remark: 2、无测试无验货要求
 3、纸箱4面印ZURU LOGO + 箱唛
 4、日期码请按ZURU标准版执行即可
 5、ZURU QC验货</t>
  </si>
  <si>
    <t>4500209212</t>
  </si>
  <si>
    <t>6006-013627</t>
  </si>
  <si>
    <t>4500209212-80</t>
  </si>
  <si>
    <t>6/1进口商贴纸（贴球底部）</t>
  </si>
  <si>
    <t>日期码格式：ZURU INC(BVI) 标准格式                  日期：按实际生产日期
Packaging Info: 
77770GQ2/77843GQ2: MA 1L PKG +1张进口商贴纸（贴球底部）
所有贴纸不得遮挡日期码
Remark: 此单进口商贴纸通用所有item</t>
  </si>
  <si>
    <t>4500202901</t>
  </si>
  <si>
    <t>4500202901-150</t>
  </si>
  <si>
    <t>进口商贴纸+UPC贴纸+7/3 价标贴纸 进口商贴纸和UPC贴纸翻单PO4500199969</t>
  </si>
  <si>
    <t>日期码格式：ZURU INC(BVI) 标准格式                  日期：按实际生产日期
Packaging Info: 777770GQ2:MA多语包装+进口商贴纸+UPC贴纸+价标贴纸+箱唛,进口商贴纸和UPC贴纸翻单PO4500199969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</si>
  <si>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4500208189</t>
  </si>
  <si>
    <t>4500208189-20</t>
  </si>
  <si>
    <t>1.进口商贴纸请多备料5pcs,出货后需要寄给客户留底</t>
  </si>
  <si>
    <t>8/1~8/3</t>
  </si>
  <si>
    <t>进口商贴纸和条码贴纸翻单PO4500188881</t>
  </si>
  <si>
    <t>日期码格式：ZURU INC(BVI) 标准格式                  日期：按实际生产日期
Packaging Info: 
77555GQ1/77770GQ1/77773GQ1/9565GQ1:MA 多语包装+进口商贴纸+条码贴纸+箱唛，进口商贴纸和条码贴纸翻单PO4500188881
Remark: 1.进口商贴纸请多备料5pcs,出货后需要寄给客户留底
2.如后续提供的贴纸文档中进口商贴纸和条码贴纸合并为一张，可忽略条码贴纸的需求</t>
  </si>
  <si>
    <t>4500203215</t>
  </si>
  <si>
    <t>COT05523WarehouseNo.2</t>
  </si>
  <si>
    <t>4500203215-70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</si>
  <si>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t>
  </si>
  <si>
    <t>4500203233</t>
  </si>
  <si>
    <t>04197-BOD-12-FALL</t>
  </si>
  <si>
    <t>4500203233-30</t>
  </si>
  <si>
    <t>6/22UPC 贴纸</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</si>
  <si>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Remark: </t>
  </si>
  <si>
    <t>4500208715</t>
  </si>
  <si>
    <t>2RNKHE1D</t>
  </si>
  <si>
    <t>4500208715-350</t>
  </si>
  <si>
    <t>外箱正面印ZURU  Logo  +  SSCC  LABEL（客供贴纸)，侧面印item#（订单上显示的SKU#)  +  carton  size(以工厂实际尺寸为准，单位:  inch)  +  MADE  IN  CHINA，
日期使用ZURU  标准版本  SSCC  Label  显示的是客人自己的item#，</t>
  </si>
  <si>
    <t>空白贴纸和客版3L铜版纸资料跟翻单#4500179751+7/9 SSCC  LABEL（客供贴纸)</t>
  </si>
  <si>
    <t>日期码格式：     标准格式                                    日期：按实际生产日期
Packaging Info: 
#77806:  2PK  STD  #77770入PVC筒,MA  3L  版收缩膜+空白贴纸和客版3L铜版纸资料跟翻单#4500179751。收藏指南和说明书为MA版本。（两个球的配比不能重复）。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</si>
  <si>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r>
      <rPr>
        <sz val="11"/>
        <color rgb="FF0000FF"/>
        <rFont val="宋体"/>
        <charset val="134"/>
        <scheme val="minor"/>
      </rPr>
      <t>Kelly</t>
    </r>
    <r>
      <rPr>
        <sz val="10"/>
        <color rgb="FF0000FF"/>
        <rFont val="等线"/>
        <charset val="134"/>
      </rPr>
      <t xml:space="preserve">  Shen</t>
    </r>
  </si>
  <si>
    <t>6LNQ3DLL</t>
  </si>
  <si>
    <t>4500208715-360</t>
  </si>
  <si>
    <t>2PCLAEFL</t>
  </si>
  <si>
    <t>4500208715-370</t>
  </si>
  <si>
    <t>6QLGM59Y</t>
  </si>
  <si>
    <t>4500208715-380</t>
  </si>
  <si>
    <t>3QF5FN9P</t>
  </si>
  <si>
    <t>4500208715-390</t>
  </si>
  <si>
    <t>8N7U6UVH</t>
  </si>
  <si>
    <t>4500208715-400</t>
  </si>
  <si>
    <t>3JBRDL6N</t>
  </si>
  <si>
    <t>4500208715-410</t>
  </si>
  <si>
    <t>339SL65J</t>
  </si>
  <si>
    <t>4500208715-420</t>
  </si>
  <si>
    <t>4500208841</t>
  </si>
  <si>
    <t>40062233</t>
  </si>
  <si>
    <t>4500208841-50</t>
  </si>
  <si>
    <t>4500210679</t>
  </si>
  <si>
    <t>ZU04-26</t>
  </si>
  <si>
    <t>4500210679-50</t>
  </si>
  <si>
    <t>进口商贴纸+UPC贴纸翻单PO4500183616</t>
  </si>
  <si>
    <t>日期码格式：ZURU  INC(BVI)  标准格式                                    日期：按实际生产日期
Packaging Info: 77770GQ2:MA  多语包装+进口商贴纸+UPC贴纸+箱唛，进口商贴纸+UPC贴纸翻单PO4500183616</t>
  </si>
  <si>
    <t>Ava  Liang</t>
  </si>
  <si>
    <t>LONDON  SUPPLY  GROUP  SA</t>
  </si>
  <si>
    <t>4500212151</t>
  </si>
  <si>
    <t>4500212151-30</t>
  </si>
  <si>
    <t>UPC贴纸翻单PO4500199743</t>
  </si>
  <si>
    <t>日期码格式：ZURU  INC(BVI)  标准格式                                    日期：按实际生产日期
Packaging Info: 77770GQ2 MA 多语UPC包装+UPC贴纸+箱唛，无客户贴纸（包装上的条码必须是UPC），UPC贴纸翻单PO4500199743
Remark：</t>
  </si>
  <si>
    <r>
      <rPr>
        <sz val="11"/>
        <color rgb="FF0000FF"/>
        <rFont val="宋体"/>
        <charset val="134"/>
        <scheme val="minor"/>
      </rPr>
      <t>Ava</t>
    </r>
    <r>
      <rPr>
        <sz val="10"/>
        <color rgb="FF0000FF"/>
        <rFont val="等线"/>
        <charset val="134"/>
      </rPr>
      <t xml:space="preserve">  Liang</t>
    </r>
  </si>
  <si>
    <t>SIRIUS SALES (PTY) LTD</t>
  </si>
  <si>
    <t>4500212268</t>
  </si>
  <si>
    <t>4500212268-10</t>
  </si>
  <si>
    <t>日期码格式：ZURU INC(BVI) 标准格式                  日期：按实际生产日期
Remark: MA UPC PKG(优先1L)</t>
  </si>
  <si>
    <t>Lillian Li/Peggy Xie</t>
  </si>
  <si>
    <t>GS TIENDAS DEPARTAMENTALES, S.A. DE</t>
  </si>
  <si>
    <t>4500207499</t>
  </si>
  <si>
    <t>4500207499-30</t>
  </si>
  <si>
    <t>客户有监装要求，每款需要备1pc监装样板</t>
  </si>
  <si>
    <t>6/30 UPC 贴纸+进口商贴纸</t>
  </si>
  <si>
    <t>日期码格式：ZURU INC(BVI) 标准格式                  日期：按实际生产日期
Packaging Info: 
77770SK1/77843SK1/77772SK1: MA 3L SK包装+MA 3L EAN包装(+UPC 条码贴纸)+进口商贴纸+箱唛
Remark: 客户有监装要求，每款需要各准备1pc监柜样板</t>
  </si>
  <si>
    <t>HY-VEE, INC.</t>
  </si>
  <si>
    <t>4500211411</t>
  </si>
  <si>
    <t>350904</t>
  </si>
  <si>
    <t>4500211411-60</t>
  </si>
  <si>
    <t>77770GQ1-S003-PKC</t>
  </si>
  <si>
    <t>迷你包包S4 13pcs/PDQ/52pcs/箱（胶袋装）</t>
  </si>
  <si>
    <t>8/5号订舱</t>
  </si>
  <si>
    <t>7/3  Polybag 贴纸</t>
  </si>
  <si>
    <t>带Polybag 的items, polybag 需要印刷警告语和打孔，  跟单提供警告语内容，警告语字体和polybag 大小工厂根据PDQ 尺寸去安排，polybag 需要用胶纸封口
避免产品滑落。</t>
  </si>
  <si>
    <t>日期码格式：ZURU INC(BVI) 标准格式 日期：按实际生产日期
Packaging Info: 
77843GQ1,9565GQ1,77770GQ1,77773GQ1,77843GQ1: MA (首选1L UPC/ 多语 UPC) 包装 + polybag + Polybag 贴纸 （ 贴纸贴polybay warning 正下方）
Remark: 2. 带Polybag 的items, polybag 需要印刷警告语和打孔， 跟单提供警告语内容，警告语字体和polybag 大小工厂根据PDQ 尺寸去安排，polybag 需要用胶纸封口
避免产品滑落。
3. 产品和包装上印刷tracking code信息，格式为ZURU常规。
4. 需ZURU QC 验货合格后方可出货</t>
  </si>
  <si>
    <t>4500213094</t>
  </si>
  <si>
    <t>5UTFBTID</t>
  </si>
  <si>
    <t>4500213094-20</t>
  </si>
  <si>
    <t>消耗450019723成品库存756pcs，剩余1092pcs</t>
  </si>
  <si>
    <t>.空白外箱（加印带Zuru字样的最新logo，除了邮包盒直接做外箱的产品）  + SSCC LABEL一张, 无箱唛，MADE IN CHINA 外箱只印一正一侧。箱唛资料按照给定的
标准去做即可，无需发回我方再行审批(新标准将另行通知)。</t>
  </si>
  <si>
    <r>
      <rPr>
        <sz val="12"/>
        <color rgb="FF0000FF"/>
        <rFont val="宋体"/>
        <charset val="134"/>
      </rPr>
      <t>日期码格式：ZURU INC(BVI) 标准格式</t>
    </r>
    <r>
      <rPr>
        <sz val="11"/>
        <color rgb="FF0000FF"/>
        <rFont val="宋体"/>
        <charset val="0"/>
        <scheme val="minor"/>
      </rPr>
      <t xml:space="preserve">                  日期：按实际生产日期
Packaging Info: Amazon UK: 5UTFBTID/1CP2L19I
Amazon UK(15757/77806/15728G)/FR(77731)
2. 77806: 2PK#77770 in PVC TUBE,12tubes/ctn; 客版 3L(3L warning no barcode)收缩膜(翻单PO#4500194447)+MA 5L(23L warning)A收藏指南+MA其他最新配套
包装+客版3L(5L warning) PVC彩卡(翻单PO#4500194447)+1张贴纸(IT环保标, 参考翻单PO#4500181154)；
5. 验货时间不迟于2026/08/07.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</si>
  <si>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Aria Zhou</t>
  </si>
  <si>
    <t>40060971</t>
  </si>
  <si>
    <t>4500208840-470</t>
  </si>
  <si>
    <t>日期码格式：  标准格式                  日期：按实际生产日期
Packaging Info:
77806 英法铜版纸UPC版本193052092571。77770 MA 多语EAN收缩膜+空白贴纸
Remark: 出加拿大
有客供价格贴
每行对应不同的客户PO，唛头要一一对应，  放唛头时跟单会提供清单
Zuru验货. 日期跟踪码：产品外包装及产品本身都必须有日期跟踪码，ZURU标准格式
日期码</t>
  </si>
  <si>
    <t>4500206916</t>
  </si>
  <si>
    <t>21865532</t>
  </si>
  <si>
    <t>4500206916-40</t>
  </si>
  <si>
    <t>1张防盗贴纸 +7/20 外箱SSCC Label
 (贴纸以及位置图翻单PO#4500173688）</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</si>
  <si>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PO#4500206917一起合并计算</t>
  </si>
  <si>
    <t>4500215278-10</t>
  </si>
  <si>
    <t>7/17(+UPC 条码贴纸)+进口商贴纸</t>
  </si>
  <si>
    <t>日期码格式：ZURU INC(BVI) 标准格式 日期：按实际生产日期
Packaging Info: 77770GQ2: MA 3L PDQ包装+MA 3L EAN包装(+UPC 条码贴纸)+进口商贴纸+箱唛
Remark:</t>
  </si>
  <si>
    <r>
      <rPr>
        <sz val="11"/>
        <color rgb="FF000000"/>
        <rFont val="宋体"/>
        <charset val="134"/>
        <scheme val="minor"/>
      </rPr>
      <t>Ever</t>
    </r>
    <r>
      <rPr>
        <sz val="12"/>
        <color rgb="FF000000"/>
        <rFont val="宋体"/>
        <charset val="134"/>
        <scheme val="minor"/>
      </rPr>
      <t xml:space="preserve">  Li</t>
    </r>
  </si>
  <si>
    <r>
      <rPr>
        <sz val="12"/>
        <color rgb="FF000000"/>
        <rFont val="宋体"/>
        <charset val="134"/>
        <scheme val="minor"/>
      </rPr>
      <t>ARCHIBRAND,</t>
    </r>
    <r>
      <rPr>
        <sz val="12"/>
        <color rgb="FF000000"/>
        <rFont val="宋体"/>
        <charset val="134"/>
        <scheme val="minor"/>
      </rPr>
      <t xml:space="preserve">  </t>
    </r>
    <r>
      <rPr>
        <sz val="12"/>
        <color rgb="FF000000"/>
        <rFont val="宋体"/>
        <charset val="134"/>
        <scheme val="minor"/>
      </rPr>
      <t>S.A.</t>
    </r>
    <r>
      <rPr>
        <sz val="12"/>
        <color rgb="FF000000"/>
        <rFont val="宋体"/>
        <charset val="134"/>
        <scheme val="minor"/>
      </rPr>
      <t xml:space="preserve">  </t>
    </r>
    <r>
      <rPr>
        <sz val="12"/>
        <color rgb="FF000000"/>
        <rFont val="宋体"/>
        <charset val="134"/>
        <scheme val="minor"/>
      </rPr>
      <t>DE</t>
    </r>
    <r>
      <rPr>
        <sz val="12"/>
        <color rgb="FF000000"/>
        <rFont val="宋体"/>
        <charset val="134"/>
        <scheme val="minor"/>
      </rPr>
      <t xml:space="preserve">  </t>
    </r>
    <r>
      <rPr>
        <sz val="12"/>
        <color rgb="FF000000"/>
        <rFont val="宋体"/>
        <charset val="134"/>
        <scheme val="minor"/>
      </rPr>
      <t>C.V.</t>
    </r>
  </si>
  <si>
    <t>4500210231</t>
  </si>
  <si>
    <t>4500210231-90</t>
  </si>
  <si>
    <t>7/24 (+UPC 条码贴纸)+进口商贴纸，贴纸翻单PO4500215278</t>
  </si>
  <si>
    <r>
      <rPr>
        <sz val="12"/>
        <color rgb="FF000000"/>
        <rFont val="宋体"/>
        <charset val="134"/>
      </rPr>
      <t>日期码格式：ZURU INC(BVI) 标准格式 日期：按实际生产日期 Tracking Code:
Packaging Info: 
 77770GQ2: MA 3L PDQ包装+MA 3L EAN包装(+UPC 条码贴纸)+进口商贴纸+箱唛</t>
    </r>
    <r>
      <rPr>
        <sz val="12"/>
        <color rgb="FFFF0000"/>
        <rFont val="宋体"/>
        <charset val="134"/>
      </rPr>
      <t>，贴纸翻单PO4500215278</t>
    </r>
    <r>
      <rPr>
        <sz val="12"/>
        <color rgb="FF000000"/>
        <rFont val="宋体"/>
        <charset val="134"/>
      </rPr>
      <t xml:space="preserve">
Remark:</t>
    </r>
  </si>
  <si>
    <r>
      <rPr>
        <sz val="11"/>
        <color rgb="FF000000"/>
        <rFont val="宋体"/>
        <charset val="134"/>
        <scheme val="minor"/>
      </rPr>
      <t>Ever</t>
    </r>
    <r>
      <rPr>
        <sz val="10"/>
        <color rgb="FF000000"/>
        <rFont val="宋体"/>
        <charset val="134"/>
        <scheme val="minor"/>
      </rPr>
      <t xml:space="preserve">  </t>
    </r>
    <r>
      <rPr>
        <sz val="10"/>
        <color rgb="FF000000"/>
        <rFont val="宋体"/>
        <charset val="134"/>
        <scheme val="minor"/>
      </rPr>
      <t>Li</t>
    </r>
  </si>
  <si>
    <t>4500215306-10</t>
  </si>
  <si>
    <t>(+UPC 条码贴纸)+进口商贴纸，贴纸翻单PO4500215278</t>
  </si>
  <si>
    <t>日期码格式：ZURU INC(BVI) 标准格式 日期：按实际生产日期
Packaging Info: 77770GQ2: MA 3L PDQ包装+MA 3L EAN包装(+UPC 条码贴纸)+进口商贴纸+箱唛,贴纸翻单PO4500215278
Remark:</t>
  </si>
  <si>
    <t>AMIC  TRADING  (PTY)  LTD</t>
  </si>
  <si>
    <t>4500214715</t>
  </si>
  <si>
    <t>6006-014363</t>
  </si>
  <si>
    <t>4500214715-80</t>
  </si>
  <si>
    <t>7/2 1 张通用进口商贴纸（贴球底部，不遮挡日期码）</t>
  </si>
  <si>
    <r>
      <rPr>
        <sz val="12"/>
        <color rgb="FF000000"/>
        <rFont val="宋体"/>
        <charset val="134"/>
      </rPr>
      <t xml:space="preserve">日期码格式：ZURU INC(BVI) 标准格式 日期：按实际生产日期 
Packaging Info: ）
 </t>
    </r>
    <r>
      <rPr>
        <sz val="12"/>
        <color rgb="FFFF0000"/>
        <rFont val="宋体"/>
        <charset val="134"/>
      </rPr>
      <t>77770GQ2：1L PDQ ,MA 1L PKG + 1 张通用进口商贴纸（贴球底部，不遮挡日期码）</t>
    </r>
    <r>
      <rPr>
        <sz val="12"/>
        <color rgb="FF000000"/>
        <rFont val="宋体"/>
        <charset val="134"/>
      </rPr>
      <t xml:space="preserve">
Remark:</t>
    </r>
  </si>
  <si>
    <t>4500209173</t>
  </si>
  <si>
    <t>60302391</t>
  </si>
  <si>
    <t>4500209173-20</t>
  </si>
  <si>
    <t>日期码格式：ZURU INC(BVI) 标准格式                  日期：按实际生产日期
Packaging Info: 1.Cus Item
#77731,#77806：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</si>
  <si>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Blanche Huang</t>
  </si>
  <si>
    <t>4500216583</t>
  </si>
  <si>
    <t>Warehouse 1</t>
  </si>
  <si>
    <t>4500216583-150</t>
  </si>
  <si>
    <t>7/29 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</si>
  <si>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77770GQ2 MA 多语EAN包装+UPC贴纸+MA多语收藏指南+MA PDQ+箱唛,&lt;(&gt;,&lt;)&gt;
Remark: 
77770GQ2</t>
  </si>
  <si>
    <t>EL  REGALO  UNIVERSAL  C.A.</t>
  </si>
  <si>
    <t>委内瑞拉</t>
  </si>
  <si>
    <t>4500214134</t>
  </si>
  <si>
    <t>4500214134-20</t>
  </si>
  <si>
    <t>7/8 UPC条码贴纸+进口商贴纸</t>
  </si>
  <si>
    <r>
      <rPr>
        <sz val="12"/>
        <color rgb="FF000000"/>
        <rFont val="宋体"/>
        <charset val="134"/>
      </rPr>
      <t xml:space="preserve">日期码格式：ZURU INC(BVI) 标准格式 日期：按实际生产日期
Packaging Info: 71172/77770GQ2/77843GQ2: </t>
    </r>
    <r>
      <rPr>
        <sz val="12"/>
        <color rgb="FFFF0000"/>
        <rFont val="宋体"/>
        <charset val="134"/>
      </rPr>
      <t>MA 3L EAN包装+UPC条码贴纸</t>
    </r>
    <r>
      <rPr>
        <sz val="12"/>
        <color rgb="FF000000"/>
        <rFont val="宋体"/>
        <charset val="134"/>
      </rPr>
      <t>+进口商贴纸+箱唛
Remark:</t>
    </r>
  </si>
  <si>
    <t>Doris  Shou</t>
  </si>
  <si>
    <r>
      <rPr>
        <sz val="12"/>
        <color rgb="FF000000"/>
        <rFont val="宋体"/>
        <charset val="134"/>
        <scheme val="minor"/>
      </rPr>
      <t>LIMITED</t>
    </r>
    <r>
      <rPr>
        <sz val="11"/>
        <color rgb="FF000000"/>
        <rFont val="宋体"/>
        <charset val="134"/>
        <scheme val="minor"/>
      </rPr>
      <t xml:space="preserve">  LIABILITY  COMPANY   “ARMOTOP”</t>
    </r>
  </si>
  <si>
    <t>4500217495-10</t>
  </si>
  <si>
    <r>
      <rPr>
        <sz val="12"/>
        <color rgb="FFFF0000"/>
        <rFont val="宋体"/>
        <charset val="134"/>
      </rPr>
      <t>8/13 进口商贴纸</t>
    </r>
    <r>
      <rPr>
        <sz val="12"/>
        <color rgb="FF000000"/>
        <rFont val="宋体"/>
        <charset val="134"/>
      </rPr>
      <t>+7/28 QR贴纸+</t>
    </r>
    <r>
      <rPr>
        <sz val="12"/>
        <color rgb="FFFF0000"/>
        <rFont val="宋体"/>
        <charset val="134"/>
      </rPr>
      <t>8/13 EAN条码贴纸</t>
    </r>
  </si>
  <si>
    <r>
      <rPr>
        <sz val="12"/>
        <color rgb="FF000000"/>
        <rFont val="宋体"/>
        <charset val="134"/>
      </rPr>
      <t>日期码格式：ZURU INC(BVI) 标准格式 日期：按实际生产日期
Packaging Info: 77770GQ1/9543GQ1/71126：</t>
    </r>
    <r>
      <rPr>
        <sz val="12"/>
        <color rgb="FFFF0000"/>
        <rFont val="宋体"/>
        <charset val="134"/>
      </rPr>
      <t xml:space="preserve">1L </t>
    </r>
    <r>
      <rPr>
        <sz val="12"/>
        <color rgb="FF000000"/>
        <rFont val="宋体"/>
        <charset val="134"/>
      </rPr>
      <t>MA UPC包装+进口商贴纸+</t>
    </r>
    <r>
      <rPr>
        <sz val="12"/>
        <color rgb="FFFF0000"/>
        <rFont val="宋体"/>
        <charset val="134"/>
      </rPr>
      <t>EAN条码贴纸</t>
    </r>
    <r>
      <rPr>
        <sz val="12"/>
        <color rgb="FF000000"/>
        <rFont val="宋体"/>
        <charset val="134"/>
      </rPr>
      <t>+QR贴纸 ，MA 说明书/指南/PDQ (如有) ；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r>
  </si>
  <si>
    <r>
      <rPr>
        <sz val="12"/>
        <color rgb="FF000000"/>
        <rFont val="宋体"/>
        <charset val="134"/>
        <scheme val="minor"/>
      </rPr>
      <t>IMPORTADORA</t>
    </r>
    <r>
      <rPr>
        <sz val="11"/>
        <color rgb="FF000000"/>
        <rFont val="宋体"/>
        <charset val="134"/>
        <scheme val="minor"/>
      </rPr>
      <t xml:space="preserve">  SUDAMERICANA  &amp;</t>
    </r>
  </si>
  <si>
    <t>阿根廷</t>
  </si>
  <si>
    <t>4500218440</t>
  </si>
  <si>
    <t>LEGAJO4935</t>
  </si>
  <si>
    <t>4500218440-20</t>
  </si>
  <si>
    <t>8/17 UPC贴纸+进口商贴纸</t>
  </si>
  <si>
    <t>日期码格式：ZURU  INC(BVI)  标准格式                                    日期：按实际生产日期
Packaging Info: 1.请确保包装上的条形码是UPC，如果是babyUPC、需要用mother  UPC覆盖，如有不一致，请及时提出。谢谢!
2  .MA  PDQ  优先用3L,MA  只有1L版本的情况下就用1L  PDQ
77770GQ2  MA  多语EAN包装+UPC贴纸+MA多语收藏指南+进口商贴纸+MA  PDQ+箱唛
Remark: 77843GQ2  SUSHI  and  RAINBOW  CAKE(Rare)  without  batteries,  other  assortments:  3PCS  AG13  BATTERIES(INCLUDED)  Ratio:  PIZZA:  HAMBURGER:  PANCAKES:  BUB
BLE  TEA:    Matcha  TEA:  TACO:  SUSHI:  DONUT:  Charcuterie  Board:  RAINBOW  CAKE(Rare)=10.88%:  10.88%:  10.88%:  10.88%:  10.88%:  10.88%:  10.88%:  10.88%:
     10.88%:  2.08%=68:68:68:68:68:68:68:68:68:13</t>
  </si>
  <si>
    <r>
      <rPr>
        <sz val="11"/>
        <color rgb="FF000000"/>
        <rFont val="宋体"/>
        <charset val="134"/>
        <scheme val="minor"/>
      </rPr>
      <t>Aimee</t>
    </r>
    <r>
      <rPr>
        <sz val="10"/>
        <color rgb="FF000000"/>
        <rFont val="等线"/>
        <charset val="134"/>
      </rPr>
      <t xml:space="preserve">  Huang</t>
    </r>
  </si>
  <si>
    <t>LULU SRL</t>
  </si>
  <si>
    <t>摩尔多瓦</t>
  </si>
  <si>
    <t>4500217906</t>
  </si>
  <si>
    <t>4500217906-10</t>
  </si>
  <si>
    <t>8/3 客户通用贴纸</t>
  </si>
  <si>
    <t>日期码格式：ZURU  INC(BVI) 标准格式                                    日期：按实际生产日期
Packaging Info: 77770GQ1-S001: MA UPC  包装+客户通用贴纸+MA PDQ，MA 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</si>
  <si>
    <t>4500214354</t>
  </si>
  <si>
    <t>21965346</t>
  </si>
  <si>
    <t>4500214354-170</t>
  </si>
  <si>
    <t>1张防盗贴纸(贴纸以及位置图翻单PO#4500173688）
 + 欠外箱SSCC Label</t>
  </si>
  <si>
    <t>日期码格式：ZURU  INC(BVI) 标准格式                                    日期：按实际生产日期
Packaging Info: 
77770GQ1:MA英语UPC版本包装（收缩膜和说明书, MA首选1L，如无1L可用多语且含英语的配套多语包装) +  1张防盗贴纸(贴纸以及位置图翻单PO#4500173688）+ 箱唛
+  外箱SSCC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</si>
  <si>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21965347</t>
  </si>
  <si>
    <t>4500214354-180</t>
  </si>
  <si>
    <t>4500214355</t>
  </si>
  <si>
    <t>21965349</t>
  </si>
  <si>
    <t>4500214355-160</t>
  </si>
  <si>
    <t>日期码格式：ZURU  INC(BVI) 标准格式                                    日期：按实际生产日期
Packaging Info: 
77770GQ1:MA英语UPC版本包装（收缩膜和说明书, MA首选1L，如无1L可用多语且含英语的配套多语包装) +  1张防盗贴纸  (贴纸以及位置图翻单PO#4500173688）+箱
唛  +  外箱SSCC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</si>
  <si>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21965350</t>
  </si>
  <si>
    <t>4500214355-170</t>
  </si>
  <si>
    <r>
      <rPr>
        <sz val="12"/>
        <color rgb="FF000000"/>
        <rFont val="宋体"/>
        <charset val="134"/>
        <scheme val="minor"/>
      </rPr>
      <t>THE</t>
    </r>
    <r>
      <rPr>
        <sz val="11"/>
        <color rgb="FF000000"/>
        <rFont val="宋体"/>
        <charset val="134"/>
        <scheme val="minor"/>
      </rPr>
      <t xml:space="preserve">  KROGER  CO.</t>
    </r>
  </si>
  <si>
    <t>4500219372</t>
  </si>
  <si>
    <t>500-28010</t>
  </si>
  <si>
    <t>4500219372-20</t>
  </si>
  <si>
    <t>日期码格式：ZURU  INC(BVI)  标准格式                                    日期：按实际生产日期
Packaging Info: 1、包装方式:  MA  UPC优先1L最新版，出口美国
Remark: 2、无测试无验货要求
   3、纸箱4面印ZURU  LOGO  +  箱唛
   4、日期码请按ZURU标准版执行即可
   5、ZURU  QC验货</t>
  </si>
  <si>
    <t>Vicky  Wu</t>
  </si>
  <si>
    <t>JSC  «GRAND-TRADE»</t>
  </si>
  <si>
    <t>PGT-769384</t>
  </si>
  <si>
    <t>4500219845-10</t>
  </si>
  <si>
    <t>欠QR贴纸
 +外箱侧唛右上角各一张贴纸 (共2张)</t>
  </si>
  <si>
    <t>日期码格式：ZURU  INC(BVI)  标准格式                                    日期：按实际生产日期
Packaging Info: MA  UPC包装+QR贴纸；
外箱侧唛右上角各一张贴纸  (共2张)
Remark: 1.  QR  code  贴纸  :仅二维码尺寸15X15MM，4边留白尺寸各5mm  ，二维码要清晰可扫描，2年不褪色  ，强占不易脱落  ，材质同进口商贴纸纸。要求一物一码，每PCS
的二维码不一样,白底黑字，分辨率要大于300dpi，位置要远离条码。    可贴零售包装的侧面右下角/背面的右上角/挂卡的背面/正面的右上角，距离边距5mm）;
2.  QR  二维码格式要求：    DATA  MATRIX  GS1  ，     大货印刷前请发JPG  图片确认格式是否正确；请用苹果手机下载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此客户不允许包装/产品/PDQ  上显示recycled  material  的callout，如有请告知跟单需要加贴纸覆盖---QC  请验货留意  ；
  6.  此客户有第三方验货和监柜，     在收到船务SO  时需要提供监柜验货联系人/地址/装柜时间。工厂须提前主动联系第三方验货负责人，双方确认以下信息后，方可
安排提柜：验货人员预计到达时间/预计完成监柜时间  特别强调：未完成上述对接确认前，严禁擅自提柜，请务必遵守。
  7.  若产品中的口水胶/棉花泥等配件已提前印刷好了日期码，需明确告知日期码是多少，客户要求距离货物到店时间至少还有三分之二的有效期（比如Slime有效期1
年，那到店后还需要8个月的有效）    。
  8.  无特殊要求，按ZURU  标准比例；</t>
  </si>
  <si>
    <t>Ann  Zhang</t>
  </si>
  <si>
    <t xml:space="preserve"> </t>
  </si>
  <si>
    <t>1L 19pcs
GQ1</t>
  </si>
  <si>
    <t>3L
19pcs
GQ1</t>
  </si>
  <si>
    <t>AMEISE'N  FELDER  S.A.  DE  C.V.</t>
  </si>
  <si>
    <t>4500215644</t>
  </si>
  <si>
    <t>4500215644-100</t>
  </si>
  <si>
    <t>77912GQ1-DISC-S001</t>
  </si>
  <si>
    <t>迷你包包s4减价版76PCS/4PDQ/CTN</t>
  </si>
  <si>
    <t>此单有监柜，每款请多备1pc样板用于监装</t>
  </si>
  <si>
    <t>7/31 UPC 条码贴纸+进口商贴纸</t>
  </si>
  <si>
    <t>日期码格式：ZURU INC(BVI) 标准格式 日期：按实际生产日期
Packaging Info: 
77912GQ1:MA 3L EAN包装+UPC 条码贴纸+进口商贴纸+ MA 3L PDQ+箱唛
Remark:</t>
  </si>
  <si>
    <r>
      <rPr>
        <sz val="11"/>
        <color rgb="FF000000"/>
        <rFont val="宋体"/>
        <charset val="134"/>
        <scheme val="minor"/>
      </rPr>
      <t>Ever</t>
    </r>
    <r>
      <rPr>
        <sz val="10"/>
        <color rgb="FF000000"/>
        <rFont val="宋体"/>
        <charset val="134"/>
        <scheme val="minor"/>
      </rPr>
      <t xml:space="preserve">  Li</t>
    </r>
  </si>
  <si>
    <t>PP单</t>
  </si>
  <si>
    <t>ZPO2605019</t>
  </si>
  <si>
    <t>ZPO2605019-10</t>
  </si>
  <si>
    <t>77912GQ1</t>
  </si>
  <si>
    <t>3代迷你小手袋包装MA明细</t>
  </si>
  <si>
    <t>负责</t>
  </si>
  <si>
    <t>版本</t>
  </si>
  <si>
    <t>语言</t>
  </si>
  <si>
    <t>MA 1L 收缩膜A/B</t>
  </si>
  <si>
    <t>77485 1L 无条码收缩膜 客版MA</t>
  </si>
  <si>
    <t>77485 3L 无条码收缩膜 客版MA</t>
  </si>
  <si>
    <t>MA 5L 收藏指南 A/B/C/D</t>
  </si>
  <si>
    <t xml:space="preserve">WM客版5L 收藏指南 </t>
  </si>
  <si>
    <t>1L
GQ2-S001</t>
  </si>
  <si>
    <t>3L
GQ2-S001</t>
  </si>
  <si>
    <t>1L GQ3-S001</t>
  </si>
  <si>
    <t>1L B GQ3-S001</t>
  </si>
  <si>
    <t>3L GQ3-S001</t>
  </si>
  <si>
    <t>GQ4-S001</t>
  </si>
  <si>
    <t>GQ6-S001</t>
  </si>
  <si>
    <t>GQ6-S001 3L</t>
  </si>
  <si>
    <t>GQ7-S001</t>
  </si>
  <si>
    <t>GQ7-S001 3L</t>
  </si>
  <si>
    <t>77485SK-S002 3L</t>
  </si>
  <si>
    <t>3L 
SK1-S001</t>
  </si>
  <si>
    <t>客版不含鞋子</t>
  </si>
  <si>
    <t>77486 彩纸</t>
  </si>
  <si>
    <t>77601 彩纸</t>
  </si>
  <si>
    <t>77485GQ1
客版</t>
  </si>
  <si>
    <t>052_Mini Toys&amp;Dino S3&amp;Dino &amp;Disny S2_20200709-20230809</t>
  </si>
  <si>
    <t>Peggy Wu</t>
  </si>
  <si>
    <t>77485SK</t>
  </si>
  <si>
    <t>Sidekick</t>
  </si>
  <si>
    <t>用于4500110712/4500110183/4500108831/4500110649/4500110653</t>
  </si>
  <si>
    <t>Shrink Wrap</t>
  </si>
  <si>
    <t>用于4500110181/4500110689</t>
  </si>
  <si>
    <t>Collector Guide</t>
  </si>
  <si>
    <t>1000016199</t>
  </si>
  <si>
    <t>Jasmine</t>
  </si>
  <si>
    <t>shrink wrap</t>
  </si>
  <si>
    <t>1L</t>
  </si>
  <si>
    <t>1000016200</t>
  </si>
  <si>
    <t>collector guide</t>
  </si>
  <si>
    <t>5L</t>
  </si>
  <si>
    <t>1000016201</t>
  </si>
  <si>
    <t>77485GQ2</t>
  </si>
  <si>
    <t>PDQ</t>
  </si>
  <si>
    <t>1000016202</t>
  </si>
  <si>
    <t>77485GQ3</t>
  </si>
  <si>
    <t>77198 77349 77485 Fashion MNB S1 S2 S3 &amp;Wardrobe 77425--20230911</t>
  </si>
  <si>
    <t>1000016310</t>
  </si>
  <si>
    <t>1000016311</t>
  </si>
  <si>
    <t>3L</t>
  </si>
  <si>
    <t>1000016312</t>
  </si>
  <si>
    <t>1000016313</t>
  </si>
  <si>
    <t>1000016314</t>
  </si>
  <si>
    <r>
      <rPr>
        <sz val="9"/>
        <rFont val="宋体"/>
        <charset val="134"/>
        <scheme val="minor"/>
      </rPr>
      <t>Shrink Wrap</t>
    </r>
    <r>
      <rPr>
        <sz val="10"/>
        <rFont val="宋体"/>
        <charset val="134"/>
      </rPr>
      <t>（无</t>
    </r>
    <r>
      <rPr>
        <sz val="10"/>
        <rFont val="Arial"/>
        <charset val="0"/>
      </rPr>
      <t>UPC</t>
    </r>
  </si>
  <si>
    <t>PVC  Tube</t>
  </si>
  <si>
    <t>Art Paper</t>
  </si>
  <si>
    <t>Lid Sticker</t>
  </si>
  <si>
    <t>1000016757</t>
  </si>
  <si>
    <t>1000016758</t>
  </si>
  <si>
    <t>1000016759</t>
  </si>
  <si>
    <t>5L B</t>
  </si>
  <si>
    <t>1000016760</t>
  </si>
  <si>
    <t>1000016761</t>
  </si>
  <si>
    <t>1000016762</t>
  </si>
  <si>
    <t>1000016763</t>
  </si>
  <si>
    <t>1000017290</t>
  </si>
  <si>
    <t>1000017291</t>
  </si>
  <si>
    <t>77485SK1</t>
  </si>
  <si>
    <t>1000017281</t>
  </si>
  <si>
    <t>1000017282</t>
  </si>
  <si>
    <t>1000017283</t>
  </si>
  <si>
    <t>1000017284</t>
  </si>
  <si>
    <t>1000017476</t>
  </si>
  <si>
    <t>1000017479</t>
  </si>
  <si>
    <t>1000017477</t>
  </si>
  <si>
    <t>1000017478</t>
  </si>
  <si>
    <t>PVC  Tube(2PK)</t>
  </si>
  <si>
    <t>Yvonne Feng用于Amazon US FOB 新单PO-4500116864  及后面的订单</t>
  </si>
  <si>
    <t>Art Paper（2PK)</t>
  </si>
  <si>
    <t>Lid sticker</t>
  </si>
  <si>
    <t>77485（for 77486）</t>
  </si>
  <si>
    <t>Shrink Wrap（无UPC</t>
  </si>
  <si>
    <t>1000017721</t>
  </si>
  <si>
    <t>1000017722</t>
  </si>
  <si>
    <t>1000017723</t>
  </si>
  <si>
    <t>1000017725</t>
  </si>
  <si>
    <t>Yvonne Feng用于Amazon US FOB 新单PO-4500122523  及后面的订单</t>
  </si>
  <si>
    <t>Yvonne Feng用于Amazon US FOB 新单PO-4500122523 及后面的订单</t>
  </si>
  <si>
    <t>1000018525</t>
  </si>
  <si>
    <t>jasmine</t>
  </si>
  <si>
    <t>B</t>
  </si>
  <si>
    <t>优先与GQ6/GQ7配套使用</t>
  </si>
  <si>
    <t>1000018526</t>
  </si>
  <si>
    <t>C</t>
  </si>
  <si>
    <t>1000018527</t>
  </si>
  <si>
    <t>77485GQ6</t>
  </si>
  <si>
    <t>1000018528</t>
  </si>
  <si>
    <t>1000018529</t>
  </si>
  <si>
    <t>77485GQ7</t>
  </si>
  <si>
    <t>Jenny</t>
  </si>
  <si>
    <t>Crystal用于4500123937-504pcs，4500124528-504pcs，4500125836-504pcs，4500127403-2220pcs，剩余数量后面Crystal订单消耗</t>
  </si>
  <si>
    <t>此单按单订购不另建MA PO</t>
  </si>
  <si>
    <t>77485GQ1</t>
  </si>
  <si>
    <t>客版</t>
  </si>
  <si>
    <t>用于Andro订单4500127074</t>
  </si>
  <si>
    <t>1000019110</t>
  </si>
  <si>
    <t>1000019111</t>
  </si>
  <si>
    <t>1000019112</t>
  </si>
  <si>
    <t>工厂自行订购</t>
  </si>
  <si>
    <t>1000019270</t>
  </si>
  <si>
    <t>1L/3L共用</t>
  </si>
  <si>
    <t>用于Taylor#4500127840+Crystal 4500128237 /4500128247 / 4500128257+Yvonne 4500127487 / 4500127488</t>
  </si>
  <si>
    <t>Lid sticker(2PK)</t>
  </si>
  <si>
    <t>Yvonne Feng用于4500127487 / 4500127488 及后面的订单</t>
  </si>
  <si>
    <t>Daisy.Li</t>
  </si>
  <si>
    <t>4500128976 4500128972 4500128973</t>
  </si>
  <si>
    <t>1000019516</t>
  </si>
  <si>
    <t>1000019517</t>
  </si>
  <si>
    <t>1000019518</t>
  </si>
  <si>
    <t>1000019519</t>
  </si>
  <si>
    <t>1000019804</t>
  </si>
  <si>
    <t>1000019805</t>
  </si>
  <si>
    <t>1000020035</t>
  </si>
  <si>
    <t>1000020036</t>
  </si>
  <si>
    <t>4500129515  4500131027</t>
  </si>
  <si>
    <t xml:space="preserve">Kelly 4500126751, 4500126758 </t>
  </si>
  <si>
    <t>1000020194</t>
  </si>
  <si>
    <t>原：1000019113</t>
  </si>
  <si>
    <t>1000020177</t>
  </si>
  <si>
    <t>1000020178</t>
  </si>
  <si>
    <t>1000020179</t>
  </si>
  <si>
    <t>1000020180</t>
  </si>
  <si>
    <t>1000020193</t>
  </si>
  <si>
    <t>1000020734</t>
  </si>
  <si>
    <t>1000020735</t>
  </si>
  <si>
    <t>1000020736</t>
  </si>
  <si>
    <t>1000020737</t>
  </si>
  <si>
    <t>1000020738</t>
  </si>
  <si>
    <t>TBA</t>
  </si>
  <si>
    <t>1000021223</t>
  </si>
  <si>
    <t>1000021224</t>
  </si>
  <si>
    <t>Violet Chen</t>
  </si>
  <si>
    <t>Shrink Wrap（无UPC）</t>
  </si>
  <si>
    <t>Emily用于4500134838, 4500134839, 4500134840, 4500134841, 4500134842, 4500134843, 4500136499, 4500136503, 4500136506, 4500136522, 4500136526, 4500136536, 4500136539, 4500136556</t>
  </si>
  <si>
    <t>1000021483</t>
  </si>
  <si>
    <t>1000021484</t>
  </si>
  <si>
    <t>1000021485</t>
  </si>
  <si>
    <t>1000021486</t>
  </si>
  <si>
    <t>按实单订</t>
  </si>
  <si>
    <t>Willow Xu</t>
  </si>
  <si>
    <t>Emily用于PO#4500139071, 4500139075</t>
  </si>
  <si>
    <t xml:space="preserve">Taylor用于ROSS订单4500139689 
</t>
  </si>
  <si>
    <t>1000021896</t>
  </si>
  <si>
    <t>1000022126</t>
  </si>
  <si>
    <t>1000022127</t>
  </si>
  <si>
    <t>1000022128</t>
  </si>
  <si>
    <t>Maggie用于订单4500142773 4500142776 4500142775 4500142765 4500142774 4500142771 4500142769 4500143201</t>
  </si>
  <si>
    <t>Emily用于订单4500144054, 4500144055, 4500144056, 4500144057</t>
  </si>
  <si>
    <t>Maggie用于订单4500145358、4500146437、4500149317(116cps )</t>
  </si>
  <si>
    <t>1000023324</t>
  </si>
  <si>
    <t>1000023325</t>
  </si>
  <si>
    <t>1000023326</t>
  </si>
  <si>
    <t>1000023560</t>
  </si>
  <si>
    <t>Kathy4500146668</t>
  </si>
  <si>
    <t>1000023639</t>
  </si>
  <si>
    <t>Maggie用于订单 4500147326 4500149317（17696pcs)</t>
  </si>
  <si>
    <t>1000023981</t>
  </si>
  <si>
    <t>Maggie用于订单 4500149317</t>
  </si>
  <si>
    <t>1000023982</t>
  </si>
  <si>
    <t>Maggie用于订单 4500149317，剩余12352pcs下次消耗</t>
  </si>
  <si>
    <t>1000023993</t>
  </si>
  <si>
    <t>KathyPO4500148252，剩余数量待后续订单消耗</t>
  </si>
  <si>
    <t>1000024090</t>
  </si>
  <si>
    <t>1000024326</t>
  </si>
  <si>
    <t>Maggie用于订单 4500150721，4500152202消耗</t>
  </si>
  <si>
    <t>1000024335</t>
  </si>
  <si>
    <t>Yoyo用于Bealls 4500149782 1452pcs + Ross 订单 4200pcs + TJX 订单5004pcs + Amazon 订单1344pcs</t>
  </si>
  <si>
    <t>1000024336</t>
  </si>
  <si>
    <t>1000024337</t>
  </si>
  <si>
    <t>1000024482</t>
  </si>
  <si>
    <t>1000024483</t>
  </si>
  <si>
    <t>1000024484</t>
  </si>
  <si>
    <t>1000024538</t>
  </si>
  <si>
    <t>1000024650</t>
  </si>
  <si>
    <t>1000024651</t>
  </si>
  <si>
    <t>1000024690</t>
  </si>
  <si>
    <t>Maggie用于订单4500152202，剩余2400pcs下次消耗</t>
  </si>
  <si>
    <t>1000024691</t>
  </si>
  <si>
    <t>Maggie用于订单4500152202</t>
  </si>
  <si>
    <t>按实单订购</t>
  </si>
  <si>
    <t>77485GQ4</t>
  </si>
  <si>
    <t>1000025058</t>
  </si>
  <si>
    <t>Maggie用于订单4500153681和4500154532(7424pcs)</t>
  </si>
  <si>
    <t>1000025059</t>
  </si>
  <si>
    <t>Maggie用于订单4500153681</t>
  </si>
  <si>
    <t>1000025280</t>
  </si>
  <si>
    <t>Maggie用于订单4500154532 4500154533 4500156438(8992pcs )</t>
  </si>
  <si>
    <t>1000025281</t>
  </si>
  <si>
    <t>Maggie用于订单4500154532 4500154533</t>
  </si>
  <si>
    <t>1000025496</t>
  </si>
  <si>
    <t>1000025497</t>
  </si>
  <si>
    <t>1000025498</t>
  </si>
  <si>
    <t>1000025634</t>
  </si>
  <si>
    <t>Collector guide</t>
  </si>
  <si>
    <t>Maggie用于订单4500156438 4500156777、4500157306、4500161593</t>
  </si>
  <si>
    <t>1000025635</t>
  </si>
  <si>
    <t>Maggie用于订单4500156438</t>
  </si>
  <si>
    <t>1000025691</t>
  </si>
  <si>
    <t>Maggie用于订单4500156777、4500157306、4500161593</t>
  </si>
  <si>
    <t>1000027679</t>
  </si>
  <si>
    <t>1000027680</t>
  </si>
  <si>
    <t>1000027681</t>
  </si>
  <si>
    <t>1000028279</t>
  </si>
  <si>
    <t>Fiona Huang</t>
  </si>
  <si>
    <t>Maggie用于订单4500167618，剩252pcs留后续订单消耗</t>
  </si>
  <si>
    <t>1000028079</t>
  </si>
  <si>
    <t>1000028080</t>
  </si>
  <si>
    <t>Emily用于TJX US PO#4500171907~4500172370 共12张订单</t>
  </si>
  <si>
    <t>PVC  Tube(2PK)</t>
  </si>
  <si>
    <t>Shrink Wrap(without UPC)</t>
  </si>
  <si>
    <t>Emily用于TJX US PO#4500171907~4500171924 共12张订单</t>
  </si>
  <si>
    <t>Art Paper（3PK)</t>
  </si>
  <si>
    <t>Emily用于TJX US PO#4500171907~4500171924 共12张订单-10688pcs/用于Bealls PO#4500171933 + 未放订单-904pcs</t>
  </si>
  <si>
    <t>PVC  Tube(3PK)</t>
  </si>
  <si>
    <t>Lid sticker(3PK)</t>
  </si>
  <si>
    <t>1000029848</t>
  </si>
  <si>
    <t>Ariel Peng</t>
  </si>
  <si>
    <t>PVC Tube</t>
  </si>
  <si>
    <t>Ever用于PO#4500169860-8028PCS，剩下的276pcs 用于后续的ARCHIBRAND Mexico订单</t>
  </si>
  <si>
    <t>1000029849</t>
  </si>
  <si>
    <t>1000029850</t>
  </si>
  <si>
    <t>1000030138</t>
  </si>
  <si>
    <t>Maggie用于订单4500174229,</t>
  </si>
  <si>
    <t>1000030139</t>
  </si>
  <si>
    <t>Maggie用于订单4500174229,4500175910  (剩1760pcs待后续订单消耗)</t>
  </si>
  <si>
    <t>1000030838</t>
  </si>
  <si>
    <t>Maggie用于订单4500175910,   （ 4500176989 消耗212pcs）</t>
  </si>
  <si>
    <t>Maggie用于订单4500176989 （剩328pcs待消耗）</t>
  </si>
  <si>
    <t>Babbit</t>
  </si>
  <si>
    <t>Crystal用于PO#4500177504-732PCS</t>
  </si>
  <si>
    <t>17007654</t>
  </si>
  <si>
    <t>1000033000</t>
  </si>
  <si>
    <t>1000033332</t>
  </si>
  <si>
    <t>1000033513</t>
  </si>
  <si>
    <t>Kristin</t>
  </si>
  <si>
    <t>/</t>
  </si>
  <si>
    <t>1000033514</t>
  </si>
  <si>
    <t>1000033515</t>
  </si>
  <si>
    <t>Violet</t>
  </si>
  <si>
    <t xml:space="preserve"> 77485GQ4</t>
  </si>
  <si>
    <t>Cara用于订单4500182963</t>
  </si>
  <si>
    <t>1000033560</t>
  </si>
  <si>
    <t>17012367</t>
  </si>
  <si>
    <t>1000034654</t>
  </si>
  <si>
    <t>D</t>
  </si>
  <si>
    <t>1000034659</t>
  </si>
  <si>
    <t>Mina </t>
  </si>
  <si>
    <t>1000034660</t>
  </si>
  <si>
    <t>1000034661</t>
  </si>
  <si>
    <t>1000036775</t>
  </si>
  <si>
    <t>1000036776</t>
  </si>
  <si>
    <t>Mary用于订单4500204515</t>
  </si>
  <si>
    <t>Jasmine Huang</t>
  </si>
  <si>
    <t>无阶梯价</t>
  </si>
  <si>
    <t>Babbit Zhong</t>
  </si>
  <si>
    <t>Luna-4500209704</t>
  </si>
  <si>
    <t xml:space="preserve">Cara用于订单4500214466 </t>
  </si>
  <si>
    <t>Luna-4500215818-984</t>
  </si>
  <si>
    <t>Luna-4500215818-492</t>
  </si>
  <si>
    <t>补齐实单</t>
  </si>
  <si>
    <t>4代迷你小手袋包装MA明细</t>
  </si>
  <si>
    <t>MA 1L 收缩膜A</t>
  </si>
  <si>
    <t>77806 3L 无条码客版收缩膜</t>
  </si>
  <si>
    <t>MA 5L 收藏指南 A</t>
  </si>
  <si>
    <t>1L
GQ1-S001</t>
  </si>
  <si>
    <t>3L
GQ1-S001</t>
  </si>
  <si>
    <t>1L GQ2-S001</t>
  </si>
  <si>
    <t>3L GQ2-S001</t>
  </si>
  <si>
    <t>1L 
SK1-S001/S002</t>
  </si>
  <si>
    <t>1L 
SK1-S002只是底座</t>
  </si>
  <si>
    <t>3L 
SK1-S002</t>
  </si>
  <si>
    <t>3L 
SK1-S002只是底座</t>
  </si>
  <si>
    <t>1000030104</t>
  </si>
  <si>
    <t>Jasmine Hunag</t>
  </si>
  <si>
    <t>1000030106</t>
  </si>
  <si>
    <t>1000030183</t>
  </si>
  <si>
    <t>17011176</t>
  </si>
  <si>
    <t>77770GQ1</t>
  </si>
  <si>
    <t>1000030669</t>
  </si>
  <si>
    <t>77770GQ2</t>
  </si>
  <si>
    <t>1000031226</t>
  </si>
  <si>
    <t xml:space="preserve"> 
Fiona</t>
  </si>
  <si>
    <t>77770GQ4</t>
  </si>
  <si>
    <t>Maggie用于订单4500177643 ; 4500177644；4500178134；4500178135剩 80 pcs待后续订单消耗</t>
  </si>
  <si>
    <t>1000031113</t>
  </si>
  <si>
    <t>Maggie用于订单4500177094；4500177093；4500177091；4500177088；4500177086</t>
  </si>
  <si>
    <t>17011276</t>
  </si>
  <si>
    <t>1000032014</t>
  </si>
  <si>
    <t>Mina Pan</t>
  </si>
  <si>
    <t>Peggy用于PO4500179751-1500pcs，剩余数量待后续客户订单使用</t>
  </si>
  <si>
    <t>1000032015</t>
  </si>
  <si>
    <t>Sticker</t>
  </si>
  <si>
    <t>1000032016</t>
  </si>
  <si>
    <t>1000032264</t>
  </si>
  <si>
    <t>1000032265</t>
  </si>
  <si>
    <t>17011783</t>
  </si>
  <si>
    <t>77770SK1</t>
  </si>
  <si>
    <t>SIDEKICK</t>
  </si>
  <si>
    <t>1000032946</t>
  </si>
  <si>
    <t>展示架与底座分开单独订</t>
  </si>
  <si>
    <t>1000032947</t>
  </si>
  <si>
    <t>Base</t>
  </si>
  <si>
    <r>
      <rPr>
        <sz val="12"/>
        <rFont val="宋体"/>
        <charset val="134"/>
      </rPr>
      <t>单独的</t>
    </r>
    <r>
      <rPr>
        <sz val="12"/>
        <rFont val="Calibri"/>
        <charset val="134"/>
      </rPr>
      <t>BASE</t>
    </r>
  </si>
  <si>
    <t>1000032948</t>
  </si>
  <si>
    <t>1000032949</t>
  </si>
  <si>
    <t>1000032950</t>
  </si>
  <si>
    <t>17011590</t>
  </si>
  <si>
    <t>1000032951</t>
  </si>
  <si>
    <t>1000032880</t>
  </si>
  <si>
    <t>Crystal用于PO#4500181162</t>
  </si>
  <si>
    <t>1000032881</t>
  </si>
  <si>
    <t>1000032882</t>
  </si>
  <si>
    <t>1000032883</t>
  </si>
  <si>
    <t>1000033089</t>
  </si>
  <si>
    <t xml:space="preserve"> Fiona</t>
  </si>
  <si>
    <t>Maggie用于订单 4500180990，(剩400PCS待后续订单消耗）</t>
  </si>
  <si>
    <t>1000033146</t>
  </si>
  <si>
    <t>1000033147</t>
  </si>
  <si>
    <t>1000033148</t>
  </si>
  <si>
    <t>1000033149</t>
  </si>
  <si>
    <t>17011591</t>
  </si>
  <si>
    <t>1000033150</t>
  </si>
  <si>
    <t>1000033627</t>
  </si>
  <si>
    <t>Fiona</t>
  </si>
  <si>
    <t>Maggie用于订单 4500183832；4500183833；4500183834；4500183835；4500183836</t>
  </si>
  <si>
    <t>1000033651</t>
  </si>
  <si>
    <t>1000033652</t>
  </si>
  <si>
    <t>-</t>
  </si>
  <si>
    <t>1000033963</t>
  </si>
  <si>
    <t>1000033964</t>
  </si>
  <si>
    <t>1000033965</t>
  </si>
  <si>
    <t>1000033966</t>
  </si>
  <si>
    <t>1000033967</t>
  </si>
  <si>
    <t>1000034440</t>
  </si>
  <si>
    <t>1000034441</t>
  </si>
  <si>
    <t>1000034442</t>
  </si>
  <si>
    <t>1000034493</t>
  </si>
  <si>
    <t>无阶梯价，不建MA号</t>
  </si>
  <si>
    <t>1000034799</t>
  </si>
  <si>
    <t>1000034800</t>
  </si>
  <si>
    <t>1000035299</t>
  </si>
  <si>
    <t>Maggie用于订单
4500189982；4500189983；4500189985；4500190002；4500190004；4500190006</t>
  </si>
  <si>
    <t>1000035379</t>
  </si>
  <si>
    <t>Crystal用于PO#4500189248</t>
  </si>
  <si>
    <t>1000035380</t>
  </si>
  <si>
    <t>1000036403</t>
  </si>
  <si>
    <t>Maggie用于订单4500192878，（4500193218消耗200PCS</t>
  </si>
  <si>
    <t>1000036463</t>
  </si>
  <si>
    <t xml:space="preserve">Maggie用于订单4500193218
</t>
  </si>
  <si>
    <t>1000036546</t>
  </si>
  <si>
    <t>17011414</t>
  </si>
  <si>
    <t>Maggie用于订单
4500193953</t>
  </si>
  <si>
    <t>1000036777</t>
  </si>
  <si>
    <t>1000036778</t>
  </si>
  <si>
    <t>1000036779</t>
  </si>
  <si>
    <t>1000036888</t>
  </si>
  <si>
    <t xml:space="preserve">Maggie用于订单4500195023， 剩200PCS待消耗
</t>
  </si>
  <si>
    <t>1000038736</t>
  </si>
  <si>
    <t>1000038737</t>
  </si>
  <si>
    <t>1000038738</t>
  </si>
  <si>
    <t>1000039049</t>
  </si>
  <si>
    <t>Luna-4500197216/4500197232/4500201277/4500201281</t>
  </si>
  <si>
    <t>1000039050</t>
  </si>
  <si>
    <t>1000039051</t>
  </si>
  <si>
    <t>1000039052</t>
  </si>
  <si>
    <t>PVC  Tube</t>
  </si>
  <si>
    <t>una-4500213094</t>
  </si>
  <si>
    <t>放订时间</t>
  </si>
  <si>
    <r>
      <rPr>
        <sz val="13"/>
        <color rgb="FFFF0000"/>
        <rFont val="Tahoma"/>
        <charset val="134"/>
      </rPr>
      <t>MA</t>
    </r>
    <r>
      <rPr>
        <sz val="13"/>
        <color rgb="FFFF0000"/>
        <rFont val="宋体"/>
        <charset val="134"/>
      </rPr>
      <t>号</t>
    </r>
  </si>
  <si>
    <t>MA-RR-2366</t>
  </si>
  <si>
    <t>要求完成时间</t>
  </si>
  <si>
    <t>Figurines Name</t>
  </si>
  <si>
    <t>MA QTY</t>
  </si>
  <si>
    <t>合计</t>
  </si>
  <si>
    <t>实际接单数</t>
  </si>
  <si>
    <t>MA剩余数</t>
  </si>
  <si>
    <t>展示吸塑</t>
  </si>
  <si>
    <t>SK</t>
  </si>
  <si>
    <t>Ball</t>
  </si>
  <si>
    <t>球</t>
  </si>
  <si>
    <t>Bag</t>
  </si>
  <si>
    <t>Accy 1</t>
  </si>
  <si>
    <t>Accy 2</t>
  </si>
  <si>
    <t>Accy 3</t>
  </si>
  <si>
    <t>MA数</t>
  </si>
  <si>
    <t>Fashion S4 #77912</t>
  </si>
  <si>
    <t>组合1</t>
  </si>
  <si>
    <t>#1包包</t>
  </si>
  <si>
    <t>20#粉兰色球鞋</t>
  </si>
  <si>
    <t>18#粉色笔记本</t>
  </si>
  <si>
    <t>31#红色头箍</t>
  </si>
  <si>
    <t>订单数</t>
  </si>
  <si>
    <t>组合2</t>
  </si>
  <si>
    <t>#2包包</t>
  </si>
  <si>
    <t>7#粉色鞋子</t>
  </si>
  <si>
    <t>25#鸭子挂件</t>
  </si>
  <si>
    <t>36#粉色小腰包</t>
  </si>
  <si>
    <t>剩余数</t>
  </si>
  <si>
    <t>组合3</t>
  </si>
  <si>
    <t>#3包包</t>
  </si>
  <si>
    <t>6#牛仔布短靴</t>
  </si>
  <si>
    <t>26#蓝色太阳眼镜</t>
  </si>
  <si>
    <t>30#银色盖口红</t>
  </si>
  <si>
    <t>组合4</t>
  </si>
  <si>
    <t>#4包包</t>
  </si>
  <si>
    <t>21#乔丹球鞋</t>
  </si>
  <si>
    <t>16#钥匙挂件</t>
  </si>
  <si>
    <t>17#蓝色笔记本</t>
  </si>
  <si>
    <t>组合5</t>
  </si>
  <si>
    <t>#5包包</t>
  </si>
  <si>
    <t>19#啡色马丁靴</t>
  </si>
  <si>
    <t>33#绿色方巾</t>
  </si>
  <si>
    <t>41#金色手镯</t>
  </si>
  <si>
    <t>组合6</t>
  </si>
  <si>
    <t>#6包包</t>
  </si>
  <si>
    <t>11#黑色高靴</t>
  </si>
  <si>
    <t>14#化妆盒</t>
  </si>
  <si>
    <t>37#银色项链</t>
  </si>
  <si>
    <t>组合7</t>
  </si>
  <si>
    <t>#7包包</t>
  </si>
  <si>
    <t>1#梅红凉鞋（Rare）</t>
  </si>
  <si>
    <t>19#化妆箱（Rare）</t>
  </si>
  <si>
    <t>23#博美狮子（Rare）</t>
  </si>
  <si>
    <t>组合8</t>
  </si>
  <si>
    <t>#8包包</t>
  </si>
  <si>
    <t>12#粉紫植绒拖鞋</t>
  </si>
  <si>
    <t>20#小熊挂件</t>
  </si>
  <si>
    <t>34#紫色方巾</t>
  </si>
  <si>
    <t>组合9</t>
  </si>
  <si>
    <t>#9包包</t>
  </si>
  <si>
    <t>4#高跟凉鞋</t>
  </si>
  <si>
    <t>9#手镯</t>
  </si>
  <si>
    <t>11#粉色眼镜</t>
  </si>
  <si>
    <t>组合10</t>
  </si>
  <si>
    <t>#10包包</t>
  </si>
  <si>
    <t>2#粉色凉鞋</t>
  </si>
  <si>
    <t>4#紫色指甲油</t>
  </si>
  <si>
    <t>7#眼影盒</t>
  </si>
  <si>
    <t>组合11</t>
  </si>
  <si>
    <t>#11包包</t>
  </si>
  <si>
    <t>13#厚底豹纹布鞋</t>
  </si>
  <si>
    <t>3#红色指甲油</t>
  </si>
  <si>
    <t>28#唇釉</t>
  </si>
  <si>
    <t>组合12</t>
  </si>
  <si>
    <t>#12包包</t>
  </si>
  <si>
    <t>10#白色高靴</t>
  </si>
  <si>
    <t>5#金色香水瓶</t>
  </si>
  <si>
    <t>29#粉色盖口红</t>
  </si>
  <si>
    <t>组合13</t>
  </si>
  <si>
    <t>#13包包</t>
  </si>
  <si>
    <t>17#银黑色运动鞋</t>
  </si>
  <si>
    <t>24#哈巴狗</t>
  </si>
  <si>
    <t>35#银色小腰包</t>
  </si>
  <si>
    <t>组合14</t>
  </si>
  <si>
    <t>#14包包</t>
  </si>
  <si>
    <t>14#幻彩短靴</t>
  </si>
  <si>
    <t>15#照相机</t>
  </si>
  <si>
    <t>32#白色头箍</t>
  </si>
  <si>
    <t>组合15</t>
  </si>
  <si>
    <t>#15包包</t>
  </si>
  <si>
    <t>3#红色凉鞋</t>
  </si>
  <si>
    <t>38#金色项链</t>
  </si>
  <si>
    <t>44#金色耳环</t>
  </si>
  <si>
    <t>组合16</t>
  </si>
  <si>
    <t>#16包包</t>
  </si>
  <si>
    <r>
      <rPr>
        <b/>
        <sz val="12"/>
        <rFont val="Times New Roman"/>
        <charset val="134"/>
      </rPr>
      <t>40#</t>
    </r>
    <r>
      <rPr>
        <b/>
        <sz val="12"/>
        <rFont val="宋体"/>
        <charset val="134"/>
      </rPr>
      <t>红色贝雷帽</t>
    </r>
  </si>
  <si>
    <t>组合17</t>
  </si>
  <si>
    <t>#17包包</t>
  </si>
  <si>
    <t>16#金色花朵拖鞋</t>
  </si>
  <si>
    <t>21#女生杂志</t>
  </si>
  <si>
    <t>42#黑色手镯</t>
  </si>
  <si>
    <t>组合18</t>
  </si>
  <si>
    <t>#18包包</t>
  </si>
  <si>
    <t>15#巴黎世家球鞋</t>
  </si>
  <si>
    <t>1#车钥匙</t>
  </si>
  <si>
    <t>10#爱心挂绳</t>
  </si>
  <si>
    <t>组合19</t>
  </si>
  <si>
    <t>#19包包</t>
  </si>
  <si>
    <t>5#吊带蓝色短靴</t>
  </si>
  <si>
    <t>39#牛仔色鸭舌帽</t>
  </si>
  <si>
    <t>43#银色耳环</t>
  </si>
  <si>
    <t>组合20</t>
  </si>
  <si>
    <t>#20包包</t>
  </si>
  <si>
    <r>
      <rPr>
        <b/>
        <sz val="12"/>
        <rFont val="Times New Roman"/>
        <charset val="134"/>
      </rPr>
      <t>9#</t>
    </r>
    <r>
      <rPr>
        <b/>
        <sz val="12"/>
        <rFont val="宋体"/>
        <charset val="134"/>
      </rPr>
      <t>毛球拖鞋</t>
    </r>
  </si>
  <si>
    <t>12#紫色眼镜</t>
  </si>
  <si>
    <t>13#镜子</t>
  </si>
  <si>
    <t>组合21</t>
  </si>
  <si>
    <t>#21包包</t>
  </si>
  <si>
    <t>8#太阳花朵拖鞋</t>
  </si>
  <si>
    <t>8#M耳钉</t>
  </si>
  <si>
    <t>45#黑色暹罗猫</t>
  </si>
  <si>
    <t>组合22</t>
  </si>
  <si>
    <t>#22包包</t>
  </si>
  <si>
    <t>22#男生杂志</t>
  </si>
  <si>
    <t>27#绿色太阳眼镜</t>
  </si>
  <si>
    <t>组合23</t>
  </si>
  <si>
    <t>#23包包</t>
  </si>
  <si>
    <t>18#粉白色运动鞋</t>
  </si>
  <si>
    <t>2#手机</t>
  </si>
  <si>
    <t>6#迪奥香水瓶</t>
  </si>
  <si>
    <t>16/25pcs PDQ</t>
  </si>
  <si>
    <t>DEMO</t>
  </si>
  <si>
    <r>
      <rPr>
        <b/>
        <sz val="12"/>
        <color rgb="FF00B050"/>
        <rFont val="Times New Roman"/>
        <charset val="134"/>
      </rPr>
      <t>#2</t>
    </r>
    <r>
      <rPr>
        <b/>
        <sz val="12"/>
        <color indexed="21"/>
        <rFont val="宋体"/>
        <charset val="134"/>
      </rPr>
      <t>包包</t>
    </r>
  </si>
  <si>
    <r>
      <rPr>
        <b/>
        <sz val="12"/>
        <color rgb="FF00B050"/>
        <rFont val="Times New Roman"/>
        <charset val="134"/>
      </rPr>
      <t>#7</t>
    </r>
    <r>
      <rPr>
        <b/>
        <sz val="12"/>
        <color indexed="21"/>
        <rFont val="宋体"/>
        <charset val="134"/>
      </rPr>
      <t>包包</t>
    </r>
  </si>
  <si>
    <r>
      <rPr>
        <b/>
        <sz val="12"/>
        <color rgb="FF00B050"/>
        <rFont val="Times New Roman"/>
        <charset val="134"/>
      </rPr>
      <t>#11</t>
    </r>
    <r>
      <rPr>
        <b/>
        <sz val="12"/>
        <color indexed="21"/>
        <rFont val="宋体"/>
        <charset val="134"/>
      </rPr>
      <t>包包</t>
    </r>
  </si>
  <si>
    <r>
      <rPr>
        <b/>
        <sz val="12"/>
        <color rgb="FF00B050"/>
        <rFont val="Times New Roman"/>
        <charset val="134"/>
      </rPr>
      <t>#9</t>
    </r>
    <r>
      <rPr>
        <b/>
        <sz val="12"/>
        <color indexed="21"/>
        <rFont val="宋体"/>
        <charset val="134"/>
      </rPr>
      <t>毛球拖鞋</t>
    </r>
  </si>
  <si>
    <t>30pcs SK
60pcs SK</t>
  </si>
  <si>
    <r>
      <rPr>
        <b/>
        <sz val="12"/>
        <color rgb="FF00B050"/>
        <rFont val="Times New Roman"/>
        <charset val="134"/>
      </rPr>
      <t>#13</t>
    </r>
    <r>
      <rPr>
        <b/>
        <sz val="12"/>
        <color indexed="21"/>
        <rFont val="宋体"/>
        <charset val="134"/>
      </rPr>
      <t>包包</t>
    </r>
  </si>
  <si>
    <r>
      <rPr>
        <b/>
        <sz val="12"/>
        <color rgb="FF00B050"/>
        <rFont val="Times New Roman"/>
        <charset val="134"/>
      </rPr>
      <t>#33</t>
    </r>
    <r>
      <rPr>
        <b/>
        <sz val="12"/>
        <color indexed="21"/>
        <rFont val="宋体"/>
        <charset val="134"/>
      </rPr>
      <t>绿色方巾</t>
    </r>
  </si>
  <si>
    <r>
      <rPr>
        <b/>
        <sz val="12"/>
        <color rgb="FF00B050"/>
        <rFont val="Times New Roman"/>
        <charset val="134"/>
      </rPr>
      <t>#40</t>
    </r>
    <r>
      <rPr>
        <b/>
        <sz val="12"/>
        <color indexed="21"/>
        <rFont val="宋体"/>
        <charset val="134"/>
      </rPr>
      <t>红色贝雷帽</t>
    </r>
  </si>
  <si>
    <t>Grand Total</t>
  </si>
  <si>
    <t>新品待我司工程签样放产后才可安排备料及生产</t>
  </si>
  <si>
    <t>CONFIRMED AND ACCEPTED BY:</t>
  </si>
  <si>
    <t>SIGNATURE &amp; COMPANY CHOP</t>
  </si>
  <si>
    <t>放定日期</t>
  </si>
  <si>
    <r>
      <rPr>
        <sz val="11"/>
        <color theme="1"/>
        <rFont val="宋体"/>
        <charset val="134"/>
      </rPr>
      <t>不含鞋子</t>
    </r>
    <r>
      <rPr>
        <sz val="11"/>
        <color theme="1"/>
        <rFont val="Times New Roman"/>
        <charset val="134"/>
      </rPr>
      <t>FC</t>
    </r>
  </si>
  <si>
    <r>
      <rPr>
        <sz val="11"/>
        <color theme="1"/>
        <rFont val="宋体"/>
        <charset val="134"/>
      </rPr>
      <t>含鞋子</t>
    </r>
    <r>
      <rPr>
        <sz val="11"/>
        <color theme="1"/>
        <rFont val="Times New Roman"/>
        <charset val="134"/>
      </rPr>
      <t>FC</t>
    </r>
  </si>
  <si>
    <t>到料日期</t>
  </si>
  <si>
    <t>Damand FCST by 2023-4-25</t>
  </si>
  <si>
    <t>MA No.</t>
  </si>
  <si>
    <t>MA-RR-857</t>
  </si>
  <si>
    <t>MA-RR-927</t>
  </si>
  <si>
    <t>MA-RR-944</t>
  </si>
  <si>
    <t>MA-RR-1008</t>
  </si>
  <si>
    <t>MA-RR-1023</t>
  </si>
  <si>
    <t>MA-RR-1112</t>
  </si>
  <si>
    <t>MA_RR_1170</t>
  </si>
  <si>
    <t>MA_RR_1299</t>
  </si>
  <si>
    <r>
      <rPr>
        <b/>
        <sz val="11"/>
        <color theme="1"/>
        <rFont val="Times New Roman"/>
        <charset val="134"/>
      </rPr>
      <t>MA</t>
    </r>
    <r>
      <rPr>
        <b/>
        <sz val="11"/>
        <color theme="1"/>
        <rFont val="宋体"/>
        <charset val="134"/>
      </rPr>
      <t>（不含鞋子）</t>
    </r>
  </si>
  <si>
    <r>
      <rPr>
        <b/>
        <sz val="11"/>
        <color theme="1"/>
        <rFont val="Times New Roman"/>
        <charset val="134"/>
      </rPr>
      <t>MA</t>
    </r>
    <r>
      <rPr>
        <b/>
        <sz val="11"/>
        <color theme="1"/>
        <rFont val="宋体"/>
        <charset val="134"/>
      </rPr>
      <t>（含鞋子）</t>
    </r>
  </si>
  <si>
    <r>
      <rPr>
        <b/>
        <sz val="11"/>
        <color theme="0"/>
        <rFont val="黑体"/>
        <charset val="134"/>
      </rPr>
      <t>图片</t>
    </r>
  </si>
  <si>
    <r>
      <rPr>
        <b/>
        <sz val="11"/>
        <color theme="0"/>
        <rFont val="黑体"/>
        <charset val="134"/>
      </rPr>
      <t>名称</t>
    </r>
  </si>
  <si>
    <r>
      <rPr>
        <b/>
        <sz val="11"/>
        <color theme="0"/>
        <rFont val="Times New Roman"/>
        <charset val="134"/>
      </rPr>
      <t>Ratio 1(</t>
    </r>
    <r>
      <rPr>
        <b/>
        <sz val="11"/>
        <color theme="0"/>
        <rFont val="宋体"/>
        <charset val="134"/>
      </rPr>
      <t>不含鞋子）</t>
    </r>
  </si>
  <si>
    <r>
      <rPr>
        <b/>
        <sz val="11"/>
        <color theme="0"/>
        <rFont val="Times New Roman"/>
        <charset val="134"/>
      </rPr>
      <t>Ratio 2(</t>
    </r>
    <r>
      <rPr>
        <b/>
        <sz val="11"/>
        <color theme="0"/>
        <rFont val="宋体"/>
        <charset val="134"/>
      </rPr>
      <t>含鞋子）</t>
    </r>
  </si>
  <si>
    <r>
      <rPr>
        <sz val="11"/>
        <color theme="0"/>
        <rFont val="黑体"/>
        <charset val="134"/>
      </rPr>
      <t>布料名称</t>
    </r>
  </si>
  <si>
    <r>
      <rPr>
        <b/>
        <sz val="11"/>
        <color theme="0"/>
        <rFont val="黑体"/>
        <charset val="134"/>
      </rPr>
      <t>部位</t>
    </r>
  </si>
  <si>
    <t>MOQ</t>
  </si>
  <si>
    <r>
      <rPr>
        <b/>
        <sz val="11"/>
        <color theme="0"/>
        <rFont val="黑体"/>
        <charset val="134"/>
      </rPr>
      <t>用量</t>
    </r>
  </si>
  <si>
    <r>
      <rPr>
        <b/>
        <sz val="11"/>
        <color theme="0"/>
        <rFont val="黑体"/>
        <charset val="134"/>
      </rPr>
      <t>可生产数量</t>
    </r>
    <r>
      <rPr>
        <b/>
        <sz val="11"/>
        <color theme="0"/>
        <rFont val="Times New Roman"/>
        <charset val="134"/>
      </rPr>
      <t>(PCS)</t>
    </r>
  </si>
  <si>
    <r>
      <rPr>
        <b/>
        <sz val="11"/>
        <color theme="0"/>
        <rFont val="黑体"/>
        <charset val="134"/>
      </rPr>
      <t xml:space="preserve">单价
</t>
    </r>
    <r>
      <rPr>
        <b/>
        <sz val="11"/>
        <color theme="0"/>
        <rFont val="Times New Roman"/>
        <charset val="134"/>
      </rPr>
      <t>(RMB)</t>
    </r>
  </si>
  <si>
    <r>
      <rPr>
        <b/>
        <sz val="11"/>
        <color theme="0"/>
        <rFont val="黑体"/>
        <charset val="134"/>
      </rPr>
      <t>布料生產期單位</t>
    </r>
    <r>
      <rPr>
        <b/>
        <sz val="11"/>
        <color theme="0"/>
        <rFont val="Times New Roman"/>
        <charset val="134"/>
      </rPr>
      <t>(</t>
    </r>
    <r>
      <rPr>
        <b/>
        <sz val="11"/>
        <color theme="0"/>
        <rFont val="黑体"/>
        <charset val="134"/>
      </rPr>
      <t>天</t>
    </r>
    <r>
      <rPr>
        <b/>
        <sz val="11"/>
        <color theme="0"/>
        <rFont val="Times New Roman"/>
        <charset val="134"/>
      </rPr>
      <t>)</t>
    </r>
  </si>
  <si>
    <r>
      <rPr>
        <b/>
        <sz val="11"/>
        <color theme="0"/>
        <rFont val="Times New Roman"/>
        <charset val="134"/>
      </rPr>
      <t>MOQ</t>
    </r>
    <r>
      <rPr>
        <b/>
        <sz val="11"/>
        <color theme="0"/>
        <rFont val="黑体"/>
        <charset val="134"/>
      </rPr>
      <t>生产量</t>
    </r>
    <r>
      <rPr>
        <b/>
        <sz val="11"/>
        <color theme="0"/>
        <rFont val="宋体"/>
        <charset val="134"/>
      </rPr>
      <t>（不含鞋子）</t>
    </r>
  </si>
  <si>
    <r>
      <rPr>
        <b/>
        <sz val="11"/>
        <color theme="0"/>
        <rFont val="Times New Roman"/>
        <charset val="134"/>
      </rPr>
      <t>MOQ</t>
    </r>
    <r>
      <rPr>
        <b/>
        <sz val="11"/>
        <color theme="0"/>
        <rFont val="黑体"/>
        <charset val="134"/>
      </rPr>
      <t>生产量</t>
    </r>
    <r>
      <rPr>
        <b/>
        <sz val="11"/>
        <color theme="0"/>
        <rFont val="宋体"/>
        <charset val="134"/>
      </rPr>
      <t>（含鞋子）</t>
    </r>
  </si>
  <si>
    <r>
      <rPr>
        <b/>
        <sz val="11"/>
        <color theme="0"/>
        <rFont val="黑体"/>
        <charset val="134"/>
      </rPr>
      <t>备注</t>
    </r>
  </si>
  <si>
    <r>
      <rPr>
        <b/>
        <sz val="11"/>
        <color theme="0"/>
        <rFont val="Times New Roman"/>
        <charset val="134"/>
      </rPr>
      <t>FCST</t>
    </r>
    <r>
      <rPr>
        <b/>
        <sz val="11"/>
        <color theme="0"/>
        <rFont val="黑体"/>
        <charset val="134"/>
      </rPr>
      <t>布料需求量</t>
    </r>
  </si>
  <si>
    <r>
      <rPr>
        <b/>
        <sz val="11"/>
        <color theme="0"/>
        <rFont val="黑体"/>
        <charset val="134"/>
      </rPr>
      <t>新购买</t>
    </r>
  </si>
  <si>
    <r>
      <rPr>
        <b/>
        <sz val="11"/>
        <color rgb="FFFFC000"/>
        <rFont val="宋体"/>
        <charset val="134"/>
      </rPr>
      <t>累计</t>
    </r>
    <r>
      <rPr>
        <b/>
        <sz val="11"/>
        <color rgb="FFFFC000"/>
        <rFont val="黑体"/>
        <charset val="134"/>
      </rPr>
      <t>购买金额</t>
    </r>
  </si>
  <si>
    <r>
      <rPr>
        <b/>
        <sz val="11"/>
        <color theme="0"/>
        <rFont val="Times New Roman"/>
        <charset val="134"/>
      </rPr>
      <t>S2</t>
    </r>
    <r>
      <rPr>
        <b/>
        <sz val="11"/>
        <color theme="0"/>
        <rFont val="黑体"/>
        <charset val="134"/>
      </rPr>
      <t>剩余数量</t>
    </r>
  </si>
  <si>
    <r>
      <rPr>
        <b/>
        <sz val="11"/>
        <color theme="0"/>
        <rFont val="黑体"/>
        <charset val="134"/>
      </rPr>
      <t>共用比例</t>
    </r>
    <r>
      <rPr>
        <b/>
        <sz val="11"/>
        <color theme="0"/>
        <rFont val="Times New Roman"/>
        <charset val="134"/>
      </rPr>
      <t>1</t>
    </r>
  </si>
  <si>
    <t>共用比例2</t>
  </si>
  <si>
    <r>
      <rPr>
        <b/>
        <sz val="11"/>
        <color theme="0"/>
        <rFont val="Times New Roman"/>
        <charset val="134"/>
      </rPr>
      <t>S2</t>
    </r>
    <r>
      <rPr>
        <b/>
        <sz val="11"/>
        <color theme="0"/>
        <rFont val="黑体"/>
        <charset val="134"/>
      </rPr>
      <t>结余分配布料数量</t>
    </r>
  </si>
  <si>
    <t>总布料数</t>
  </si>
  <si>
    <r>
      <rPr>
        <b/>
        <sz val="11"/>
        <color rgb="FFFFFF00"/>
        <rFont val="宋体"/>
        <charset val="134"/>
      </rPr>
      <t>布料</t>
    </r>
    <r>
      <rPr>
        <b/>
        <sz val="11"/>
        <color rgb="FFFFFF00"/>
        <rFont val="宋体"/>
        <charset val="134"/>
      </rPr>
      <t>可生产包包数</t>
    </r>
  </si>
  <si>
    <r>
      <rPr>
        <b/>
        <sz val="11"/>
        <color theme="0"/>
        <rFont val="宋体"/>
        <charset val="134"/>
      </rPr>
      <t>放订</t>
    </r>
    <r>
      <rPr>
        <b/>
        <sz val="11"/>
        <color theme="0"/>
        <rFont val="Times New Roman"/>
        <charset val="134"/>
      </rPr>
      <t>MA</t>
    </r>
    <r>
      <rPr>
        <b/>
        <sz val="11"/>
        <color theme="0"/>
        <rFont val="宋体"/>
        <charset val="134"/>
      </rPr>
      <t>所需包/帽子/鞋子数（球</t>
    </r>
    <r>
      <rPr>
        <b/>
        <sz val="11"/>
        <color theme="0"/>
        <rFont val="Times New Roman"/>
        <charset val="134"/>
      </rPr>
      <t>+DEMO)</t>
    </r>
  </si>
  <si>
    <r>
      <rPr>
        <b/>
        <sz val="11"/>
        <color rgb="FFFFFF00"/>
        <rFont val="Times New Roman"/>
        <charset val="134"/>
      </rPr>
      <t>S3</t>
    </r>
    <r>
      <rPr>
        <b/>
        <sz val="11"/>
        <color rgb="FFFFFF00"/>
        <rFont val="黑体"/>
        <charset val="134"/>
      </rPr>
      <t>生产</t>
    </r>
    <r>
      <rPr>
        <b/>
        <sz val="11"/>
        <color rgb="FFFFFF00"/>
        <rFont val="Times New Roman"/>
        <charset val="134"/>
      </rPr>
      <t>MA</t>
    </r>
    <r>
      <rPr>
        <b/>
        <sz val="11"/>
        <color rgb="FFFFFF00"/>
        <rFont val="黑体"/>
        <charset val="134"/>
      </rPr>
      <t>包包所需布料数</t>
    </r>
  </si>
  <si>
    <r>
      <rPr>
        <b/>
        <sz val="11"/>
        <rFont val="Times New Roman"/>
        <charset val="134"/>
      </rPr>
      <t>S2+S3</t>
    </r>
    <r>
      <rPr>
        <b/>
        <sz val="11"/>
        <rFont val="宋体"/>
        <charset val="134"/>
      </rPr>
      <t>理论布料结余</t>
    </r>
  </si>
  <si>
    <r>
      <rPr>
        <b/>
        <sz val="11"/>
        <rFont val="Times New Roman"/>
        <charset val="134"/>
      </rPr>
      <t>S2</t>
    </r>
    <r>
      <rPr>
        <b/>
        <sz val="11"/>
        <rFont val="宋体"/>
        <charset val="134"/>
      </rPr>
      <t>消耗</t>
    </r>
  </si>
  <si>
    <r>
      <rPr>
        <b/>
        <sz val="11"/>
        <rFont val="Times New Roman"/>
        <charset val="134"/>
      </rPr>
      <t>21pcs Demo (#1+#4+#11+#17</t>
    </r>
    <r>
      <rPr>
        <b/>
        <sz val="11"/>
        <rFont val="宋体"/>
        <charset val="134"/>
      </rPr>
      <t>鞋子</t>
    </r>
    <r>
      <rPr>
        <b/>
        <sz val="11"/>
        <rFont val="Times New Roman"/>
        <charset val="134"/>
      </rPr>
      <t>)</t>
    </r>
  </si>
  <si>
    <r>
      <rPr>
        <b/>
        <sz val="11"/>
        <rFont val="Times New Roman"/>
        <charset val="134"/>
      </rPr>
      <t>30 SK Demo (#21</t>
    </r>
    <r>
      <rPr>
        <b/>
        <sz val="11"/>
        <rFont val="宋体"/>
        <charset val="134"/>
      </rPr>
      <t>包</t>
    </r>
    <r>
      <rPr>
        <b/>
        <sz val="11"/>
        <rFont val="Times New Roman"/>
        <charset val="134"/>
      </rPr>
      <t>+#1</t>
    </r>
    <r>
      <rPr>
        <b/>
        <sz val="11"/>
        <rFont val="宋体"/>
        <charset val="134"/>
      </rPr>
      <t>鞋</t>
    </r>
    <r>
      <rPr>
        <b/>
        <sz val="11"/>
        <rFont val="Times New Roman"/>
        <charset val="134"/>
      </rPr>
      <t>+#4</t>
    </r>
    <r>
      <rPr>
        <b/>
        <sz val="11"/>
        <rFont val="宋体"/>
        <charset val="134"/>
      </rPr>
      <t>包</t>
    </r>
    <r>
      <rPr>
        <b/>
        <sz val="11"/>
        <rFont val="Times New Roman"/>
        <charset val="134"/>
      </rPr>
      <t>)</t>
    </r>
  </si>
  <si>
    <r>
      <rPr>
        <b/>
        <sz val="11"/>
        <rFont val="Times New Roman"/>
        <charset val="134"/>
      </rPr>
      <t>60 SK Demo (#1</t>
    </r>
    <r>
      <rPr>
        <b/>
        <sz val="11"/>
        <rFont val="宋体"/>
        <charset val="134"/>
      </rPr>
      <t>包</t>
    </r>
    <r>
      <rPr>
        <b/>
        <sz val="11"/>
        <rFont val="Times New Roman"/>
        <charset val="134"/>
      </rPr>
      <t>+#1</t>
    </r>
    <r>
      <rPr>
        <b/>
        <sz val="11"/>
        <rFont val="宋体"/>
        <charset val="134"/>
      </rPr>
      <t>鞋子</t>
    </r>
    <r>
      <rPr>
        <b/>
        <sz val="11"/>
        <rFont val="Times New Roman"/>
        <charset val="134"/>
      </rPr>
      <t>+#3</t>
    </r>
    <r>
      <rPr>
        <b/>
        <sz val="11"/>
        <rFont val="宋体"/>
        <charset val="134"/>
      </rPr>
      <t>配饰</t>
    </r>
    <r>
      <rPr>
        <b/>
        <sz val="11"/>
        <rFont val="Times New Roman"/>
        <charset val="134"/>
      </rPr>
      <t>)</t>
    </r>
  </si>
  <si>
    <r>
      <rPr>
        <b/>
        <sz val="11"/>
        <rFont val="宋体"/>
        <charset val="134"/>
      </rPr>
      <t>不带鞋子</t>
    </r>
    <r>
      <rPr>
        <b/>
        <sz val="11"/>
        <rFont val="Times New Roman"/>
        <charset val="134"/>
      </rPr>
      <t>SK</t>
    </r>
    <r>
      <rPr>
        <b/>
        <sz val="11"/>
        <rFont val="宋体"/>
        <charset val="134"/>
      </rPr>
      <t>（</t>
    </r>
    <r>
      <rPr>
        <b/>
        <sz val="11"/>
        <rFont val="Times New Roman"/>
        <charset val="134"/>
      </rPr>
      <t>#1</t>
    </r>
    <r>
      <rPr>
        <b/>
        <sz val="11"/>
        <rFont val="宋体"/>
        <charset val="134"/>
      </rPr>
      <t>包</t>
    </r>
    <r>
      <rPr>
        <b/>
        <sz val="11"/>
        <rFont val="Times New Roman"/>
        <charset val="134"/>
      </rPr>
      <t>+#11</t>
    </r>
    <r>
      <rPr>
        <b/>
        <sz val="11"/>
        <rFont val="宋体"/>
        <charset val="134"/>
      </rPr>
      <t>包</t>
    </r>
    <r>
      <rPr>
        <b/>
        <sz val="11"/>
        <rFont val="Times New Roman"/>
        <charset val="134"/>
      </rPr>
      <t>+#3</t>
    </r>
    <r>
      <rPr>
        <b/>
        <sz val="11"/>
        <rFont val="宋体"/>
        <charset val="134"/>
      </rPr>
      <t>粉帽子）</t>
    </r>
  </si>
  <si>
    <r>
      <rPr>
        <b/>
        <sz val="11"/>
        <rFont val="宋体"/>
        <charset val="134"/>
      </rPr>
      <t>理论结余布料可生产</t>
    </r>
    <r>
      <rPr>
        <b/>
        <sz val="11"/>
        <rFont val="Times New Roman"/>
        <charset val="134"/>
      </rPr>
      <t>MA</t>
    </r>
  </si>
  <si>
    <r>
      <rPr>
        <b/>
        <sz val="11"/>
        <rFont val="Times New Roman"/>
        <charset val="134"/>
      </rPr>
      <t>2023-11-17 RR</t>
    </r>
    <r>
      <rPr>
        <b/>
        <sz val="11"/>
        <rFont val="宋体"/>
        <charset val="134"/>
      </rPr>
      <t>确认扣除82万</t>
    </r>
    <r>
      <rPr>
        <b/>
        <sz val="11"/>
        <rFont val="Times New Roman"/>
        <charset val="134"/>
      </rPr>
      <t>MA</t>
    </r>
    <r>
      <rPr>
        <b/>
        <sz val="11"/>
        <rFont val="宋体"/>
        <charset val="134"/>
      </rPr>
      <t>后多余布料</t>
    </r>
  </si>
  <si>
    <r>
      <rPr>
        <sz val="11"/>
        <color theme="1"/>
        <rFont val="Times New Roman"/>
        <charset val="134"/>
      </rPr>
      <t xml:space="preserve">#22RARE </t>
    </r>
    <r>
      <rPr>
        <sz val="11"/>
        <color theme="1"/>
        <rFont val="黑体"/>
        <charset val="134"/>
      </rPr>
      <t>红色背包</t>
    </r>
  </si>
  <si>
    <r>
      <rPr>
        <sz val="11"/>
        <rFont val="Times New Roman"/>
        <charset val="134"/>
      </rPr>
      <t>54"</t>
    </r>
    <r>
      <rPr>
        <sz val="11"/>
        <rFont val="黑体"/>
        <charset val="134"/>
      </rPr>
      <t>红色</t>
    </r>
    <r>
      <rPr>
        <sz val="11"/>
        <rFont val="Times New Roman"/>
        <charset val="134"/>
      </rPr>
      <t>PU</t>
    </r>
    <r>
      <rPr>
        <sz val="11"/>
        <rFont val="黑体"/>
        <charset val="134"/>
      </rPr>
      <t>压纹</t>
    </r>
  </si>
  <si>
    <r>
      <rPr>
        <sz val="11"/>
        <rFont val="黑体"/>
        <charset val="134"/>
      </rPr>
      <t>前外片</t>
    </r>
  </si>
  <si>
    <r>
      <rPr>
        <sz val="11"/>
        <color theme="1"/>
        <rFont val="Times New Roman"/>
        <charset val="134"/>
      </rPr>
      <t>40</t>
    </r>
    <r>
      <rPr>
        <sz val="11"/>
        <color theme="1"/>
        <rFont val="黑体"/>
        <charset val="134"/>
      </rPr>
      <t>天</t>
    </r>
  </si>
  <si>
    <r>
      <rPr>
        <sz val="11"/>
        <rFont val="Times New Roman"/>
        <charset val="134"/>
      </rPr>
      <t>54"</t>
    </r>
    <r>
      <rPr>
        <sz val="11"/>
        <rFont val="黑体"/>
        <charset val="134"/>
      </rPr>
      <t>红色</t>
    </r>
    <r>
      <rPr>
        <sz val="11"/>
        <rFont val="Times New Roman"/>
        <charset val="134"/>
      </rPr>
      <t>PU/</t>
    </r>
    <r>
      <rPr>
        <sz val="11"/>
        <rFont val="黑体"/>
        <charset val="134"/>
      </rPr>
      <t>同底同色</t>
    </r>
  </si>
  <si>
    <r>
      <rPr>
        <sz val="11"/>
        <rFont val="黑体"/>
        <charset val="134"/>
      </rPr>
      <t>外片</t>
    </r>
    <r>
      <rPr>
        <sz val="11"/>
        <rFont val="Times New Roman"/>
        <charset val="134"/>
      </rPr>
      <t>/</t>
    </r>
    <r>
      <rPr>
        <sz val="11"/>
        <rFont val="黑体"/>
        <charset val="134"/>
      </rPr>
      <t>提手</t>
    </r>
  </si>
  <si>
    <r>
      <rPr>
        <sz val="11"/>
        <color theme="1"/>
        <rFont val="黑体"/>
        <charset val="134"/>
      </rPr>
      <t>共用</t>
    </r>
    <r>
      <rPr>
        <sz val="11"/>
        <color theme="1"/>
        <rFont val="Times New Roman"/>
        <charset val="134"/>
      </rPr>
      <t>RARE/#6-S2#4</t>
    </r>
  </si>
  <si>
    <r>
      <rPr>
        <sz val="11"/>
        <rFont val="Times New Roman"/>
        <charset val="134"/>
      </rPr>
      <t>60"</t>
    </r>
    <r>
      <rPr>
        <sz val="11"/>
        <rFont val="黑体"/>
        <charset val="134"/>
      </rPr>
      <t>红色加密植绒布佳积底</t>
    </r>
  </si>
  <si>
    <r>
      <rPr>
        <sz val="11"/>
        <rFont val="黑体"/>
        <charset val="134"/>
      </rPr>
      <t>内衬</t>
    </r>
  </si>
  <si>
    <r>
      <rPr>
        <sz val="11"/>
        <color theme="1"/>
        <rFont val="黑体"/>
        <charset val="134"/>
      </rPr>
      <t>共用</t>
    </r>
    <r>
      <rPr>
        <sz val="11"/>
        <color theme="1"/>
        <rFont val="Times New Roman"/>
        <charset val="134"/>
      </rPr>
      <t>RARE/#6-</t>
    </r>
    <r>
      <rPr>
        <sz val="11"/>
        <color rgb="FFFF0000"/>
        <rFont val="Times New Roman"/>
        <charset val="134"/>
      </rPr>
      <t>S2</t>
    </r>
    <r>
      <rPr>
        <sz val="11"/>
        <color theme="1"/>
        <rFont val="Times New Roman"/>
        <charset val="134"/>
      </rPr>
      <t>#4</t>
    </r>
  </si>
  <si>
    <r>
      <rPr>
        <sz val="11"/>
        <rFont val="黑体"/>
        <charset val="134"/>
      </rPr>
      <t>全套辅料</t>
    </r>
  </si>
  <si>
    <r>
      <rPr>
        <sz val="11"/>
        <color theme="1"/>
        <rFont val="Times New Roman"/>
        <charset val="134"/>
      </rPr>
      <t>#2</t>
    </r>
    <r>
      <rPr>
        <sz val="11"/>
        <color theme="1"/>
        <rFont val="黑体"/>
        <charset val="134"/>
      </rPr>
      <t>透明网格包</t>
    </r>
  </si>
  <si>
    <r>
      <rPr>
        <sz val="11"/>
        <rFont val="Times New Roman"/>
        <charset val="134"/>
      </rPr>
      <t>54"</t>
    </r>
    <r>
      <rPr>
        <sz val="11"/>
        <rFont val="黑体"/>
        <charset val="134"/>
      </rPr>
      <t>黑色</t>
    </r>
    <r>
      <rPr>
        <sz val="11"/>
        <rFont val="Times New Roman"/>
        <charset val="134"/>
      </rPr>
      <t>PU</t>
    </r>
    <r>
      <rPr>
        <sz val="11"/>
        <rFont val="黑体"/>
        <charset val="134"/>
      </rPr>
      <t>皮</t>
    </r>
  </si>
  <si>
    <r>
      <rPr>
        <sz val="11"/>
        <rFont val="黑体"/>
        <charset val="134"/>
      </rPr>
      <t>前后片</t>
    </r>
    <r>
      <rPr>
        <sz val="11"/>
        <rFont val="Times New Roman"/>
        <charset val="134"/>
      </rPr>
      <t>/</t>
    </r>
    <r>
      <rPr>
        <sz val="11"/>
        <rFont val="黑体"/>
        <charset val="134"/>
      </rPr>
      <t>提手</t>
    </r>
  </si>
  <si>
    <r>
      <rPr>
        <sz val="11"/>
        <color theme="1"/>
        <rFont val="黑体"/>
        <charset val="134"/>
      </rPr>
      <t>共用</t>
    </r>
    <r>
      <rPr>
        <sz val="11"/>
        <color theme="1"/>
        <rFont val="Times New Roman"/>
        <charset val="134"/>
      </rPr>
      <t>S2-#6</t>
    </r>
    <r>
      <rPr>
        <sz val="11"/>
        <color theme="1"/>
        <rFont val="黑体"/>
        <charset val="134"/>
      </rPr>
      <t>、</t>
    </r>
    <r>
      <rPr>
        <sz val="11"/>
        <color theme="1"/>
        <rFont val="Times New Roman"/>
        <charset val="134"/>
      </rPr>
      <t>S2#8</t>
    </r>
  </si>
  <si>
    <r>
      <rPr>
        <sz val="11"/>
        <rFont val="Times New Roman"/>
        <charset val="134"/>
      </rPr>
      <t>54"0.2MM</t>
    </r>
    <r>
      <rPr>
        <sz val="11"/>
        <rFont val="黑体"/>
        <charset val="134"/>
      </rPr>
      <t>透明</t>
    </r>
    <r>
      <rPr>
        <sz val="11"/>
        <rFont val="Times New Roman"/>
        <charset val="134"/>
      </rPr>
      <t xml:space="preserve">PVC </t>
    </r>
  </si>
  <si>
    <r>
      <rPr>
        <sz val="11"/>
        <rFont val="黑体"/>
        <charset val="134"/>
      </rPr>
      <t>底衬</t>
    </r>
  </si>
  <si>
    <r>
      <rPr>
        <sz val="11"/>
        <color theme="1"/>
        <rFont val="Times New Roman"/>
        <charset val="134"/>
      </rPr>
      <t>#3</t>
    </r>
    <r>
      <rPr>
        <sz val="11"/>
        <color theme="1"/>
        <rFont val="黑体"/>
        <charset val="134"/>
      </rPr>
      <t>黑白色飞鸟格包</t>
    </r>
    <r>
      <rPr>
        <sz val="11"/>
        <color rgb="FFFF0000"/>
        <rFont val="Times New Roman"/>
        <charset val="134"/>
      </rPr>
      <t xml:space="preserve"> </t>
    </r>
  </si>
  <si>
    <r>
      <rPr>
        <sz val="11"/>
        <rFont val="Times New Roman"/>
        <charset val="134"/>
      </rPr>
      <t>54"</t>
    </r>
    <r>
      <rPr>
        <sz val="11"/>
        <rFont val="黑体"/>
        <charset val="134"/>
      </rPr>
      <t>黑白色飞鸟格</t>
    </r>
  </si>
  <si>
    <r>
      <rPr>
        <sz val="11"/>
        <rFont val="黑体"/>
        <charset val="134"/>
      </rPr>
      <t>前后片</t>
    </r>
    <r>
      <rPr>
        <sz val="11"/>
        <rFont val="Times New Roman"/>
        <charset val="134"/>
      </rPr>
      <t>/</t>
    </r>
    <r>
      <rPr>
        <sz val="11"/>
        <rFont val="黑体"/>
        <charset val="134"/>
      </rPr>
      <t>侧片</t>
    </r>
  </si>
  <si>
    <r>
      <rPr>
        <sz val="11"/>
        <rFont val="Times New Roman"/>
        <charset val="134"/>
      </rPr>
      <t>54"</t>
    </r>
    <r>
      <rPr>
        <sz val="11"/>
        <rFont val="黑体"/>
        <charset val="134"/>
      </rPr>
      <t>金色</t>
    </r>
    <r>
      <rPr>
        <sz val="11"/>
        <rFont val="Times New Roman"/>
        <charset val="134"/>
      </rPr>
      <t>PU</t>
    </r>
    <r>
      <rPr>
        <sz val="11"/>
        <rFont val="黑体"/>
        <charset val="134"/>
      </rPr>
      <t>皮</t>
    </r>
  </si>
  <si>
    <r>
      <rPr>
        <sz val="11"/>
        <rFont val="黑体"/>
        <charset val="134"/>
      </rPr>
      <t>提手</t>
    </r>
    <r>
      <rPr>
        <sz val="11"/>
        <rFont val="Times New Roman"/>
        <charset val="134"/>
      </rPr>
      <t>/</t>
    </r>
    <r>
      <rPr>
        <sz val="11"/>
        <rFont val="黑体"/>
        <charset val="134"/>
      </rPr>
      <t>边条</t>
    </r>
  </si>
  <si>
    <r>
      <rPr>
        <sz val="11"/>
        <color theme="1"/>
        <rFont val="黑体"/>
        <charset val="134"/>
      </rPr>
      <t>不共用</t>
    </r>
  </si>
  <si>
    <r>
      <rPr>
        <sz val="11"/>
        <rFont val="Times New Roman"/>
        <charset val="134"/>
      </rPr>
      <t>60"</t>
    </r>
    <r>
      <rPr>
        <sz val="11"/>
        <rFont val="黑体"/>
        <charset val="134"/>
      </rPr>
      <t>黑色加密植绒布佳积底</t>
    </r>
  </si>
  <si>
    <r>
      <rPr>
        <sz val="11"/>
        <color theme="1"/>
        <rFont val="黑体"/>
        <charset val="134"/>
      </rPr>
      <t>共用</t>
    </r>
    <r>
      <rPr>
        <sz val="11"/>
        <color theme="1"/>
        <rFont val="Times New Roman"/>
        <charset val="134"/>
      </rPr>
      <t>S2-#17</t>
    </r>
  </si>
  <si>
    <r>
      <rPr>
        <sz val="11"/>
        <color theme="1"/>
        <rFont val="Times New Roman"/>
        <charset val="134"/>
      </rPr>
      <t>#4</t>
    </r>
    <r>
      <rPr>
        <sz val="11"/>
        <color theme="1"/>
        <rFont val="黑体"/>
        <charset val="134"/>
      </rPr>
      <t>米白色印花包（</t>
    </r>
    <r>
      <rPr>
        <sz val="11"/>
        <color rgb="FFFF0000"/>
        <rFont val="Times New Roman"/>
        <charset val="134"/>
      </rPr>
      <t>21pcs PDQ Demo</t>
    </r>
    <r>
      <rPr>
        <sz val="11"/>
        <color theme="1"/>
        <rFont val="黑体"/>
        <charset val="134"/>
      </rPr>
      <t>）</t>
    </r>
  </si>
  <si>
    <r>
      <rPr>
        <sz val="11"/>
        <rFont val="Times New Roman"/>
        <charset val="134"/>
      </rPr>
      <t>54"</t>
    </r>
    <r>
      <rPr>
        <sz val="11"/>
        <rFont val="黑体"/>
        <charset val="134"/>
      </rPr>
      <t>米白色</t>
    </r>
    <r>
      <rPr>
        <sz val="11"/>
        <rFont val="Times New Roman"/>
        <charset val="134"/>
      </rPr>
      <t>PU</t>
    </r>
    <r>
      <rPr>
        <sz val="11"/>
        <rFont val="黑体"/>
        <charset val="134"/>
      </rPr>
      <t>皮</t>
    </r>
    <r>
      <rPr>
        <sz val="11"/>
        <rFont val="Times New Roman"/>
        <charset val="134"/>
      </rPr>
      <t>/</t>
    </r>
    <r>
      <rPr>
        <sz val="11"/>
        <rFont val="黑体"/>
        <charset val="134"/>
      </rPr>
      <t>同底同色</t>
    </r>
  </si>
  <si>
    <r>
      <rPr>
        <sz val="11"/>
        <rFont val="黑体"/>
        <charset val="134"/>
      </rPr>
      <t>前片</t>
    </r>
    <r>
      <rPr>
        <sz val="11"/>
        <rFont val="Times New Roman"/>
        <charset val="134"/>
      </rPr>
      <t>/</t>
    </r>
    <r>
      <rPr>
        <sz val="11"/>
        <rFont val="黑体"/>
        <charset val="134"/>
      </rPr>
      <t>侧边</t>
    </r>
    <r>
      <rPr>
        <sz val="11"/>
        <rFont val="Times New Roman"/>
        <charset val="134"/>
      </rPr>
      <t>/</t>
    </r>
    <r>
      <rPr>
        <sz val="11"/>
        <rFont val="黑体"/>
        <charset val="134"/>
      </rPr>
      <t>后片外</t>
    </r>
  </si>
  <si>
    <r>
      <rPr>
        <sz val="11"/>
        <color theme="1"/>
        <rFont val="黑体"/>
        <charset val="134"/>
      </rPr>
      <t>公用</t>
    </r>
    <r>
      <rPr>
        <sz val="11"/>
        <color theme="1"/>
        <rFont val="Times New Roman"/>
        <charset val="134"/>
      </rPr>
      <t>#4#8#15</t>
    </r>
  </si>
  <si>
    <r>
      <rPr>
        <sz val="11"/>
        <color theme="1"/>
        <rFont val="Times New Roman"/>
        <charset val="134"/>
      </rPr>
      <t>#5</t>
    </r>
    <r>
      <rPr>
        <sz val="11"/>
        <color theme="1"/>
        <rFont val="黑体"/>
        <charset val="134"/>
      </rPr>
      <t>黑色包</t>
    </r>
  </si>
  <si>
    <r>
      <rPr>
        <sz val="11"/>
        <rFont val="Times New Roman"/>
        <charset val="134"/>
      </rPr>
      <t>58"</t>
    </r>
    <r>
      <rPr>
        <sz val="11"/>
        <rFont val="黑体"/>
        <charset val="134"/>
      </rPr>
      <t>黑色色丁布</t>
    </r>
  </si>
  <si>
    <r>
      <rPr>
        <sz val="11"/>
        <color theme="1"/>
        <rFont val="黑体"/>
        <charset val="134"/>
      </rPr>
      <t>袋面</t>
    </r>
  </si>
  <si>
    <r>
      <rPr>
        <sz val="11"/>
        <rFont val="Times New Roman"/>
        <charset val="134"/>
      </rPr>
      <t>58"</t>
    </r>
    <r>
      <rPr>
        <sz val="11"/>
        <rFont val="黑体"/>
        <charset val="134"/>
      </rPr>
      <t>黑色佳绩布</t>
    </r>
  </si>
  <si>
    <r>
      <rPr>
        <sz val="11"/>
        <rFont val="Times New Roman"/>
        <charset val="134"/>
      </rPr>
      <t>54"</t>
    </r>
    <r>
      <rPr>
        <sz val="11"/>
        <rFont val="黑体"/>
        <charset val="134"/>
      </rPr>
      <t>黑色亚光</t>
    </r>
    <r>
      <rPr>
        <sz val="11"/>
        <rFont val="Times New Roman"/>
        <charset val="134"/>
      </rPr>
      <t>PU</t>
    </r>
    <r>
      <rPr>
        <sz val="11"/>
        <rFont val="黑体"/>
        <charset val="134"/>
      </rPr>
      <t>皮</t>
    </r>
  </si>
  <si>
    <r>
      <rPr>
        <sz val="11"/>
        <color theme="1"/>
        <rFont val="黑体"/>
        <charset val="134"/>
      </rPr>
      <t>手提</t>
    </r>
    <r>
      <rPr>
        <sz val="11"/>
        <color theme="1"/>
        <rFont val="Times New Roman"/>
        <charset val="134"/>
      </rPr>
      <t>/</t>
    </r>
    <r>
      <rPr>
        <sz val="11"/>
        <color theme="1"/>
        <rFont val="黑体"/>
        <charset val="134"/>
      </rPr>
      <t>袋侧</t>
    </r>
  </si>
  <si>
    <r>
      <rPr>
        <sz val="11"/>
        <color theme="1"/>
        <rFont val="Times New Roman"/>
        <charset val="134"/>
      </rPr>
      <t>#6</t>
    </r>
    <r>
      <rPr>
        <sz val="11"/>
        <color theme="1"/>
        <rFont val="黑体"/>
        <charset val="134"/>
      </rPr>
      <t>红色包</t>
    </r>
  </si>
  <si>
    <r>
      <rPr>
        <sz val="11"/>
        <rFont val="黑体"/>
        <charset val="134"/>
      </rPr>
      <t>袋身</t>
    </r>
    <r>
      <rPr>
        <sz val="11"/>
        <rFont val="Times New Roman"/>
        <charset val="134"/>
      </rPr>
      <t>/</t>
    </r>
    <r>
      <rPr>
        <sz val="11"/>
        <rFont val="黑体"/>
        <charset val="134"/>
      </rPr>
      <t>袋边</t>
    </r>
  </si>
  <si>
    <r>
      <rPr>
        <sz val="11"/>
        <rFont val="黑体"/>
        <charset val="134"/>
      </rPr>
      <t>前后片</t>
    </r>
  </si>
  <si>
    <r>
      <rPr>
        <sz val="11"/>
        <rFont val="Times New Roman"/>
        <charset val="134"/>
      </rPr>
      <t>31"0.55MM</t>
    </r>
    <r>
      <rPr>
        <sz val="11"/>
        <rFont val="黑体"/>
        <charset val="134"/>
      </rPr>
      <t>厚白</t>
    </r>
    <r>
      <rPr>
        <sz val="11"/>
        <rFont val="Times New Roman"/>
        <charset val="134"/>
      </rPr>
      <t>/</t>
    </r>
    <r>
      <rPr>
        <sz val="11"/>
        <rFont val="黑体"/>
        <charset val="134"/>
      </rPr>
      <t>灰纸板</t>
    </r>
  </si>
  <si>
    <r>
      <rPr>
        <sz val="11"/>
        <rFont val="黑体"/>
        <charset val="134"/>
      </rPr>
      <t>底</t>
    </r>
  </si>
  <si>
    <r>
      <rPr>
        <sz val="11"/>
        <color theme="1"/>
        <rFont val="Times New Roman"/>
        <charset val="134"/>
      </rPr>
      <t>S2/S3</t>
    </r>
    <r>
      <rPr>
        <sz val="11"/>
        <color theme="1"/>
        <rFont val="黑体"/>
        <charset val="134"/>
      </rPr>
      <t>共用</t>
    </r>
    <r>
      <rPr>
        <sz val="11"/>
        <color theme="1"/>
        <rFont val="Times New Roman"/>
        <charset val="134"/>
      </rPr>
      <t>#6#7#8#9#10#11##12#13</t>
    </r>
  </si>
  <si>
    <r>
      <rPr>
        <sz val="11"/>
        <color theme="1"/>
        <rFont val="Times New Roman"/>
        <charset val="134"/>
      </rPr>
      <t>#7</t>
    </r>
    <r>
      <rPr>
        <sz val="11"/>
        <color theme="1"/>
        <rFont val="黑体"/>
        <charset val="134"/>
      </rPr>
      <t>白色印字母包</t>
    </r>
  </si>
  <si>
    <r>
      <rPr>
        <sz val="11"/>
        <rFont val="Times New Roman"/>
        <charset val="134"/>
      </rPr>
      <t>54"</t>
    </r>
    <r>
      <rPr>
        <sz val="11"/>
        <rFont val="黑体"/>
        <charset val="134"/>
      </rPr>
      <t>白色</t>
    </r>
    <r>
      <rPr>
        <sz val="11"/>
        <rFont val="Times New Roman"/>
        <charset val="134"/>
      </rPr>
      <t>PU</t>
    </r>
    <r>
      <rPr>
        <sz val="11"/>
        <rFont val="黑体"/>
        <charset val="134"/>
      </rPr>
      <t>皮印花</t>
    </r>
  </si>
  <si>
    <r>
      <rPr>
        <sz val="11"/>
        <rFont val="黑体"/>
        <charset val="134"/>
      </rPr>
      <t>袋身</t>
    </r>
    <r>
      <rPr>
        <sz val="11"/>
        <rFont val="Times New Roman"/>
        <charset val="134"/>
      </rPr>
      <t>/</t>
    </r>
    <r>
      <rPr>
        <sz val="11"/>
        <rFont val="黑体"/>
        <charset val="134"/>
      </rPr>
      <t>袋盖</t>
    </r>
  </si>
  <si>
    <r>
      <rPr>
        <sz val="11"/>
        <rFont val="Times New Roman"/>
        <charset val="134"/>
      </rPr>
      <t>60"</t>
    </r>
    <r>
      <rPr>
        <sz val="11"/>
        <rFont val="黑体"/>
        <charset val="134"/>
      </rPr>
      <t>本白色加密植绒布佳积底</t>
    </r>
  </si>
  <si>
    <r>
      <rPr>
        <sz val="11"/>
        <rFont val="黑体"/>
        <charset val="134"/>
      </rPr>
      <t>前袋侧</t>
    </r>
    <r>
      <rPr>
        <sz val="11"/>
        <rFont val="Times New Roman"/>
        <charset val="134"/>
      </rPr>
      <t>/</t>
    </r>
    <r>
      <rPr>
        <sz val="11"/>
        <rFont val="黑体"/>
        <charset val="134"/>
      </rPr>
      <t>侧袋</t>
    </r>
  </si>
  <si>
    <r>
      <rPr>
        <sz val="11"/>
        <color theme="1"/>
        <rFont val="黑体"/>
        <charset val="134"/>
      </rPr>
      <t>共用</t>
    </r>
    <r>
      <rPr>
        <sz val="11"/>
        <color theme="1"/>
        <rFont val="Times New Roman"/>
        <charset val="134"/>
      </rPr>
      <t>S2-#3</t>
    </r>
  </si>
  <si>
    <r>
      <rPr>
        <sz val="11"/>
        <rFont val="Times New Roman"/>
        <charset val="134"/>
      </rPr>
      <t>54"</t>
    </r>
    <r>
      <rPr>
        <sz val="11"/>
        <rFont val="黑体"/>
        <charset val="134"/>
      </rPr>
      <t>杏色</t>
    </r>
    <r>
      <rPr>
        <sz val="11"/>
        <rFont val="Times New Roman"/>
        <charset val="134"/>
      </rPr>
      <t>PU</t>
    </r>
    <r>
      <rPr>
        <sz val="11"/>
        <rFont val="黑体"/>
        <charset val="134"/>
      </rPr>
      <t>皮</t>
    </r>
  </si>
  <si>
    <r>
      <rPr>
        <sz val="11"/>
        <rFont val="黑体"/>
        <charset val="134"/>
      </rPr>
      <t>袋盖边</t>
    </r>
  </si>
  <si>
    <r>
      <rPr>
        <sz val="11"/>
        <color theme="1"/>
        <rFont val="Times New Roman"/>
        <charset val="134"/>
      </rPr>
      <t>#8</t>
    </r>
    <r>
      <rPr>
        <sz val="11"/>
        <color theme="1"/>
        <rFont val="黑体"/>
        <charset val="134"/>
      </rPr>
      <t>黑白间条包</t>
    </r>
  </si>
  <si>
    <r>
      <rPr>
        <sz val="11"/>
        <color theme="1"/>
        <rFont val="黑体"/>
        <charset val="134"/>
      </rPr>
      <t>共用</t>
    </r>
    <r>
      <rPr>
        <sz val="11"/>
        <color theme="1"/>
        <rFont val="Times New Roman"/>
        <charset val="134"/>
      </rPr>
      <t>#4#8#15</t>
    </r>
  </si>
  <si>
    <r>
      <rPr>
        <sz val="11"/>
        <rFont val="Times New Roman"/>
        <charset val="134"/>
      </rPr>
      <t>54"</t>
    </r>
    <r>
      <rPr>
        <sz val="11"/>
        <rFont val="黑体"/>
        <charset val="134"/>
      </rPr>
      <t>黑色亚光</t>
    </r>
    <r>
      <rPr>
        <sz val="11"/>
        <rFont val="Times New Roman"/>
        <charset val="134"/>
      </rPr>
      <t>PU</t>
    </r>
    <r>
      <rPr>
        <sz val="11"/>
        <rFont val="黑体"/>
        <charset val="134"/>
      </rPr>
      <t>皮</t>
    </r>
    <r>
      <rPr>
        <sz val="11"/>
        <rFont val="Times New Roman"/>
        <charset val="134"/>
      </rPr>
      <t>(</t>
    </r>
    <r>
      <rPr>
        <sz val="11"/>
        <rFont val="黑体"/>
        <charset val="134"/>
      </rPr>
      <t>硬）</t>
    </r>
  </si>
  <si>
    <r>
      <rPr>
        <sz val="11"/>
        <rFont val="黑体"/>
        <charset val="134"/>
      </rPr>
      <t>外袋</t>
    </r>
    <r>
      <rPr>
        <sz val="11"/>
        <rFont val="Times New Roman"/>
        <charset val="134"/>
      </rPr>
      <t>/</t>
    </r>
    <r>
      <rPr>
        <sz val="11"/>
        <rFont val="黑体"/>
        <charset val="134"/>
      </rPr>
      <t>内袋</t>
    </r>
    <r>
      <rPr>
        <sz val="11"/>
        <rFont val="Times New Roman"/>
        <charset val="134"/>
      </rPr>
      <t>/</t>
    </r>
    <r>
      <rPr>
        <sz val="11"/>
        <rFont val="黑体"/>
        <charset val="134"/>
      </rPr>
      <t>底</t>
    </r>
    <r>
      <rPr>
        <sz val="11"/>
        <rFont val="Times New Roman"/>
        <charset val="134"/>
      </rPr>
      <t>/</t>
    </r>
    <r>
      <rPr>
        <sz val="11"/>
        <rFont val="黑体"/>
        <charset val="134"/>
      </rPr>
      <t>提手</t>
    </r>
  </si>
  <si>
    <r>
      <rPr>
        <strike/>
        <sz val="11"/>
        <color theme="1"/>
        <rFont val="黑体"/>
        <charset val="134"/>
      </rPr>
      <t>共用</t>
    </r>
  </si>
  <si>
    <r>
      <rPr>
        <sz val="11"/>
        <rFont val="Times New Roman"/>
        <charset val="134"/>
      </rPr>
      <t>48":0.3MM</t>
    </r>
    <r>
      <rPr>
        <sz val="11"/>
        <rFont val="黑体"/>
        <charset val="134"/>
      </rPr>
      <t>透明</t>
    </r>
    <r>
      <rPr>
        <sz val="11"/>
        <rFont val="Times New Roman"/>
        <charset val="134"/>
      </rPr>
      <t>PVC</t>
    </r>
  </si>
  <si>
    <r>
      <rPr>
        <sz val="11"/>
        <color theme="1"/>
        <rFont val="Times New Roman"/>
        <charset val="134"/>
      </rPr>
      <t>#9</t>
    </r>
    <r>
      <rPr>
        <sz val="11"/>
        <color theme="1"/>
        <rFont val="黑体"/>
        <charset val="134"/>
      </rPr>
      <t>啡色流苏包</t>
    </r>
  </si>
  <si>
    <r>
      <rPr>
        <sz val="11"/>
        <rFont val="Times New Roman"/>
        <charset val="134"/>
      </rPr>
      <t>54"</t>
    </r>
    <r>
      <rPr>
        <sz val="11"/>
        <rFont val="黑体"/>
        <charset val="134"/>
      </rPr>
      <t>啡色</t>
    </r>
    <r>
      <rPr>
        <sz val="11"/>
        <rFont val="Times New Roman"/>
        <charset val="134"/>
      </rPr>
      <t>PU/</t>
    </r>
    <r>
      <rPr>
        <sz val="11"/>
        <rFont val="黑体"/>
        <charset val="134"/>
      </rPr>
      <t>同底同色</t>
    </r>
  </si>
  <si>
    <r>
      <rPr>
        <sz val="11"/>
        <rFont val="黑体"/>
        <charset val="134"/>
      </rPr>
      <t>前后片外</t>
    </r>
    <r>
      <rPr>
        <sz val="11"/>
        <rFont val="Times New Roman"/>
        <charset val="134"/>
      </rPr>
      <t>/</t>
    </r>
    <r>
      <rPr>
        <sz val="11"/>
        <rFont val="黑体"/>
        <charset val="134"/>
      </rPr>
      <t>侧边</t>
    </r>
  </si>
  <si>
    <r>
      <rPr>
        <sz val="11"/>
        <rFont val="Times New Roman"/>
        <charset val="134"/>
      </rPr>
      <t>54"</t>
    </r>
    <r>
      <rPr>
        <sz val="11"/>
        <rFont val="黑体"/>
        <charset val="134"/>
      </rPr>
      <t>深棕色</t>
    </r>
    <r>
      <rPr>
        <sz val="11"/>
        <rFont val="Times New Roman"/>
        <charset val="134"/>
      </rPr>
      <t>PU</t>
    </r>
    <r>
      <rPr>
        <sz val="11"/>
        <rFont val="黑体"/>
        <charset val="134"/>
      </rPr>
      <t>皮</t>
    </r>
  </si>
  <si>
    <r>
      <rPr>
        <sz val="11"/>
        <rFont val="黑体"/>
        <charset val="134"/>
      </rPr>
      <t>提手</t>
    </r>
  </si>
  <si>
    <r>
      <rPr>
        <sz val="11"/>
        <rFont val="Times New Roman"/>
        <charset val="134"/>
      </rPr>
      <t>54"</t>
    </r>
    <r>
      <rPr>
        <sz val="11"/>
        <rFont val="黑体"/>
        <charset val="134"/>
      </rPr>
      <t>啡色植绒</t>
    </r>
    <r>
      <rPr>
        <sz val="11"/>
        <rFont val="Times New Roman"/>
        <charset val="134"/>
      </rPr>
      <t>PU</t>
    </r>
  </si>
  <si>
    <r>
      <rPr>
        <sz val="11"/>
        <rFont val="黑体"/>
        <charset val="134"/>
      </rPr>
      <t>流苏</t>
    </r>
  </si>
  <si>
    <r>
      <rPr>
        <sz val="11"/>
        <color theme="1"/>
        <rFont val="Times New Roman"/>
        <charset val="134"/>
      </rPr>
      <t>#10</t>
    </r>
    <r>
      <rPr>
        <sz val="11"/>
        <color theme="1"/>
        <rFont val="黑体"/>
        <charset val="134"/>
      </rPr>
      <t>啡色印花包</t>
    </r>
  </si>
  <si>
    <r>
      <rPr>
        <sz val="11"/>
        <rFont val="Times New Roman"/>
        <charset val="134"/>
      </rPr>
      <t>54"</t>
    </r>
    <r>
      <rPr>
        <sz val="11"/>
        <rFont val="黑体"/>
        <charset val="134"/>
      </rPr>
      <t>加啡色</t>
    </r>
    <r>
      <rPr>
        <sz val="11"/>
        <rFont val="Times New Roman"/>
        <charset val="134"/>
      </rPr>
      <t>PU</t>
    </r>
    <r>
      <rPr>
        <sz val="11"/>
        <rFont val="黑体"/>
        <charset val="134"/>
      </rPr>
      <t>皮</t>
    </r>
  </si>
  <si>
    <r>
      <rPr>
        <sz val="11"/>
        <rFont val="Times New Roman"/>
        <charset val="134"/>
      </rPr>
      <t>54"</t>
    </r>
    <r>
      <rPr>
        <sz val="11"/>
        <rFont val="黑体"/>
        <charset val="134"/>
      </rPr>
      <t>米黄色</t>
    </r>
    <r>
      <rPr>
        <sz val="11"/>
        <rFont val="Times New Roman"/>
        <charset val="134"/>
      </rPr>
      <t>PU</t>
    </r>
  </si>
  <si>
    <r>
      <rPr>
        <sz val="11"/>
        <color theme="1"/>
        <rFont val="Times New Roman"/>
        <charset val="134"/>
      </rPr>
      <t>#11</t>
    </r>
    <r>
      <rPr>
        <sz val="11"/>
        <color theme="1"/>
        <rFont val="黑体"/>
        <charset val="134"/>
      </rPr>
      <t>格子</t>
    </r>
    <r>
      <rPr>
        <sz val="11"/>
        <color theme="1"/>
        <rFont val="Times New Roman"/>
        <charset val="134"/>
      </rPr>
      <t>PU</t>
    </r>
    <r>
      <rPr>
        <sz val="11"/>
        <color theme="1"/>
        <rFont val="黑体"/>
        <charset val="134"/>
      </rPr>
      <t>包包（玫红色）</t>
    </r>
    <r>
      <rPr>
        <sz val="11"/>
        <color rgb="FFFF0000"/>
        <rFont val="Times New Roman"/>
        <charset val="134"/>
      </rPr>
      <t>21pcs PDQ Demo</t>
    </r>
  </si>
  <si>
    <r>
      <rPr>
        <sz val="11"/>
        <rFont val="Times New Roman"/>
        <charset val="134"/>
      </rPr>
      <t>54"</t>
    </r>
    <r>
      <rPr>
        <sz val="11"/>
        <rFont val="黑体"/>
        <charset val="134"/>
      </rPr>
      <t>玫红平面格子</t>
    </r>
    <r>
      <rPr>
        <sz val="11"/>
        <rFont val="Times New Roman"/>
        <charset val="134"/>
      </rPr>
      <t>PU/</t>
    </r>
    <r>
      <rPr>
        <sz val="11"/>
        <rFont val="黑体"/>
        <charset val="134"/>
      </rPr>
      <t>同底同色</t>
    </r>
  </si>
  <si>
    <r>
      <rPr>
        <sz val="11"/>
        <rFont val="黑体"/>
        <charset val="134"/>
      </rPr>
      <t>包前后片</t>
    </r>
  </si>
  <si>
    <r>
      <rPr>
        <sz val="11"/>
        <rFont val="Times New Roman"/>
        <charset val="134"/>
      </rPr>
      <t>54"</t>
    </r>
    <r>
      <rPr>
        <sz val="11"/>
        <rFont val="黑体"/>
        <charset val="134"/>
      </rPr>
      <t>玫红</t>
    </r>
    <r>
      <rPr>
        <sz val="11"/>
        <rFont val="Times New Roman"/>
        <charset val="134"/>
      </rPr>
      <t>PU</t>
    </r>
  </si>
  <si>
    <r>
      <rPr>
        <sz val="11"/>
        <rFont val="黑体"/>
        <charset val="134"/>
      </rPr>
      <t>袋盖</t>
    </r>
    <r>
      <rPr>
        <sz val="11"/>
        <rFont val="Times New Roman"/>
        <charset val="134"/>
      </rPr>
      <t>/</t>
    </r>
    <r>
      <rPr>
        <sz val="11"/>
        <rFont val="黑体"/>
        <charset val="134"/>
      </rPr>
      <t>底边</t>
    </r>
    <r>
      <rPr>
        <sz val="11"/>
        <rFont val="Times New Roman"/>
        <charset val="134"/>
      </rPr>
      <t>/</t>
    </r>
    <r>
      <rPr>
        <sz val="11"/>
        <rFont val="黑体"/>
        <charset val="134"/>
      </rPr>
      <t>提手</t>
    </r>
  </si>
  <si>
    <r>
      <rPr>
        <sz val="11"/>
        <rFont val="黑体"/>
        <charset val="134"/>
      </rPr>
      <t>底纸板</t>
    </r>
  </si>
  <si>
    <r>
      <rPr>
        <sz val="11"/>
        <color theme="1"/>
        <rFont val="Times New Roman"/>
        <charset val="134"/>
      </rPr>
      <t>#12</t>
    </r>
    <r>
      <rPr>
        <sz val="11"/>
        <color theme="1"/>
        <rFont val="黑体"/>
        <charset val="134"/>
      </rPr>
      <t>格子</t>
    </r>
    <r>
      <rPr>
        <sz val="11"/>
        <color theme="1"/>
        <rFont val="Times New Roman"/>
        <charset val="134"/>
      </rPr>
      <t>PU</t>
    </r>
    <r>
      <rPr>
        <sz val="11"/>
        <color theme="1"/>
        <rFont val="黑体"/>
        <charset val="134"/>
      </rPr>
      <t>包包（白色）</t>
    </r>
  </si>
  <si>
    <r>
      <rPr>
        <sz val="11"/>
        <rFont val="Times New Roman"/>
        <charset val="134"/>
      </rPr>
      <t>54"</t>
    </r>
    <r>
      <rPr>
        <sz val="11"/>
        <rFont val="黑体"/>
        <charset val="134"/>
      </rPr>
      <t>白色平面格子</t>
    </r>
    <r>
      <rPr>
        <sz val="11"/>
        <rFont val="Times New Roman"/>
        <charset val="134"/>
      </rPr>
      <t>PU/</t>
    </r>
    <r>
      <rPr>
        <sz val="11"/>
        <rFont val="黑体"/>
        <charset val="134"/>
      </rPr>
      <t>同底同色</t>
    </r>
  </si>
  <si>
    <r>
      <rPr>
        <sz val="11"/>
        <rFont val="Times New Roman"/>
        <charset val="134"/>
      </rPr>
      <t>54"</t>
    </r>
    <r>
      <rPr>
        <sz val="11"/>
        <rFont val="黑体"/>
        <charset val="134"/>
      </rPr>
      <t>白色</t>
    </r>
    <r>
      <rPr>
        <sz val="11"/>
        <rFont val="Times New Roman"/>
        <charset val="134"/>
      </rPr>
      <t>PU</t>
    </r>
  </si>
  <si>
    <r>
      <rPr>
        <sz val="11"/>
        <color theme="1"/>
        <rFont val="Times New Roman"/>
        <charset val="134"/>
      </rPr>
      <t>#13</t>
    </r>
    <r>
      <rPr>
        <sz val="11"/>
        <color theme="1"/>
        <rFont val="黑体"/>
        <charset val="134"/>
      </rPr>
      <t>格子</t>
    </r>
    <r>
      <rPr>
        <sz val="11"/>
        <color theme="1"/>
        <rFont val="Times New Roman"/>
        <charset val="134"/>
      </rPr>
      <t>PU</t>
    </r>
    <r>
      <rPr>
        <sz val="11"/>
        <color theme="1"/>
        <rFont val="黑体"/>
        <charset val="134"/>
      </rPr>
      <t>包包（蓝色）</t>
    </r>
  </si>
  <si>
    <r>
      <rPr>
        <sz val="11"/>
        <rFont val="Times New Roman"/>
        <charset val="134"/>
      </rPr>
      <t>54"</t>
    </r>
    <r>
      <rPr>
        <sz val="11"/>
        <rFont val="黑体"/>
        <charset val="134"/>
      </rPr>
      <t>蓝色平面格子</t>
    </r>
    <r>
      <rPr>
        <sz val="11"/>
        <rFont val="Times New Roman"/>
        <charset val="134"/>
      </rPr>
      <t>PU/</t>
    </r>
    <r>
      <rPr>
        <sz val="11"/>
        <rFont val="黑体"/>
        <charset val="134"/>
      </rPr>
      <t>同底同色</t>
    </r>
  </si>
  <si>
    <r>
      <rPr>
        <sz val="11"/>
        <rFont val="Times New Roman"/>
        <charset val="134"/>
      </rPr>
      <t>54"</t>
    </r>
    <r>
      <rPr>
        <sz val="11"/>
        <rFont val="黑体"/>
        <charset val="134"/>
      </rPr>
      <t>蓝色</t>
    </r>
    <r>
      <rPr>
        <sz val="11"/>
        <rFont val="Times New Roman"/>
        <charset val="134"/>
      </rPr>
      <t>PU</t>
    </r>
  </si>
  <si>
    <r>
      <rPr>
        <sz val="11"/>
        <color theme="1"/>
        <rFont val="Times New Roman"/>
        <charset val="134"/>
      </rPr>
      <t>#14</t>
    </r>
    <r>
      <rPr>
        <sz val="11"/>
        <color theme="1"/>
        <rFont val="黑体"/>
        <charset val="134"/>
      </rPr>
      <t>麻布包包（玫红）</t>
    </r>
  </si>
  <si>
    <r>
      <rPr>
        <sz val="11"/>
        <rFont val="Times New Roman"/>
        <charset val="134"/>
      </rPr>
      <t>54"</t>
    </r>
    <r>
      <rPr>
        <sz val="11"/>
        <rFont val="黑体"/>
        <charset val="134"/>
      </rPr>
      <t>玫红色麻布</t>
    </r>
  </si>
  <si>
    <r>
      <rPr>
        <sz val="11"/>
        <rFont val="黑体"/>
        <charset val="134"/>
      </rPr>
      <t>袋身</t>
    </r>
    <r>
      <rPr>
        <sz val="11"/>
        <rFont val="Times New Roman"/>
        <charset val="134"/>
      </rPr>
      <t>/</t>
    </r>
    <r>
      <rPr>
        <sz val="11"/>
        <rFont val="黑体"/>
        <charset val="134"/>
      </rPr>
      <t>背带</t>
    </r>
  </si>
  <si>
    <r>
      <rPr>
        <sz val="11"/>
        <color theme="1"/>
        <rFont val="Times New Roman"/>
        <charset val="134"/>
      </rPr>
      <t>54"</t>
    </r>
    <r>
      <rPr>
        <sz val="11"/>
        <color theme="1"/>
        <rFont val="黑体"/>
        <charset val="134"/>
      </rPr>
      <t>玫红色</t>
    </r>
    <r>
      <rPr>
        <sz val="11"/>
        <color theme="1"/>
        <rFont val="Times New Roman"/>
        <charset val="134"/>
      </rPr>
      <t>PU/</t>
    </r>
    <r>
      <rPr>
        <sz val="11"/>
        <color theme="1"/>
        <rFont val="黑体"/>
        <charset val="134"/>
      </rPr>
      <t>同底同色</t>
    </r>
  </si>
  <si>
    <r>
      <rPr>
        <sz val="11"/>
        <rFont val="黑体"/>
        <charset val="134"/>
      </rPr>
      <t>袋口边</t>
    </r>
  </si>
  <si>
    <r>
      <rPr>
        <sz val="11"/>
        <rFont val="黑体"/>
        <charset val="134"/>
      </rPr>
      <t>共用</t>
    </r>
    <r>
      <rPr>
        <sz val="11"/>
        <rFont val="Times New Roman"/>
        <charset val="134"/>
      </rPr>
      <t>S2-#21</t>
    </r>
  </si>
  <si>
    <r>
      <rPr>
        <sz val="11"/>
        <rFont val="Times New Roman"/>
        <charset val="134"/>
      </rPr>
      <t>60"</t>
    </r>
    <r>
      <rPr>
        <sz val="11"/>
        <rFont val="黑体"/>
        <charset val="134"/>
      </rPr>
      <t>玫红加密植绒布佳积底</t>
    </r>
  </si>
  <si>
    <r>
      <rPr>
        <sz val="11"/>
        <color theme="1"/>
        <rFont val="黑体"/>
        <charset val="134"/>
      </rPr>
      <t>共用</t>
    </r>
    <r>
      <rPr>
        <sz val="11"/>
        <color theme="1"/>
        <rFont val="Times New Roman"/>
        <charset val="134"/>
      </rPr>
      <t>14#16#, S2--#11#21</t>
    </r>
  </si>
  <si>
    <r>
      <rPr>
        <sz val="11"/>
        <color theme="1"/>
        <rFont val="Times New Roman"/>
        <charset val="134"/>
      </rPr>
      <t>#15</t>
    </r>
    <r>
      <rPr>
        <sz val="11"/>
        <color theme="1"/>
        <rFont val="黑体"/>
        <charset val="134"/>
      </rPr>
      <t>麻布包包（白色）</t>
    </r>
  </si>
  <si>
    <r>
      <rPr>
        <sz val="11"/>
        <rFont val="Times New Roman"/>
        <charset val="134"/>
      </rPr>
      <t>54"</t>
    </r>
    <r>
      <rPr>
        <sz val="11"/>
        <rFont val="黑体"/>
        <charset val="134"/>
      </rPr>
      <t>米白色色麻布</t>
    </r>
  </si>
  <si>
    <r>
      <rPr>
        <sz val="11"/>
        <rFont val="Times New Roman"/>
        <charset val="134"/>
      </rPr>
      <t>60"</t>
    </r>
    <r>
      <rPr>
        <sz val="11"/>
        <rFont val="黑体"/>
        <charset val="134"/>
      </rPr>
      <t>白色加密植绒布佳积底</t>
    </r>
  </si>
  <si>
    <r>
      <rPr>
        <sz val="11"/>
        <color theme="1"/>
        <rFont val="Times New Roman"/>
        <charset val="134"/>
      </rPr>
      <t>#16</t>
    </r>
    <r>
      <rPr>
        <sz val="11"/>
        <color theme="1"/>
        <rFont val="黑体"/>
        <charset val="134"/>
      </rPr>
      <t>灯芯绒包</t>
    </r>
  </si>
  <si>
    <r>
      <rPr>
        <sz val="11"/>
        <rFont val="Times New Roman"/>
        <charset val="134"/>
      </rPr>
      <t>58"</t>
    </r>
    <r>
      <rPr>
        <sz val="11"/>
        <rFont val="黑体"/>
        <charset val="134"/>
      </rPr>
      <t>啡色灯芯绒</t>
    </r>
  </si>
  <si>
    <r>
      <rPr>
        <sz val="11"/>
        <rFont val="黑体"/>
        <charset val="134"/>
      </rPr>
      <t>袋身</t>
    </r>
    <r>
      <rPr>
        <sz val="11"/>
        <rFont val="Times New Roman"/>
        <charset val="134"/>
      </rPr>
      <t>/</t>
    </r>
    <r>
      <rPr>
        <sz val="11"/>
        <rFont val="黑体"/>
        <charset val="134"/>
      </rPr>
      <t>袋侧</t>
    </r>
  </si>
  <si>
    <r>
      <rPr>
        <sz val="11"/>
        <rFont val="黑体"/>
        <charset val="134"/>
      </rPr>
      <t>内里</t>
    </r>
  </si>
  <si>
    <r>
      <rPr>
        <sz val="11"/>
        <color theme="1"/>
        <rFont val="黑体"/>
        <charset val="134"/>
      </rPr>
      <t>共用</t>
    </r>
    <r>
      <rPr>
        <sz val="11"/>
        <color theme="1"/>
        <rFont val="Times New Roman"/>
        <charset val="134"/>
      </rPr>
      <t>S2-#21</t>
    </r>
  </si>
  <si>
    <r>
      <rPr>
        <sz val="11"/>
        <color theme="1"/>
        <rFont val="Times New Roman"/>
        <charset val="134"/>
      </rPr>
      <t>#17</t>
    </r>
    <r>
      <rPr>
        <sz val="11"/>
        <color theme="1"/>
        <rFont val="黑体"/>
        <charset val="134"/>
      </rPr>
      <t>油漆桶（粉色）</t>
    </r>
  </si>
  <si>
    <r>
      <rPr>
        <sz val="11"/>
        <color theme="1"/>
        <rFont val="Times New Roman"/>
        <charset val="134"/>
      </rPr>
      <t>54"</t>
    </r>
    <r>
      <rPr>
        <sz val="11"/>
        <color theme="1"/>
        <rFont val="黑体"/>
        <charset val="134"/>
      </rPr>
      <t>白色</t>
    </r>
    <r>
      <rPr>
        <sz val="11"/>
        <color theme="1"/>
        <rFont val="Times New Roman"/>
        <charset val="134"/>
      </rPr>
      <t>PU</t>
    </r>
    <r>
      <rPr>
        <sz val="11"/>
        <color theme="1"/>
        <rFont val="黑体"/>
        <charset val="134"/>
      </rPr>
      <t>丝印花（粉）</t>
    </r>
  </si>
  <si>
    <r>
      <rPr>
        <sz val="11"/>
        <rFont val="黑体"/>
        <charset val="134"/>
      </rPr>
      <t>袋身</t>
    </r>
    <r>
      <rPr>
        <sz val="11"/>
        <rFont val="Times New Roman"/>
        <charset val="134"/>
      </rPr>
      <t>/</t>
    </r>
    <r>
      <rPr>
        <sz val="11"/>
        <rFont val="黑体"/>
        <charset val="134"/>
      </rPr>
      <t>提手</t>
    </r>
  </si>
  <si>
    <r>
      <rPr>
        <sz val="11"/>
        <color theme="1"/>
        <rFont val="Times New Roman"/>
        <charset val="134"/>
      </rPr>
      <t>#18</t>
    </r>
    <r>
      <rPr>
        <sz val="11"/>
        <color theme="1"/>
        <rFont val="黑体"/>
        <charset val="134"/>
      </rPr>
      <t>油漆桶（蓝色）</t>
    </r>
  </si>
  <si>
    <r>
      <rPr>
        <sz val="11"/>
        <rFont val="Times New Roman"/>
        <charset val="134"/>
      </rPr>
      <t>54"</t>
    </r>
    <r>
      <rPr>
        <sz val="11"/>
        <rFont val="黑体"/>
        <charset val="134"/>
      </rPr>
      <t>白色</t>
    </r>
    <r>
      <rPr>
        <sz val="11"/>
        <rFont val="Times New Roman"/>
        <charset val="134"/>
      </rPr>
      <t>PU</t>
    </r>
    <r>
      <rPr>
        <sz val="11"/>
        <rFont val="黑体"/>
        <charset val="134"/>
      </rPr>
      <t>丝印花（蓝）</t>
    </r>
  </si>
  <si>
    <t>1#黑色贝雷帽</t>
  </si>
  <si>
    <r>
      <rPr>
        <sz val="11"/>
        <rFont val="Times New Roman"/>
        <charset val="134"/>
      </rPr>
      <t>54"</t>
    </r>
    <r>
      <rPr>
        <sz val="11"/>
        <rFont val="黑体"/>
        <charset val="134"/>
      </rPr>
      <t>黑色</t>
    </r>
    <r>
      <rPr>
        <sz val="11"/>
        <rFont val="Times New Roman"/>
        <charset val="134"/>
      </rPr>
      <t>PU</t>
    </r>
    <r>
      <rPr>
        <sz val="11"/>
        <rFont val="黑体"/>
        <charset val="134"/>
      </rPr>
      <t>皮绿色佳积布底</t>
    </r>
  </si>
  <si>
    <r>
      <rPr>
        <sz val="11"/>
        <color theme="1"/>
        <rFont val="黑体"/>
        <charset val="134"/>
      </rPr>
      <t>帽身</t>
    </r>
  </si>
  <si>
    <r>
      <rPr>
        <sz val="11"/>
        <rFont val="Times New Roman"/>
        <charset val="134"/>
      </rPr>
      <t>2MM</t>
    </r>
    <r>
      <rPr>
        <sz val="11"/>
        <rFont val="黑体"/>
        <charset val="134"/>
      </rPr>
      <t>宽黑色</t>
    </r>
    <r>
      <rPr>
        <sz val="11"/>
        <rFont val="Times New Roman"/>
        <charset val="134"/>
      </rPr>
      <t>PU</t>
    </r>
    <r>
      <rPr>
        <sz val="11"/>
        <rFont val="黑体"/>
        <charset val="134"/>
      </rPr>
      <t>绳带</t>
    </r>
  </si>
  <si>
    <r>
      <rPr>
        <sz val="11"/>
        <color theme="1"/>
        <rFont val="黑体"/>
        <charset val="134"/>
      </rPr>
      <t>帽顶</t>
    </r>
  </si>
  <si>
    <t>#1</t>
  </si>
  <si>
    <r>
      <rPr>
        <sz val="11"/>
        <rFont val="黑体"/>
        <charset val="134"/>
      </rPr>
      <t>塑胶包包（里面有布袋）</t>
    </r>
  </si>
  <si>
    <t>#19</t>
  </si>
  <si>
    <r>
      <rPr>
        <sz val="11"/>
        <rFont val="Times New Roman"/>
        <charset val="134"/>
      </rPr>
      <t>#19</t>
    </r>
    <r>
      <rPr>
        <sz val="11"/>
        <rFont val="黑体"/>
        <charset val="134"/>
      </rPr>
      <t>塑胶包包</t>
    </r>
  </si>
  <si>
    <t>#20</t>
  </si>
  <si>
    <r>
      <rPr>
        <sz val="11"/>
        <rFont val="Times New Roman"/>
        <charset val="134"/>
      </rPr>
      <t>#20</t>
    </r>
    <r>
      <rPr>
        <sz val="11"/>
        <rFont val="黑体"/>
        <charset val="134"/>
      </rPr>
      <t>塑胶包包</t>
    </r>
  </si>
  <si>
    <t>#21</t>
  </si>
  <si>
    <r>
      <rPr>
        <sz val="11"/>
        <rFont val="Times New Roman"/>
        <charset val="134"/>
      </rPr>
      <t>#21</t>
    </r>
    <r>
      <rPr>
        <sz val="11"/>
        <rFont val="黑体"/>
        <charset val="134"/>
      </rPr>
      <t>塑胶包包</t>
    </r>
  </si>
  <si>
    <r>
      <rPr>
        <sz val="11"/>
        <color theme="1"/>
        <rFont val="Times New Roman"/>
        <charset val="134"/>
      </rPr>
      <t>#1</t>
    </r>
    <r>
      <rPr>
        <sz val="11"/>
        <color theme="1"/>
        <rFont val="宋体"/>
        <charset val="134"/>
      </rPr>
      <t>红色蝴蝶结鞋</t>
    </r>
    <r>
      <rPr>
        <sz val="11"/>
        <color theme="1"/>
        <rFont val="Times New Roman"/>
        <charset val="134"/>
      </rPr>
      <t>1</t>
    </r>
    <r>
      <rPr>
        <sz val="11"/>
        <color theme="1"/>
        <rFont val="宋体"/>
        <charset val="134"/>
      </rPr>
      <t>对</t>
    </r>
  </si>
  <si>
    <t>#1红色蝴蝶结鞋1对</t>
  </si>
  <si>
    <t>跟/前鞋带</t>
  </si>
  <si>
    <t>40天</t>
  </si>
  <si>
    <r>
      <rPr>
        <sz val="11"/>
        <color theme="1"/>
        <rFont val="Times New Roman"/>
        <charset val="134"/>
      </rPr>
      <t>#2</t>
    </r>
    <r>
      <rPr>
        <sz val="11"/>
        <color theme="1"/>
        <rFont val="宋体"/>
        <charset val="134"/>
      </rPr>
      <t>黑色网纱鞋一对</t>
    </r>
    <r>
      <rPr>
        <sz val="11"/>
        <color theme="1"/>
        <rFont val="Times New Roman"/>
        <charset val="134"/>
      </rPr>
      <t xml:space="preserve">  </t>
    </r>
  </si>
  <si>
    <t>58"黑色色丁布过胶两层底对贴</t>
  </si>
  <si>
    <t>鞋面/鞋后跟</t>
  </si>
  <si>
    <t>58"黑色细菱形网</t>
  </si>
  <si>
    <t>鞋网布</t>
  </si>
  <si>
    <r>
      <rPr>
        <sz val="11"/>
        <color theme="1"/>
        <rFont val="Times New Roman"/>
        <charset val="134"/>
      </rPr>
      <t>#3</t>
    </r>
    <r>
      <rPr>
        <sz val="11"/>
        <color theme="1"/>
        <rFont val="宋体"/>
        <charset val="134"/>
      </rPr>
      <t>蓝色羽毛鞋一对</t>
    </r>
    <r>
      <rPr>
        <sz val="11"/>
        <color theme="1"/>
        <rFont val="Times New Roman"/>
        <charset val="134"/>
      </rPr>
      <t xml:space="preserve">  </t>
    </r>
  </si>
  <si>
    <t>54"0.3MM蓝色透明TPU</t>
  </si>
  <si>
    <t>鞋带/鞋后跟</t>
  </si>
  <si>
    <r>
      <rPr>
        <sz val="11"/>
        <color theme="1"/>
        <rFont val="Times New Roman"/>
        <charset val="134"/>
      </rPr>
      <t>#4</t>
    </r>
    <r>
      <rPr>
        <sz val="11"/>
        <color theme="1"/>
        <rFont val="宋体"/>
        <charset val="134"/>
      </rPr>
      <t>粉色铆钉鞋</t>
    </r>
    <r>
      <rPr>
        <sz val="11"/>
        <color theme="1"/>
        <rFont val="Times New Roman"/>
        <charset val="134"/>
      </rPr>
      <t>1</t>
    </r>
    <r>
      <rPr>
        <sz val="11"/>
        <color theme="1"/>
        <rFont val="宋体"/>
        <charset val="134"/>
      </rPr>
      <t>对</t>
    </r>
  </si>
  <si>
    <t>54"粉色亮光PU</t>
  </si>
  <si>
    <t>鞋面</t>
  </si>
  <si>
    <r>
      <rPr>
        <sz val="11"/>
        <color theme="1"/>
        <rFont val="Times New Roman"/>
        <charset val="134"/>
      </rPr>
      <t xml:space="preserve">#5 </t>
    </r>
    <r>
      <rPr>
        <sz val="11"/>
        <color theme="1"/>
        <rFont val="宋体"/>
        <charset val="134"/>
      </rPr>
      <t>橙色梭跟鞋一对</t>
    </r>
    <r>
      <rPr>
        <sz val="11"/>
        <color theme="1"/>
        <rFont val="Times New Roman"/>
        <charset val="134"/>
      </rPr>
      <t xml:space="preserve"> </t>
    </r>
  </si>
  <si>
    <t>54"橙色PU T/C底布</t>
  </si>
  <si>
    <t>鞋面/后跟</t>
  </si>
  <si>
    <r>
      <rPr>
        <sz val="11"/>
        <color theme="1"/>
        <rFont val="Times New Roman"/>
        <charset val="134"/>
      </rPr>
      <t xml:space="preserve">#6 </t>
    </r>
    <r>
      <rPr>
        <sz val="11"/>
        <color theme="1"/>
        <rFont val="宋体"/>
        <charset val="134"/>
      </rPr>
      <t>荧光粉植绒拖鞋一对</t>
    </r>
    <r>
      <rPr>
        <sz val="11"/>
        <color theme="1"/>
        <rFont val="Times New Roman"/>
        <charset val="134"/>
      </rPr>
      <t xml:space="preserve"> </t>
    </r>
  </si>
  <si>
    <t>塑胶外发植绒</t>
  </si>
  <si>
    <r>
      <rPr>
        <sz val="11"/>
        <color theme="1"/>
        <rFont val="宋体"/>
        <charset val="134"/>
      </rPr>
      <t>植绒</t>
    </r>
    <r>
      <rPr>
        <sz val="11"/>
        <color theme="1"/>
        <rFont val="Times New Roman"/>
        <charset val="134"/>
      </rPr>
      <t>LT</t>
    </r>
    <r>
      <rPr>
        <sz val="11"/>
        <color theme="1"/>
        <rFont val="宋体"/>
        <charset val="134"/>
      </rPr>
      <t>，工厂确认</t>
    </r>
    <r>
      <rPr>
        <sz val="11"/>
        <color theme="1"/>
        <rFont val="Times New Roman"/>
        <charset val="134"/>
      </rPr>
      <t>MA-1112</t>
    </r>
    <r>
      <rPr>
        <sz val="11"/>
        <color theme="1"/>
        <rFont val="宋体"/>
        <charset val="134"/>
      </rPr>
      <t>数量不足</t>
    </r>
    <r>
      <rPr>
        <sz val="11"/>
        <color theme="1"/>
        <rFont val="Times New Roman"/>
        <charset val="134"/>
      </rPr>
      <t>MOQ</t>
    </r>
    <r>
      <rPr>
        <sz val="11"/>
        <color theme="1"/>
        <rFont val="宋体"/>
        <charset val="134"/>
      </rPr>
      <t>可以接受</t>
    </r>
  </si>
  <si>
    <r>
      <rPr>
        <sz val="11"/>
        <color theme="1"/>
        <rFont val="Times New Roman"/>
        <charset val="134"/>
      </rPr>
      <t>#8</t>
    </r>
    <r>
      <rPr>
        <sz val="11"/>
        <color theme="1"/>
        <rFont val="宋体"/>
        <charset val="134"/>
      </rPr>
      <t>大红羽绒鞋</t>
    </r>
    <r>
      <rPr>
        <sz val="11"/>
        <color theme="1"/>
        <rFont val="Times New Roman"/>
        <charset val="134"/>
      </rPr>
      <t>1</t>
    </r>
    <r>
      <rPr>
        <sz val="11"/>
        <color theme="1"/>
        <rFont val="宋体"/>
        <charset val="134"/>
      </rPr>
      <t>对</t>
    </r>
  </si>
  <si>
    <r>
      <rPr>
        <sz val="11"/>
        <rFont val="Times New Roman"/>
        <charset val="134"/>
      </rPr>
      <t>54"</t>
    </r>
    <r>
      <rPr>
        <sz val="11"/>
        <rFont val="宋体"/>
        <charset val="134"/>
      </rPr>
      <t>红色</t>
    </r>
    <r>
      <rPr>
        <sz val="11"/>
        <rFont val="Times New Roman"/>
        <charset val="134"/>
      </rPr>
      <t>PU/</t>
    </r>
    <r>
      <rPr>
        <sz val="11"/>
        <rFont val="宋体"/>
        <charset val="134"/>
      </rPr>
      <t>同底同色</t>
    </r>
  </si>
  <si>
    <t>鞋筒/鞋面</t>
  </si>
  <si>
    <t>共用RARE/#6-S2#4</t>
  </si>
  <si>
    <t>60"红色加密植绒布佳积底</t>
  </si>
  <si>
    <t>内里</t>
  </si>
  <si>
    <t>全套辅料</t>
  </si>
  <si>
    <r>
      <rPr>
        <sz val="11"/>
        <color theme="1"/>
        <rFont val="Times New Roman"/>
        <charset val="134"/>
      </rPr>
      <t>#10</t>
    </r>
    <r>
      <rPr>
        <sz val="11"/>
        <color theme="1"/>
        <rFont val="宋体"/>
        <charset val="134"/>
      </rPr>
      <t>绿底踝鞋</t>
    </r>
    <r>
      <rPr>
        <sz val="11"/>
        <color theme="1"/>
        <rFont val="Times New Roman"/>
        <charset val="134"/>
      </rPr>
      <t>1</t>
    </r>
    <r>
      <rPr>
        <sz val="11"/>
        <color theme="1"/>
        <rFont val="宋体"/>
        <charset val="134"/>
      </rPr>
      <t>对</t>
    </r>
  </si>
  <si>
    <r>
      <rPr>
        <sz val="11"/>
        <rFont val="Times New Roman"/>
        <charset val="134"/>
      </rPr>
      <t>54"</t>
    </r>
    <r>
      <rPr>
        <sz val="11"/>
        <rFont val="宋体"/>
        <charset val="134"/>
      </rPr>
      <t>黑色</t>
    </r>
    <r>
      <rPr>
        <sz val="11"/>
        <rFont val="Times New Roman"/>
        <charset val="134"/>
      </rPr>
      <t>PU T/C</t>
    </r>
    <r>
      <rPr>
        <sz val="11"/>
        <rFont val="宋体"/>
        <charset val="134"/>
      </rPr>
      <t>布底</t>
    </r>
  </si>
  <si>
    <t>鞋面/鞋头</t>
  </si>
  <si>
    <r>
      <rPr>
        <sz val="11"/>
        <color theme="1"/>
        <rFont val="Times New Roman"/>
        <charset val="134"/>
      </rPr>
      <t>#11</t>
    </r>
    <r>
      <rPr>
        <sz val="11"/>
        <color theme="1"/>
        <rFont val="宋体"/>
        <charset val="134"/>
      </rPr>
      <t>裸色踝鞋一对</t>
    </r>
    <r>
      <rPr>
        <sz val="11"/>
        <color theme="1"/>
        <rFont val="Times New Roman"/>
        <charset val="134"/>
      </rPr>
      <t xml:space="preserve">   </t>
    </r>
  </si>
  <si>
    <t>54"杏色PU弹力佳绩布底</t>
  </si>
  <si>
    <t>鞋筒</t>
  </si>
  <si>
    <r>
      <rPr>
        <sz val="11"/>
        <color theme="1"/>
        <rFont val="Times New Roman"/>
        <charset val="134"/>
      </rPr>
      <t>#12</t>
    </r>
    <r>
      <rPr>
        <sz val="11"/>
        <color theme="1"/>
        <rFont val="宋体"/>
        <charset val="134"/>
      </rPr>
      <t>黑色长鞋一对</t>
    </r>
    <r>
      <rPr>
        <sz val="11"/>
        <color theme="1"/>
        <rFont val="Times New Roman"/>
        <charset val="134"/>
      </rPr>
      <t xml:space="preserve">  </t>
    </r>
  </si>
  <si>
    <t>鞋面/鞋筒</t>
  </si>
  <si>
    <r>
      <rPr>
        <sz val="11"/>
        <color theme="1"/>
        <rFont val="Times New Roman"/>
        <charset val="134"/>
      </rPr>
      <t>#13</t>
    </r>
    <r>
      <rPr>
        <sz val="11"/>
        <color theme="1"/>
        <rFont val="宋体"/>
        <charset val="134"/>
      </rPr>
      <t>棕色长靴</t>
    </r>
    <r>
      <rPr>
        <sz val="11"/>
        <color theme="1"/>
        <rFont val="Times New Roman"/>
        <charset val="134"/>
      </rPr>
      <t>1</t>
    </r>
    <r>
      <rPr>
        <sz val="11"/>
        <color theme="1"/>
        <rFont val="宋体"/>
        <charset val="134"/>
      </rPr>
      <t>对</t>
    </r>
  </si>
  <si>
    <t>54"啡色PU</t>
  </si>
  <si>
    <r>
      <rPr>
        <sz val="11"/>
        <color theme="1"/>
        <rFont val="Times New Roman"/>
        <charset val="134"/>
      </rPr>
      <t xml:space="preserve">RARE </t>
    </r>
    <r>
      <rPr>
        <sz val="11"/>
        <color theme="1"/>
        <rFont val="宋体"/>
        <charset val="134"/>
      </rPr>
      <t>银色流苏鞋一对</t>
    </r>
    <r>
      <rPr>
        <sz val="11"/>
        <color theme="1"/>
        <rFont val="Times New Roman"/>
        <charset val="134"/>
      </rPr>
      <t xml:space="preserve">  </t>
    </r>
  </si>
  <si>
    <t>54"银色巴黎之星T/C底布</t>
  </si>
  <si>
    <t>待定是否换材料</t>
  </si>
  <si>
    <t>Sum</t>
  </si>
  <si>
    <t>可生产球数</t>
  </si>
  <si>
    <t>PDQ Demo 21pcs</t>
  </si>
  <si>
    <r>
      <rPr>
        <b/>
        <sz val="11"/>
        <color theme="0"/>
        <rFont val="Times New Roman"/>
        <charset val="134"/>
      </rPr>
      <t>SK Demo(</t>
    </r>
    <r>
      <rPr>
        <b/>
        <sz val="11"/>
        <color theme="0"/>
        <rFont val="宋体"/>
        <charset val="134"/>
      </rPr>
      <t>不带鞋子）</t>
    </r>
  </si>
  <si>
    <t>SK Demo</t>
  </si>
  <si>
    <r>
      <rPr>
        <sz val="11"/>
        <color theme="1"/>
        <rFont val="宋体"/>
        <charset val="134"/>
      </rPr>
      <t>除去半成品</t>
    </r>
    <r>
      <rPr>
        <sz val="11"/>
        <color theme="1"/>
        <rFont val="Times New Roman"/>
        <charset val="134"/>
      </rPr>
      <t>MA</t>
    </r>
    <r>
      <rPr>
        <sz val="11"/>
        <color theme="1"/>
        <rFont val="宋体"/>
        <charset val="134"/>
      </rPr>
      <t>剩余数</t>
    </r>
  </si>
  <si>
    <t>除去实单MA剩余数</t>
  </si>
  <si>
    <t>MA PO NO,</t>
  </si>
  <si>
    <t>MA-RR-915</t>
  </si>
  <si>
    <t>MA-RR-951</t>
  </si>
  <si>
    <t>MA-RR-959</t>
  </si>
  <si>
    <t>MA-RR-1017</t>
  </si>
  <si>
    <t>MA-RR-1024</t>
  </si>
  <si>
    <t>MA-RR-1108</t>
  </si>
  <si>
    <t>MA-RR-1169</t>
  </si>
  <si>
    <t>MA-RR-1297</t>
  </si>
  <si>
    <t>MA-RR-1535</t>
  </si>
  <si>
    <t>MA-RR-2173</t>
  </si>
  <si>
    <t>客要求完成日期</t>
  </si>
  <si>
    <t>Mold No.</t>
  </si>
  <si>
    <t>图片</t>
  </si>
  <si>
    <r>
      <rPr>
        <b/>
        <sz val="13"/>
        <color rgb="FFFF0000"/>
        <rFont val="Tahoma"/>
        <charset val="0"/>
      </rPr>
      <t>MA</t>
    </r>
    <r>
      <rPr>
        <b/>
        <sz val="13"/>
        <color rgb="FFFF0000"/>
        <rFont val="宋体"/>
        <charset val="0"/>
      </rPr>
      <t>剩余数</t>
    </r>
  </si>
  <si>
    <t>无微塑料</t>
  </si>
  <si>
    <t>PCS</t>
  </si>
  <si>
    <t>Accy 4</t>
  </si>
  <si>
    <t>Fashion S3# 77485</t>
  </si>
  <si>
    <t>14#白色手镯</t>
  </si>
  <si>
    <t>38#蓝色指甲贴纸</t>
  </si>
  <si>
    <t>4#绿色头箍</t>
  </si>
  <si>
    <t>17#金色项链</t>
  </si>
  <si>
    <t>20#白色太阳眼镜</t>
  </si>
  <si>
    <t>39#金色指甲贴纸</t>
  </si>
  <si>
    <t>6#银色头箍</t>
  </si>
  <si>
    <t>18#绿宝石项链</t>
  </si>
  <si>
    <t>24#透明盖口红</t>
  </si>
  <si>
    <t>40#粉色指甲贴纸</t>
  </si>
  <si>
    <t>15#银色手镯</t>
  </si>
  <si>
    <t>11#金色耳环</t>
  </si>
  <si>
    <t>3#粉色鸭舌帽</t>
  </si>
  <si>
    <t>19#银色项链</t>
  </si>
  <si>
    <t>23#唇釉</t>
  </si>
  <si>
    <t>28#黑色小腰包</t>
  </si>
  <si>
    <t>12#绿色耳环</t>
  </si>
  <si>
    <t>16#金色手镯</t>
  </si>
  <si>
    <t>22#红色太阳眼镜</t>
  </si>
  <si>
    <t>13#金色吊坠耳环</t>
  </si>
  <si>
    <t>27#绿色小腰包</t>
  </si>
  <si>
    <t>21#金色太阳眼镜</t>
  </si>
  <si>
    <t>29#黑色皮带</t>
  </si>
  <si>
    <t>37#棕色方巾</t>
  </si>
  <si>
    <t>5#金色头箍</t>
  </si>
  <si>
    <t>7#黑色蝴蝶结</t>
  </si>
  <si>
    <t>9#条纹蝴蝶结</t>
  </si>
  <si>
    <t>30#金色挂坠链</t>
  </si>
  <si>
    <t>2#草帽</t>
  </si>
  <si>
    <t>35#橙色方巾</t>
  </si>
  <si>
    <t>33#白色小猫</t>
  </si>
  <si>
    <t>36#粉色格纹丝巾</t>
  </si>
  <si>
    <t>34#蓝猫</t>
  </si>
  <si>
    <t>26#粉色小腰包</t>
  </si>
  <si>
    <t>10#粉色蝴蝶结</t>
  </si>
  <si>
    <t>25#白色盖口红</t>
  </si>
  <si>
    <t>Rare 包包</t>
  </si>
  <si>
    <t>#32暹罗猫</t>
  </si>
  <si>
    <t>#8点钻蝴蝶结</t>
  </si>
  <si>
    <t>#1黑色贝雷帽</t>
  </si>
  <si>
    <t>#31粉色挂坠链</t>
  </si>
  <si>
    <t>21pcs PDQ</t>
  </si>
  <si>
    <r>
      <rPr>
        <b/>
        <sz val="12"/>
        <color rgb="FF00B050"/>
        <rFont val="Times New Roman"/>
        <charset val="0"/>
      </rPr>
      <t>#1</t>
    </r>
    <r>
      <rPr>
        <b/>
        <sz val="12"/>
        <color rgb="FF00B050"/>
        <rFont val="宋体"/>
        <charset val="0"/>
      </rPr>
      <t>包包</t>
    </r>
  </si>
  <si>
    <t>#17Gucci球鞋</t>
  </si>
  <si>
    <t>30pcs SK
(W/O Base)</t>
  </si>
  <si>
    <r>
      <rPr>
        <b/>
        <sz val="12"/>
        <color rgb="FF00B050"/>
        <rFont val="Times New Roman"/>
        <charset val="0"/>
      </rPr>
      <t>#21</t>
    </r>
    <r>
      <rPr>
        <b/>
        <sz val="12"/>
        <color indexed="21"/>
        <rFont val="宋体"/>
        <charset val="134"/>
      </rPr>
      <t>包包</t>
    </r>
  </si>
  <si>
    <r>
      <rPr>
        <b/>
        <sz val="12"/>
        <color rgb="FF00B050"/>
        <rFont val="Times New Roman"/>
        <charset val="0"/>
      </rPr>
      <t>#1</t>
    </r>
    <r>
      <rPr>
        <b/>
        <sz val="12"/>
        <color indexed="21"/>
        <rFont val="宋体"/>
        <charset val="134"/>
      </rPr>
      <t>红色高跟鞋</t>
    </r>
  </si>
  <si>
    <r>
      <rPr>
        <b/>
        <sz val="12"/>
        <color rgb="FF00B050"/>
        <rFont val="Times New Roman"/>
        <charset val="0"/>
      </rPr>
      <t>60pcs SK
(W/O Base)</t>
    </r>
    <r>
      <rPr>
        <b/>
        <sz val="12"/>
        <color indexed="21"/>
        <rFont val="宋体"/>
        <charset val="134"/>
      </rPr>
      <t>无鞋子版本</t>
    </r>
  </si>
  <si>
    <r>
      <rPr>
        <b/>
        <sz val="12"/>
        <color rgb="FF00B050"/>
        <rFont val="Times New Roman"/>
        <charset val="0"/>
      </rPr>
      <t>#11</t>
    </r>
    <r>
      <rPr>
        <b/>
        <sz val="12"/>
        <color rgb="FF00B050"/>
        <rFont val="宋体"/>
        <charset val="0"/>
      </rPr>
      <t>包包</t>
    </r>
  </si>
  <si>
    <r>
      <rPr>
        <b/>
        <sz val="12"/>
        <color rgb="FF00B050"/>
        <rFont val="Times New Roman"/>
        <charset val="0"/>
      </rPr>
      <t>60pcs SK
(W/O Base)</t>
    </r>
    <r>
      <rPr>
        <b/>
        <sz val="12"/>
        <color indexed="21"/>
        <rFont val="宋体"/>
        <charset val="134"/>
      </rPr>
      <t>有鞋子版本</t>
    </r>
  </si>
  <si>
    <t>#1红色高跟鞋</t>
  </si>
  <si>
    <t>#3粉色鸭舌帽</t>
  </si>
  <si>
    <r>
      <rPr>
        <b/>
        <sz val="12"/>
        <color indexed="12"/>
        <rFont val="宋体"/>
        <charset val="134"/>
      </rPr>
      <t>这</t>
    </r>
    <r>
      <rPr>
        <b/>
        <sz val="12"/>
        <color indexed="12"/>
        <rFont val="Times New Roman"/>
        <charset val="0"/>
      </rPr>
      <t xml:space="preserve">108000pcs </t>
    </r>
    <r>
      <rPr>
        <b/>
        <sz val="12"/>
        <color indexed="12"/>
        <rFont val="宋体"/>
        <charset val="134"/>
      </rPr>
      <t>不带鞋子，为</t>
    </r>
    <r>
      <rPr>
        <b/>
        <sz val="12"/>
        <color indexed="12"/>
        <rFont val="Times New Roman"/>
        <charset val="0"/>
      </rPr>
      <t>Target</t>
    </r>
    <r>
      <rPr>
        <b/>
        <sz val="12"/>
        <color indexed="12"/>
        <rFont val="宋体"/>
        <charset val="134"/>
      </rPr>
      <t xml:space="preserve">订单, </t>
    </r>
    <r>
      <rPr>
        <b/>
        <sz val="12"/>
        <color indexed="12"/>
        <rFont val="宋体"/>
        <charset val="134"/>
      </rPr>
      <t>待工程放产后生产。</t>
    </r>
  </si>
  <si>
    <t>FOR AND ON BEHALF OF ZURU INC</t>
  </si>
  <si>
    <t>留意MA-RR-714开始为新配比包装</t>
  </si>
  <si>
    <t>MA-RR-692</t>
  </si>
  <si>
    <t>MA-RR-707</t>
  </si>
  <si>
    <t>MA-RR-785</t>
  </si>
  <si>
    <t>MA-RR-834</t>
  </si>
  <si>
    <t>MA-RR-856</t>
  </si>
  <si>
    <t>MA-RR-909</t>
  </si>
  <si>
    <t>按回复可接多</t>
  </si>
  <si>
    <t>Remark</t>
  </si>
  <si>
    <t>总计</t>
  </si>
  <si>
    <t>White Ball</t>
  </si>
  <si>
    <t>红色球</t>
  </si>
  <si>
    <t>Injection</t>
  </si>
  <si>
    <t>77349#
5 Surprise-Mini Fashion</t>
  </si>
  <si>
    <t>组合编号</t>
  </si>
  <si>
    <t>#54蓝色圆形帽</t>
  </si>
  <si>
    <t>#1金盖口红</t>
  </si>
  <si>
    <t>#11黑色面霜</t>
  </si>
  <si>
    <t>#20粉色圆形香水</t>
  </si>
  <si>
    <t>#41白色眼镜</t>
  </si>
  <si>
    <t>#2</t>
  </si>
  <si>
    <t>#46粉色日记本</t>
  </si>
  <si>
    <t>#16金色长方形香水</t>
  </si>
  <si>
    <t>#22红色手表盒</t>
  </si>
  <si>
    <t>#33白色长毛狗</t>
  </si>
  <si>
    <t>#6红色睫毛膏</t>
  </si>
  <si>
    <t>#3</t>
  </si>
  <si>
    <t>#62红色耳罩</t>
  </si>
  <si>
    <t>#48蓝色指甲贴</t>
  </si>
  <si>
    <t>#39橙色腰包盒</t>
  </si>
  <si>
    <t>#4</t>
  </si>
  <si>
    <t>#68方形图案丝巾</t>
  </si>
  <si>
    <t>#3方形眼影盘</t>
  </si>
  <si>
    <t>#15杂志</t>
  </si>
  <si>
    <t>#24粉色iPhone</t>
  </si>
  <si>
    <t>#19红色方形香水</t>
  </si>
  <si>
    <t>#5</t>
  </si>
  <si>
    <t>#56粉色鸭舌帽</t>
  </si>
  <si>
    <t>#63绿色耳罩</t>
  </si>
  <si>
    <t>#30白色小狗</t>
  </si>
  <si>
    <t>#5粉色睫毛膏</t>
  </si>
  <si>
    <t>#6</t>
  </si>
  <si>
    <t>#50黑色小熊钥匙扣</t>
  </si>
  <si>
    <t>#55黑色圆形帽</t>
  </si>
  <si>
    <t>#8黑色梳子</t>
  </si>
  <si>
    <t>#7</t>
  </si>
  <si>
    <t>#60橙色tictak</t>
  </si>
  <si>
    <t>#17黑色长方形香水</t>
  </si>
  <si>
    <t>#8</t>
  </si>
  <si>
    <t>#44金色手镯</t>
  </si>
  <si>
    <t>#43红色珍珠奶茶</t>
  </si>
  <si>
    <t>#28粉色钱包</t>
  </si>
  <si>
    <t>#9</t>
  </si>
  <si>
    <t>#42粉色珍珠奶茶</t>
  </si>
  <si>
    <t>#7金色梳子</t>
  </si>
  <si>
    <t>#18黑色方形香水</t>
  </si>
  <si>
    <t>#10</t>
  </si>
  <si>
    <t>#51红色小熊钥匙扣</t>
  </si>
  <si>
    <t>#57白色鸭舌帽</t>
  </si>
  <si>
    <t>#14红色精华</t>
  </si>
  <si>
    <t>#11</t>
  </si>
  <si>
    <t>#69方形线条丝巾</t>
  </si>
  <si>
    <t>#9金色眼睫毛</t>
  </si>
  <si>
    <t>#12</t>
  </si>
  <si>
    <t>#65黄色花束</t>
  </si>
  <si>
    <t>#13黑色精华</t>
  </si>
  <si>
    <t>#35橙色戒指盒</t>
  </si>
  <si>
    <t>组合24</t>
  </si>
  <si>
    <t>#2红盖口红</t>
  </si>
  <si>
    <t>组合25</t>
  </si>
  <si>
    <t>#13</t>
  </si>
  <si>
    <t>#64粉色花束</t>
  </si>
  <si>
    <t>#4圆形眼影盘</t>
  </si>
  <si>
    <t>#12红色面霜</t>
  </si>
  <si>
    <t>组合26</t>
  </si>
  <si>
    <t>#45银色手镯</t>
  </si>
  <si>
    <t>组合27</t>
  </si>
  <si>
    <t>#14</t>
  </si>
  <si>
    <t>#27红色相机</t>
  </si>
  <si>
    <t>#10黑色眼睫毛</t>
  </si>
  <si>
    <t>#49粉色指甲贴</t>
  </si>
  <si>
    <t>组合28</t>
  </si>
  <si>
    <t>组合29</t>
  </si>
  <si>
    <t>#15</t>
  </si>
  <si>
    <t>#26黑色相机</t>
  </si>
  <si>
    <t>#25黑色iPhone</t>
  </si>
  <si>
    <t>#21红色圆形香水</t>
  </si>
  <si>
    <t>组合30</t>
  </si>
  <si>
    <t>#61绿色tictak</t>
  </si>
  <si>
    <t>组合31</t>
  </si>
  <si>
    <t>#16</t>
  </si>
  <si>
    <t>#66长方形字母丝巾</t>
  </si>
  <si>
    <t>#32棕色长毛狗</t>
  </si>
  <si>
    <t>组合32</t>
  </si>
  <si>
    <t>#58蓝色项链钱包</t>
  </si>
  <si>
    <t>组合33</t>
  </si>
  <si>
    <t>#17</t>
  </si>
  <si>
    <t>#59黑色项链钱包</t>
  </si>
  <si>
    <t>#67长方形图案丝巾</t>
  </si>
  <si>
    <t>组合34</t>
  </si>
  <si>
    <t>组合35</t>
  </si>
  <si>
    <t>#18</t>
  </si>
  <si>
    <t>#34蓝色戒指盒</t>
  </si>
  <si>
    <t>#29红色钱包</t>
  </si>
  <si>
    <t>组合36</t>
  </si>
  <si>
    <t>组合37</t>
  </si>
  <si>
    <t>#36蓝色项圈盒</t>
  </si>
  <si>
    <t>组合38</t>
  </si>
  <si>
    <t>#53金色爱心钥匙扣</t>
  </si>
  <si>
    <t>组合39</t>
  </si>
  <si>
    <t>#31粉色小狗</t>
  </si>
  <si>
    <t>组合40</t>
  </si>
  <si>
    <t>#40金色眼镜</t>
  </si>
  <si>
    <t>组合41</t>
  </si>
  <si>
    <t>#47蓝色日记本</t>
  </si>
  <si>
    <t>组合42</t>
  </si>
  <si>
    <t>Rare</t>
  </si>
  <si>
    <t>#22 Rare A</t>
  </si>
  <si>
    <t>#52银色爱心钥匙扣</t>
  </si>
  <si>
    <t>#23 Rare B</t>
  </si>
  <si>
    <t>衣柜</t>
  </si>
  <si>
    <r>
      <rPr>
        <b/>
        <sz val="10"/>
        <color indexed="12"/>
        <rFont val="宋体"/>
        <charset val="134"/>
      </rPr>
      <t>包包同</t>
    </r>
    <r>
      <rPr>
        <b/>
        <sz val="10"/>
        <color indexed="12"/>
        <rFont val="Times New Roman"/>
        <charset val="0"/>
      </rPr>
      <t>Fashion S2 #23 Rare B</t>
    </r>
  </si>
  <si>
    <t>#24 Rare C</t>
  </si>
  <si>
    <t>#38蓝色腰包盒</t>
  </si>
  <si>
    <t>#37橙色项圈盒</t>
  </si>
  <si>
    <t>#23绿色手表盒</t>
  </si>
  <si>
    <t>PDQ Demo</t>
  </si>
  <si>
    <t>Demo</t>
  </si>
  <si>
    <t>Remark: 
球壳计划采用50%再生料PP+50%普通PP方案，待工程放产后才可生产。</t>
  </si>
  <si>
    <t>Damand FCST by 2025-3-12</t>
  </si>
  <si>
    <t>(US:413K NON-US:420K)</t>
  </si>
  <si>
    <t>MA-RR-1630</t>
  </si>
  <si>
    <t>MA-RR-1813</t>
  </si>
  <si>
    <t>MA-RR-1891</t>
  </si>
  <si>
    <t>MA-RR-2337</t>
  </si>
  <si>
    <r>
      <rPr>
        <b/>
        <sz val="11"/>
        <color rgb="FFFFFF00"/>
        <rFont val="宋体"/>
        <charset val="134"/>
      </rPr>
      <t>扣除半成品</t>
    </r>
    <r>
      <rPr>
        <b/>
        <sz val="11"/>
        <color rgb="FFFFFF00"/>
        <rFont val="Times New Roman"/>
        <charset val="134"/>
      </rPr>
      <t>MA</t>
    </r>
    <r>
      <rPr>
        <b/>
        <sz val="11"/>
        <color rgb="FFFFFF00"/>
        <rFont val="宋体"/>
        <charset val="134"/>
      </rPr>
      <t>剩余数</t>
    </r>
  </si>
  <si>
    <t>扣除已接实单剩余数</t>
  </si>
  <si>
    <t>MA</t>
  </si>
  <si>
    <t>Ratio</t>
  </si>
  <si>
    <r>
      <rPr>
        <b/>
        <sz val="11"/>
        <color theme="0"/>
        <rFont val="黑体"/>
        <charset val="134"/>
      </rPr>
      <t>布料名称</t>
    </r>
  </si>
  <si>
    <r>
      <rPr>
        <b/>
        <sz val="11"/>
        <color theme="0"/>
        <rFont val="Times New Roman"/>
        <charset val="134"/>
      </rPr>
      <t>MOQ</t>
    </r>
    <r>
      <rPr>
        <b/>
        <sz val="11"/>
        <color theme="0"/>
        <rFont val="黑体"/>
        <charset val="134"/>
      </rPr>
      <t>生产量</t>
    </r>
    <r>
      <rPr>
        <b/>
        <sz val="11"/>
        <color theme="0"/>
        <rFont val="宋体"/>
        <charset val="134"/>
      </rPr>
      <t>（球）</t>
    </r>
  </si>
  <si>
    <t>共用比例</t>
  </si>
  <si>
    <r>
      <rPr>
        <b/>
        <sz val="11"/>
        <color theme="0"/>
        <rFont val="宋体"/>
        <charset val="134"/>
      </rPr>
      <t>放订</t>
    </r>
    <r>
      <rPr>
        <b/>
        <sz val="11"/>
        <color theme="0"/>
        <rFont val="Times New Roman"/>
        <charset val="134"/>
      </rPr>
      <t>MA</t>
    </r>
    <r>
      <rPr>
        <b/>
        <sz val="11"/>
        <color theme="0"/>
        <rFont val="宋体"/>
        <charset val="134"/>
      </rPr>
      <t>所需包</t>
    </r>
    <r>
      <rPr>
        <b/>
        <sz val="11"/>
        <color theme="0"/>
        <rFont val="Times New Roman"/>
        <charset val="134"/>
      </rPr>
      <t>/</t>
    </r>
    <r>
      <rPr>
        <b/>
        <sz val="11"/>
        <color theme="0"/>
        <rFont val="宋体"/>
        <charset val="134"/>
      </rPr>
      <t>帽子</t>
    </r>
    <r>
      <rPr>
        <b/>
        <sz val="11"/>
        <color theme="0"/>
        <rFont val="Times New Roman"/>
        <charset val="134"/>
      </rPr>
      <t>/</t>
    </r>
    <r>
      <rPr>
        <b/>
        <sz val="11"/>
        <color theme="0"/>
        <rFont val="宋体"/>
        <charset val="134"/>
      </rPr>
      <t>鞋子数（球</t>
    </r>
    <r>
      <rPr>
        <b/>
        <sz val="11"/>
        <color theme="0"/>
        <rFont val="Times New Roman"/>
        <charset val="134"/>
      </rPr>
      <t>+DEMO)</t>
    </r>
  </si>
  <si>
    <r>
      <rPr>
        <b/>
        <sz val="11"/>
        <color rgb="FFFFFF00"/>
        <rFont val="黑体"/>
        <charset val="134"/>
      </rPr>
      <t>生产</t>
    </r>
    <r>
      <rPr>
        <b/>
        <sz val="11"/>
        <color rgb="FFFFFF00"/>
        <rFont val="Times New Roman"/>
        <charset val="134"/>
      </rPr>
      <t>MA</t>
    </r>
    <r>
      <rPr>
        <b/>
        <sz val="11"/>
        <color rgb="FFFFFF00"/>
        <rFont val="黑体"/>
        <charset val="134"/>
      </rPr>
      <t>包包所需布料数</t>
    </r>
  </si>
  <si>
    <t>布料结余</t>
  </si>
  <si>
    <r>
      <rPr>
        <b/>
        <sz val="11"/>
        <rFont val="Times New Roman"/>
        <charset val="134"/>
      </rPr>
      <t>25pcs Demo (#2</t>
    </r>
    <r>
      <rPr>
        <b/>
        <sz val="11"/>
        <rFont val="宋体"/>
        <charset val="134"/>
      </rPr>
      <t>包</t>
    </r>
    <r>
      <rPr>
        <b/>
        <sz val="11"/>
        <rFont val="Times New Roman"/>
        <charset val="134"/>
      </rPr>
      <t>+#7</t>
    </r>
    <r>
      <rPr>
        <b/>
        <sz val="11"/>
        <rFont val="宋体"/>
        <charset val="134"/>
      </rPr>
      <t>包</t>
    </r>
    <r>
      <rPr>
        <b/>
        <sz val="11"/>
        <rFont val="Times New Roman"/>
        <charset val="134"/>
      </rPr>
      <t>+#11</t>
    </r>
    <r>
      <rPr>
        <b/>
        <sz val="11"/>
        <rFont val="宋体"/>
        <charset val="134"/>
      </rPr>
      <t>包</t>
    </r>
    <r>
      <rPr>
        <b/>
        <sz val="11"/>
        <rFont val="Times New Roman"/>
        <charset val="134"/>
      </rPr>
      <t>+#9</t>
    </r>
    <r>
      <rPr>
        <b/>
        <sz val="11"/>
        <rFont val="宋体"/>
        <charset val="134"/>
      </rPr>
      <t>鞋</t>
    </r>
    <r>
      <rPr>
        <b/>
        <sz val="11"/>
        <rFont val="Times New Roman"/>
        <charset val="134"/>
      </rPr>
      <t>)</t>
    </r>
  </si>
  <si>
    <r>
      <rPr>
        <b/>
        <sz val="11"/>
        <rFont val="Times New Roman"/>
        <charset val="134"/>
      </rPr>
      <t>30 SK1 Demo (#13</t>
    </r>
    <r>
      <rPr>
        <b/>
        <sz val="11"/>
        <rFont val="宋体"/>
        <charset val="134"/>
      </rPr>
      <t>包</t>
    </r>
    <r>
      <rPr>
        <b/>
        <sz val="11"/>
        <rFont val="Times New Roman"/>
        <charset val="134"/>
      </rPr>
      <t>+#9</t>
    </r>
    <r>
      <rPr>
        <b/>
        <sz val="11"/>
        <rFont val="宋体"/>
        <charset val="134"/>
      </rPr>
      <t>鞋</t>
    </r>
    <r>
      <rPr>
        <b/>
        <sz val="11"/>
        <rFont val="Times New Roman"/>
        <charset val="134"/>
      </rPr>
      <t>+#40</t>
    </r>
    <r>
      <rPr>
        <b/>
        <sz val="11"/>
        <rFont val="宋体"/>
        <charset val="134"/>
      </rPr>
      <t>配件</t>
    </r>
    <r>
      <rPr>
        <b/>
        <sz val="11"/>
        <rFont val="Times New Roman"/>
        <charset val="134"/>
      </rPr>
      <t>+</t>
    </r>
    <r>
      <rPr>
        <b/>
        <sz val="11"/>
        <rFont val="宋体"/>
        <charset val="134"/>
      </rPr>
      <t>？</t>
    </r>
    <r>
      <rPr>
        <b/>
        <sz val="11"/>
        <rFont val="Times New Roman"/>
        <charset val="134"/>
      </rPr>
      <t>)</t>
    </r>
  </si>
  <si>
    <r>
      <rPr>
        <b/>
        <sz val="11"/>
        <rFont val="Times New Roman"/>
        <charset val="134"/>
      </rPr>
      <t>60 SK Demo (#13</t>
    </r>
    <r>
      <rPr>
        <b/>
        <sz val="11"/>
        <rFont val="宋体"/>
        <charset val="134"/>
      </rPr>
      <t>包</t>
    </r>
    <r>
      <rPr>
        <b/>
        <sz val="11"/>
        <rFont val="Times New Roman"/>
        <charset val="134"/>
      </rPr>
      <t>+#9</t>
    </r>
    <r>
      <rPr>
        <b/>
        <sz val="11"/>
        <rFont val="宋体"/>
        <charset val="134"/>
      </rPr>
      <t>鞋</t>
    </r>
    <r>
      <rPr>
        <b/>
        <sz val="11"/>
        <rFont val="Times New Roman"/>
        <charset val="134"/>
      </rPr>
      <t>+#40</t>
    </r>
    <r>
      <rPr>
        <b/>
        <sz val="11"/>
        <rFont val="宋体"/>
        <charset val="134"/>
      </rPr>
      <t>配件</t>
    </r>
    <r>
      <rPr>
        <b/>
        <sz val="11"/>
        <rFont val="Times New Roman"/>
        <charset val="134"/>
      </rPr>
      <t>+</t>
    </r>
    <r>
      <rPr>
        <b/>
        <sz val="11"/>
        <rFont val="宋体"/>
        <charset val="134"/>
      </rPr>
      <t>？</t>
    </r>
    <r>
      <rPr>
        <b/>
        <sz val="11"/>
        <rFont val="Times New Roman"/>
        <charset val="134"/>
      </rPr>
      <t>)</t>
    </r>
  </si>
  <si>
    <t>#1 玫红包包</t>
  </si>
  <si>
    <t>玫红色PU皮佳绩布底（底同面色）</t>
  </si>
  <si>
    <t>包身</t>
  </si>
  <si>
    <r>
      <rPr>
        <sz val="10"/>
        <color theme="1"/>
        <rFont val="Times New Roman"/>
        <charset val="134"/>
      </rPr>
      <t>35</t>
    </r>
    <r>
      <rPr>
        <sz val="10"/>
        <color theme="1"/>
        <rFont val="黑体"/>
        <charset val="134"/>
      </rPr>
      <t>天</t>
    </r>
  </si>
  <si>
    <t>袋侧</t>
  </si>
  <si>
    <t>袋底/手提贴</t>
  </si>
  <si>
    <t>蓝色PU佳绩布底（底同面色）</t>
  </si>
  <si>
    <t>外袋</t>
  </si>
  <si>
    <t>手/脚</t>
  </si>
  <si>
    <t>#2浅蓝色印心形及MF字母包</t>
  </si>
  <si>
    <t>白色PU皮</t>
  </si>
  <si>
    <t>袋身/长方扣/右侧半圆扣/</t>
  </si>
  <si>
    <t>35天</t>
  </si>
  <si>
    <t>包#2 #4 #13 #22
鞋#10 共用</t>
  </si>
  <si>
    <t>白色PU皮（同底面色）</t>
  </si>
  <si>
    <t>袋吊牌</t>
  </si>
  <si>
    <t>皮带/皮带扣</t>
  </si>
  <si>
    <t>白/灰纸板</t>
  </si>
  <si>
    <t>底纸皮裁片</t>
  </si>
  <si>
    <t>包 #2 #7 #13 #15 #17 #18 #21 #22 共用</t>
  </si>
  <si>
    <t>#3西瓜红包包</t>
  </si>
  <si>
    <t>玫红色PU皮A（同底面色）</t>
  </si>
  <si>
    <t>袋</t>
  </si>
  <si>
    <t>侧袋</t>
  </si>
  <si>
    <t>背带</t>
  </si>
  <si>
    <t>#4黑绿色蛇皮包</t>
  </si>
  <si>
    <t>前袋/后袋</t>
  </si>
  <si>
    <t>袋底</t>
  </si>
  <si>
    <t>手帶</t>
  </si>
  <si>
    <t>带</t>
  </si>
  <si>
    <t>#5绿色格子包</t>
  </si>
  <si>
    <t>绿色压格子PU皮</t>
  </si>
  <si>
    <t>前袋/扣</t>
  </si>
  <si>
    <t>底/后袋</t>
  </si>
  <si>
    <t>绿色过胶色丁布</t>
  </si>
  <si>
    <t>#6花朵包</t>
  </si>
  <si>
    <t>全塑胶包包</t>
  </si>
  <si>
    <t>#7玫红色花包 rare</t>
  </si>
  <si>
    <t>玫红色过胶色丁布</t>
  </si>
  <si>
    <t>底内寸</t>
  </si>
  <si>
    <t>花辨</t>
  </si>
  <si>
    <t>#8紫色亮皮包</t>
  </si>
  <si>
    <t>淡紫幻彩PU皮(底同面色)</t>
  </si>
  <si>
    <t>包身/前片</t>
  </si>
  <si>
    <t>侧边</t>
  </si>
  <si>
    <t>蝴蝶结</t>
  </si>
  <si>
    <t>#9金色胶件框包</t>
  </si>
  <si>
    <t>#10心形M字包</t>
  </si>
  <si>
    <t>#11黑色饺子包</t>
  </si>
  <si>
    <t>黑色有光PU佳绩布底</t>
  </si>
  <si>
    <t>前后包身</t>
  </si>
  <si>
    <t>包#11 #17 共用</t>
  </si>
  <si>
    <t>#12西瓜红斜跨包</t>
  </si>
  <si>
    <t>西瓜红PU佳绩布底</t>
  </si>
  <si>
    <t>前后包身/侧边</t>
  </si>
  <si>
    <t>#13千鸟格包</t>
  </si>
  <si>
    <t>提手</t>
  </si>
  <si>
    <t>底纸板</t>
  </si>
  <si>
    <t xml:space="preserve">#14银色包 </t>
  </si>
  <si>
    <t xml:space="preserve">银色幻彩PU </t>
  </si>
  <si>
    <t>扣</t>
  </si>
  <si>
    <t>#15红色包</t>
  </si>
  <si>
    <t>红色双面绒PU</t>
  </si>
  <si>
    <t>包身/背带/扣</t>
  </si>
  <si>
    <t>底纸板衬</t>
  </si>
  <si>
    <t>#16杏色包</t>
  </si>
  <si>
    <t>杏色防水羽绒服布</t>
  </si>
  <si>
    <t>包身内里</t>
  </si>
  <si>
    <t>#17黑色间线格子包</t>
  </si>
  <si>
    <t>#18紫红色包</t>
  </si>
  <si>
    <t>紫色亮光PU皮T/C布底(底同面色)</t>
  </si>
  <si>
    <t>手挽/扣</t>
  </si>
  <si>
    <t>#19杏色包包</t>
  </si>
  <si>
    <t>#20紫色包包</t>
  </si>
  <si>
    <t>紫色压纹PU皮(底同面色)</t>
  </si>
  <si>
    <t>#21幻彩包包</t>
  </si>
  <si>
    <t>白色幻彩PU皮(底同面色)</t>
  </si>
  <si>
    <t>#22浅紫色印黑色字母包包</t>
  </si>
  <si>
    <t>袋/袋侧/手挽/底</t>
  </si>
  <si>
    <t>#23玫红跨包</t>
  </si>
  <si>
    <t>玫红亮光PU皮</t>
  </si>
  <si>
    <t>后身连盖/前片</t>
  </si>
  <si>
    <t>底</t>
  </si>
  <si>
    <t>米白亮光PU皮(底同面色)</t>
  </si>
  <si>
    <t>后身边/前片身</t>
  </si>
  <si>
    <t>前扣/手挽/背带扣</t>
  </si>
  <si>
    <t>包带</t>
  </si>
  <si>
    <t>#1玫红鞋（1对）rare</t>
  </si>
  <si>
    <t>玫红色闪光巴黎之星</t>
  </si>
  <si>
    <t>面/短带/长带/结</t>
  </si>
  <si>
    <t>玫红过胶色丁布</t>
  </si>
  <si>
    <t>鞋底</t>
  </si>
  <si>
    <t>#2粉色印花鞋（1对）</t>
  </si>
  <si>
    <t>白色PU皮高危物料</t>
  </si>
  <si>
    <t>面/带/后跟/鞋底</t>
  </si>
  <si>
    <t>#3红色鞋（1对）</t>
  </si>
  <si>
    <t>红色亮光PU皮（底同面色）</t>
  </si>
  <si>
    <t>面/带/后跟</t>
  </si>
  <si>
    <t>红色过胶色丁布</t>
  </si>
  <si>
    <t>#5牛仔马鞋（1对）</t>
  </si>
  <si>
    <t>浅色牛仔布</t>
  </si>
  <si>
    <t>面/内里/流梳</t>
  </si>
  <si>
    <t>#6牛仔裤鞋（1对）</t>
  </si>
  <si>
    <t>深色牛仔布</t>
  </si>
  <si>
    <t>面/筒/内里里布/扣</t>
  </si>
  <si>
    <t>#9紫色拖鞋（1对）</t>
  </si>
  <si>
    <t>紫色透明PVC</t>
  </si>
  <si>
    <t>面</t>
  </si>
  <si>
    <t>紫色兔毛绒</t>
  </si>
  <si>
    <t>毛球</t>
  </si>
  <si>
    <t>深紫色过胶色丁布</t>
  </si>
  <si>
    <t>#10白色长筒靴（1对）</t>
  </si>
  <si>
    <t>面/鞋筒/鞋尖/内里</t>
  </si>
  <si>
    <r>
      <rPr>
        <sz val="11"/>
        <color theme="1"/>
        <rFont val="黑体"/>
        <charset val="134"/>
      </rPr>
      <t>包</t>
    </r>
    <r>
      <rPr>
        <sz val="11"/>
        <color theme="1"/>
        <rFont val="Times New Roman"/>
        <charset val="134"/>
      </rPr>
      <t xml:space="preserve">#2 #4 #13 #22 </t>
    </r>
    <r>
      <rPr>
        <sz val="11"/>
        <color theme="1"/>
        <rFont val="黑体"/>
        <charset val="134"/>
      </rPr>
      <t>鞋</t>
    </r>
    <r>
      <rPr>
        <sz val="11"/>
        <color theme="1"/>
        <rFont val="Times New Roman"/>
        <charset val="134"/>
      </rPr>
      <t xml:space="preserve">#10 </t>
    </r>
    <r>
      <rPr>
        <sz val="11"/>
        <color theme="1"/>
        <rFont val="黑体"/>
        <charset val="134"/>
      </rPr>
      <t>共用</t>
    </r>
  </si>
  <si>
    <t>1000#白色喷棉</t>
  </si>
  <si>
    <t>#11黑色长筒靴（1对）</t>
  </si>
  <si>
    <t>黑色亮光PU皮T/C布底</t>
  </si>
  <si>
    <t>筒身/筒上片/筒带/后跟</t>
  </si>
  <si>
    <t>#12粉紫色植绒拖鞋（1对）</t>
  </si>
  <si>
    <t>#14银色幻彩鞋（1对）</t>
  </si>
  <si>
    <t>银色幻彩PU皮</t>
  </si>
  <si>
    <t>本白色植绒无妨布底</t>
  </si>
  <si>
    <t>白色喷棉</t>
  </si>
  <si>
    <t>鞋内棉</t>
  </si>
  <si>
    <t>#33绿色印花方巾</t>
  </si>
  <si>
    <t>漂白色弹力软色丁布</t>
  </si>
  <si>
    <t>方巾激光裁片</t>
  </si>
  <si>
    <t xml:space="preserve">#34浅紫色印花方巾 </t>
  </si>
  <si>
    <t>#40帽子</t>
  </si>
  <si>
    <t>红色植绒TT布底</t>
  </si>
  <si>
    <t>帽顶3.5*3.5</t>
  </si>
  <si>
    <t>帽沿边3.5*3.5</t>
  </si>
  <si>
    <t>PDQ Demo 25pcs</t>
  </si>
  <si>
    <t>MA-RR-1665</t>
  </si>
  <si>
    <t>MA-RR-1856</t>
  </si>
  <si>
    <t>MA-RR-1892</t>
  </si>
  <si>
    <t>Fashion S4 #77770</t>
  </si>
  <si>
    <t>ZURU验货日期</t>
  </si>
  <si>
    <t>ZURU订单走货日期</t>
  </si>
  <si>
    <t>77198散件</t>
  </si>
  <si>
    <t>77198 
有香味</t>
  </si>
  <si>
    <t>77198 
无香味</t>
  </si>
  <si>
    <t>收缩膜
MA 1L</t>
  </si>
  <si>
    <t>收藏指南
MA 1L</t>
  </si>
  <si>
    <r>
      <rPr>
        <b/>
        <sz val="8"/>
        <color theme="1"/>
        <rFont val="宋体"/>
        <charset val="134"/>
        <scheme val="minor"/>
      </rPr>
      <t xml:space="preserve">收缩膜
MA </t>
    </r>
    <r>
      <rPr>
        <b/>
        <sz val="8"/>
        <color rgb="FF0000FF"/>
        <rFont val="宋体"/>
        <charset val="134"/>
        <scheme val="minor"/>
      </rPr>
      <t>B</t>
    </r>
    <r>
      <rPr>
        <b/>
        <sz val="8"/>
        <color theme="1"/>
        <rFont val="宋体"/>
        <charset val="134"/>
        <scheme val="minor"/>
      </rPr>
      <t xml:space="preserve"> 1L</t>
    </r>
  </si>
  <si>
    <r>
      <rPr>
        <b/>
        <sz val="8"/>
        <color theme="1"/>
        <rFont val="宋体"/>
        <charset val="134"/>
        <scheme val="minor"/>
      </rPr>
      <t xml:space="preserve">收藏指南
MA </t>
    </r>
    <r>
      <rPr>
        <b/>
        <sz val="8"/>
        <color rgb="FF0000FF"/>
        <rFont val="宋体"/>
        <charset val="134"/>
        <scheme val="minor"/>
      </rPr>
      <t>B</t>
    </r>
    <r>
      <rPr>
        <b/>
        <sz val="8"/>
        <color theme="1"/>
        <rFont val="宋体"/>
        <charset val="134"/>
        <scheme val="minor"/>
      </rPr>
      <t xml:space="preserve"> 1L</t>
    </r>
  </si>
  <si>
    <t>收缩膜
MA 3L</t>
  </si>
  <si>
    <t>收藏指南
MA 3L</t>
  </si>
  <si>
    <t>59886/63730
收藏指南
德语客版</t>
  </si>
  <si>
    <t>SK
展示架
MA 1L
带demo</t>
  </si>
  <si>
    <t>SK
展示架
MA 3L
带demo</t>
  </si>
  <si>
    <t>SK
展示架
-003客版
带demo</t>
  </si>
  <si>
    <t>MA 1L A
GQ2
无demo</t>
  </si>
  <si>
    <r>
      <rPr>
        <b/>
        <sz val="8"/>
        <color theme="1"/>
        <rFont val="宋体"/>
        <charset val="134"/>
        <scheme val="minor"/>
      </rPr>
      <t xml:space="preserve">MA 1L </t>
    </r>
    <r>
      <rPr>
        <b/>
        <sz val="8"/>
        <color rgb="FFFF0000"/>
        <rFont val="宋体"/>
        <charset val="134"/>
        <scheme val="minor"/>
      </rPr>
      <t>B</t>
    </r>
    <r>
      <rPr>
        <b/>
        <sz val="8"/>
        <color theme="1"/>
        <rFont val="宋体"/>
        <charset val="134"/>
        <scheme val="minor"/>
      </rPr>
      <t xml:space="preserve">
GQ2
带demo</t>
    </r>
  </si>
  <si>
    <t>MA 3L A
GQ2
带demo</t>
  </si>
  <si>
    <t>客版
GQ1
带demo</t>
  </si>
  <si>
    <t>63730/59886
客版GQ2</t>
  </si>
  <si>
    <t>客版
GQ3</t>
  </si>
  <si>
    <t>客版
GQ4</t>
  </si>
  <si>
    <t>客版
SQ1</t>
  </si>
  <si>
    <t>客版
SQ2</t>
  </si>
  <si>
    <t xml:space="preserve">Wal-mart US D07 </t>
  </si>
  <si>
    <t>MPO01093 4500057220</t>
  </si>
  <si>
    <t xml:space="preserve">Emily </t>
  </si>
  <si>
    <t>迷你小手袋</t>
  </si>
  <si>
    <t>2021/9/11 2021/7/30取消订单</t>
  </si>
  <si>
    <t>2021/9/14 2021/7/30取消订单</t>
  </si>
  <si>
    <t>转实单</t>
  </si>
  <si>
    <t>库有</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</si>
  <si>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展示架PO#4500057220 ，ItemMSLD16组装使用 </t>
  </si>
  <si>
    <t>MPO01094 4500057210</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</si>
  <si>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展示架PO#4500057210 ，ItemMSLD16组装使用 </t>
  </si>
  <si>
    <t>MPO01095 4500057211</t>
  </si>
  <si>
    <t>2021/9/13 2021/7/30取消订单</t>
  </si>
  <si>
    <t>2021/9/17 2021/7/30取消订单</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</si>
  <si>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展示架PO#4500057211 ，ItemMSLD16组装使用 </t>
  </si>
  <si>
    <t>MPO01099 4500057212</t>
  </si>
  <si>
    <t>2021/9/16 2021/7/30取消订单</t>
  </si>
  <si>
    <t>2021/9/20 2021/7/30取消订单</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</si>
  <si>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展示架PO#4500057212 ，ItemMSLD16组装使用 </t>
  </si>
  <si>
    <t>MPO01103 4500057213</t>
  </si>
  <si>
    <t>2021/9/23 2021/7/30取消订单</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</si>
  <si>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展示架PO#4500057213 ，ItemMSLD16组装使用 </t>
  </si>
  <si>
    <t>MPO01104 4500057214</t>
  </si>
  <si>
    <t xml:space="preserve">1.包装要求：Fashion Mini Brand S1 MA 包装
2.36pcs/CTN,装箱送货到库有
3.此单需要运到库有验货，每张展示架订单请多备5-6pcs产品
4.PO4500057220需要在库有抽板测试，抽板时间预计9/10号，请多备物料 请送货到库有组装时备注：供WM 展示架PO#4500057214 ，ItemMSLD16组装使用 </t>
  </si>
  <si>
    <t>WM TEAM</t>
  </si>
  <si>
    <t>迷你小手袋PDQ</t>
  </si>
  <si>
    <t>77198GQ3-S001</t>
  </si>
  <si>
    <t>2021/10/4  2021/9/3日取消订单</t>
  </si>
  <si>
    <t>2021/10/8  2021/9/3日取消订单</t>
  </si>
  <si>
    <t>8/26挪给后续翻单</t>
  </si>
  <si>
    <t>日期码格式：ZURU DGYYMMDD CHINA(避开法定节假日和周末） 日期：按实际生产日期
Remark: 77198：
1. 包装要求： MA 1L收缩膜+MA 1L纸袋+客版PDQ
2. 需印刷箱唛（四面右下角需印Zuru Logo）+贴艾利贴纸,箱唛待提供。外箱侧面任一角落标注：MADE IN CHINA
3. 在产品上和包装上要有日期码、以及要有MADE IN CHINA和ZURU字样。
4.此单需要验货，请多备料
5.8pcs/PDQ/CTN
6.此单走Bulk carton，不走slip sheet</t>
  </si>
  <si>
    <t>2021/10/7 2021/9/3日取消订单</t>
  </si>
  <si>
    <t>2021/10/11 2021/9/3日取消订单</t>
  </si>
  <si>
    <t>2021/10/8 2021/9/3日取消订单</t>
  </si>
  <si>
    <t>2021/10/12 2021/9/3日取消订单</t>
  </si>
  <si>
    <t>Wal-mart US</t>
  </si>
  <si>
    <t>MO20210930</t>
  </si>
  <si>
    <t>迷你小手袋卡板装
85 GQ3/卡板</t>
  </si>
  <si>
    <t>77198SLB-S002</t>
  </si>
  <si>
    <t>2021/11/15 2021/10/12日转正式订单</t>
  </si>
  <si>
    <t>2021/11/19 2021/10/12日转正式订单</t>
  </si>
  <si>
    <t>未完成</t>
  </si>
  <si>
    <t xml:space="preserve">1.包装要求：
77198: MA 1L收缩膜+MA 1L纸袋+MA 1L收藏指南+贴纸+客版PDQ,翻单： 4500058608
2. 在原来的空白外箱基础上增加了UPC内容，在加印的时候确保条形码能扫描出来（需四面右下角有ZURU的Logo）,UPC内容待提供，外箱侧面任一角落加印：“MADE IN CHINA” 字样；
3.每个slip sheet上面贴一张艾利贴纸和一张普通贴纸（可A4纸打印），slip sheet打印的普通贴纸的尺寸不能比艾利贴纸小，普通贴纸内容见附件。
4. 在产品上和包装上要有日期码、以及要有MADE IN CHINA和ZURU字样；
5. 产品如有扎带口要剪平，不能刮手。
6. 此单需要验货，请自行多备包装物料。
7. 此单以slip sheet出货， 77198：8pcs/PDQ/CTN，120箱/Slip sheet
</t>
  </si>
  <si>
    <t>77198GQ2-S001</t>
  </si>
  <si>
    <t>迷你小手袋PDQ
18pcs/GQ2/36pcs/箱</t>
  </si>
  <si>
    <t>2022/4/8 2022/1/7日取消订单</t>
  </si>
  <si>
    <t>2022/4/4 2022/1/7日取消订单</t>
  </si>
  <si>
    <t>日期码格式：ZURU 标准格式 日期：按实际生产日期
Remark: 1. MA PKG+进口商贴纸</t>
  </si>
  <si>
    <t>Doris</t>
  </si>
  <si>
    <t>LUDERIX INTERNATIONAL SAS</t>
  </si>
  <si>
    <t>2022/6/22 2022/6/22日取消订单</t>
  </si>
  <si>
    <t>2022/6/18 2022/6/22日取消订单</t>
  </si>
  <si>
    <t>日期码格式：ZURU 标准格式 日期：按实际生产日期
Remark: 1.请多备料，每款2-4套左右
10.77198GQ2:MA3L B版收缩膜+MA3L B版PDQ+MA3L B版收藏指南+1张警语贴纸翻4500070946+1张条码贴纸翻4500070946</t>
  </si>
  <si>
    <t>WAL-MART CANADA CORP.</t>
  </si>
  <si>
    <t>8000639966</t>
  </si>
  <si>
    <t>77198GQ2-S002</t>
  </si>
  <si>
    <t>迷你小手袋PDQ
18pcs/GQ2</t>
  </si>
  <si>
    <t>2022/6/22 2022/4/26日取消订单</t>
  </si>
  <si>
    <t>2022/6/18 2022/4/26日取消订单</t>
  </si>
  <si>
    <t>日期码格式：ZURU 标准格式 日期：按实际生产日期
Remark: 1.包装方式：
#77198 MA3L PDQ+MA3L收缩膜+MA 3L收藏指南
2.有箱唛待提供
3.有第三方验货，烦请多备包装物料</t>
  </si>
  <si>
    <t>2022/7/13 2022/4/26日取消订单</t>
  </si>
  <si>
    <t>2022/7/9 2022/4/26日取消订单</t>
  </si>
  <si>
    <t>2022/8/3 2022/4/26日取消订单</t>
  </si>
  <si>
    <t>2022/7/29 2022/4/26日取消订单</t>
  </si>
  <si>
    <t>CBI DISTRIBUTING CORPORATION</t>
  </si>
  <si>
    <t>取消单</t>
  </si>
  <si>
    <t>日期码格式：ZURU 标准格式 日期：按实际生产日期
Remark: MA 3L包装 + 客供价格贴纸</t>
  </si>
  <si>
    <t>Cara</t>
  </si>
  <si>
    <t>ZURU</t>
  </si>
  <si>
    <t>MPO01504</t>
  </si>
  <si>
    <t>77198</t>
  </si>
  <si>
    <t>MPO#01504 for 兴信的子件item#77198 for WAL-MART CANADA CORP :  送永捷混装展示架组装 PO# 4500076395;
包装：MA3L收缩膜+MA 3L收藏指南，此单有第三方验货没有测试，请注意备品，谢谢
1.    包装要求，交货日期 &amp; 备品数量信息请以跟单同事的信息为准;
2.    送货后，请发回盖章收货单通知SP在Odoo系统上确认收货，以便款项支付。谢谢</t>
  </si>
  <si>
    <t>5/4暂停生产</t>
  </si>
  <si>
    <t>日期码格式：ZURU 标准格式 日期：按实际生产日期
Remark: 1.请多备料，每款2-4套左右
9.77198GQ2:MA3L B版收缩膜+MA3L B版PDQ+MA3L B版收藏指南+1张警语贴纸翻4500070946+1张条码贴纸翻4500070946</t>
  </si>
  <si>
    <t>77246-S002</t>
  </si>
  <si>
    <t>迷你小手袋
2PK入邮包盒/箱</t>
  </si>
  <si>
    <t>2022/6/13 2022/5/18日取消订单</t>
  </si>
  <si>
    <t>2022/6/9 2022/5/18日取消订单</t>
  </si>
  <si>
    <t>空白外箱加印ZURU Logo+MADE IN CHINA</t>
  </si>
  <si>
    <t>日期码格式：ZURU 标准格式 日期：按实际生产日期
Remark: 1.Amazon FOB订单，出口CA。外箱最长边不能超过25" （超过了，case pack只能为1），不符合要求的大货，一律不接受。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都是唯一且有不同流水及条码的，没有损耗，绝对不可贴错
，否则贴错或损坏一张会导致全部都错，千万要注意.
3.散货进仓，直接送CDS保税仓.
77246：2PK 77198-S001 MA 3L in mailer box。邮宝盒图稿跟4500067696。两个球的配比不能重复。
出US 带Slime的9238+9241 需为无棚版本.</t>
  </si>
  <si>
    <t>Agnes</t>
  </si>
  <si>
    <t>360 SALES SOLUTIONS INC</t>
  </si>
  <si>
    <t>2022zuru10</t>
  </si>
  <si>
    <t>3/25 取消</t>
  </si>
  <si>
    <t>日期码格式：ZURU 标准格式 日期：按实际生产日期
Remark: 1.77198GQ2 MA 3L包装
日期跟踪码：产品外包装及产品本身都必须有日期跟踪码，并且确保两者的日期跟踪码要一致；ZURU标准格式日期码(请自行调整具体年月日生产期，但不能为周
末）。</t>
  </si>
  <si>
    <t>MO20220311</t>
  </si>
  <si>
    <t>77198SLB-S004</t>
  </si>
  <si>
    <t>迷你小手袋卡板装</t>
  </si>
  <si>
    <t>已转实单</t>
  </si>
  <si>
    <t>1. 包装要求：
77198: MA 1L收缩膜+MA 1L纸袋+MA 1L收藏指南+贴纸+MA PDQ,翻单： 4500070682
2. 在原来的空白外箱基础上增加了UPC内容，在加印的时候确保条形码能扫描出来（需四面右下角有ZURU的Logo）,UPC内容待提供，外箱侧面任一角落加印："MADE IN CHINA" 字样；
3.每个slip sheet上面贴一张艾利贴纸和一张普通贴纸（可A4纸打印），slip sheet打印的普通贴纸的尺寸不能比艾利贴纸小，普通贴纸内容见附件。
4.在产品上和包装上要有日期码、以及要有MADE IN CHINA和ZURU字样。
5.此单以slip sheet出货，77198：18pcs/PDQ/CTN， 60箱/Slip sheet；
6.此单需要验货，请多备料</t>
  </si>
  <si>
    <t>5/11取消 订单已完成</t>
  </si>
  <si>
    <t>日期码格式：ZURU 标准格式 日期：按实际生产日期
Remark: 1.包装方式：
#77198 MA3L PDQ+MA3L收缩膜+MA 3L收藏指南
4.有箱唛待提供
5.有第三方验货，烦请多备包装物料</t>
  </si>
  <si>
    <t>ASDA STORES LTD</t>
  </si>
  <si>
    <t>77198SLB-S005</t>
  </si>
  <si>
    <t>5/10取消 转新单78571</t>
  </si>
  <si>
    <t>日期码格式：ZURU 标准格式 日期：按实际生产日期
Remark: 
3. 77198GQ4-S001 :客版PDQ 1L版(8pcs/Gravity PDQ, 2W*2D*2H=8pcs/PDQ;8pcs/CTN);
MA收缩膜C1L版+SPEC CODE贴纸(spec code: 193052033178.2022)+MA收藏指南C1L版+其他MA 1L包装；
PDQ size: 20*20*20cm,必须是这个尺寸，不然客人货架放不下；
77198GQ4-S001 8pcs/PDQ/CTN(carton size:22x21x22.5cm), 20*6H=120carton=960pcs/Slip Sheet；一共需要4套slip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4.出英国，产品需要打UKCA Mark，包装也需要印UKCA Mark，否则客人会退货有罚款产生
5.请在5/13按时提供格式自检报告给我们发给客人审批了才能出货
6.请在5/6各提供两套新签板给我们安排签板
7.纸箱都用单坑纸箱，如运输测试不通过无法做成单坑，请第一时间通知跟单
8.如有slime产品，硼含量需要符合欧洲标准，如不确定是否符合请咨询ZURU NPD同事，否则客人会退货有罚款产生</t>
  </si>
  <si>
    <t>77198GQ4</t>
  </si>
  <si>
    <t>Novelty Poster Co Inc</t>
  </si>
  <si>
    <t>0086699</t>
  </si>
  <si>
    <t>5/16 取消单</t>
  </si>
  <si>
    <t>日期码格式：ZURU 标准格式 日期：按实际生产日期
Remark: 1.ZURU MA包装,出口美国.1L MA包裝
2.大货配比为:
#77198GQ2-S001-5 SURPRISE-FASHION MINI BRANDS-SERIES 1,18pcs/Gravity PDQ,36pcs/CTN,No Inner,STD Color Assortment
3.所有产品外包装及产品本身都必须有日期跟踪码，ZURU标准格式日期码,日期自行调整，但不能为周末。</t>
  </si>
  <si>
    <t>SD18</t>
  </si>
  <si>
    <t>日期码格式：ZURU DGYYMMDD CHINA(避开法定节假日和周末） 日期：按实际生产日期
Remark: 1. 包装要求：
77198: MA 1L收缩膜+MA 1L纸袋+MA 1L收藏指南+贴纸+MA PDQ,翻单： 4500070682
2.在原来的空白外箱基础上增加了UPC内容，在加印的时候确保条形码能扫描出来（需四面右下角有ZURU的Logo）,UPC内容待提供，外箱侧面任一角落加印："MADE
IN CHINA" 字样；
3.每个slip sheet上面贴一张艾利贴纸和一张普通贴纸（可A4纸打印），slip sheet打印的普通贴纸的尺寸不能比艾利贴纸小，普通贴纸内容见附件。
4.在产品上和包装上要有日期码、以及要有MADE IN CHINA和ZURU字样。
5.此单以slip sheet出货，77218：3pcs/PDQ/CTN，115箱/Slip sheet
77198：18pcs/PDQ/CTN， 60箱/Slip sheet
6.此单需要验货，请多备料</t>
  </si>
  <si>
    <t xml:space="preserve"> 
4231913187</t>
  </si>
  <si>
    <t>空白外箱+白色艾利贴纸；外箱四面右下角需印ZURU Logo</t>
  </si>
  <si>
    <t>日期码格式：ZURU DGYYMMDD CHINA(避开法定节假日和周末） 日期：按实际生产日期
Remark: 1. 包装要求：
77198: MA 1L收缩膜+MA 1L纸袋+MA 1L收藏指南+贴纸+MA PDQ,翻单： 4500070682
2. 空白外箱+白色艾利贴纸；外箱四面右下角需印ZURU Logo；常规贴纸还是按照以往的包装操作贴在主唛左前下角；外箱侧面任一角落备注："MADE IN CHINA" 字
样；
3.在产品上和包装上要有日期码、以及要有MADE IN CHINA和ZURU字样。
4.此单以bulk carton出货，不以slip sheet出货；
5. 77198：18pcs/PDQ/CTN，
6.此单需要验货，请多备料</t>
  </si>
  <si>
    <t>日期码格式：ZURU DGYYMMDD CHINA(避开法定节假日和周末） 日期：按实际生产日期
Remark: 1. 包装要求：
77198: MA 1L收缩膜+MA 1L纸袋+MA 1L收藏指南+贴纸+MA PDQ,翻单： 4500070682
2. 空白外箱+白色艾利贴纸；外箱四面右下角需印ZURU Logo；常规贴纸还是按照以往的包装操作贴在主唛左前下角；外箱侧面任一角落备注："MADE IN CHINA" 字
样；
3.在产品上和包装上要有日期码、以及要有MADE IN CHINA和ZURU字样。
4.此单以bulk carton出货，不以slip sheet出货；
5. 77198：18pcs/PDQ/CTN，
6.此单需要验货，请多备料
Order</t>
  </si>
  <si>
    <t>空白外箱+白色艾利贴纸；外箱四面右下角需印ZURU Logo；常规贴纸还是按照以往的包装操作贴在主唛左前下角；外箱侧面任一角落备注："MADE IN CHINA" 字
样</t>
  </si>
  <si>
    <t>日期码格式：ZURU DGYYYYMMDD CHINA(日期避开周末和法定节假日即可） 日期：按实际生产日期
Remark: 77198GQ2：
1. 包装要求：
77198: MA 1L收缩膜+MA 1L纸袋+MA 1L收藏指南+贴纸+MA PDQ,翻单： 4500070682
2. 空白外箱+白色艾利贴纸；外箱四面右下角需印ZURU Logo；常规贴纸还是按照以往的包装操作贴在主唛左前下角；外箱侧面任一角落备注："MADE IN CHINA" 字
样；
3.在产品上和包装上要有日期码、以及要有MADE IN CHINA和ZURU字样。
4.此单以bulk carton出货，不以slip sheet出货；
5. 77198：18pcs/PDQ/CTN，
6.此单需要验货，请多备料</t>
  </si>
  <si>
    <t>在原来的空白外箱基础上增加了UPC内容</t>
  </si>
  <si>
    <t>日期码格式：ZURU DGYYYYMMDD CHINA(日期避开周末和法定节假日即可） 日期：按实际生产日期
Remark: 77198SLB
1. 包装要求：
77198: MA 1L收缩膜+MA 1L纸袋+MA 1L收藏指南+贴纸+MA PDQ,翻单： 4500070682
2.在原来的空白外箱基础上增加了UPC内容，在加印的时候确保条形码能扫描出来（需四面右下角有ZURU的Logo）,UPC内容待提供，外箱侧面任一角落加印："MADE
IN CHINA" 字样；
3.每个slip sheet上面贴一张艾利贴纸和一张普通贴纸（可A4纸打印），slip sheet打印的普通贴纸的尺寸不能比艾利贴纸小，普通贴纸内容见附件。
4.在产品上和包装上要有日期码、以及要有MADE IN CHINA和ZURU字样。
5.此单以slip sheet出货，77198：18pcs/PDQ/CTN， 60箱/Slip sheet
6.此单需要验货，请多备料</t>
  </si>
  <si>
    <t>日期码格式：ZURU DGYYYYMMDD CHINA(日期避开周末和法定节假日即可） 日期：按实际生产日期
Remark: 1. 包装要求：
77198: MA 1L收缩膜+MA 1L纸袋+MA 1L收藏指南+贴纸+MA PDQ,翻单： 4500070682
2. 空白外箱+白色艾利贴纸；外箱四面右下角需印ZURU Logo；常规贴纸还是按照以往的包装操作贴在主唛左前下角；外箱侧面任一角落备注："MADE IN CHINA" 字
样；
3.在产品上和包装上要有日期码、以及要有MADE IN CHINA和ZURU字样。
4.此单以bulk carton出货，不以slip sheet出货；
5. 77198：18pcs/PDQ/CTN，
6.此单需要验货，请多备料</t>
  </si>
  <si>
    <t>2022/6/3 2022/5/24日取消订单</t>
  </si>
  <si>
    <t>2022/6/2 2022/5/24日取消订单</t>
  </si>
  <si>
    <t>日期码格式：ZURU 标准格式 日期：按实际生产日期
Remark: 1.请多备料，每款2-4套左右
8.77198GQ2:MA3L B版收缩膜+MA3L B版PDQ+MA3L B版收藏指南+1张警语贴纸+1张条码贴纸</t>
  </si>
  <si>
    <t>已完成</t>
  </si>
  <si>
    <t>BRANDS IN STYLE (PVT) LTD</t>
  </si>
  <si>
    <t>6/9 取消订单</t>
  </si>
  <si>
    <t>日期码格式：ZURU 标准格式 日期：按实际生产日期
Remark: 1.MA UPC PKG, 优先MA 1L</t>
  </si>
  <si>
    <t>77366-S001</t>
  </si>
  <si>
    <t>迷你小手袋
2个球装</t>
  </si>
  <si>
    <t>2022/6/30 2022/6/13日取消订单</t>
  </si>
  <si>
    <t>2022/6/27 2022/6/13日取消订单</t>
  </si>
  <si>
    <t>日期码格式：ZURU 标准格式 日期：按实际生产日期
Remark: 1.Amazon domestic 订单，外箱加印箱唛 （跟单提供）。出口美国。外箱最长边不能超过25" （超过了，case pack只能为1），不符合要求的大货，一律不接受。
2.无第三方验货/测试要求。
3.日期码使用ZURU标准版本。MA 1L 包装。
77366:2PK 77198-S001 in PVC tube, 两个球的配比不能重复。 铜版纸AW跟翻单4500070743. Amazon 独家UPC：193052035974</t>
  </si>
  <si>
    <t>Agnes/Yvonne</t>
  </si>
  <si>
    <t>6/27 取消订单</t>
  </si>
  <si>
    <t>日期码格式：ZURU 标准格式 日期：按实际生产日期
Remark: 1.Amazon Domestic 订单，出口US。外箱最长边不能超过25" （超过了，case pack只能为1），不符合要求的大货，一律不接受。
2.跟单提供箱唛
3.ZURU MA包装1L。
4.邮包盒请打上日期码
77366:2PK 77198-S001 in PVC tube, 两个球的配比不能重复。 铜版纸AW跟翻单4500070743. Amazon 独家UPC：193052035974</t>
  </si>
  <si>
    <t>0086-7017436-0581</t>
  </si>
  <si>
    <t>7/18 取消订单</t>
  </si>
  <si>
    <t>日期码格式：ZURU 标准格式 日期：按实际生产日期
Remark: 1 77198GQ2 : 18pcs PCS/CTN
2 产品MA 1L 包装，产品上面的UPC 显示193052033178；MA PDQ ,18pcs PDQ
3 产品和包装上均要印刷tracking code信息，格式为ZURU常规格式
4 出货方式： 货代自提
5 外箱正唛右上角位置粘贴条码箱贴纸，每箱只贴一张由ZURU订购,DPCI 显示 086-02-8968，来料显示10193052033175</t>
  </si>
  <si>
    <t xml:space="preserve">Holly Zheng/ Cherish </t>
  </si>
  <si>
    <t>0086-7893365-0584</t>
  </si>
  <si>
    <t>日期码格式：ZURU 标准格式 日期：按实际生产日期
Remark: 1.Amazon Domestic订单，出口US。外箱最长边不能超过25" （超过了，case pack只能为1），不符合要求的大货，一律不接受。
2. 跟单提供箱唛资料
3.ZURU MA包装1L。
4.邮包盒请打上日期码
77366:2PK 77198-S001 in PVC tube, 两个球的配比不能重复。 铜版纸AW跟翻单4500070743. Amazon 独家UPC：193052035974</t>
  </si>
  <si>
    <t>MO20220706</t>
  </si>
  <si>
    <t>77349GQ2-S002</t>
  </si>
  <si>
    <t>2代迷你小手袋</t>
  </si>
  <si>
    <t>取消订单</t>
  </si>
  <si>
    <t>空白外箱（四面右下角需印Zuru Logo)</t>
  </si>
  <si>
    <t>1. 包装要求：
77349： MA 1L收缩膜+MA 1L纸袋+MA 1L收藏指南+贴纸+MA PDQ
每pcs产品要贴一张RFID贴纸，RFID贴纸由ZURU提供，贴纸位置要严格按照客人签板
2.空白外箱（四面右下角需印Zuru Logo)+白色艾利贴纸+粉红色艾利贴纸；请注意外箱上有2张贴纸（1张常规贴纸+1张粉红色贴纸），白色艾利贴纸还是按照以往的包装操作贴在主唛左前下角；1张粉红色贴纸贴在对角线，外箱任一侧面角落备注："MADE IN CHINA" 字样。
3. 在产品上和包装上要有日期码、以及要有MADE IN CHINA和ZURU字样；
4. 产品如有扎带口要剪平，不能刮手。
5. 此单需要抽板验货，抽板期初定8/1，请自行多备包装物料。</t>
  </si>
  <si>
    <t>MO20220718</t>
  </si>
  <si>
    <t>77349SK</t>
  </si>
  <si>
    <t>2代迷你小手袋展示架</t>
  </si>
  <si>
    <t>已转新单4500083528</t>
  </si>
  <si>
    <t>1. 包装要求：
77349SK： MA 1L收缩膜+MA 纸袋+MA 3L收藏指南+MA sidekick
每pcs产品要贴一张RFID贴纸，RFID贴纸由ZURU提供，贴纸位置要严格按照客人签板
2.外箱蓝色色带箱唛（四面右下角需印Zuru Logo)+1张白色艾利贴纸+2张黄色贴纸；白色艾利贴纸还是按照以往的包装操作贴在主唛左前下角，外箱任一侧面角落备注："MADE IN CHINA" 字样，黄色贴纸正面和侧面各贴一张，外箱箱唛资料和黄色贴纸资料待提供。
3. 在产品上和包装上要有日期码、以及要有MADE IN CHINA和ZURU字样；
4. 产品如有扎带口要剪平，不能刮手。
5. 此单需要抽板验货，抽板期初定8/19，请自行多备包装物料。
6.30pcs/Sidekick/CTN</t>
  </si>
  <si>
    <t>MO20220803</t>
  </si>
  <si>
    <t>转正式PO  4500084500</t>
  </si>
  <si>
    <t>已从实单4500084500扣除 手工单</t>
  </si>
  <si>
    <t>0086-3702034-0581</t>
  </si>
  <si>
    <t>10-77349GQ2-S002</t>
  </si>
  <si>
    <t>订单取消</t>
  </si>
  <si>
    <t>日期码格式：ZURU 标准格式 日期：按实际生产日期
Remark: 1# 77349GQ2-S002 : 18pcs PCS/PDQ/CTN
2 产品MA 1L 包装，产品上面的UPC 显示193052043757；MA PDQ ,18pcs/PDQ
3 产品和包装上均要印刷tracking code信息，格式为ZURU常规格式
4 外箱正唛右上角位置粘贴条码箱贴纸，每箱只贴一张由ZURU订购,DPCI 显示 086-02-8442，来料显示10193052043754
5 出货方式： 货代自提</t>
  </si>
  <si>
    <t>Holly Zheng/Cherish</t>
  </si>
  <si>
    <t>SHINE S.A.</t>
  </si>
  <si>
    <t>20-77198GQ2-S001</t>
  </si>
  <si>
    <t>11/9 取消订单</t>
  </si>
  <si>
    <t>成品</t>
  </si>
  <si>
    <t>日期码格式：ZURU 标准格式 日期：按实际生产日期
Remark: 1.MA 3L包装+进口商贴纸,箱唛;此单消耗取消订单4500072103 数量6390pcs，需补做剩余3330pcs</t>
  </si>
  <si>
    <t>Ever.Li</t>
  </si>
  <si>
    <t>77349SK1-S001</t>
  </si>
  <si>
    <t>先不安排做大货</t>
  </si>
  <si>
    <t>待后续订单扣除</t>
  </si>
  <si>
    <t>日期码格式：ZURU DGYYMMDD CHINA(避开法定节假日和周末） 日期：按实际生产日期
Remark: 1. 包装要求：
77349SK1： MA 1L收缩膜+MA 纸袋+MA 3L收藏指南+MA sidekick
每pcs产品要贴一张RFID贴纸，RFID贴纸由ZURU提供，贴纸位置要严格按照客人签板
2.外箱蓝色色带箱唛（四面右下角需印Zuru Logo)+1张白色艾利贴纸+2张黄色贴纸；白色艾利贴纸还是按照以往的包装操作贴在主唛左前下角，外箱任一侧面角落备
注："MADE IN CHINA" 字样，黄色贴纸正面和侧面各贴一张，外箱箱唛资料和黄色贴纸资料待提供。
3. 在产品上和包装上要有日期码、以及要有MADE IN CHINA和ZURU字样；
4. 产品如有扎带口要剪平，不能刮手。
5. 此单需要抽板验货，抽板期初定8/19，请自行多备包装物料。
6.30pcs/Sidekick/CTN</t>
  </si>
  <si>
    <t>未</t>
  </si>
  <si>
    <t>MO20220923</t>
  </si>
  <si>
    <t>77349SLB-S001</t>
  </si>
  <si>
    <t>2代迷你小手袋
卡板装</t>
  </si>
  <si>
    <t>待实单扣除</t>
  </si>
  <si>
    <t>1. 包装要求：
77349: MA 1L收缩膜+MA 1L纸袋+MA 收藏指南+MA 1L PDQ,翻单：4500084502
每pcs产品上要贴1张RFID贴纸，贴纸由ZURU提供，贴纸位置请严格按照我们签回的签板；
2. 在原来的空白外箱基础上增加了UPC内容+RFID箱唛，在加印的时候确保条形码能扫描出来（需四面右下角有ZURU的Logo），UPC内容待和RFID箱唛提供，外箱侧面任一角落加印："MADE IN CHINA" 字样；
3. 每个slip sheet上面贴一张艾利贴纸和一张普通贴纸（可A4纸打印），slip sheet打印的普通贴纸的尺寸不能比艾利贴纸小，普通贴纸内容见附件；
3. 在产品上和包装上要有日期码、以及要有MADE IN CHINA和ZURU字样；
4. 产品如有扎带口要剪平，不能刮手。
5. 此单需要验货，请多备料
6. 此单以slip sheet出货，
77349：18pcs/PDQ/CTN；1080pcs/60CTN/Slip Sheet</t>
  </si>
  <si>
    <t>4500090575-50</t>
  </si>
  <si>
    <t>77349GQ2-S001</t>
  </si>
  <si>
    <t>日期码格式：ZURU 标准格式 日期：按实际生产日期
Packaging Info: 
3,77349GQ2 MA英语UPC版本包装（收缩膜+收藏指南+PDQ）（首先1L，如果无1L可用多语含英语）+防盗贴纸（1pcs/PCS)+箱唛+箱唛贴纸(1PCS/CTN),防盗贴纸及其
位置图跟回PO#4500086073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t>
  </si>
  <si>
    <t>Sara Wang</t>
  </si>
  <si>
    <t>4500090577-50</t>
  </si>
  <si>
    <t>日期码格式：ZURU 标准格式 日期：按实际生产日期
Packaging Info: 
3,77349GQ2 MA英语UPC版本包装（收缩膜+收藏指南+PDQ）（首先1L，如果无1L可用多语含英语）+防盗贴纸（1pcs/PCS)+箱唛+箱唛贴纸(1PCS/CTN),防盗贴纸及其
位置图跟回PO#4500086073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t>
  </si>
  <si>
    <t>4500090575-20</t>
  </si>
  <si>
    <t>日期码格式：ZURU 标准格式 日期：按实际生产日期
Packaging Info: 
5.77353GQ1 MAUPC英文版本包装（收缩膜+收藏指南+PDQ）（首先1L，如果无1L可用多语含英语）+防盗贴纸+箱唛+箱唛贴纸(1PCS/CTN)。12pcs/Gravity PDQ,12pcs
/CTN，防盗贴纸及其位置图跟回PO#4500086540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t>
  </si>
  <si>
    <t>4500090577-20</t>
  </si>
  <si>
    <t>日期码格式：ZURU 标准格式 日期：按实际生产日期
Packaging Info:
3,77349GQ2 MA英语UPC版本包装（收缩膜+收藏指南+PDQ）（首先1L，如果无1L可用多语含英语）+防盗贴纸（1pcs/PCS)+箱唛+箱唛贴纸(1PCS/CTN),防盗贴纸及其
位置图跟回PO#4500086073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7.RATIO:
25282:Baby Shark(yellow)/ Mummy Shark(pink)/ Daddy Shark(blue) =1:1:1; include 3pcs AAA carbon batteries;
9258:Unicorn/Lion/Bunny/Flamingo/Elephant/Kitten。</t>
  </si>
  <si>
    <t>4500090168-10</t>
  </si>
  <si>
    <t>7734 9GQ2-S001</t>
  </si>
  <si>
    <t>日期码格式：ZURU 标准格式 日期：按实际生产日期
Packaging Info: 1,77349GQ2 MA英语UPC版本包装（收缩膜+收藏指南+PDQ）（首先1L，如果无1L可用多语含英语）+防盗贴纸（1pcs/PCS)+箱唛+箱唛贴纸(1PCS/CTN),防盗贴纸及其
位置图跟回PO#4500086073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7.RATIO:</t>
  </si>
  <si>
    <t>4500090173-10</t>
  </si>
  <si>
    <t>日期码格式：ZURU 标准格式 日期：按实际生产日期
Packaging Info: 1,77349GQ2 MA英语UPC版本包装（收缩膜+收藏指南+PDQ）（首先1L，如果无1L可用多语含英语）+防盗贴纸（1pcs/PCS)+箱唛+箱唛贴纸(1PCS/CTN),防盗贴纸及其
位置图跟回PO#4500086073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t>
  </si>
  <si>
    <t>0086-6250731-0581</t>
  </si>
  <si>
    <t>ZURU Denmark ApS</t>
  </si>
  <si>
    <t>60-77349GQ2-S002-NS</t>
  </si>
  <si>
    <t>77349GQ2-S002-NS</t>
  </si>
  <si>
    <t>12/6 取消订单</t>
  </si>
  <si>
    <t>11/8 已订</t>
  </si>
  <si>
    <t>日期码格式：ZURU 标准格式 日期：按实际生产日期
Packaging Info: 
77349GQ2：MA 3L包装+无香味贴纸+EAN条码贴纸+警告语贴纸+客版无香味收藏指南+3张PDQ贴纸-正面*1&lt;(&gt;&amp;&lt;)&gt;侧面*2（覆盖带香味的logo）Remark: 1. 包装如含PVC,请改为PET，工厂请提出；
贴球面的客版贴纸工厂需要订购合成纸贴纸
2. 产品要求无硼无香
77349GQ2-4894680023888-10193052043754
77349GQ2：NON-Scent;Remove 10 little scented products:Facial cream #11#12,Perfume#16#17#18#19#20#21,Bubble tea #42#43;</t>
  </si>
  <si>
    <t>Rose</t>
  </si>
  <si>
    <t>2O3Z1Y3R</t>
  </si>
  <si>
    <t>4500092268-10</t>
  </si>
  <si>
    <t>12/28 取消订单</t>
  </si>
  <si>
    <t>空白外箱正面印ZURU Logo+SSCC</t>
  </si>
  <si>
    <t>日期码格式：ZURU 标准格式 日期：按实际生产日期
Packaging Info:
Remark: 1.Amazon FOB订单，出口US。外箱最长边不能超过25" （超过了，case pack只能为1），不符合要求的大货，一律不接受。
2. 空白外箱正面印ZURU Logo+SSCC LABEL（客供贴纸), 侧面印MADE IN CHINA+carton size(以工厂实际尺寸为准,单位: inch) ,无shipping mark，日期使用ZURU
标准版本 SSCC Label 显示的是客人自己的item#, SSCC Label 贴在外箱正面的正中间，贴一面即可，跟单订购，贴纸离外箱距必须至少3cm, 每一张SSCC label
都是唯一且有不同流水及条码的，没有损耗，绝对不可贴错 ，否则贴错或损坏一张会导致全部都错，千万要注意.
3.ZURU MA包装1L。
77366:2PK 77198-S001 in PVC tube, 两个球的配比不能重复。 铜版纸AW跟翻单4500070743. Amazon 独家UPC：193052035974</t>
  </si>
  <si>
    <t>7ZVE31PA</t>
  </si>
  <si>
    <t>4500092275-40</t>
  </si>
  <si>
    <t>日期码格式：ZURU 标准格式 日期：按实际生产日期
Packaging Info:
Remark: 1.Amazon FOB订单，出口US。外箱最长边不能超过25" （超过了，case pack只能为1），不符合要求的大货，一律不接受。
2. 空白外箱正面印ZURU Logo+SSCC LABEL（客供贴纸), 侧面印MADE IN CHINA+carton size(以工厂实际尺寸为准,单位: inch) ,无shipping mark，日期使用ZURU
标准版本 SSCC Label 显示的是客人自己的item#, SSCC Label 贴在外箱正面的正中间，贴一面即可，跟单订购，贴纸离外箱距必须至少3cm, 每一张SSCC label
都是唯一且有不同流水及条码的，没有损耗，绝对不可贴错 ，否则贴错或损坏一张会导致全部都错，千万要注意.
3.ZURU MA包装1L。
邮包盒上要打上日期码
77366:2PK 77198-S001 in PVC tube, 两个球的配比不能重复。 铜版纸AW跟翻单4500070743. Amazon 独家UPC：193052035974</t>
  </si>
  <si>
    <t>MEIJER</t>
  </si>
  <si>
    <t>4500092766-10</t>
  </si>
  <si>
    <t>77349SQ1-S001</t>
  </si>
  <si>
    <t>1/30 取消订单</t>
  </si>
  <si>
    <t>日期码格式：ZURU 标准格式 日期：按实际生产日期
Packaging Info: 1. MA 1L + 客版PDQ
2. 客人指定箱唛排版
Remark: 出货前 Zuru QC 验货</t>
  </si>
  <si>
    <t>Sophia</t>
  </si>
  <si>
    <t>4500092767-10</t>
  </si>
  <si>
    <t>TOKMANNI - DOM</t>
  </si>
  <si>
    <t>20-77349GQ2-S001-NS</t>
  </si>
  <si>
    <t>77349GQ2-S001-NS</t>
  </si>
  <si>
    <t>2/16 取消订单</t>
  </si>
  <si>
    <t>有干燥剂</t>
  </si>
  <si>
    <t>日期码格式：ZURU 标准格式 日期：按实际生产日期
Packaging Info: （用于曲面的贴纸请使用合成纸）
77349GQ2:MA 3L 包装/PDQ+客版收藏指南（翻单4500086294）+1张警告语贴纸+1张EAN条码贴纸+3张PDQ贴纸（覆盖PDQ上有香味图案）
Remark: 1.配比信息
77349GQ2:NON-Scent;Remove 10 little scented products:Facial cream #11#12,Perfume #16#17#18#19#20#21,Bubble tea #42#43;
2.产品要求无硼无香（如果没有此类问题，请忽略此点）
3.此订单客户每个ITEM都需各3套大货样用于签板，并且有第三方验货，请提前多备料
4.包装不可用PVC材质,要用PET替代
5.此单每款每个外箱都要放一包或者两包干燥剂，请按照供应商建议和干燥剂指引安排，船务通知要做柜时，做柜工厂需准备货柜内的干燥剂，干燥剂需要做柜工厂
自行找指定供应商订购。（参考订单4500079961）
6.请使用双坑外箱，单坑外箱会备注在验货报告中</t>
  </si>
  <si>
    <t>4500092508-10</t>
  </si>
  <si>
    <t>77349GQ1-S001</t>
  </si>
  <si>
    <t>2/15 取消订单</t>
  </si>
  <si>
    <t>日期码格式：ZURU 标准格式 日期：按实际生产日期
Packaging Info: 1.MA3L包装+客版3LPDQ（翻单4500083808）+价格贴纸(跟单提供，工厂无需安排）
2.价格贴纸覆盖收缩膜上的UPC条码且不要盖住红色小鬼头，先贴一个球发张照片让跟单确认下
Remark:
Order Modifiable</t>
  </si>
  <si>
    <t>Jasmine chen</t>
  </si>
  <si>
    <t>北美洲</t>
  </si>
  <si>
    <t>1A5A9G4S</t>
  </si>
  <si>
    <t>4500094726-10</t>
  </si>
  <si>
    <t>77410-S001</t>
  </si>
  <si>
    <t>2代迷你小手袋
2只装入PVC圆筒</t>
  </si>
  <si>
    <t>2/17 取消订单</t>
  </si>
  <si>
    <t>空白外箱正面印ZURU Logo+SSCC LABEL（客供贴纸), 侧面印MADE IN CHINA+carton size</t>
  </si>
  <si>
    <t>日期码格式：ZURU 标准格式 日期：按实际生产日期
Packaging Info: 出CA要无硼版,语言至少要英法2L，只有英语不能出货
77410 2PK #77349入PVC圆筒。2PK铜版纸,收缩膜,收藏指南,说明书均为MA 3L标版。（两个球的配比不能重复）。
Remark: 1.Amazon FOB订单，出口CA。外箱最长边不能超过25" （超过了，case pack只能为1），不符合要求的大货，一律不接受。
2. 空白外箱正面印ZURU Logo+SSCC LABEL（客供贴纸), 侧面印MADE IN CHINA+carton size(以工厂实际尺寸为准,单位: inch) ,无shipping mark，日期使用ZURU
标准版本 SSCC Label 显示的是客人自己的item#, SSCC Label 贴在外箱正面的正中间，贴一面即可，跟单订购，贴纸离外箱距必须至少3cm, 每一张SSCC label
都是唯一且有不同流水及条码的，没有损耗，绝对不可贴错 ，否则贴错或损坏一张会导致全部都错，千万要注意.</t>
  </si>
  <si>
    <t>4500097232-10</t>
  </si>
  <si>
    <t>3/17 取消订单</t>
  </si>
  <si>
    <t>日期码格式：ZURU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t>
  </si>
  <si>
    <t>Maggie Ruan</t>
  </si>
  <si>
    <t>AKMRH-A</t>
  </si>
  <si>
    <t>4500094129-20</t>
  </si>
  <si>
    <t>暂停生产</t>
  </si>
  <si>
    <t>3/14取消</t>
  </si>
  <si>
    <t>日期码格式：ZURU 标准格式 日期：按实际生产日期
Packaging Info: 1.#77425: MA UPC 包装
Remark: 1. MA UPC包装，出美国
2. ZURU 标准日期码格式
3. 整柜出货</t>
  </si>
  <si>
    <t>Cynthia Li</t>
  </si>
  <si>
    <t>MO20230407</t>
  </si>
  <si>
    <t>MO20230407-10</t>
  </si>
  <si>
    <t>77349SLB-S001
1. 包装要求
77349: MA 1L收缩膜+MA 1L纸袋+MA 收藏指南+MA 1L PDQ, 翻单：4500084502
每pcs产品上要贴1张RFID贴纸，贴纸由ZURU提供，贴纸位置请严格按照我们签回的签板；
2. 外箱印刷带条码的RFID箱唛：ZURU logo色带+RFID紫色色带+WM Dept.图标+RFID图标+ITF-14条码，ITF条码只印刷在正唛一面，箱唛资料待提供，在加印的时候确保条形码能扫描出来，外箱侧面任一角落加印："MADE IN CHINA" 字样；
3. 每个slip sheet上面贴一张艾利贴纸和一张普通贴纸（两张均可A4纸打印），slip sheet打印的普通贴纸的尺寸不能比艾利贴纸小，普通贴纸内容见附件；
4. 在产品上和包装上要有日期码、以及要有MADE IN CHINA和ZURU字样；
5. 产品如有扎带口要剪平，不能刮手。
6. 此单需要验货，请多备料
7. 此单以slip sheet出货，77349：18pcs/PDQ/CTN；1080pcs/60CTN/Slip Sheet</t>
  </si>
  <si>
    <t>TOYS "R" US (CANADA) LTD.</t>
  </si>
  <si>
    <t>4500101110-90</t>
  </si>
  <si>
    <t>6/14 取消订单</t>
  </si>
  <si>
    <t>6/19 SGS验货</t>
  </si>
  <si>
    <t>日期码格式：ZURU INC(BVI) 标准格式 日期：按实际生产日期
Packaging Info: 1. 出口加拿大市场。不指定生产日期，产品/包装按照Zuru生产日期格式，箱唛格式为YYYYMMDD，箱唛上面的时
间要求与产品已经包装上面的一样。
77349GQ2 MA 3L UPC 版本， UPC#193052043757.
Remark: 2. 需要第三方SGS验货，验货时间暂定2023/6/16，每款每色请备1PC完整带包装样品供验货人员参考。用完后若无损坏可以放回大货里。</t>
  </si>
  <si>
    <t>Abby Mai</t>
  </si>
  <si>
    <t>4500101899-20</t>
  </si>
  <si>
    <t>7/7 第三方验货</t>
  </si>
  <si>
    <t>日期码格式：ZURU INC(BVI) 标准格式 日期：按实际生产日期
Packaging Info: 1. 出口加拿大市场。不指定生产日期，产品/包装按照Zuru生产日期格式，箱唛格式为YYYYMMDD，箱唛上面的时
间要求与产品已经包装上面的一样。
77349GQ2 MA 3L UPC 版本， UPC#193052043757.
Remark: 2. 需要第三方SGS验货，验货时间暂定2023/7/07，每款每色请备1PC完整带包装样品供验货人员参考。用完后若无损坏可以放回大货里。</t>
  </si>
  <si>
    <t>4500101899-70</t>
  </si>
  <si>
    <t>Loblaws INC.</t>
  </si>
  <si>
    <t>4860771028 32</t>
  </si>
  <si>
    <t>4500106200-10</t>
  </si>
  <si>
    <t>MSLD51-S002</t>
  </si>
  <si>
    <t>混装</t>
  </si>
  <si>
    <t>6/13 取消订单</t>
  </si>
  <si>
    <t>日期码格式：ZURU INC(BVI) 标准格式 日期：按实际生产日期
Packaging Info: 球的收缩膜， 说明书MA 3L（MA英法2L 也可以）
展示架：客版英法双语,同PO#4500104616 ,可以一起订购展示架物料
Remark: 出加拿大
Zuru验货.日期跟踪码：产品外包装及产品本身都必须有日期跟踪码，ZURU标准格式日期码</t>
  </si>
  <si>
    <t>MSLD51-S002-V3</t>
  </si>
  <si>
    <t>4500107022-30</t>
  </si>
  <si>
    <t>取消</t>
  </si>
  <si>
    <t>日期码格式：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
5. PVC 桶中球不能出现完全 相同的ASSORTMENT ， 即同一个PVC 中球里的ASSORTMENT 需要不同。 以免消费者失望。
6.PVC 桶上加上 5 surprise 的LOGO 贴纸 （ ZURU 统一要求的）</t>
  </si>
  <si>
    <t>Amazon
FR2H5TSN1Y</t>
  </si>
  <si>
    <t>4500106695-20</t>
  </si>
  <si>
    <t>空白外箱（加印带Zuru字样的黑色色带，一正一侧需印"Made in China</t>
  </si>
  <si>
    <t>日期码格式：ZURU INC(BVI) 标准格式 日期：按实际生产日期
Packaging Info: Amazon UK,FR,DE,IT,ES
3.77410：全套MA-3L包装，PVC Tube加1张警语贴纸（翻单po#4500093757).
Remark: 1.空白外箱（加印带Zuru字样的黑色色带，一正一侧需印"Made in China"字样,除了邮包盒直接做外箱的产品)+SSCC LABEL一张, 无箱唛.
(SSCC LABEL贴在外箱正面的正中间，贴一面即可,贴纸离外箱边距必须至少3CM), SSCC贴纸由工厂与勤得直接采购，每一张SSCC Label都是唯一且有不同流水及条
码
的，且需要检查条码是否能正常扫描，如工厂不按此要求导致贴纸有任何问题产生的罚款将由工厂承担一切责任 。"
2. 出往UK的产品+包装务必打上UKCA logo ，不然客人会退货且当地会有罚款。
3.订单必须经过ZURU QC验货并且通过后方可出货。
4.法国订单要求包装不使用矿物油，请按要求提供以下其中一份文件再出货 ，产品
出到法国被相关部门抽检出现包装不符合此要求的，供应商需要为此承担责任，故此请严格把关 。
-油墨物质""由1 ~ 7个芳香环组成的MOAH""的包装检测报告，要求限值≤1.0%;
-包装材料清单，包括包装油墨或物质的信息
-油墨制造商的证书。"</t>
  </si>
  <si>
    <t>77410-S001-3L-V3</t>
  </si>
  <si>
    <t>Amazon
IT1DGSCQJY</t>
  </si>
  <si>
    <t>4500106695-70</t>
  </si>
  <si>
    <t>Amazon
DE27522FJV</t>
  </si>
  <si>
    <t>4500106695-160</t>
  </si>
  <si>
    <t>4500106743-50</t>
  </si>
  <si>
    <t>7/4 取消订单</t>
  </si>
  <si>
    <t>日期码格式：ZURU INC(BVI) 标准格式 日期：按实际生产日期
Packaging Info: 
5.77349GQ2: MA英语UPC版本包装（收缩膜+收藏指南+PDQ）（首先1L，如果无1L可用多语含英语）PDQ和产品包装版本尽量配套使用+防盗贴纸（1pcs/PCS)+箱唛+箱唛贴纸(1PCS/CTN),防盗贴纸及其位置图跟回PO#4500086073；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3.外箱材质跟回ZURU标准；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t>
  </si>
  <si>
    <t>4500107082-20</t>
  </si>
  <si>
    <t>日期码格式：ZURU INC(BVI) 标准格式 日期：按实际生产日期
Packaging Info:
2.77349GQ2: MA英语UPC版本包装（收缩膜+收藏指南+PDQ）（首先1L，如果无1L可用多语含英语）+防盗贴纸（1pcs/PCS)+箱唛+箱唛贴纸(1PCS/CTN),防盗贴纸及其位置图跟回PO#4500086073，PDQ和产品包装版本尽量配套使用；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t>
  </si>
  <si>
    <t>0086-8606346-0584</t>
  </si>
  <si>
    <t>4500109043-10</t>
  </si>
  <si>
    <t>8/11 取消订单</t>
  </si>
  <si>
    <t>日期码格式：ZURU INC(BVI) 标准格式 日期：按实际生产日期
Packaging Info: MA+1L
Remark: 1.ITEM#: 77425-S001-5 SURPRISE-FASHION MINI BRANDS-SERIES 1 DREAM WARDROBE Color Box,Bulk,4pcs,No Inner,STD Color
2.MA+1L，4pcs/CTN, 产品UPC 显示193052050274。
3. 外箱正唛左上角粘贴条码箱贴纸，每箱只贴一张，由zuru自行下单给艾利订购，外箱贴纸显示DPCI#086-02-4559，UPC显示10193052050271.
4. 产品和包装上要印刷tracking code信息，格式为ZURU常规
5. 出货方式：货代自提</t>
  </si>
  <si>
    <t>Holly</t>
  </si>
  <si>
    <t>4329905357HOU
STON</t>
  </si>
  <si>
    <t>4500107580-10</t>
  </si>
  <si>
    <t>8/14 取消订单</t>
  </si>
  <si>
    <t>8/28 BV验货</t>
  </si>
  <si>
    <t>箱唛翻单：4500099784</t>
  </si>
  <si>
    <t>日期码格式：ZURU DGYYYYMMDD CHINA(日期避开周末和法定节假日即可） 日期：按实际生产日期
Packaging Info: 1. 包装要求
77349: MA 1L收缩膜+MA 1L纸袋+MA 收藏指南+MA 1L PDQ, 翻单：4500084502，箱唛翻单：4500099784
每pcs产品上要贴1张RFID贴纸，贴纸由ZURU提供，贴纸位置请严格按照我们签回的签板；
Remark: 1. 包装要求
77349: MA 1L收缩膜+MA 1L纸袋+MA 收藏指南+MA 1L PDQ, 翻单：4500084502，箱唛翻单：4500099784
每pcs产品上要贴1张RFID贴纸，贴纸由ZURU提供，贴纸位置请严格按照我们签回的签板；
2. 外箱印刷带条码的RFID箱唛：ZURU logo色带+RFID紫色色带+WM Dept.图标+RFID图标+ITF-14条码，ITF条码只印刷在正唛一面，箱唛资料待提供，在加印的时候
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sheet出货，77349：18pcs/PDQ/CTN；1080pcs/60CTN/Slip Sheet</t>
  </si>
  <si>
    <t>4329905360RID
GEVILLE SC</t>
  </si>
  <si>
    <t>4500107580-30</t>
  </si>
  <si>
    <t>4329905358MOB
ILE</t>
  </si>
  <si>
    <t>4500107580-50</t>
  </si>
  <si>
    <t>4329905356STA
TESBORO</t>
  </si>
  <si>
    <t>4500107580-60</t>
  </si>
  <si>
    <t>4329905410RID
GEVILLE SC</t>
  </si>
  <si>
    <t>4500107585-10</t>
  </si>
  <si>
    <t>9/11 BV验货</t>
  </si>
  <si>
    <t>4329905407HOU
STON</t>
  </si>
  <si>
    <t>4500107585-20</t>
  </si>
  <si>
    <t>4329905409ELW
OOD</t>
  </si>
  <si>
    <t>4500107585-30</t>
  </si>
  <si>
    <t>9/7 BV验货</t>
  </si>
  <si>
    <t>4329905408MOB
ILE</t>
  </si>
  <si>
    <t>4500107585-40</t>
  </si>
  <si>
    <t>0086-9350191-0581</t>
  </si>
  <si>
    <t>4500110632-10</t>
  </si>
  <si>
    <t>8/24 取消订单</t>
  </si>
  <si>
    <t>0086-9203336-0584</t>
  </si>
  <si>
    <t>4500110634-10</t>
  </si>
  <si>
    <t>0086-9116626-0581</t>
  </si>
  <si>
    <t>4500111249-10</t>
  </si>
  <si>
    <t>0086-8885297-0581</t>
  </si>
  <si>
    <t>4500111093-10</t>
  </si>
  <si>
    <t>日期码格式：ZURU INC(BVI) 标准格式 日期：按实际生产日期
Packaging Info: MA 1L 收缩膜，MA 3L PDQ；
Remark: 1. # 77349GQ2-S002 : 18pcs PCS/PDQ/CTN
2. 产品包装 MA 1L 收缩膜，UPC 显示193052043757；MA 3L PDQ；
3. 产品和包装上均要印刷tracking code信息，格式为ZURU常规格式
4. 外箱正唛左上角粘贴条码箱贴纸，每箱只贴一张由ZURU订购,DPCI 显示 086-02-8442，来料显示10193052043754
5. 出货方式： 货代自提</t>
  </si>
  <si>
    <t>65HMI2QR</t>
  </si>
  <si>
    <t>4500110557-10</t>
  </si>
  <si>
    <t>8/30 取消订单</t>
  </si>
  <si>
    <t>外箱正面印ZURU Logo+SSCC LABEL（客供贴纸), 侧面印item#</t>
  </si>
  <si>
    <t>日期码格式：ZURU INC(BVI) 标准格式 日期：按实际生产日期
Packaging Info: 77410 2PK #77349入PVC圆筒。2PK铜版纸,收缩膜,收藏指南，说明书均为MA 1L标版。（两个球的配比不能重复）。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如有邮包盒，邮包盒上要打日期码
4.按照客户PO# 装柜/箱号顺序装柜，跟单会提前给到装柜计划。请大货生产/仓库存放时留意，以便装柜时不混乱（装错/装漏/找不到货号）</t>
  </si>
  <si>
    <t>4500110557-20</t>
  </si>
  <si>
    <t>4500110557-30</t>
  </si>
  <si>
    <t>4500110557-40</t>
  </si>
  <si>
    <t>4500110557-50</t>
  </si>
  <si>
    <t>4500110557-60</t>
  </si>
  <si>
    <t>4500110557-70</t>
  </si>
  <si>
    <t>4500110557-80</t>
  </si>
  <si>
    <t>4500110557-90</t>
  </si>
  <si>
    <t>4500110557-100</t>
  </si>
  <si>
    <t>4500110557-110</t>
  </si>
  <si>
    <t>4500110557-120</t>
  </si>
  <si>
    <t>4W1DAKTV</t>
  </si>
  <si>
    <t>4500110409-120</t>
  </si>
  <si>
    <t>日期码格式：ZURU INC(BVI) 标准格式 日期：按实际生产日期
Packaging Info: ZURU MA 1L
77410 2PK #77349入PVC圆筒。2PK铜版纸,收缩膜,收藏指南，说明书均为MA 1L标版。（两个球的配比不能重复）。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如有邮包盒，邮包盒上要打日期码
4.按照客户PO# 装柜/箱号顺序装柜，跟单会提前给到装柜计划。请大货生产/仓库存放时留意，以便装柜时不混乱（装错/装漏/找不到货号）</t>
  </si>
  <si>
    <t>4500110409-130</t>
  </si>
  <si>
    <t>4500110409-140</t>
  </si>
  <si>
    <t>4500110409-150</t>
  </si>
  <si>
    <t>4500110409-160</t>
  </si>
  <si>
    <t>4AFW48KA</t>
  </si>
  <si>
    <t>4500110672-170</t>
  </si>
  <si>
    <t>日期码格式：ZURU INC(BVI) 标准格式 日期：按实际生产日期
Packaging Info: ZURU MA1L
77410 2PK #77349入PVC圆筒。2PK铜版纸,收缩膜,收藏指南，说明书均为MA 1L标版。（两个球的配比不能重复）。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</si>
  <si>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4500110672-180</t>
  </si>
  <si>
    <t>4500111127-10</t>
  </si>
  <si>
    <t>9/14 取消订单</t>
  </si>
  <si>
    <t>指定日期码 270923</t>
  </si>
  <si>
    <t>贴纸翻4500093004</t>
  </si>
  <si>
    <t>日期码格式：270923 日期：
Packaging Info: 1.包装
77349GQ2:MA UPC PKG+1张进口商贴纸；贴纸翻4500093004
2.产品和产品包装上的日期码一致，为270923 (进口商贴纸上已经去掉日期码，请按要求在包装上打日期码，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t>
  </si>
  <si>
    <t>4500111127-20</t>
  </si>
  <si>
    <t>4500111127-30</t>
  </si>
  <si>
    <t>4500111127-40</t>
  </si>
  <si>
    <t>4500112169-10</t>
  </si>
  <si>
    <t>77485SLB-S002</t>
  </si>
  <si>
    <t>3代迷你小手袋卡板装</t>
  </si>
  <si>
    <t>日期码格式：ZURU INC(BVI) 标准格式 日期：按实际生产日期
Packaging Info: 1.77485SLB:MA 最新包装+spec code贴纸(SPEC CODE:193052057105.2023）+MAPDQ
UPC#193052057105，请先检查条码是否正确再安排做货；
12pcs/Gravity PDQ/CTN,960PCS/80CTN/SLIP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1.请在10/24准时提供客人格式自检报告给ZURU跟单发给客人审批了才能出货
2.产品需要打UKCA Mark，包装也需要 印有UKCA，否则不符合法规客人会退货有罚款产生</t>
  </si>
  <si>
    <t>4500114429-10</t>
  </si>
  <si>
    <t>10/12 取消订单</t>
  </si>
  <si>
    <t>贴纸和位置图翻取消的PO#4500112169（之前已提供过贴纸文档</t>
  </si>
  <si>
    <t>日期码格式：ZURU INC(BVI) 标准格式 日期：按实际生产日期
Packaging Info: 1.77485SLB:MA 最新包装+spec code贴纸(SPEC CODE:193052057105.2023）---贴纸和位置图翻取消的PO#4500112169（之前已提供过贴纸文档);
UPC#193052057105，请先检查条码是否正确再安排做货；
77485GQ3-S002 12PCS/PDQ/CTN(CTN SIZE:22*22.5*30.1CM), 20*4H=80CTN/SLB=960PCS/SLIP SHEET，一共需要1套slip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1.请在11/27准时提供客人格式自检报告给ZURU跟单发给客人审批了才能出货
2.产品需要打UKCA Mark，包装也需要 印有UKCA，否则不符合法规客人会退货有罚款产生</t>
  </si>
  <si>
    <t>TESCO UK</t>
  </si>
  <si>
    <t>380-89153</t>
  </si>
  <si>
    <t>4500113985-10</t>
  </si>
  <si>
    <t>77485GQ3-S003</t>
  </si>
  <si>
    <t>日期码格式：ZURU INC(BVI) 标准格式 日期：按实际生产日期
Packaging Info: 1. 77485GQ3: MA最新版包装+MA PDQ（12pcs/Gravity PDQ)
UPC条码#193052057105，请先检查条码是否正确再安排做货；
Remark: 1.订单出英国，产品及包装需要印UKCA图标，包装需要有ZURU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4.箱唛印刷的BD条码格式是GS128 (EAN-128) sub-set C; ITF 条码格式是ITF-14格式</t>
  </si>
  <si>
    <t>4500114373-50</t>
  </si>
  <si>
    <t>77485GQ2-S002</t>
  </si>
  <si>
    <t>取消订单 11/9</t>
  </si>
  <si>
    <t>日期码格式：ZURU INC(BVI) 标准格式 日期：按实际生产日期
Packaging Info: 1.出口加拿大市场。MA UPC 3L 包装。 产品，包装日期吗按Zuru 标准格式。箱唛date code YYYYMMDD格式，产品，包装和箱唛上面的时间要一样。
77485GQ2 UPC#193052057105
Remark: 2. 需要第三方SGS验货，验货时间暂定2023/11/30，每款每色请备1PC完整带包装样品供验货人员参考。用完后若无损坏可以放回大货里。</t>
  </si>
  <si>
    <t>4500114373-110</t>
  </si>
  <si>
    <t>4500114374-30</t>
  </si>
  <si>
    <t>日期码格式：ZURU INC(BVI) 标准格式 日期：按实际生产日期
Packaging Info: 1.出口加拿大市场。MA UPC 3L 包装。 产品，包装日期吗按Zuru 标准格式。箱唛date code YYYYMMDD格式，产品，包装和箱唛上面的时间要一样。
77485GQ2 UPC#193052057105
Remark: 2. 需要第三方SGS验货，验货时间暂定2023/12/27，每款每色请备1PC完整带包装样品供验货人员参考。用完后若无损坏可以放回大货里。</t>
  </si>
  <si>
    <t>4500114374-70</t>
  </si>
  <si>
    <t>4500114373-40</t>
  </si>
  <si>
    <t>日期码格式：ZURU INC(BVI) 标准格式 日期：按实际生产日期
Packaging Info: 1.出口加拿大市场。MA UPC 3L 包装。 产品，包装日期吗按Zuru 标准格式。箱唛date code YYYYMMDD格式，产品，包装和箱唛上面的时间要一样。
77425 UPC#193052050274
Remark: 2. 需要第三方SGS验货，验货时间暂定2023/11/30，每款每色请备1PC完整带包装样品供验货人员参考。用完后若无损坏可以放回大货里。</t>
  </si>
  <si>
    <t>4500114373-100</t>
  </si>
  <si>
    <t>ZURU France</t>
  </si>
  <si>
    <t>4500127034-20</t>
  </si>
  <si>
    <t>77485GQ7-S
002-MTS</t>
  </si>
  <si>
    <t>贴纸翻单4500126972</t>
  </si>
  <si>
    <t>日期码格式：ZURU INC(BVI) 标准格式 日期：按实际生产日期
 2.77485GQ7：MA 3Lcallout+5L warning-B 版EAN 收缩膜+一张法国和意大利环保标贴纸+MA 5L C版收藏指南+MA 3L PDQ;（贴纸翻单4500126972）；
 "1.法国内销单，ZURU 验货后即可出货；
 2.外箱EAN 14 条码参考：
 9543GQ1：20193052050322
 77485GQ7：60193052057107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</si>
  <si>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GT-057911</t>
  </si>
  <si>
    <t>4500128497-10</t>
  </si>
  <si>
    <t>77485GQ3-S001</t>
  </si>
  <si>
    <t>日期码格式：ZURU INC(BVI) 标准格式 日期：按实际生产日期
Packaging Info: 1.77485GQ3-S001:客版case pack PDQ , MA(优先1L)+ 进口商贴纸
Remark: 1. 外箱侧唛右上角各一张贴纸 ；
2. 需要安排loading inspection (装柜现场监柜);</t>
  </si>
  <si>
    <t>HEB GROCERY COMPANY, LP</t>
  </si>
  <si>
    <t xml:space="preserve">美国 </t>
  </si>
  <si>
    <t>60X550214</t>
  </si>
  <si>
    <t>4500126776-10</t>
  </si>
  <si>
    <t>77485GQ3-S002</t>
  </si>
  <si>
    <t>日期码格式：ZURU INC(BVI) 标准格式 日期：按实际生产日期
Packaging Info: 1.  #77485GQ3 都是 - 12pcs/Gravity PDQ, 都是客版1L-PDQ，同上单4500112562；MA-1L收缩膜, UPC版。
Remark: 2. 77485GQ3,都不用提供大货样，签样同上单4500112562；
请注意在收到单后核查之前的签样是否有保留完整，如产品有更新则需要重新提供签样：2套+1PC (随机)，含PDQ的的如PDQ有更新，也需要重新提供大货样2PCS。
3.要求大货完成时间2024年8月26日，预定2024年8月27日-利丰100%大货验货加抽板，需准备6套测试样品。除抽板之外，如果产品有油漆的需要额外准备5G的油漆
涂在同 材质的胶件上，面积类似A4纸大小。
4. 产品和包装上需要印刷tracking code信息且两者印刷的内容必须一致,格式为ZURU常规。</t>
  </si>
  <si>
    <t>ZU24041201SG</t>
  </si>
  <si>
    <t>4500131403-70</t>
  </si>
  <si>
    <t xml:space="preserve">日期码格式：ZURU INC(BVI) 标准格式 日期：按实际生产日期
Packaging Info: 实际此单走20GP，待系统维护后会改单过来
MA UPC包装（1L)+1张进口商贴纸
贴纸AW、位置图待提供
Remark: </t>
  </si>
  <si>
    <t>1S6WWI9U</t>
  </si>
  <si>
    <t>4500130192-10</t>
  </si>
  <si>
    <t>3代迷你小手袋 圆筒装（无闪粉）</t>
  </si>
  <si>
    <t>空白外箱（加印带Zuru字样的最新logo，除了邮包盒直接做外箱的产品） + SSCC LABEL一张, 无箱唛.</t>
  </si>
  <si>
    <t>翻单PO#4500114776</t>
  </si>
  <si>
    <t>日期码格式：ZURU INC(BVI) 标准格式 日期：按实际生产日期
Packaging Info: Amazon FR (77486)/UK(77515):
1. 77486 : 2pcs 77485入PVC tube, 12tubes/ctn; MA 1L收缩膜包装(无barcode)+MA 3L(5L warning)C收藏指南+其他最新版MA包装，客版 3L(5L warning)彩卡包
装+1张贴纸(IT环保标); capsule need to use "no barcode"shrink wrap version 参考翻单PO#4500114776;
3. 验货日期不迟于 2024/06/05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每一批次出货只能有一个生产日期，不可多个生产日期混在同一批次出货；
6. 涉及到相关款式会有闪粉的或者微塑料的，请统一默认出无闪粉或者不含微塑料版本;"</t>
  </si>
  <si>
    <t>4500135946-100</t>
  </si>
  <si>
    <t>日期码格式：ZURU INC(BVI) 标准格式 日期：按实际生产日期
Packaging Info: 
77485GQ6: MA英语UPC版本包装（收缩膜和说明书, MA首选1L，如无1L可用多语且含英语的配套多语包装) + 1张防盗贴纸 (贴纸以及位置图翻单PO#4500113259）+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</si>
  <si>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4500134335-80</t>
  </si>
  <si>
    <t>6/22 取消</t>
  </si>
  <si>
    <t>20102853</t>
  </si>
  <si>
    <t>4500134469-10</t>
  </si>
  <si>
    <t>防盗贴纸 (贴纸以及位置图翻单PO#4500113259）</t>
  </si>
  <si>
    <t>日期码格式：ZURU INC(BVI) 标准格式 日期：按实际生产日期
Packaging Info: 1. 77485GQ6: MA英语UPC版本包装（收缩膜和说明书, MA首选1L，如无1L可用多语且含英语的配套多语包装) + 1张防盗贴纸 (贴纸以及位置图翻单PO#4500113259）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</si>
  <si>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5GUDQLMC</t>
  </si>
  <si>
    <t>4500137717-70</t>
  </si>
  <si>
    <t>日期码格式：ZURU INC(BVI) 标准格式 日期：按实际生产日期
Packaging Info: 
#77486 2PK #77485入PVC圆筒。收藏指南用MA 5L, 收缩膜用MA 1L不带UPC版。2PK铜版纸图稿跟返单4500127488 。 （两个球的配比不能重复）。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</si>
  <si>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82FJWE9N</t>
  </si>
  <si>
    <t>4500139622-30</t>
  </si>
  <si>
    <t>日期码格式： 标准格式 日期：按实际生产日期
Packaging Info: 
#77486: 2PK #77485入PVC圆筒. 收藏指南用MA 5L, 收缩膜用MA 1L不带UPC版. 2PK铜版纸图稿跟返单4500127488. (两个球的配比不能重复)。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</si>
  <si>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4A3YL5UH</t>
  </si>
  <si>
    <t>4500139622-200</t>
  </si>
  <si>
    <t>4E6OZG7I</t>
  </si>
  <si>
    <t>4500143709-70</t>
  </si>
  <si>
    <t>8/29取消</t>
  </si>
  <si>
    <t>日期码格式：ZURU INC(BVI) 标准格式 日期：按实际生产日期
Packaging Info: 
#77486 2PK #77485入PVC圆筒。收藏指南用MA 5L, 收缩膜用MA 1L不带UPC版。2PK铜版纸图稿跟返单4500127488 。 （两个球的配比不能重复）。消耗PO#450013774
0取消的27pcs外箱。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</si>
  <si>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83V4ZU2O</t>
  </si>
  <si>
    <t>4500143730-70</t>
  </si>
  <si>
    <t>日期码格式：ZURU INC(BVI) 标准格式 日期：按实际生产日期
Packaging Info: 
#77486 2PK #77485入PVC圆筒。收藏指南用MA 5L, 收缩膜用MA 1L不带UPC版。2PK铜版纸图稿跟返单4500127488 。 （两个球的配比不能重复）。消耗PO#450013774
0取消的27pcs外箱。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</si>
  <si>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4500143730</t>
  </si>
  <si>
    <t>4QNSMCGG</t>
  </si>
  <si>
    <t>4500143730-80</t>
  </si>
  <si>
    <t>5TOJ4O8N</t>
  </si>
  <si>
    <t>4500143730-60</t>
  </si>
  <si>
    <t>日期码格式：ZURU INC(BVI) 标准格式 日期：按实际生产日期
Packaging Info:
#77425 MA 1L UPC版本;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</si>
  <si>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4500144899-50</t>
  </si>
  <si>
    <t>4500145062-20</t>
  </si>
  <si>
    <t>7AM9B63J</t>
  </si>
  <si>
    <t>4500128257-40</t>
  </si>
  <si>
    <t>5/28 取消订单</t>
  </si>
  <si>
    <t>翻单PO#4500114776;</t>
  </si>
  <si>
    <t>日期码格式：ZURU INC(BVI) 标准格式 日期：按实际生产日期
Packaging Info: Amazon UK(77486)/Amazon FR(77486,)/Amazon DE(77486,）
1.77486: 2pcs 77485入PVC tube, 12tubes/ctn; MA 3L收缩膜包装+收藏指南+其他最新版MA包装，客版 3L(5L warning)彩卡包装+1张贴纸(IT环保标); capsule n
eed to use "no barcode"shrink wrap version 参考翻单PO#4500114776;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</si>
  <si>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77486-S001-3L</t>
  </si>
  <si>
    <t>3NIQRCGN</t>
  </si>
  <si>
    <t>4500148503-90</t>
  </si>
  <si>
    <t>10/29取消</t>
  </si>
  <si>
    <t>外箱箱唛要求：
①外箱正面印ZURU Logo+SSCC Label</t>
  </si>
  <si>
    <t>日期码格式：ZURU INC(BVI) 标准格式 日期：按实际生产日期
Packaging Info:
#77486 2PK #77485入PVC圆筒。收藏指南用MA 5L, 收缩膜用MA 1L不带UPC版。2PK铜版纸图稿翻单4500141223 （两个球的配比不能重复）。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</si>
  <si>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4500148503</t>
  </si>
  <si>
    <t>4BQIODAI</t>
  </si>
  <si>
    <t>4500148503-100</t>
  </si>
  <si>
    <t>ZMPO24801</t>
  </si>
  <si>
    <t>77198-S001</t>
  </si>
  <si>
    <t>迷你小手袋
24PCS/箱</t>
  </si>
  <si>
    <t>11/4取消</t>
  </si>
  <si>
    <t>备注： 收到样品订单后尽快安排 ，注意样板品质质量要求要高于大货品质要求 ，送货时必须要附带送货单(没有送货单和QC检验合格报告的仓库一律拒绝收货)，请知悉，谢谢！                                                                                                                               Remark:只需77198的白色空球，只需用外面透明收缩膜压缩就好，不需要彩色收缩膜</t>
  </si>
  <si>
    <t>2025ZURU05</t>
  </si>
  <si>
    <t>4500148922-40</t>
  </si>
  <si>
    <t>日期码格式： 标准格式 日期：按实际生产日期
Packaging Info:77485GQ6 MA 多语EAN+UPC贴纸UPC号码193052057105
Remark: "出加拿大
Zuru验货.日期跟踪码：产品外包装及产品本身都必须有日期跟踪码，ZURU标准格式日期码"</t>
  </si>
  <si>
    <t>77485GQ6-S003-MTS</t>
  </si>
  <si>
    <t>4500148503-660</t>
  </si>
  <si>
    <t>4500148503-670</t>
  </si>
  <si>
    <t>4500152538-4:
FB12134</t>
  </si>
  <si>
    <t>4500152538-250</t>
  </si>
  <si>
    <t>BEALL's OUTLET STORES</t>
  </si>
  <si>
    <t>PO# 1529063</t>
  </si>
  <si>
    <t>4500156785-10</t>
  </si>
  <si>
    <t>暂停备料</t>
  </si>
  <si>
    <t>日期码格式：ZURU INC(BVI) 标准格式 日期：按实际生产日期 
Packaging Info: 1. 该订单的所有款式均为消耗呆滞物，如原呆滞物上有其他客户公司LOGO的包装物，请替换为 ZURU标准MA UPC包装(优先1L) + 客供价格贴纸（贴在产品包装右下
 角，跟单找第三方订购贴纸寄到工厂）。价格贴纸显示以下信息，需按单贴对，不要混了
 77425-S001
 $29.00 /$ 23.99
 SKU# 89321997
 UPC: 300893219979
 FINELINE STYLE NO.: 0634
 2. 有产品外包装及产品本身都必须有日期跟踪码(ZURU标准日期码格式，年月日的日期自行调整，但不能为周末)，并且确保产品及外包装的日期跟踪码要一致.
 3. 此单包含4张客户PO， 需按照印有不同PO箱唛及箱数的外箱进行包装.
注意：客供贴纸上会显示客户PO号，入箱需要确保产品上的贴纸与外箱上的PO# 一致。
 PO#1529063 SHIP TO:
 bealls DIST CENTER #115 2100 47th Ter E Bradenton, FL 34203-3774
 Marks for: bealls DIST CENTER #115
 PO# 1529111 SHIP TO:
 Beall's OUTLET DIST CENTER #115 2100 47th Ter E Bradenton, FL 34203-3774
 Marks for: TX Logistics Support Center #995
 PO# 1534656 SHIP TO:
 bealls DIST CENTER #115 2100 47th Ter E Bradenton, FL 34203-3774
 Marks for: bealls DIST CENTER #115
 PO# 1534657 SHIP TO:
 bealls DIST CENTER #115 2100 47th Ter E Bradenton, FL 34203-3774
 Mark For: TX Logistics Support Center #995
Remark: 该订单的所有款式均为消耗呆滞物，如原呆滞物上有其他客户公司LOGO的包装物，请替换为 ZURU标准MA UPC包装(优先1L) + 客供价格贴纸（贴在产品包装右下角，
 跟单找第三方订购贴纸寄到工厂）。价格贴纸显示以下信息，需按单贴对，不要混了</t>
  </si>
  <si>
    <t>Yoyo Yi</t>
  </si>
  <si>
    <t>PO# 1529111</t>
  </si>
  <si>
    <t>4500156785-20</t>
  </si>
  <si>
    <t>TARGET AUSTRALIA PTY LTD</t>
  </si>
  <si>
    <t>4500154618-80</t>
  </si>
  <si>
    <t>2/22 取消订单</t>
  </si>
  <si>
    <t>日期码格式：ZURU INC(BVI) 标准格式 日期：按实际生产日期
Packaging Info: 
 7. 77485GQ6:MA_1L UPC版本包装（收缩膜和说明书, MA首选1L，如无1L可用多语且含英语的配套多语包装) + 箱唛 + 外箱SSCC Label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</si>
  <si>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4500168594-80</t>
  </si>
  <si>
    <t>B0FJJB3JNT</t>
  </si>
  <si>
    <t>4500177327-180</t>
  </si>
  <si>
    <t>日期码格式：ZURU INC(BVI) 标准格式 日期：按实际生产日期
Packaging Info:
#77806: 2PK STD #77770入PVC筒,MA 1L UPC版本+空白贴纸，空白贴纸和3L铜版纸跟单提供。收藏指南和说明书为MA版本。（两个球的配比不能重复）。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</si>
  <si>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MO250923#2</t>
  </si>
  <si>
    <t>TBD</t>
  </si>
  <si>
    <t>已转实单4500180563</t>
  </si>
  <si>
    <t>1、包装方式: MA UPC 优先1L最新版+展示架（展示架带底座且带挂钩，挂钩数量同标版无底座版本），出口美国
 2、无第三方测试&amp;验货要求
 3、纸箱4面印ZURU LOGO + 箱唛
 4、日期码请按ZURU标准版执行即可
 5、ZURU OQC验货</t>
  </si>
  <si>
    <t>4500184399-90</t>
  </si>
  <si>
    <t>日期码格式：ZURU INC(BVI) 标准格式 日期：按实际生产日期
Packaging Info: 
8. 77770GQ2：MA 3L EAN包装+UPC贴纸+MA 多语收藏指南+MA 3L PDQ包装+进口商贴纸+箱唛，贴纸翻单PO4500184316
Remark: 1.请注意产品包装条形码必须是UPC
2.无第三方验货</t>
  </si>
  <si>
    <t>47882810 SYD</t>
  </si>
  <si>
    <t>4500182440-10</t>
  </si>
  <si>
    <t>47882811 BNE</t>
  </si>
  <si>
    <t>4500182440-20</t>
  </si>
  <si>
    <t>47882812 MEL</t>
  </si>
  <si>
    <t>4500182440-30</t>
  </si>
  <si>
    <t>47882813 FRE</t>
  </si>
  <si>
    <t>4500182440-40</t>
  </si>
  <si>
    <t>10001493627-3890</t>
  </si>
  <si>
    <t>4500184412-10</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</si>
  <si>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此订单所有item：
1. 产品和包装上印刷 tracking code信息，格式为ZURU常规格式;
2. 出货方式：货代自提</t>
  </si>
  <si>
    <t>10001493888-3891</t>
  </si>
  <si>
    <t>4500184413-20</t>
  </si>
  <si>
    <t>日期码格式：ZURU INC(BVI) 标准格式 日期：按实际生产日期
Packaging Info:
77770GQ2 产品包装(UPC 版) MA 1L收缩膜+MA 1L PDQ；
Remark: 
77770GQ2
1. 77770GQ2-S002-MINI BRANDS-FASHION MINI BRANDS-SERIES 4-CAPSULE,WITH DEMO,25PCS/Gravity PDQ,25PCS/PDQ/CTN
2. 产品包装(UPC 版) MA 1L收缩膜+MA 1L PDQ；收缩膜上的UPC显示193052089465；
3. 外箱正唛左上角位置粘贴条码箱贴纸，每箱只贴一张，由ZURU订购。来料贴纸上显示的客户DPCI# 086-02-9624, UPC显示10193052089462;
此订单所有item：
1. 产品和包装上印刷 tracking code信息，格式为ZURU常规格式;
2. 出货方式：货代自提</t>
  </si>
  <si>
    <t>46USTHPW</t>
  </si>
  <si>
    <t>4500193215-10</t>
  </si>
  <si>
    <t>6W2SGBGK</t>
  </si>
  <si>
    <t>4500193215-20</t>
  </si>
  <si>
    <t>63E2ZB8K</t>
  </si>
  <si>
    <t>4500193215-30</t>
  </si>
  <si>
    <t>1GRIYWTS</t>
  </si>
  <si>
    <t>4500193215-40</t>
  </si>
  <si>
    <t>69PCJAZJ</t>
  </si>
  <si>
    <t>4500193215-50</t>
  </si>
  <si>
    <t>SMYTHS TOYS FRANCE</t>
  </si>
  <si>
    <t>4500112124-10</t>
  </si>
  <si>
    <t>77485GQ2-S001</t>
  </si>
  <si>
    <t>10/26 取消订单</t>
  </si>
  <si>
    <t>已消耗成品</t>
  </si>
  <si>
    <t>日期码格式：ZURU INC(BVI) 标准格式 日期：按实际生产日期
Packaging Info: 1. 77485GQ2: MA 5L 收缩膜+1张荷兰语警语&lt;(&gt;&amp;&lt;)&gt;德语call out贴纸(不能覆盖英法德意翻译)+MA 5L收藏指南+MA 3L PDQ
Remark: 1、此单出法国，所有包装都需要含有法语，需要满足Zuru Standard欧洲标准测试要求；
2、请准时出货，推期会有罚款；
3、所有出口法国的产品, 法规规定禁止在包装和公众用的印刷品中使用含有矿物油的物质，包装印刷油墨中含有的MOAH/MOSH的质量浓度不能超过1%, 否则出货到
法国被抽检出现问题, 供应商需要对此负责。</t>
  </si>
  <si>
    <t>Stefanie Wang</t>
  </si>
  <si>
    <t>14263</t>
  </si>
  <si>
    <t>4500118740-60</t>
  </si>
  <si>
    <t>3代迷你小手袋（无闪粉）</t>
  </si>
  <si>
    <t>12/11 取消订单</t>
  </si>
  <si>
    <t>日期码格式：ZURU INC(BVI) 标准格式 日期：按实际生产日期
Packaging Info: MA 包装+1张进口商贴纸+1张EAN条码贴纸
Remark: 1.包装不可用PVC材质,要用PET替代
2.产品和包装要求无硼无香，无闪粉无微塑料</t>
  </si>
  <si>
    <t>Trixy</t>
  </si>
  <si>
    <t>NEW KIDS SERVICE</t>
  </si>
  <si>
    <t>越南</t>
  </si>
  <si>
    <t>4500115438-60</t>
  </si>
  <si>
    <t>12/20 取消订单</t>
  </si>
  <si>
    <t xml:space="preserve">日期码格式：ZURU INC(BVI) 标准格式 日期：按实际生产日期
Packaging Info: 
其他item-MA UPC包装（优先1L）
Remark: </t>
  </si>
  <si>
    <t>0086-4184021-0584</t>
  </si>
  <si>
    <t>4500120234-10</t>
  </si>
  <si>
    <t>12/21 取消订单</t>
  </si>
  <si>
    <t>日期码格式：ZURU INC(BVI) 标准格式 日期：按实际生产日期
Packaging Info: 产品MA 1L包装, MA PDQ；
Remark: 1. 77485GQ-S002-MINI BRANDS-FASHION MINI BRANDS-SERIES 3,21pcs/Gravity PDQ,21pcs/CTN,No Inner,STD Color Assortment
2. 产品MA 1L包装, UPC显示193052057105. MA PDQ
3. 外箱正唛左上角位置粘贴条码箱贴纸，每箱只贴一张，由ZURU订购。来料贴纸上显示的客户DPCI# 086-02-0235， UPC显示10193052057102；
4. 产品和包装上印刷 tracking code信息，格式为ZURU常规格式;
5. 出货方式：货代自提。</t>
  </si>
  <si>
    <t>0086-0449111-0581</t>
  </si>
  <si>
    <t>4500120658-10</t>
  </si>
  <si>
    <t>日期码格式：ZURU INC(BVI) 标准格式 日期：按实际生产日期
Packaging Info: 产品MA 1L包装，MA 1L PDQ
Remark: 1. 77485GQ-S002-MINI BRANDS-FASHION MINI BRANDS-SERIES 3,21pcs/Gravity PDQ,21pcs/CTN,No Inner,STD Color Assortment
2. 产品MA 1L包装, UPC显示193052057105. MA 1L PDQ
3. 外箱正唛左上角位置粘贴条码箱贴纸，每箱只贴一张，由ZURU订购。来料贴纸上显示的客户DPCI# 086-02-0235， UPC显示10193052057102；
4. 产品和包装上印刷 tracking code信息，格式为ZURU常规格式;
5. 出货方式：货代自提。</t>
  </si>
  <si>
    <t>4500115266-20</t>
  </si>
  <si>
    <t>1/23 自检</t>
  </si>
  <si>
    <t>日期码格式：ZURU INC(BVI) 标准格式 日期：按实际生产日期
Packaging Info:
#77485: MA3L,PDQ(21装)+MA3L收缩膜+MA5L收藏指南+MA配件袋
Remark: 1. 产品配比：
4. 此单有箱唛；
5. 此单有第三方验货，烦请多备包装物料。</t>
  </si>
  <si>
    <t>Monica Zhou</t>
  </si>
  <si>
    <t>4500115268-20</t>
  </si>
  <si>
    <t>日期码格式：ZURU INC(BVI) 标准格式 日期：按实际生产日期
Packaging Info: 
#77485: MA3L,PDQ(21装)+MA3L收缩膜+MA5L收藏指南+MA配件袋
Remark: 1. 产品配比：
4. 此单有箱唛；
5. 此单有第三方验货，烦请多备包装物料。</t>
  </si>
  <si>
    <t>4500115269-20</t>
  </si>
  <si>
    <t>额外外箱</t>
  </si>
  <si>
    <t>日期码格式：ZURU INC(BVI) 标准格式 日期：按实际生产日期
Packaging Info: 
#77485: MA3L,PDQ(21装)+MA3L收缩膜+MA5L收藏指南+MA配件袋
Remark: 1. 产品配比：
4. 此单有箱唛；
5. 此单有第三方验货，烦请多备包装物料</t>
  </si>
  <si>
    <t>cus
po#28254727</t>
  </si>
  <si>
    <t>4500124079-10</t>
  </si>
  <si>
    <t>2/18 确认取消</t>
  </si>
  <si>
    <t>日期码格式：ZURU INC(BVI) 标准格式 日期：按实际生产日期
Packaging Info: 1.MA PKG,优先1L
Remark: 1.此单出两个港口，10出AKL，20出LYT
2.non-glitter version</t>
  </si>
  <si>
    <t>Coral Wu</t>
  </si>
  <si>
    <t>cus
po#28254728</t>
  </si>
  <si>
    <t>4500124079-20</t>
  </si>
  <si>
    <t>4500197232-220</t>
  </si>
  <si>
    <t>日期码格式：ZURU INC(BVI) 标准格式 日期：按实际生产日期
Packaging Info: Amazon UK: 6QHKZVFM/4FGXJ4DX/3E5781FW
Amazon DE: 73Z1OD7E/4G4S7INT/2D83IUVS/1YNR3X5G/1EMADWAX
Amazon ES: 7CIULJPX
Amazon UK(77673/77731/77785/9565E)/DE(157103/15750H/15752ABDEGH/77806)/ES(77673)
7. 77806:2PK#77770 in PVC TUBE,12tubes/ctn; 客版 3L(3L warning no barcode)收缩膜(翻单PO#4500194447)+MA 5L(23L warning)A收藏指南+MA其他最新配套包
装+客版3L(5L warning) PVC彩卡(翻单PO#4500194447)+1张贴纸(IT环保标, 参考翻单PO#4500181154)
9. 验货时间不迟于2026/5/18.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</si>
  <si>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1YNR3X5G</t>
  </si>
  <si>
    <t>4500197232-190</t>
  </si>
  <si>
    <t>2D83IUVS</t>
  </si>
  <si>
    <t>4500197232-150</t>
  </si>
  <si>
    <t>4500207785</t>
  </si>
  <si>
    <t>4500207785-40</t>
  </si>
  <si>
    <t xml:space="preserve">PVC彩卡(翻单PO#4500194447)+1张贴纸(IT环保标, 参考翻单PO#4500181154);+ 5/22提供SSCC LABEL一张
</t>
  </si>
  <si>
    <t>日期码格式：ZURU INC(BVI) 标准格式                  日期：按实际生产日期
Packaging Info: Amazon DE: 1YNR3X5G
Amazon DE(77806/15752AH/15750H)
 1. 77806: 2PK#77770 in PVC TUBE,12tubes/ctn; 客版 3L(3L warning no barcode)收缩膜(翻单PO#4500194447)+MA 5L(23L warning)A收藏指南+MA其他最新配套
包装+客版3L(5L warning) PVC彩卡(翻单PO#4500194447)+1张贴纸(IT环保标, 参考翻单PO#4500181154);
4. 验货时间不迟于2026/9/11.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</si>
  <si>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4G4S7INT</t>
  </si>
  <si>
    <t>4500197232-80</t>
  </si>
  <si>
    <t>4500207783</t>
  </si>
  <si>
    <t>4500207783-70</t>
  </si>
  <si>
    <t>日期码格式：ZURU INC(BVI) 标准格式                  日期：按实际生产日期
Packaging Info: Amazon UK: 4FGXJ4DX/3E5781FW
Amazon DE: 2D83IUVS
Amazon UK(77785/77731/77673/9565E)/DE(77806/15750H/15752ABDEH)
 5. 77806: 2PK#77770 in PVC TUBE,12tubes/ctn; 客版 3L(3L warning no barcode)收缩膜(翻单PO#4500194447)+MA 5L(23L warning)A收藏指南+MA其他最新配套
包装+客版3L(5L warning) PVC彩卡(翻单PO#4500194447)+1张贴纸(IT环保标, 参考翻单PO#4500181154);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</si>
  <si>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4500206438</t>
  </si>
  <si>
    <t>21781408</t>
  </si>
  <si>
    <t>4500206438-20</t>
  </si>
  <si>
    <t xml:space="preserve"> 1张防盗贴纸 + 外箱SSCC Label
 (贴纸以及位置图翻单PO#4500173688）</t>
  </si>
  <si>
    <t>日期码格式：ZURU  INC(BVI)  标准格式                                    日期：按实际生产日期
Packaging Info: 
77770GQ1:MA英语UPC版本包装（收缩膜和说明书,  MA首选1L，如无1L可用多语且含英语的配套多语包装)  +  1张防盗贴纸+箱唛  +  外箱SSCC  Label
     (贴纸以及位置图翻单PO#4500173688）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PO#4500206439一起合并计算，谢谢！</t>
  </si>
  <si>
    <t>Matrix (L)</t>
  </si>
  <si>
    <t>包包</t>
  </si>
  <si>
    <t>Ratio MA 配比</t>
  </si>
  <si>
    <t>鞋子用量</t>
  </si>
  <si>
    <t>GQ2/G27</t>
  </si>
  <si>
    <t>1#</t>
  </si>
  <si>
    <t>红色高跟鞋</t>
  </si>
  <si>
    <r>
      <rPr>
        <b/>
        <sz val="12"/>
        <color rgb="FF00B050"/>
        <rFont val="Times New Roman"/>
        <charset val="0"/>
      </rPr>
      <t xml:space="preserve">#1 </t>
    </r>
    <r>
      <rPr>
        <b/>
        <sz val="12"/>
        <color rgb="FF008080"/>
        <rFont val="宋体"/>
        <charset val="0"/>
      </rPr>
      <t>包包</t>
    </r>
  </si>
  <si>
    <t>2#</t>
  </si>
  <si>
    <t>黑色高跟鞋</t>
  </si>
  <si>
    <r>
      <rPr>
        <b/>
        <sz val="12"/>
        <color rgb="FF00B050"/>
        <rFont val="Times New Roman"/>
        <charset val="0"/>
      </rPr>
      <t xml:space="preserve">#17 </t>
    </r>
    <r>
      <rPr>
        <b/>
        <sz val="12"/>
        <color rgb="FF008080"/>
        <rFont val="宋体"/>
        <charset val="0"/>
      </rPr>
      <t>鞋子</t>
    </r>
  </si>
  <si>
    <t>3#</t>
  </si>
  <si>
    <t>蓝色高跟鞋</t>
  </si>
  <si>
    <r>
      <rPr>
        <b/>
        <sz val="12"/>
        <color rgb="FF00B050"/>
        <rFont val="Times New Roman"/>
        <charset val="0"/>
      </rPr>
      <t xml:space="preserve">#4 </t>
    </r>
    <r>
      <rPr>
        <b/>
        <sz val="12"/>
        <color rgb="FF008080"/>
        <rFont val="宋体"/>
        <charset val="0"/>
      </rPr>
      <t>包包</t>
    </r>
  </si>
  <si>
    <t>4#</t>
  </si>
  <si>
    <t>粉色铆钉鞋</t>
  </si>
  <si>
    <r>
      <rPr>
        <b/>
        <sz val="12"/>
        <color rgb="FF00B050"/>
        <rFont val="Times New Roman"/>
        <charset val="0"/>
      </rPr>
      <t xml:space="preserve">#11 </t>
    </r>
    <r>
      <rPr>
        <b/>
        <sz val="12"/>
        <color rgb="FF008080"/>
        <rFont val="宋体"/>
        <charset val="0"/>
      </rPr>
      <t>包包</t>
    </r>
  </si>
  <si>
    <t>5#</t>
  </si>
  <si>
    <t>松糕鞋</t>
  </si>
  <si>
    <t>6#</t>
  </si>
  <si>
    <t>粉色植绒拖鞋</t>
  </si>
  <si>
    <t>SK Demo 不含鞋子</t>
  </si>
  <si>
    <t>7#</t>
  </si>
  <si>
    <t>小香风拖鞋</t>
  </si>
  <si>
    <t>8#</t>
  </si>
  <si>
    <t>红色短靴</t>
  </si>
  <si>
    <t>9#</t>
  </si>
  <si>
    <t>马丁靴</t>
  </si>
  <si>
    <t>10#</t>
  </si>
  <si>
    <t>绿底短靴</t>
  </si>
  <si>
    <t>11#</t>
  </si>
  <si>
    <t>裸色短靴</t>
  </si>
  <si>
    <t>SK1 Demo</t>
  </si>
  <si>
    <t>12#</t>
  </si>
  <si>
    <t>黑色高筒靴</t>
  </si>
  <si>
    <t>13#</t>
  </si>
  <si>
    <t>驼色高筒靴</t>
  </si>
  <si>
    <t>14#</t>
  </si>
  <si>
    <t>Prada运动鞋</t>
  </si>
  <si>
    <t>15#</t>
  </si>
  <si>
    <t>绣花运动鞋</t>
  </si>
  <si>
    <t>SK Demo 含鞋子</t>
  </si>
  <si>
    <t>16#</t>
  </si>
  <si>
    <t>乔丹球鞋</t>
  </si>
  <si>
    <t>17#</t>
  </si>
  <si>
    <t>Gucci球鞋</t>
  </si>
  <si>
    <t>18#</t>
  </si>
  <si>
    <t>巴黎世家球鞋</t>
  </si>
  <si>
    <t>19#</t>
  </si>
  <si>
    <t>厚底帆布鞋</t>
  </si>
  <si>
    <t>20#</t>
  </si>
  <si>
    <t>Rare银色高跟鞋</t>
  </si>
  <si>
    <t>21#</t>
  </si>
  <si>
    <t>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</si>
</sst>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3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0_ "/>
    <numFmt numFmtId="178" formatCode="0_ "/>
    <numFmt numFmtId="179" formatCode="0.0000_);[Red]\(0.0000\)"/>
    <numFmt numFmtId="180" formatCode="0_);[Red]\(0\)"/>
    <numFmt numFmtId="181" formatCode="yyyy/m/d&quot;周&quot;aaa"/>
    <numFmt numFmtId="182" formatCode="m/d;@"/>
    <numFmt numFmtId="183" formatCode="#,##0.0000_ "/>
    <numFmt numFmtId="184" formatCode="0.00_);[Red]\(0.00\)"/>
    <numFmt numFmtId="185" formatCode="[$-409]d/mmm/yy;@"/>
    <numFmt numFmtId="186" formatCode="&quot;US$&quot;#,##0_);[Red]\(&quot;US$&quot;#,##0\)"/>
    <numFmt numFmtId="187" formatCode="0_ ;[Red]\-0\ "/>
    <numFmt numFmtId="188" formatCode="0.00##"/>
    <numFmt numFmtId="189" formatCode="#,##0_ "/>
    <numFmt numFmtId="190" formatCode="_ * #,##0_ ;_ * \-#,##0_ ;_ * &quot;-&quot;??_ ;_ @_ "/>
    <numFmt numFmtId="191" formatCode="\¥#,##0_);[Red]\(\¥#,##0\)"/>
    <numFmt numFmtId="192" formatCode="#,##0_);[Red]\(#,##0\)"/>
    <numFmt numFmtId="193" formatCode="[$-409]d\-mmm\-yy;@"/>
    <numFmt numFmtId="194" formatCode="[$-409]yyyy\-mm\-dd;@"/>
    <numFmt numFmtId="195" formatCode="0.00_ "/>
    <numFmt numFmtId="196" formatCode="0.0000"/>
    <numFmt numFmtId="197" formatCode="\¥#,##0.00;\¥\-#,##0.00"/>
    <numFmt numFmtId="198" formatCode="\¥#,##0.00_);[Red]\(\¥#,##0.00\)"/>
    <numFmt numFmtId="199" formatCode="0.00000"/>
    <numFmt numFmtId="200" formatCode="0.000"/>
    <numFmt numFmtId="201" formatCode="_-* #,##0_-;\-* #,##0_-;_-* &quot;-&quot;??_-;_-@_-"/>
    <numFmt numFmtId="202" formatCode="[$$-409]#,##0.00"/>
    <numFmt numFmtId="203" formatCode="#,##0.00_);[Red]\(#,##0.00\)"/>
  </numFmts>
  <fonts count="266">
    <font>
      <sz val="11"/>
      <color theme="1"/>
      <name val="宋体"/>
      <charset val="134"/>
      <scheme val="minor"/>
    </font>
    <font>
      <b/>
      <sz val="12"/>
      <color theme="1"/>
      <name val="宋体"/>
      <charset val="134"/>
      <scheme val="minor"/>
    </font>
    <font>
      <b/>
      <sz val="12"/>
      <color rgb="FF00B050"/>
      <name val="Times New Roman"/>
      <charset val="0"/>
    </font>
    <font>
      <b/>
      <sz val="12"/>
      <color rgb="FFFF0000"/>
      <name val="宋体"/>
      <charset val="134"/>
      <scheme val="minor"/>
    </font>
    <font>
      <sz val="8"/>
      <color theme="1"/>
      <name val="宋体"/>
      <charset val="134"/>
      <scheme val="minor"/>
    </font>
    <font>
      <sz val="9"/>
      <color rgb="FFFF0000"/>
      <name val="宋体"/>
      <charset val="134"/>
      <scheme val="minor"/>
    </font>
    <font>
      <sz val="11"/>
      <color rgb="FFFF0000"/>
      <name val="宋体"/>
      <charset val="134"/>
      <scheme val="minor"/>
    </font>
    <font>
      <sz val="12"/>
      <color rgb="FFFF0000"/>
      <name val="宋体"/>
      <charset val="134"/>
      <scheme val="minor"/>
    </font>
    <font>
      <sz val="12"/>
      <name val="宋体"/>
      <charset val="134"/>
      <scheme val="minor"/>
    </font>
    <font>
      <b/>
      <sz val="8"/>
      <name val="宋体"/>
      <charset val="134"/>
      <scheme val="minor"/>
    </font>
    <font>
      <b/>
      <sz val="8"/>
      <name val="等线"/>
      <charset val="134"/>
    </font>
    <font>
      <b/>
      <sz val="8"/>
      <color rgb="FF0000FF"/>
      <name val="宋体"/>
      <charset val="134"/>
      <scheme val="minor"/>
    </font>
    <font>
      <b/>
      <sz val="8"/>
      <color rgb="FF7030A0"/>
      <name val="宋体"/>
      <charset val="134"/>
      <scheme val="minor"/>
    </font>
    <font>
      <b/>
      <sz val="8"/>
      <color theme="1"/>
      <name val="宋体"/>
      <charset val="134"/>
      <scheme val="minor"/>
    </font>
    <font>
      <b/>
      <sz val="8"/>
      <color rgb="FFFF0000"/>
      <name val="宋体"/>
      <charset val="134"/>
      <scheme val="minor"/>
    </font>
    <font>
      <sz val="9"/>
      <color rgb="FF0000FF"/>
      <name val="宋体"/>
      <charset val="134"/>
      <scheme val="minor"/>
    </font>
    <font>
      <sz val="9"/>
      <name val="宋体"/>
      <charset val="134"/>
      <scheme val="minor"/>
    </font>
    <font>
      <sz val="9"/>
      <color rgb="FF7030A0"/>
      <name val="宋体"/>
      <charset val="134"/>
      <scheme val="minor"/>
    </font>
    <font>
      <sz val="9"/>
      <color rgb="FFFF0000"/>
      <name val="Tahoma"/>
      <charset val="0"/>
    </font>
    <font>
      <sz val="12"/>
      <color rgb="FFFF0000"/>
      <name val="等线"/>
      <charset val="134"/>
    </font>
    <font>
      <sz val="10"/>
      <color rgb="FFFF0000"/>
      <name val="Calibri"/>
      <charset val="0"/>
    </font>
    <font>
      <sz val="12"/>
      <color rgb="FF0000FF"/>
      <name val="宋体"/>
      <charset val="134"/>
      <scheme val="minor"/>
    </font>
    <font>
      <sz val="10"/>
      <color rgb="FFFF0000"/>
      <name val="宋体"/>
      <charset val="134"/>
      <scheme val="minor"/>
    </font>
    <font>
      <sz val="10"/>
      <name val="宋体"/>
      <charset val="134"/>
      <scheme val="minor"/>
    </font>
    <font>
      <sz val="10"/>
      <color rgb="FFFF0000"/>
      <name val="等线"/>
      <charset val="134"/>
    </font>
    <font>
      <sz val="11"/>
      <color rgb="FFFF0000"/>
      <name val="Arial"/>
      <charset val="0"/>
    </font>
    <font>
      <sz val="10"/>
      <color rgb="FFFF0000"/>
      <name val="Arial"/>
      <charset val="134"/>
    </font>
    <font>
      <sz val="11"/>
      <color rgb="FFFF0000"/>
      <name val="宋体"/>
      <charset val="134"/>
    </font>
    <font>
      <sz val="10"/>
      <color rgb="FFFF0000"/>
      <name val="Arial"/>
      <charset val="0"/>
    </font>
    <font>
      <sz val="9"/>
      <color rgb="FFFF0000"/>
      <name val="Arial"/>
      <charset val="0"/>
    </font>
    <font>
      <sz val="9"/>
      <color rgb="FFFF0000"/>
      <name val="宋体"/>
      <charset val="0"/>
      <scheme val="major"/>
    </font>
    <font>
      <sz val="11"/>
      <color rgb="FFFF0000"/>
      <name val="等线"/>
      <charset val="134"/>
    </font>
    <font>
      <sz val="12"/>
      <color rgb="FFFF0000"/>
      <name val="宋体"/>
      <charset val="0"/>
    </font>
    <font>
      <sz val="14"/>
      <color rgb="FFFF0000"/>
      <name val="宋体"/>
      <charset val="0"/>
    </font>
    <font>
      <sz val="10"/>
      <color rgb="FFFF0000"/>
      <name val="Calibri"/>
      <charset val="134"/>
    </font>
    <font>
      <sz val="10"/>
      <color rgb="FFFF0000"/>
      <name val="宋体"/>
      <charset val="0"/>
      <scheme val="major"/>
    </font>
    <font>
      <sz val="12"/>
      <color rgb="FFFF0000"/>
      <name val="Arial"/>
      <charset val="0"/>
    </font>
    <font>
      <sz val="10"/>
      <color rgb="FFFF0000"/>
      <name val="宋体"/>
      <charset val="0"/>
      <scheme val="minor"/>
    </font>
    <font>
      <sz val="12"/>
      <color rgb="FF2727F0"/>
      <name val="宋体"/>
      <charset val="134"/>
      <scheme val="minor"/>
    </font>
    <font>
      <sz val="10"/>
      <color rgb="FFFF0000"/>
      <name val="宋体"/>
      <charset val="134"/>
    </font>
    <font>
      <sz val="13"/>
      <name val="Tahoma"/>
      <charset val="134"/>
    </font>
    <font>
      <sz val="12"/>
      <name val="Tahoma"/>
      <charset val="134"/>
    </font>
    <font>
      <sz val="11"/>
      <name val="Tahoma"/>
      <charset val="134"/>
    </font>
    <font>
      <sz val="14"/>
      <name val="Tahoma"/>
      <charset val="134"/>
    </font>
    <font>
      <b/>
      <sz val="13"/>
      <color rgb="FF0000CC"/>
      <name val="Tahoma"/>
      <charset val="134"/>
    </font>
    <font>
      <sz val="13"/>
      <color rgb="FFFF0000"/>
      <name val="宋体"/>
      <charset val="134"/>
    </font>
    <font>
      <sz val="13"/>
      <color rgb="FFFF0000"/>
      <name val="Tahoma"/>
      <charset val="134"/>
    </font>
    <font>
      <b/>
      <sz val="13"/>
      <color theme="0"/>
      <name val="Tahoma"/>
      <charset val="134"/>
    </font>
    <font>
      <b/>
      <sz val="13"/>
      <name val="Tahoma"/>
      <charset val="134"/>
    </font>
    <font>
      <b/>
      <sz val="14"/>
      <name val="宋体"/>
      <charset val="134"/>
    </font>
    <font>
      <sz val="13"/>
      <name val="Microsoft YaHei UI"/>
      <charset val="134"/>
    </font>
    <font>
      <b/>
      <sz val="13"/>
      <color rgb="FF000000"/>
      <name val="Tahoma"/>
      <charset val="134"/>
    </font>
    <font>
      <sz val="13"/>
      <color theme="0"/>
      <name val="Tahoma"/>
      <charset val="134"/>
    </font>
    <font>
      <b/>
      <sz val="13"/>
      <color theme="0"/>
      <name val="宋体"/>
      <charset val="134"/>
    </font>
    <font>
      <b/>
      <sz val="12"/>
      <name val="Tahoma"/>
      <charset val="134"/>
    </font>
    <font>
      <b/>
      <sz val="12"/>
      <name val="宋体"/>
      <charset val="134"/>
      <scheme val="major"/>
    </font>
    <font>
      <b/>
      <sz val="12"/>
      <name val="Times New Roman"/>
      <charset val="134"/>
    </font>
    <font>
      <b/>
      <sz val="12"/>
      <color rgb="FFC00000"/>
      <name val="宋体"/>
      <charset val="134"/>
      <scheme val="major"/>
    </font>
    <font>
      <b/>
      <sz val="12"/>
      <color rgb="FFC00000"/>
      <name val="Times New Roman"/>
      <charset val="134"/>
    </font>
    <font>
      <b/>
      <sz val="12"/>
      <color rgb="FF00B050"/>
      <name val="Times New Roman"/>
      <charset val="134"/>
    </font>
    <font>
      <b/>
      <sz val="12"/>
      <color rgb="FF00B050"/>
      <name val="Tahoma"/>
      <charset val="134"/>
    </font>
    <font>
      <sz val="12"/>
      <color rgb="FF00B050"/>
      <name val="Arial"/>
      <charset val="134"/>
    </font>
    <font>
      <b/>
      <sz val="12"/>
      <color rgb="FF0000D4"/>
      <name val="Tahoma"/>
      <charset val="134"/>
    </font>
    <font>
      <b/>
      <sz val="12"/>
      <color indexed="12"/>
      <name val="宋体"/>
      <charset val="134"/>
    </font>
    <font>
      <b/>
      <sz val="12"/>
      <color rgb="FF0000D4"/>
      <name val="Times New Roman"/>
      <charset val="134"/>
    </font>
    <font>
      <b/>
      <sz val="11"/>
      <color indexed="9"/>
      <name val="Tahoma"/>
      <charset val="134"/>
    </font>
    <font>
      <u/>
      <sz val="14"/>
      <name val="Tahoma"/>
      <charset val="134"/>
    </font>
    <font>
      <sz val="11"/>
      <color theme="1"/>
      <name val="Times New Roman"/>
      <charset val="134"/>
    </font>
    <font>
      <b/>
      <sz val="11"/>
      <name val="Times New Roman"/>
      <charset val="134"/>
    </font>
    <font>
      <b/>
      <sz val="11"/>
      <color rgb="FFFFFF00"/>
      <name val="Times New Roman"/>
      <charset val="134"/>
    </font>
    <font>
      <b/>
      <sz val="11"/>
      <color theme="0"/>
      <name val="Times New Roman"/>
      <charset val="134"/>
    </font>
    <font>
      <sz val="11"/>
      <color rgb="FFFFFF00"/>
      <name val="Times New Roman"/>
      <charset val="134"/>
    </font>
    <font>
      <sz val="11"/>
      <color theme="0"/>
      <name val="Times New Roman"/>
      <charset val="134"/>
    </font>
    <font>
      <b/>
      <sz val="11"/>
      <color rgb="FFFFFF00"/>
      <name val="宋体"/>
      <charset val="134"/>
    </font>
    <font>
      <b/>
      <sz val="11"/>
      <color theme="1"/>
      <name val="Times New Roman"/>
      <charset val="134"/>
    </font>
    <font>
      <b/>
      <sz val="11"/>
      <color theme="0"/>
      <name val="黑体"/>
      <charset val="134"/>
    </font>
    <font>
      <b/>
      <sz val="11"/>
      <color rgb="FFFFC000"/>
      <name val="Times New Roman"/>
      <charset val="134"/>
    </font>
    <font>
      <b/>
      <sz val="11"/>
      <name val="宋体"/>
      <charset val="134"/>
    </font>
    <font>
      <sz val="10"/>
      <color theme="1"/>
      <name val="黑体"/>
      <charset val="134"/>
    </font>
    <font>
      <sz val="10"/>
      <color indexed="8"/>
      <name val="Times New Roman"/>
      <charset val="134"/>
    </font>
    <font>
      <sz val="10"/>
      <name val="黑体"/>
      <charset val="134"/>
    </font>
    <font>
      <sz val="10"/>
      <color theme="1"/>
      <name val="Times New Roman"/>
      <charset val="134"/>
    </font>
    <font>
      <sz val="11"/>
      <name val="Times New Roman"/>
      <charset val="134"/>
    </font>
    <font>
      <sz val="12"/>
      <name val="Times New Roman"/>
      <charset val="134"/>
    </font>
    <font>
      <sz val="11"/>
      <color theme="1"/>
      <name val="黑体"/>
      <charset val="134"/>
    </font>
    <font>
      <sz val="10"/>
      <color rgb="FFC00000"/>
      <name val="黑体"/>
      <charset val="134"/>
    </font>
    <font>
      <sz val="12"/>
      <color theme="1"/>
      <name val="Times New Roman"/>
      <charset val="134"/>
    </font>
    <font>
      <strike/>
      <sz val="11"/>
      <color theme="1"/>
      <name val="Times New Roman"/>
      <charset val="134"/>
    </font>
    <font>
      <sz val="11"/>
      <color theme="1"/>
      <name val="宋体"/>
      <charset val="134"/>
    </font>
    <font>
      <sz val="12"/>
      <name val="Tahoma"/>
      <charset val="0"/>
    </font>
    <font>
      <b/>
      <sz val="12"/>
      <name val="宋体"/>
      <charset val="0"/>
      <scheme val="minor"/>
    </font>
    <font>
      <b/>
      <sz val="12"/>
      <color rgb="FFFF0000"/>
      <name val="宋体"/>
      <charset val="0"/>
      <scheme val="minor"/>
    </font>
    <font>
      <b/>
      <sz val="13"/>
      <color rgb="FFFF0000"/>
      <name val="Tahoma"/>
      <charset val="0"/>
    </font>
    <font>
      <b/>
      <sz val="13"/>
      <color rgb="FFFF0000"/>
      <name val="宋体"/>
      <charset val="0"/>
    </font>
    <font>
      <b/>
      <sz val="13"/>
      <name val="Tahoma"/>
      <charset val="0"/>
    </font>
    <font>
      <sz val="13"/>
      <name val="Tahoma"/>
      <charset val="0"/>
    </font>
    <font>
      <sz val="13"/>
      <color theme="1"/>
      <name val="Tahoma"/>
      <charset val="0"/>
    </font>
    <font>
      <sz val="13"/>
      <color rgb="FF0000CC"/>
      <name val="Tahoma"/>
      <charset val="0"/>
    </font>
    <font>
      <b/>
      <sz val="14"/>
      <name val="Tahoma"/>
      <charset val="0"/>
    </font>
    <font>
      <b/>
      <sz val="13"/>
      <color theme="0"/>
      <name val="Tahoma"/>
      <charset val="0"/>
    </font>
    <font>
      <sz val="13"/>
      <color theme="0"/>
      <name val="Tahoma"/>
      <charset val="0"/>
    </font>
    <font>
      <sz val="13"/>
      <name val="宋体"/>
      <charset val="134"/>
    </font>
    <font>
      <b/>
      <sz val="10"/>
      <color rgb="FF0000D4"/>
      <name val="宋体"/>
      <charset val="134"/>
    </font>
    <font>
      <b/>
      <sz val="10"/>
      <color rgb="FF0000CC"/>
      <name val="Times New Roman"/>
      <charset val="0"/>
    </font>
    <font>
      <b/>
      <sz val="14"/>
      <color rgb="FF00B050"/>
      <name val="Tahoma"/>
      <charset val="0"/>
    </font>
    <font>
      <b/>
      <sz val="16"/>
      <color rgb="FF0000CC"/>
      <name val="Tahoma"/>
      <charset val="0"/>
    </font>
    <font>
      <sz val="16"/>
      <color rgb="FF0000CC"/>
      <name val="Tahoma"/>
      <charset val="0"/>
    </font>
    <font>
      <sz val="11"/>
      <name val="Tahoma"/>
      <charset val="0"/>
    </font>
    <font>
      <b/>
      <sz val="12"/>
      <name val="Tahoma"/>
      <charset val="0"/>
    </font>
    <font>
      <b/>
      <sz val="12"/>
      <name val="Times New Roman"/>
      <charset val="0"/>
    </font>
    <font>
      <sz val="12"/>
      <name val="Arial"/>
      <charset val="0"/>
    </font>
    <font>
      <b/>
      <sz val="12"/>
      <color rgb="FF00B050"/>
      <name val="Tahoma"/>
      <charset val="0"/>
    </font>
    <font>
      <sz val="12"/>
      <color rgb="FF00B050"/>
      <name val="Times New Roman"/>
      <charset val="0"/>
    </font>
    <font>
      <sz val="12"/>
      <color rgb="FF00B050"/>
      <name val="Arial"/>
      <charset val="0"/>
    </font>
    <font>
      <b/>
      <sz val="12"/>
      <color rgb="FF0000D4"/>
      <name val="Tahoma"/>
      <charset val="0"/>
    </font>
    <font>
      <b/>
      <sz val="12"/>
      <color indexed="12"/>
      <name val="Times New Roman"/>
      <charset val="0"/>
    </font>
    <font>
      <b/>
      <sz val="12"/>
      <color rgb="FF0000D4"/>
      <name val="Times New Roman"/>
      <charset val="0"/>
    </font>
    <font>
      <b/>
      <sz val="11"/>
      <color indexed="9"/>
      <name val="Tahoma"/>
      <charset val="0"/>
    </font>
    <font>
      <sz val="14"/>
      <name val="Tahoma"/>
      <charset val="0"/>
    </font>
    <font>
      <u/>
      <sz val="14"/>
      <name val="Tahoma"/>
      <charset val="0"/>
    </font>
    <font>
      <sz val="10"/>
      <name val="Times New Roman"/>
      <charset val="134"/>
    </font>
    <font>
      <b/>
      <sz val="12"/>
      <color rgb="FF000000"/>
      <name val="Tahoma"/>
      <charset val="134"/>
    </font>
    <font>
      <b/>
      <sz val="20"/>
      <color theme="1"/>
      <name val="宋体"/>
      <charset val="134"/>
      <scheme val="minor"/>
    </font>
    <font>
      <b/>
      <sz val="9"/>
      <color theme="1"/>
      <name val="宋体"/>
      <charset val="134"/>
      <scheme val="minor"/>
    </font>
    <font>
      <b/>
      <sz val="9"/>
      <name val="宋体"/>
      <charset val="134"/>
      <scheme val="minor"/>
    </font>
    <font>
      <b/>
      <sz val="9"/>
      <color rgb="FFFF0000"/>
      <name val="宋体"/>
      <charset val="134"/>
      <scheme val="minor"/>
    </font>
    <font>
      <b/>
      <sz val="9"/>
      <color rgb="FF000000"/>
      <name val="宋体"/>
      <charset val="134"/>
    </font>
    <font>
      <b/>
      <sz val="9"/>
      <color rgb="FF0000FF"/>
      <name val="宋体"/>
      <charset val="134"/>
      <scheme val="minor"/>
    </font>
    <font>
      <sz val="9"/>
      <color rgb="FF000000"/>
      <name val="宋体"/>
      <charset val="134"/>
    </font>
    <font>
      <sz val="9"/>
      <color theme="1"/>
      <name val="宋体"/>
      <charset val="134"/>
      <scheme val="minor"/>
    </font>
    <font>
      <sz val="9"/>
      <color theme="1"/>
      <name val="仿宋"/>
      <charset val="134"/>
    </font>
    <font>
      <b/>
      <sz val="11"/>
      <color theme="1"/>
      <name val="宋体"/>
      <charset val="134"/>
      <scheme val="minor"/>
    </font>
    <font>
      <sz val="12"/>
      <name val="Calibri"/>
      <charset val="134"/>
    </font>
    <font>
      <sz val="10"/>
      <name val="微软雅黑"/>
      <charset val="134"/>
    </font>
    <font>
      <sz val="12"/>
      <name val="宋体"/>
      <charset val="134"/>
    </font>
    <font>
      <sz val="9"/>
      <name val="仿宋"/>
      <charset val="134"/>
    </font>
    <font>
      <sz val="10"/>
      <color theme="1"/>
      <name val="宋体"/>
      <charset val="134"/>
      <scheme val="minor"/>
    </font>
    <font>
      <sz val="12"/>
      <color rgb="FF000000"/>
      <name val="宋体"/>
      <charset val="134"/>
      <scheme val="minor"/>
    </font>
    <font>
      <sz val="11"/>
      <color rgb="FF0000FF"/>
      <name val="宋体"/>
      <charset val="134"/>
      <scheme val="minor"/>
    </font>
    <font>
      <sz val="12"/>
      <color rgb="FF3E2CEA"/>
      <name val="宋体"/>
      <charset val="134"/>
      <scheme val="minor"/>
    </font>
    <font>
      <sz val="12"/>
      <color theme="1"/>
      <name val="宋体"/>
      <charset val="134"/>
    </font>
    <font>
      <sz val="11"/>
      <color rgb="FF7030A0"/>
      <name val="宋体"/>
      <charset val="134"/>
      <scheme val="minor"/>
    </font>
    <font>
      <sz val="11"/>
      <color rgb="FF2727F0"/>
      <name val="宋体"/>
      <charset val="134"/>
      <scheme val="minor"/>
    </font>
    <font>
      <b/>
      <sz val="10"/>
      <name val="宋体"/>
      <charset val="134"/>
      <scheme val="minor"/>
    </font>
    <font>
      <b/>
      <sz val="10"/>
      <color rgb="FF000000"/>
      <name val="宋体"/>
      <charset val="134"/>
    </font>
    <font>
      <b/>
      <sz val="12"/>
      <color theme="1"/>
      <name val="宋体"/>
      <charset val="134"/>
    </font>
    <font>
      <b/>
      <sz val="10"/>
      <name val="等线"/>
      <charset val="134"/>
    </font>
    <font>
      <sz val="10"/>
      <color rgb="FF000000"/>
      <name val="等线"/>
      <charset val="134"/>
    </font>
    <font>
      <b/>
      <sz val="10"/>
      <color rgb="FF0000FF"/>
      <name val="宋体"/>
      <charset val="134"/>
      <scheme val="minor"/>
    </font>
    <font>
      <b/>
      <sz val="10"/>
      <color rgb="FF7030A0"/>
      <name val="宋体"/>
      <charset val="134"/>
      <scheme val="minor"/>
    </font>
    <font>
      <b/>
      <sz val="10"/>
      <color rgb="FF2727F0"/>
      <name val="宋体"/>
      <charset val="134"/>
      <scheme val="minor"/>
    </font>
    <font>
      <b/>
      <sz val="10"/>
      <color theme="1"/>
      <name val="宋体"/>
      <charset val="134"/>
      <scheme val="minor"/>
    </font>
    <font>
      <b/>
      <sz val="10"/>
      <color theme="9" tint="-0.25"/>
      <name val="宋体"/>
      <charset val="134"/>
      <scheme val="minor"/>
    </font>
    <font>
      <b/>
      <sz val="10"/>
      <color rgb="FFFF0000"/>
      <name val="宋体"/>
      <charset val="134"/>
      <scheme val="minor"/>
    </font>
    <font>
      <b/>
      <sz val="10"/>
      <color rgb="FFFF0000"/>
      <name val="宋体"/>
      <charset val="134"/>
    </font>
    <font>
      <sz val="11"/>
      <color rgb="FF000000"/>
      <name val="宋体"/>
      <charset val="134"/>
    </font>
    <font>
      <sz val="11"/>
      <color rgb="FF000000"/>
      <name val="宋体"/>
      <charset val="134"/>
      <scheme val="minor"/>
    </font>
    <font>
      <sz val="12"/>
      <color rgb="FF000000"/>
      <name val="宋体"/>
      <charset val="134"/>
    </font>
    <font>
      <sz val="10"/>
      <color rgb="FF0000FF"/>
      <name val="宋体"/>
      <charset val="134"/>
      <scheme val="minor"/>
    </font>
    <font>
      <sz val="11"/>
      <color rgb="FF3E2CEA"/>
      <name val="宋体"/>
      <charset val="134"/>
      <scheme val="minor"/>
    </font>
    <font>
      <sz val="9"/>
      <color rgb="FF3E2CEA"/>
      <name val="宋体"/>
      <charset val="134"/>
      <scheme val="minor"/>
    </font>
    <font>
      <sz val="14"/>
      <color rgb="FF000000"/>
      <name val="宋体"/>
      <charset val="134"/>
      <scheme val="minor"/>
    </font>
    <font>
      <sz val="12"/>
      <color rgb="FF010CDD"/>
      <name val="宋体"/>
      <charset val="134"/>
      <scheme val="minor"/>
    </font>
    <font>
      <sz val="11"/>
      <color rgb="FF3E2CEA"/>
      <name val="宋体"/>
      <charset val="134"/>
    </font>
    <font>
      <sz val="11"/>
      <color rgb="FF3E2CEA"/>
      <name val="Arial"/>
      <charset val="0"/>
    </font>
    <font>
      <sz val="12"/>
      <color rgb="FF3E2CEA"/>
      <name val="宋体"/>
      <charset val="134"/>
    </font>
    <font>
      <sz val="14"/>
      <color rgb="FF0000FF"/>
      <name val="宋体"/>
      <charset val="134"/>
    </font>
    <font>
      <sz val="11"/>
      <color rgb="FF0000FF"/>
      <name val="宋体"/>
      <charset val="134"/>
    </font>
    <font>
      <sz val="11"/>
      <color rgb="FF1C05ED"/>
      <name val="Arial"/>
      <charset val="0"/>
    </font>
    <font>
      <sz val="11"/>
      <name val="宋体"/>
      <charset val="134"/>
      <scheme val="minor"/>
    </font>
    <font>
      <sz val="11"/>
      <color rgb="FF010CDD"/>
      <name val="宋体"/>
      <charset val="134"/>
      <scheme val="minor"/>
    </font>
    <font>
      <sz val="10"/>
      <color rgb="FF1C05ED"/>
      <name val="宋体"/>
      <charset val="134"/>
    </font>
    <font>
      <sz val="11"/>
      <color rgb="FF0000FF"/>
      <name val="Arial"/>
      <charset val="0"/>
    </font>
    <font>
      <sz val="10"/>
      <color rgb="FF0000FF"/>
      <name val="宋体"/>
      <charset val="134"/>
    </font>
    <font>
      <sz val="12"/>
      <color rgb="FF0E2EF0"/>
      <name val="宋体"/>
      <charset val="0"/>
    </font>
    <font>
      <sz val="12"/>
      <color rgb="FF010CDD"/>
      <name val="宋体"/>
      <charset val="134"/>
    </font>
    <font>
      <sz val="11"/>
      <color rgb="FF0000FF"/>
      <name val="宋体"/>
      <charset val="0"/>
    </font>
    <font>
      <sz val="10"/>
      <color rgb="FF010CDD"/>
      <name val="宋体"/>
      <charset val="134"/>
      <scheme val="minor"/>
    </font>
    <font>
      <sz val="11"/>
      <color rgb="FF010CDD"/>
      <name val="宋体"/>
      <charset val="134"/>
    </font>
    <font>
      <sz val="10"/>
      <color rgb="FF3E2CEA"/>
      <name val="宋体"/>
      <charset val="134"/>
      <scheme val="minor"/>
    </font>
    <font>
      <sz val="12"/>
      <color rgb="FF0000FF"/>
      <name val="宋体"/>
      <charset val="134"/>
    </font>
    <font>
      <sz val="12"/>
      <color rgb="FFFF0000"/>
      <name val="宋体"/>
      <charset val="134"/>
    </font>
    <font>
      <b/>
      <sz val="11"/>
      <color rgb="FF2727F0"/>
      <name val="宋体"/>
      <charset val="134"/>
      <scheme val="minor"/>
    </font>
    <font>
      <b/>
      <sz val="10"/>
      <color theme="4" tint="-0.25"/>
      <name val="宋体"/>
      <charset val="134"/>
      <scheme val="minor"/>
    </font>
    <font>
      <b/>
      <sz val="10"/>
      <color theme="6" tint="-0.5"/>
      <name val="宋体"/>
      <charset val="134"/>
      <scheme val="minor"/>
    </font>
    <font>
      <sz val="10"/>
      <color rgb="FF0000FF"/>
      <name val="宋体"/>
      <charset val="0"/>
      <scheme val="minor"/>
    </font>
    <font>
      <sz val="11"/>
      <color rgb="FF2727F0"/>
      <name val="宋体"/>
      <charset val="134"/>
    </font>
    <font>
      <sz val="12"/>
      <color rgb="FF0000FF"/>
      <name val="宋体"/>
      <charset val="0"/>
    </font>
    <font>
      <sz val="10"/>
      <color rgb="FF0000FF"/>
      <name val="等线"/>
      <charset val="134"/>
    </font>
    <font>
      <sz val="12"/>
      <color rgb="FF010CDD"/>
      <name val="宋体"/>
      <charset val="0"/>
    </font>
    <font>
      <sz val="10"/>
      <color rgb="FF010CDD"/>
      <name val="等线"/>
      <charset val="134"/>
    </font>
    <font>
      <sz val="11"/>
      <name val="Arial"/>
      <charset val="134"/>
    </font>
    <font>
      <sz val="14"/>
      <color rgb="FF1506E0"/>
      <name val="宋体"/>
      <charset val="0"/>
      <scheme val="minor"/>
    </font>
    <font>
      <sz val="9"/>
      <color rgb="FF010CDD"/>
      <name val="宋体"/>
      <charset val="134"/>
      <scheme val="minor"/>
    </font>
    <font>
      <sz val="12"/>
      <color rgb="FF0E2EF0"/>
      <name val="宋体"/>
      <charset val="134"/>
      <scheme val="minor"/>
    </font>
    <font>
      <sz val="11"/>
      <name val="宋体"/>
      <charset val="134"/>
    </font>
    <font>
      <sz val="11"/>
      <name val="Arial"/>
      <charset val="0"/>
    </font>
    <font>
      <sz val="11"/>
      <color rgb="FF2727F0"/>
      <name val="Arial"/>
      <charset val="0"/>
    </font>
    <font>
      <sz val="11"/>
      <color rgb="FF010CDD"/>
      <name val="Arial"/>
      <charset val="0"/>
    </font>
    <font>
      <sz val="9"/>
      <color rgb="FF010CDD"/>
      <name val="宋体"/>
      <charset val="134"/>
    </font>
    <font>
      <sz val="11"/>
      <color rgb="FF010CDD"/>
      <name val="Arial"/>
      <charset val="134"/>
    </font>
    <font>
      <sz val="10"/>
      <color rgb="FF010CDD"/>
      <name val="宋体"/>
      <charset val="0"/>
      <scheme val="minor"/>
    </font>
    <font>
      <sz val="11"/>
      <color rgb="FF000000"/>
      <name val="Arial"/>
      <charset val="0"/>
    </font>
    <font>
      <b/>
      <sz val="12"/>
      <color rgb="FF2727F0"/>
      <name val="宋体"/>
      <charset val="134"/>
      <scheme val="minor"/>
    </font>
    <font>
      <b/>
      <sz val="12"/>
      <color rgb="FF0000FF"/>
      <name val="宋体"/>
      <charset val="134"/>
      <scheme val="minor"/>
    </font>
    <font>
      <b/>
      <sz val="9"/>
      <name val="等线"/>
      <charset val="134"/>
    </font>
    <font>
      <b/>
      <sz val="11"/>
      <color rgb="FF7030A0"/>
      <name val="宋体"/>
      <charset val="134"/>
      <scheme val="minor"/>
    </font>
    <font>
      <sz val="11"/>
      <color rgb="FF0000FF"/>
      <name val="等线"/>
      <charset val="134"/>
    </font>
    <font>
      <sz val="11"/>
      <color rgb="FF3E2CEA"/>
      <name val="等线"/>
      <charset val="134"/>
    </font>
    <font>
      <sz val="10"/>
      <color rgb="FF3E2CEA"/>
      <name val="等线"/>
      <charset val="134"/>
    </font>
    <font>
      <sz val="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2"/>
      <name val="新細明體"/>
      <charset val="136"/>
    </font>
    <font>
      <sz val="10"/>
      <name val="等线"/>
      <charset val="134"/>
    </font>
    <font>
      <sz val="11"/>
      <name val="黑体"/>
      <charset val="134"/>
    </font>
    <font>
      <sz val="10"/>
      <name val="宋体"/>
      <charset val="134"/>
    </font>
    <font>
      <sz val="10"/>
      <name val="Arial"/>
      <charset val="0"/>
    </font>
    <font>
      <sz val="10"/>
      <color rgb="FF000000"/>
      <name val="宋体"/>
      <charset val="134"/>
      <scheme val="minor"/>
    </font>
    <font>
      <b/>
      <sz val="10"/>
      <color indexed="12"/>
      <name val="宋体"/>
      <charset val="134"/>
    </font>
    <font>
      <b/>
      <sz val="10"/>
      <color indexed="12"/>
      <name val="Times New Roman"/>
      <charset val="0"/>
    </font>
    <font>
      <sz val="10"/>
      <color rgb="FF0000FF"/>
      <name val="汉仪书宋二KW"/>
      <charset val="134"/>
    </font>
    <font>
      <b/>
      <sz val="12"/>
      <color rgb="FF008080"/>
      <name val="宋体"/>
      <charset val="0"/>
    </font>
    <font>
      <b/>
      <sz val="12"/>
      <color indexed="21"/>
      <name val="宋体"/>
      <charset val="134"/>
    </font>
    <font>
      <b/>
      <sz val="11"/>
      <color theme="1"/>
      <name val="宋体"/>
      <charset val="134"/>
    </font>
    <font>
      <b/>
      <sz val="11"/>
      <color theme="0"/>
      <name val="宋体"/>
      <charset val="134"/>
    </font>
    <font>
      <sz val="11"/>
      <color theme="0"/>
      <name val="黑体"/>
      <charset val="134"/>
    </font>
    <font>
      <b/>
      <sz val="12"/>
      <color rgb="FF00B050"/>
      <name val="宋体"/>
      <charset val="0"/>
    </font>
    <font>
      <sz val="11"/>
      <color rgb="FF0000FF"/>
      <name val="宋体"/>
      <charset val="0"/>
      <scheme val="minor"/>
    </font>
    <font>
      <sz val="9"/>
      <color rgb="FF010CDD"/>
      <name val="STSong-Light-Identity-H"/>
      <charset val="134"/>
    </font>
    <font>
      <sz val="11"/>
      <color rgb="FFFF0000"/>
      <name val="Times New Roman"/>
      <charset val="134"/>
    </font>
    <font>
      <b/>
      <sz val="11"/>
      <color rgb="FFFFC000"/>
      <name val="宋体"/>
      <charset val="134"/>
    </font>
    <font>
      <b/>
      <sz val="11"/>
      <color rgb="FFFFC000"/>
      <name val="黑体"/>
      <charset val="134"/>
    </font>
    <font>
      <b/>
      <sz val="11"/>
      <color rgb="FFFFFF00"/>
      <name val="黑体"/>
      <charset val="134"/>
    </font>
    <font>
      <sz val="10"/>
      <color rgb="FF000000"/>
      <name val="汉仪书宋二KW"/>
      <charset val="134"/>
    </font>
    <font>
      <sz val="9"/>
      <name val="宋体"/>
      <charset val="134"/>
    </font>
    <font>
      <sz val="9"/>
      <name val="STSong-Light-Identity-H"/>
      <charset val="134"/>
    </font>
    <font>
      <sz val="10"/>
      <color rgb="FF0000FF"/>
      <name val="Arial"/>
      <charset val="134"/>
    </font>
    <font>
      <strike/>
      <sz val="11"/>
      <color theme="1"/>
      <name val="黑体"/>
      <charset val="134"/>
    </font>
    <font>
      <b/>
      <sz val="12"/>
      <name val="宋体"/>
      <charset val="134"/>
    </font>
    <font>
      <sz val="11"/>
      <name val="宋体"/>
      <charset val="134"/>
    </font>
    <font>
      <b/>
      <sz val="11"/>
      <name val="宋体"/>
      <charset val="134"/>
    </font>
    <font>
      <sz val="9"/>
      <name val="宋体"/>
      <charset val="0"/>
    </font>
    <font>
      <b/>
      <sz val="9"/>
      <name val="宋体"/>
      <charset val="0"/>
    </font>
    <font>
      <sz val="9"/>
      <name val="宋体"/>
      <charset val="134"/>
    </font>
    <font>
      <b/>
      <sz val="9"/>
      <name val="宋体"/>
      <charset val="134"/>
    </font>
    <font>
      <sz val="12"/>
      <name val="宋体"/>
      <charset val="134"/>
    </font>
    <font>
      <b/>
      <sz val="12"/>
      <name val="宋体"/>
      <charset val="134"/>
    </font>
  </fonts>
  <fills count="49">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indexed="9"/>
        <bgColor indexed="64"/>
      </patternFill>
    </fill>
    <fill>
      <patternFill patternType="solid">
        <fgColor theme="1" tint="0.349986266670736"/>
        <bgColor indexed="64"/>
      </patternFill>
    </fill>
    <fill>
      <patternFill patternType="solid">
        <fgColor rgb="FF99FF99"/>
        <bgColor indexed="64"/>
      </patternFill>
    </fill>
    <fill>
      <patternFill patternType="solid">
        <fgColor theme="9" tint="-0.499984740745262"/>
        <bgColor indexed="64"/>
      </patternFill>
    </fill>
    <fill>
      <patternFill patternType="solid">
        <fgColor theme="0" tint="-0.499984740745262"/>
        <bgColor indexed="64"/>
      </patternFill>
    </fill>
    <fill>
      <patternFill patternType="solid">
        <fgColor rgb="FF00B050"/>
        <bgColor indexed="64"/>
      </patternFill>
    </fill>
    <fill>
      <patternFill patternType="solid">
        <fgColor theme="0" tint="-0.149998474074526"/>
        <bgColor indexed="64"/>
      </patternFill>
    </fill>
    <fill>
      <patternFill patternType="solid">
        <fgColor rgb="FFA4FCB9"/>
        <bgColor indexed="64"/>
      </patternFill>
    </fill>
    <fill>
      <patternFill patternType="solid">
        <fgColor theme="9"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rgb="FFFFFF99"/>
        <bgColor indexed="64"/>
      </patternFill>
    </fill>
    <fill>
      <patternFill patternType="solid">
        <fgColor theme="8" tint="0.799981688894314"/>
        <bgColor indexed="64"/>
      </patternFill>
    </fill>
    <fill>
      <patternFill patternType="solid">
        <fgColor theme="9" tint="0.6"/>
        <bgColor indexed="64"/>
      </patternFill>
    </fill>
    <fill>
      <patternFill patternType="solid">
        <fgColor rgb="FFFFFFFF"/>
        <bgColor indexed="64"/>
      </patternFill>
    </fill>
    <fill>
      <patternFill patternType="solid">
        <fgColor rgb="FFFFC000"/>
        <bgColor indexed="64"/>
      </patternFill>
    </fill>
    <fill>
      <patternFill patternType="solid">
        <fgColor rgb="FF0FB7FD"/>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style="thin">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bottom style="medium">
        <color auto="1"/>
      </bottom>
      <diagonal/>
    </border>
    <border>
      <left/>
      <right style="medium">
        <color auto="1"/>
      </right>
      <top style="medium">
        <color auto="1"/>
      </top>
      <bottom style="medium">
        <color auto="1"/>
      </bottom>
      <diagonal/>
    </border>
    <border>
      <left/>
      <right style="medium">
        <color auto="1"/>
      </right>
      <top/>
      <bottom style="thin">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1"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0" fillId="23" borderId="46" applyNumberFormat="0" applyFont="0" applyAlignment="0" applyProtection="0">
      <alignment vertical="center"/>
    </xf>
    <xf numFmtId="0" fontId="213"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5" fillId="0" borderId="0" applyNumberFormat="0" applyFill="0" applyBorder="0" applyAlignment="0" applyProtection="0">
      <alignment vertical="center"/>
    </xf>
    <xf numFmtId="0" fontId="216" fillId="0" borderId="47" applyNumberFormat="0" applyFill="0" applyAlignment="0" applyProtection="0">
      <alignment vertical="center"/>
    </xf>
    <xf numFmtId="0" fontId="217" fillId="0" borderId="47" applyNumberFormat="0" applyFill="0" applyAlignment="0" applyProtection="0">
      <alignment vertical="center"/>
    </xf>
    <xf numFmtId="0" fontId="218" fillId="0" borderId="48" applyNumberFormat="0" applyFill="0" applyAlignment="0" applyProtection="0">
      <alignment vertical="center"/>
    </xf>
    <xf numFmtId="0" fontId="218" fillId="0" borderId="0" applyNumberFormat="0" applyFill="0" applyBorder="0" applyAlignment="0" applyProtection="0">
      <alignment vertical="center"/>
    </xf>
    <xf numFmtId="0" fontId="219" fillId="24" borderId="49" applyNumberFormat="0" applyAlignment="0" applyProtection="0">
      <alignment vertical="center"/>
    </xf>
    <xf numFmtId="0" fontId="220" fillId="25" borderId="50" applyNumberFormat="0" applyAlignment="0" applyProtection="0">
      <alignment vertical="center"/>
    </xf>
    <xf numFmtId="0" fontId="221" fillId="25" borderId="49" applyNumberFormat="0" applyAlignment="0" applyProtection="0">
      <alignment vertical="center"/>
    </xf>
    <xf numFmtId="0" fontId="222" fillId="26" borderId="51" applyNumberFormat="0" applyAlignment="0" applyProtection="0">
      <alignment vertical="center"/>
    </xf>
    <xf numFmtId="0" fontId="223" fillId="0" borderId="52" applyNumberFormat="0" applyFill="0" applyAlignment="0" applyProtection="0">
      <alignment vertical="center"/>
    </xf>
    <xf numFmtId="0" fontId="224" fillId="0" borderId="53" applyNumberFormat="0" applyFill="0" applyAlignment="0" applyProtection="0">
      <alignment vertical="center"/>
    </xf>
    <xf numFmtId="0" fontId="225" fillId="27" borderId="0" applyNumberFormat="0" applyBorder="0" applyAlignment="0" applyProtection="0">
      <alignment vertical="center"/>
    </xf>
    <xf numFmtId="0" fontId="226" fillId="28" borderId="0" applyNumberFormat="0" applyBorder="0" applyAlignment="0" applyProtection="0">
      <alignment vertical="center"/>
    </xf>
    <xf numFmtId="0" fontId="227" fillId="29" borderId="0" applyNumberFormat="0" applyBorder="0" applyAlignment="0" applyProtection="0">
      <alignment vertical="center"/>
    </xf>
    <xf numFmtId="0" fontId="228" fillId="22" borderId="0" applyNumberFormat="0" applyBorder="0" applyAlignment="0" applyProtection="0">
      <alignment vertical="center"/>
    </xf>
    <xf numFmtId="0" fontId="229" fillId="30" borderId="0" applyNumberFormat="0" applyBorder="0" applyAlignment="0" applyProtection="0">
      <alignment vertical="center"/>
    </xf>
    <xf numFmtId="0" fontId="229" fillId="15"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9" fillId="33" borderId="0" applyNumberFormat="0" applyBorder="0" applyAlignment="0" applyProtection="0">
      <alignment vertical="center"/>
    </xf>
    <xf numFmtId="0" fontId="229" fillId="34" borderId="0" applyNumberFormat="0" applyBorder="0" applyAlignment="0" applyProtection="0">
      <alignment vertical="center"/>
    </xf>
    <xf numFmtId="0" fontId="228" fillId="35" borderId="0" applyNumberFormat="0" applyBorder="0" applyAlignment="0" applyProtection="0">
      <alignment vertical="center"/>
    </xf>
    <xf numFmtId="0" fontId="228" fillId="14" borderId="0" applyNumberFormat="0" applyBorder="0" applyAlignment="0" applyProtection="0">
      <alignment vertical="center"/>
    </xf>
    <xf numFmtId="0" fontId="229" fillId="36" borderId="0" applyNumberFormat="0" applyBorder="0" applyAlignment="0" applyProtection="0">
      <alignment vertical="center"/>
    </xf>
    <xf numFmtId="0" fontId="229" fillId="37" borderId="0" applyNumberFormat="0" applyBorder="0" applyAlignment="0" applyProtection="0">
      <alignment vertical="center"/>
    </xf>
    <xf numFmtId="0" fontId="228" fillId="38" borderId="0" applyNumberFormat="0" applyBorder="0" applyAlignment="0" applyProtection="0">
      <alignment vertical="center"/>
    </xf>
    <xf numFmtId="0" fontId="228" fillId="39" borderId="0" applyNumberFormat="0" applyBorder="0" applyAlignment="0" applyProtection="0">
      <alignment vertical="center"/>
    </xf>
    <xf numFmtId="0" fontId="229" fillId="40" borderId="0" applyNumberFormat="0" applyBorder="0" applyAlignment="0" applyProtection="0">
      <alignment vertical="center"/>
    </xf>
    <xf numFmtId="0" fontId="229" fillId="41" borderId="0" applyNumberFormat="0" applyBorder="0" applyAlignment="0" applyProtection="0">
      <alignment vertical="center"/>
    </xf>
    <xf numFmtId="0" fontId="228" fillId="42" borderId="0" applyNumberFormat="0" applyBorder="0" applyAlignment="0" applyProtection="0">
      <alignment vertical="center"/>
    </xf>
    <xf numFmtId="0" fontId="228" fillId="43" borderId="0" applyNumberFormat="0" applyBorder="0" applyAlignment="0" applyProtection="0">
      <alignment vertical="center"/>
    </xf>
    <xf numFmtId="0" fontId="229" fillId="17" borderId="0" applyNumberFormat="0" applyBorder="0" applyAlignment="0" applyProtection="0">
      <alignment vertical="center"/>
    </xf>
    <xf numFmtId="0" fontId="229" fillId="44" borderId="0" applyNumberFormat="0" applyBorder="0" applyAlignment="0" applyProtection="0">
      <alignment vertical="center"/>
    </xf>
    <xf numFmtId="0" fontId="228" fillId="45" borderId="0" applyNumberFormat="0" applyBorder="0" applyAlignment="0" applyProtection="0">
      <alignment vertical="center"/>
    </xf>
    <xf numFmtId="0" fontId="228" fillId="46" borderId="0" applyNumberFormat="0" applyBorder="0" applyAlignment="0" applyProtection="0">
      <alignment vertical="center"/>
    </xf>
    <xf numFmtId="0" fontId="229" fillId="47" borderId="0" applyNumberFormat="0" applyBorder="0" applyAlignment="0" applyProtection="0">
      <alignment vertical="center"/>
    </xf>
    <xf numFmtId="0" fontId="229" fillId="13" borderId="0" applyNumberFormat="0" applyBorder="0" applyAlignment="0" applyProtection="0">
      <alignment vertical="center"/>
    </xf>
    <xf numFmtId="0" fontId="228" fillId="48" borderId="0" applyNumberFormat="0" applyBorder="0" applyAlignment="0" applyProtection="0">
      <alignment vertical="center"/>
    </xf>
    <xf numFmtId="9" fontId="0" fillId="0" borderId="0" applyFont="0" applyFill="0" applyBorder="0" applyAlignment="0" applyProtection="0">
      <alignment vertical="center"/>
    </xf>
    <xf numFmtId="0" fontId="230" fillId="0" borderId="0"/>
    <xf numFmtId="0" fontId="0" fillId="0" borderId="0">
      <alignment vertical="center"/>
    </xf>
    <xf numFmtId="0" fontId="134" fillId="0" borderId="0">
      <alignment vertical="center"/>
    </xf>
    <xf numFmtId="0" fontId="231" fillId="0" borderId="0">
      <alignment vertical="center"/>
    </xf>
    <xf numFmtId="0" fontId="134" fillId="0" borderId="0"/>
    <xf numFmtId="0" fontId="134" fillId="0" borderId="0">
      <alignment vertical="center"/>
    </xf>
    <xf numFmtId="0" fontId="134" fillId="0" borderId="0">
      <alignment vertical="center"/>
    </xf>
    <xf numFmtId="0" fontId="0" fillId="0" borderId="0"/>
  </cellStyleXfs>
  <cellXfs count="1419">
    <xf numFmtId="0" fontId="0" fillId="0" borderId="0" xfId="0">
      <alignment vertical="center"/>
    </xf>
    <xf numFmtId="176" fontId="1" fillId="0" borderId="1" xfId="0" applyNumberFormat="1" applyFont="1" applyFill="1" applyBorder="1" applyAlignment="1" applyProtection="1">
      <alignment horizontal="center" vertical="center" wrapText="1"/>
    </xf>
    <xf numFmtId="176" fontId="1" fillId="0" borderId="1"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vertical="center" wrapText="1"/>
      <protection locked="0"/>
    </xf>
    <xf numFmtId="0" fontId="1" fillId="0" borderId="1" xfId="0" applyFont="1" applyFill="1" applyBorder="1" applyProtection="1">
      <alignment vertical="center"/>
      <protection locked="0"/>
    </xf>
    <xf numFmtId="176" fontId="1" fillId="0" borderId="1" xfId="0" applyNumberFormat="1" applyFont="1" applyFill="1" applyBorder="1" applyAlignment="1" applyProtection="1">
      <alignment vertical="center" wrapText="1"/>
      <protection locked="0"/>
    </xf>
    <xf numFmtId="176" fontId="1" fillId="0" borderId="1" xfId="0" applyNumberFormat="1" applyFont="1" applyFill="1" applyBorder="1" applyProtection="1">
      <alignment vertical="center"/>
      <protection locked="0"/>
    </xf>
    <xf numFmtId="176" fontId="1" fillId="0" borderId="1" xfId="0" applyNumberFormat="1" applyFont="1" applyFill="1" applyBorder="1" applyProtection="1">
      <alignment vertical="center"/>
    </xf>
    <xf numFmtId="177" fontId="1" fillId="0" borderId="1" xfId="0" applyNumberFormat="1" applyFont="1" applyFill="1" applyBorder="1" applyAlignment="1" applyProtection="1">
      <alignment horizontal="center" vertical="center"/>
      <protection locked="0"/>
    </xf>
    <xf numFmtId="177" fontId="1" fillId="0" borderId="1" xfId="0" applyNumberFormat="1" applyFont="1" applyFill="1" applyBorder="1" applyProtection="1">
      <alignment vertical="center"/>
      <protection locked="0"/>
    </xf>
    <xf numFmtId="178" fontId="1" fillId="0" borderId="1" xfId="0" applyNumberFormat="1" applyFont="1" applyFill="1" applyBorder="1" applyProtection="1">
      <alignment vertical="center"/>
      <protection locked="0"/>
    </xf>
    <xf numFmtId="0" fontId="2" fillId="0" borderId="1" xfId="0" applyFont="1" applyFill="1" applyBorder="1" applyAlignment="1" applyProtection="1">
      <alignment horizontal="center" vertical="center" wrapText="1"/>
      <protection locked="0"/>
    </xf>
    <xf numFmtId="178" fontId="1" fillId="0" borderId="1" xfId="0" applyNumberFormat="1" applyFont="1" applyFill="1" applyBorder="1" applyAlignment="1" applyProtection="1">
      <alignment horizontal="right" vertical="center"/>
      <protection locked="0"/>
    </xf>
    <xf numFmtId="176" fontId="3" fillId="0" borderId="1" xfId="0" applyNumberFormat="1" applyFont="1" applyFill="1" applyBorder="1" applyProtection="1">
      <alignment vertical="center"/>
      <protection locked="0"/>
    </xf>
    <xf numFmtId="0" fontId="4" fillId="0" borderId="0" xfId="0" applyFont="1">
      <alignment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8" fillId="0" borderId="1" xfId="0" applyFont="1" applyFill="1" applyBorder="1" applyAlignment="1">
      <alignment horizontal="center" vertical="center"/>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0" borderId="1" xfId="0" applyFont="1" applyFill="1" applyBorder="1" applyAlignment="1" applyProtection="1">
      <alignment horizontal="center" vertical="center"/>
      <protection locked="0"/>
    </xf>
    <xf numFmtId="0" fontId="7" fillId="4" borderId="1" xfId="0" applyFont="1" applyFill="1" applyBorder="1" applyAlignment="1" applyProtection="1">
      <alignment horizontal="center" vertical="center"/>
      <protection locked="0"/>
    </xf>
    <xf numFmtId="176" fontId="9" fillId="0" borderId="1" xfId="0" applyNumberFormat="1" applyFont="1" applyFill="1" applyBorder="1" applyAlignment="1">
      <alignment horizontal="center" vertical="center" wrapText="1" shrinkToFit="1"/>
    </xf>
    <xf numFmtId="0" fontId="9" fillId="0" borderId="1" xfId="0" applyFont="1" applyFill="1" applyBorder="1" applyAlignment="1">
      <alignment horizontal="center" vertical="center" wrapText="1" shrinkToFit="1"/>
    </xf>
    <xf numFmtId="49" fontId="9" fillId="0" borderId="1" xfId="0" applyNumberFormat="1" applyFont="1" applyFill="1" applyBorder="1" applyAlignment="1">
      <alignment horizontal="center" vertical="center" wrapText="1" shrinkToFit="1"/>
    </xf>
    <xf numFmtId="179" fontId="10" fillId="0" borderId="1" xfId="0" applyNumberFormat="1" applyFont="1" applyFill="1" applyBorder="1" applyAlignment="1">
      <alignment horizontal="center" vertical="center" wrapText="1" shrinkToFit="1"/>
    </xf>
    <xf numFmtId="180" fontId="10" fillId="0" borderId="1" xfId="0" applyNumberFormat="1" applyFont="1" applyFill="1" applyBorder="1" applyAlignment="1">
      <alignment horizontal="center" vertical="center" wrapText="1" shrinkToFit="1"/>
    </xf>
    <xf numFmtId="181" fontId="9" fillId="0" borderId="1" xfId="0" applyNumberFormat="1" applyFont="1" applyFill="1" applyBorder="1" applyAlignment="1">
      <alignment horizontal="center" vertical="center" wrapText="1" shrinkToFit="1"/>
    </xf>
    <xf numFmtId="0" fontId="9" fillId="0" borderId="1" xfId="0" applyNumberFormat="1" applyFont="1" applyFill="1" applyBorder="1" applyAlignment="1">
      <alignment horizontal="center" vertical="center" wrapText="1" shrinkToFit="1"/>
    </xf>
    <xf numFmtId="0" fontId="11" fillId="0" borderId="1" xfId="0" applyFont="1" applyFill="1" applyBorder="1" applyAlignment="1">
      <alignment horizontal="center" vertical="center" wrapText="1" shrinkToFit="1"/>
    </xf>
    <xf numFmtId="182" fontId="9" fillId="0" borderId="1" xfId="0" applyNumberFormat="1" applyFont="1" applyFill="1" applyBorder="1" applyAlignment="1">
      <alignment horizontal="center" vertical="center" wrapText="1" shrinkToFit="1"/>
    </xf>
    <xf numFmtId="0" fontId="12" fillId="0" borderId="1" xfId="0" applyFont="1" applyFill="1" applyBorder="1" applyAlignment="1">
      <alignment horizontal="center" vertical="center" wrapText="1" shrinkToFit="1"/>
    </xf>
    <xf numFmtId="0" fontId="13"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xf>
    <xf numFmtId="176" fontId="5" fillId="0" borderId="1" xfId="0" applyNumberFormat="1" applyFont="1" applyFill="1" applyBorder="1" applyAlignment="1">
      <alignment horizontal="center" vertical="center" wrapText="1" shrinkToFit="1"/>
    </xf>
    <xf numFmtId="181" fontId="5" fillId="0" borderId="1" xfId="0" applyNumberFormat="1" applyFont="1" applyFill="1" applyBorder="1" applyAlignment="1">
      <alignment horizontal="center" vertical="center" wrapText="1" shrinkToFit="1"/>
    </xf>
    <xf numFmtId="0" fontId="5" fillId="0" borderId="1" xfId="0" applyFont="1" applyFill="1" applyBorder="1" applyAlignment="1">
      <alignment horizontal="center" vertical="center" wrapText="1" shrinkToFit="1"/>
    </xf>
    <xf numFmtId="178" fontId="5" fillId="0" borderId="1" xfId="0" applyNumberFormat="1" applyFont="1" applyFill="1" applyBorder="1" applyAlignment="1">
      <alignment horizontal="center" vertical="center" wrapText="1" shrinkToFit="1"/>
    </xf>
    <xf numFmtId="179" fontId="5" fillId="0" borderId="1" xfId="0" applyNumberFormat="1" applyFont="1" applyFill="1" applyBorder="1" applyAlignment="1">
      <alignment horizontal="center" vertical="center" wrapText="1" shrinkToFit="1"/>
    </xf>
    <xf numFmtId="180" fontId="5" fillId="0" borderId="1" xfId="0"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shrinkToFit="1"/>
    </xf>
    <xf numFmtId="0" fontId="15" fillId="0" borderId="1" xfId="0" applyFont="1" applyFill="1" applyBorder="1" applyAlignment="1">
      <alignment horizontal="center" vertical="center" wrapText="1" shrinkToFit="1"/>
    </xf>
    <xf numFmtId="182" fontId="16" fillId="0" borderId="1" xfId="0" applyNumberFormat="1" applyFont="1" applyFill="1" applyBorder="1" applyAlignment="1">
      <alignment horizontal="center" vertical="center" wrapText="1" shrinkToFit="1"/>
    </xf>
    <xf numFmtId="0" fontId="17" fillId="0" borderId="1" xfId="0" applyFont="1" applyFill="1" applyBorder="1" applyAlignment="1">
      <alignment horizontal="center" vertical="center" wrapText="1" shrinkToFit="1"/>
    </xf>
    <xf numFmtId="0" fontId="5" fillId="0" borderId="1" xfId="0" applyFont="1" applyFill="1" applyBorder="1" applyAlignment="1">
      <alignment horizontal="center" vertical="center" wrapText="1"/>
    </xf>
    <xf numFmtId="178" fontId="5" fillId="0" borderId="1" xfId="0" applyNumberFormat="1" applyFont="1" applyFill="1" applyBorder="1" applyAlignment="1">
      <alignment horizontal="center" vertical="center"/>
    </xf>
    <xf numFmtId="58" fontId="15" fillId="0" borderId="1" xfId="0" applyNumberFormat="1" applyFont="1" applyFill="1" applyBorder="1" applyAlignment="1">
      <alignment horizontal="center" vertical="center" wrapText="1" shrinkToFit="1"/>
    </xf>
    <xf numFmtId="0" fontId="18" fillId="0" borderId="1" xfId="0" applyFont="1" applyFill="1" applyBorder="1" applyAlignment="1">
      <alignment horizontal="center" vertical="center"/>
    </xf>
    <xf numFmtId="182" fontId="5" fillId="0" borderId="1" xfId="0" applyNumberFormat="1" applyFont="1" applyFill="1" applyBorder="1" applyAlignment="1">
      <alignment horizontal="center" vertical="center" wrapText="1" shrinkToFit="1"/>
    </xf>
    <xf numFmtId="0" fontId="5" fillId="0" borderId="3"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shrinkToFi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wrapText="1" shrinkToFit="1"/>
    </xf>
    <xf numFmtId="181" fontId="6" fillId="0" borderId="1" xfId="0" applyNumberFormat="1" applyFont="1" applyFill="1" applyBorder="1" applyAlignment="1">
      <alignment horizontal="center" vertical="center" wrapText="1" shrinkToFit="1"/>
    </xf>
    <xf numFmtId="178" fontId="6" fillId="0" borderId="1" xfId="0" applyNumberFormat="1" applyFont="1" applyFill="1" applyBorder="1" applyAlignment="1">
      <alignment horizontal="center" vertical="center" wrapText="1" shrinkToFit="1"/>
    </xf>
    <xf numFmtId="0" fontId="6" fillId="0" borderId="1" xfId="0" applyNumberFormat="1" applyFont="1" applyFill="1" applyBorder="1" applyAlignment="1">
      <alignment horizontal="center" vertical="center" wrapText="1" shrinkToFit="1"/>
    </xf>
    <xf numFmtId="182" fontId="6" fillId="0" borderId="1" xfId="0" applyNumberFormat="1" applyFont="1" applyFill="1" applyBorder="1" applyAlignment="1">
      <alignment horizontal="center" vertical="center" wrapText="1" shrinkToFit="1"/>
    </xf>
    <xf numFmtId="0" fontId="6" fillId="0" borderId="2" xfId="0" applyFont="1" applyFill="1" applyBorder="1" applyAlignment="1">
      <alignment horizontal="center" vertical="center" wrapText="1"/>
    </xf>
    <xf numFmtId="179" fontId="6" fillId="0" borderId="1" xfId="0" applyNumberFormat="1" applyFont="1" applyFill="1" applyBorder="1" applyAlignment="1">
      <alignment horizontal="center" vertical="center" wrapText="1" shrinkToFit="1"/>
    </xf>
    <xf numFmtId="180" fontId="6" fillId="0" borderId="1" xfId="0" applyNumberFormat="1" applyFont="1" applyFill="1" applyBorder="1" applyAlignment="1">
      <alignment horizontal="center" vertical="center" wrapText="1" shrinkToFit="1"/>
    </xf>
    <xf numFmtId="178" fontId="6" fillId="0" borderId="1" xfId="0" applyNumberFormat="1" applyFont="1" applyFill="1" applyBorder="1" applyAlignment="1">
      <alignment horizontal="center" vertical="center"/>
    </xf>
    <xf numFmtId="0" fontId="6" fillId="0" borderId="3"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wrapText="1" shrinkToFit="1"/>
    </xf>
    <xf numFmtId="49" fontId="7" fillId="0" borderId="1" xfId="0" applyNumberFormat="1" applyFont="1" applyFill="1" applyBorder="1" applyAlignment="1">
      <alignment horizontal="center" vertical="center" wrapText="1" shrinkToFit="1"/>
    </xf>
    <xf numFmtId="178" fontId="7" fillId="0" borderId="1" xfId="0" applyNumberFormat="1" applyFont="1" applyFill="1" applyBorder="1" applyAlignment="1">
      <alignment horizontal="center" vertical="center" wrapText="1" shrinkToFit="1"/>
    </xf>
    <xf numFmtId="0" fontId="7" fillId="0" borderId="1" xfId="0" applyNumberFormat="1" applyFont="1" applyFill="1" applyBorder="1" applyAlignment="1">
      <alignment horizontal="center" vertical="center" wrapText="1" shrinkToFit="1"/>
    </xf>
    <xf numFmtId="182" fontId="7" fillId="0" borderId="1" xfId="0" applyNumberFormat="1" applyFont="1" applyFill="1" applyBorder="1" applyAlignment="1">
      <alignment horizontal="center" vertical="center" wrapText="1" shrinkToFit="1"/>
    </xf>
    <xf numFmtId="181" fontId="7" fillId="0" borderId="1" xfId="0" applyNumberFormat="1" applyFont="1" applyFill="1" applyBorder="1" applyAlignment="1">
      <alignment horizontal="center" vertical="center" wrapText="1" shrinkToFit="1"/>
    </xf>
    <xf numFmtId="179" fontId="7" fillId="0" borderId="1" xfId="0" applyNumberFormat="1" applyFont="1" applyFill="1" applyBorder="1" applyAlignment="1">
      <alignment horizontal="center" vertical="center" wrapText="1" shrinkToFit="1"/>
    </xf>
    <xf numFmtId="180" fontId="7" fillId="0" borderId="1" xfId="0" applyNumberFormat="1" applyFont="1" applyFill="1" applyBorder="1" applyAlignment="1">
      <alignment horizontal="center" vertical="center" wrapText="1" shrinkToFit="1"/>
    </xf>
    <xf numFmtId="0" fontId="7" fillId="0" borderId="2" xfId="0" applyFont="1" applyFill="1" applyBorder="1" applyAlignment="1">
      <alignment horizontal="center" vertical="center" wrapText="1" shrinkToFit="1"/>
    </xf>
    <xf numFmtId="178" fontId="7" fillId="0" borderId="1" xfId="0" applyNumberFormat="1" applyFont="1" applyFill="1" applyBorder="1" applyAlignment="1">
      <alignment horizontal="center" vertical="center"/>
    </xf>
    <xf numFmtId="176" fontId="19" fillId="0" borderId="1" xfId="0" applyNumberFormat="1" applyFont="1" applyFill="1" applyBorder="1" applyAlignment="1">
      <alignment horizontal="center" vertical="center" wrapText="1" shrinkToFit="1"/>
    </xf>
    <xf numFmtId="0" fontId="19" fillId="0" borderId="1" xfId="0" applyFont="1" applyFill="1" applyBorder="1" applyAlignment="1">
      <alignment horizontal="center" vertical="center" wrapText="1" shrinkToFit="1"/>
    </xf>
    <xf numFmtId="49" fontId="19" fillId="0" borderId="1" xfId="0" applyNumberFormat="1" applyFont="1" applyFill="1" applyBorder="1" applyAlignment="1">
      <alignment horizontal="center" vertical="center" wrapText="1" shrinkToFit="1"/>
    </xf>
    <xf numFmtId="183" fontId="7" fillId="0" borderId="1" xfId="0" applyNumberFormat="1" applyFont="1" applyFill="1" applyBorder="1" applyAlignment="1">
      <alignment horizontal="center" vertical="center" wrapText="1" shrinkToFit="1"/>
    </xf>
    <xf numFmtId="181" fontId="7" fillId="0" borderId="2" xfId="0" applyNumberFormat="1" applyFont="1" applyFill="1" applyBorder="1" applyAlignment="1">
      <alignment horizontal="center" vertical="center" wrapText="1" shrinkToFit="1"/>
    </xf>
    <xf numFmtId="181" fontId="5" fillId="0" borderId="2" xfId="0" applyNumberFormat="1" applyFont="1" applyFill="1" applyBorder="1" applyAlignment="1">
      <alignment horizontal="center" vertical="center" wrapText="1" shrinkToFit="1"/>
    </xf>
    <xf numFmtId="0" fontId="7" fillId="0" borderId="2" xfId="0" applyNumberFormat="1" applyFont="1" applyFill="1" applyBorder="1" applyAlignment="1">
      <alignment horizontal="center" vertical="center" wrapText="1" shrinkToFit="1"/>
    </xf>
    <xf numFmtId="0" fontId="7" fillId="0" borderId="2" xfId="0" applyFont="1" applyFill="1" applyBorder="1" applyAlignment="1">
      <alignment horizontal="center" vertical="center" wrapText="1"/>
    </xf>
    <xf numFmtId="179" fontId="7" fillId="0" borderId="2" xfId="0" applyNumberFormat="1" applyFont="1" applyFill="1" applyBorder="1" applyAlignment="1">
      <alignment horizontal="center" vertical="center" wrapText="1" shrinkToFit="1"/>
    </xf>
    <xf numFmtId="180" fontId="7" fillId="0" borderId="2" xfId="0" applyNumberFormat="1" applyFont="1" applyFill="1" applyBorder="1" applyAlignment="1">
      <alignment horizontal="center" vertical="center" wrapText="1" shrinkToFit="1"/>
    </xf>
    <xf numFmtId="182" fontId="7" fillId="0" borderId="2"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shrinkToFit="1"/>
    </xf>
    <xf numFmtId="181" fontId="7" fillId="4" borderId="1" xfId="0" applyNumberFormat="1" applyFont="1" applyFill="1" applyBorder="1" applyAlignment="1">
      <alignment horizontal="center" vertical="center" wrapText="1" shrinkToFit="1"/>
    </xf>
    <xf numFmtId="176" fontId="7" fillId="0" borderId="2" xfId="0" applyNumberFormat="1" applyFont="1" applyFill="1" applyBorder="1" applyAlignment="1">
      <alignment horizontal="center" vertical="center" wrapText="1" shrinkToFit="1"/>
    </xf>
    <xf numFmtId="181" fontId="7" fillId="4" borderId="2" xfId="0" applyNumberFormat="1" applyFont="1" applyFill="1" applyBorder="1" applyAlignment="1">
      <alignment horizontal="center" vertical="center" wrapText="1" shrinkToFit="1"/>
    </xf>
    <xf numFmtId="0" fontId="7" fillId="0" borderId="3" xfId="0" applyFont="1" applyFill="1" applyBorder="1" applyAlignment="1">
      <alignment horizontal="center" vertical="center" wrapText="1"/>
    </xf>
    <xf numFmtId="0" fontId="7" fillId="0" borderId="3" xfId="0" applyFont="1" applyFill="1" applyBorder="1" applyAlignment="1">
      <alignment horizontal="center" vertical="center" wrapText="1" shrinkToFit="1"/>
    </xf>
    <xf numFmtId="49" fontId="7" fillId="0" borderId="3"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0" fontId="20" fillId="0" borderId="1" xfId="0" applyNumberFormat="1" applyFont="1" applyFill="1" applyBorder="1" applyAlignment="1">
      <alignment horizontal="center" vertical="center" wrapText="1"/>
    </xf>
    <xf numFmtId="184" fontId="7" fillId="0" borderId="1" xfId="0" applyNumberFormat="1" applyFont="1" applyFill="1" applyBorder="1" applyAlignment="1">
      <alignment horizontal="center" vertical="center" wrapText="1" shrinkToFit="1"/>
    </xf>
    <xf numFmtId="176" fontId="8" fillId="0" borderId="1" xfId="0" applyNumberFormat="1" applyFont="1" applyFill="1" applyBorder="1" applyAlignment="1">
      <alignment horizontal="center" vertical="center" wrapText="1" shrinkToFit="1"/>
    </xf>
    <xf numFmtId="0" fontId="8" fillId="0" borderId="2" xfId="0" applyFont="1" applyFill="1" applyBorder="1" applyAlignment="1">
      <alignment horizontal="center" vertical="center"/>
    </xf>
    <xf numFmtId="0" fontId="8" fillId="4" borderId="1" xfId="0" applyFont="1" applyFill="1" applyBorder="1" applyAlignment="1">
      <alignment horizontal="center" vertical="center" wrapText="1" shrinkToFit="1"/>
    </xf>
    <xf numFmtId="178" fontId="8" fillId="0" borderId="1" xfId="0" applyNumberFormat="1" applyFont="1" applyFill="1" applyBorder="1" applyAlignment="1">
      <alignment horizontal="center" vertical="center" wrapText="1" shrinkToFit="1"/>
    </xf>
    <xf numFmtId="181" fontId="8" fillId="0" borderId="1" xfId="0" applyNumberFormat="1" applyFont="1" applyFill="1" applyBorder="1" applyAlignment="1">
      <alignment horizontal="center" vertical="center" wrapText="1" shrinkToFit="1"/>
    </xf>
    <xf numFmtId="0" fontId="8" fillId="0" borderId="1" xfId="0" applyNumberFormat="1" applyFont="1" applyFill="1" applyBorder="1" applyAlignment="1">
      <alignment horizontal="center" vertical="center" wrapText="1" shrinkToFit="1"/>
    </xf>
    <xf numFmtId="182" fontId="8" fillId="0" borderId="1" xfId="0" applyNumberFormat="1" applyFont="1" applyFill="1" applyBorder="1" applyAlignment="1">
      <alignment horizontal="center" vertical="center" wrapText="1" shrinkToFit="1"/>
    </xf>
    <xf numFmtId="0" fontId="8" fillId="4" borderId="1" xfId="0" applyFont="1" applyFill="1" applyBorder="1" applyAlignment="1">
      <alignment horizontal="center" vertical="center" wrapText="1"/>
    </xf>
    <xf numFmtId="184" fontId="8" fillId="0" borderId="1" xfId="0" applyNumberFormat="1" applyFont="1" applyFill="1" applyBorder="1" applyAlignment="1">
      <alignment horizontal="center" vertical="center" wrapText="1" shrinkToFit="1"/>
    </xf>
    <xf numFmtId="180" fontId="8"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xf>
    <xf numFmtId="0" fontId="8" fillId="0" borderId="3" xfId="0" applyFont="1" applyFill="1" applyBorder="1" applyAlignment="1">
      <alignment horizontal="center" vertical="center" wrapText="1" shrinkToFit="1"/>
    </xf>
    <xf numFmtId="0" fontId="8" fillId="0" borderId="1" xfId="0" applyFont="1" applyFill="1" applyBorder="1" applyAlignment="1">
      <alignment vertical="center" wrapText="1" shrinkToFit="1"/>
    </xf>
    <xf numFmtId="0" fontId="21" fillId="0" borderId="1" xfId="0" applyFont="1" applyFill="1" applyBorder="1" applyAlignment="1">
      <alignment horizontal="center" vertical="center" wrapText="1" shrinkToFit="1"/>
    </xf>
    <xf numFmtId="0" fontId="7" fillId="0" borderId="1" xfId="0" applyFont="1" applyFill="1" applyBorder="1" applyAlignment="1">
      <alignment vertical="center" wrapText="1" shrinkToFit="1"/>
    </xf>
    <xf numFmtId="0" fontId="7" fillId="4" borderId="1" xfId="0" applyNumberFormat="1" applyFont="1" applyFill="1" applyBorder="1" applyAlignment="1">
      <alignment horizontal="center" vertical="center" wrapText="1" shrinkToFit="1"/>
    </xf>
    <xf numFmtId="183" fontId="7" fillId="0" borderId="2" xfId="0" applyNumberFormat="1" applyFont="1" applyFill="1" applyBorder="1" applyAlignment="1">
      <alignment horizontal="center" vertical="center" wrapText="1" shrinkToFit="1"/>
    </xf>
    <xf numFmtId="58" fontId="7" fillId="0" borderId="1" xfId="0" applyNumberFormat="1" applyFont="1" applyFill="1" applyBorder="1" applyAlignment="1">
      <alignment horizontal="center" vertical="center" wrapText="1" shrinkToFit="1"/>
    </xf>
    <xf numFmtId="0" fontId="22" fillId="0" borderId="1" xfId="0" applyFont="1" applyFill="1" applyBorder="1" applyAlignment="1">
      <alignment horizontal="center" vertical="center" wrapText="1" shrinkToFit="1"/>
    </xf>
    <xf numFmtId="0" fontId="22" fillId="0" borderId="1" xfId="0" applyFont="1" applyFill="1" applyBorder="1" applyAlignment="1">
      <alignment horizontal="center" vertical="center" wrapText="1"/>
    </xf>
    <xf numFmtId="176" fontId="7" fillId="2" borderId="1" xfId="0" applyNumberFormat="1" applyFont="1" applyFill="1" applyBorder="1" applyAlignment="1">
      <alignment horizontal="center" vertical="center" wrapText="1" shrinkToFit="1"/>
    </xf>
    <xf numFmtId="0" fontId="22" fillId="2" borderId="2" xfId="0" applyFont="1" applyFill="1" applyBorder="1" applyAlignment="1">
      <alignment horizontal="center" vertical="center" wrapText="1" shrinkToFit="1"/>
    </xf>
    <xf numFmtId="0" fontId="22" fillId="2" borderId="4" xfId="0" applyFont="1" applyFill="1" applyBorder="1" applyAlignment="1">
      <alignment horizontal="center" vertical="center" wrapText="1"/>
    </xf>
    <xf numFmtId="0" fontId="7" fillId="2" borderId="1" xfId="0" applyFont="1" applyFill="1" applyBorder="1" applyAlignment="1">
      <alignment horizontal="center" vertical="center" wrapText="1" shrinkToFit="1"/>
    </xf>
    <xf numFmtId="181" fontId="7" fillId="2" borderId="2" xfId="0" applyNumberFormat="1" applyFont="1" applyFill="1" applyBorder="1" applyAlignment="1">
      <alignment horizontal="center" vertical="center" wrapText="1" shrinkToFit="1"/>
    </xf>
    <xf numFmtId="0" fontId="7" fillId="2" borderId="2" xfId="0" applyFont="1" applyFill="1" applyBorder="1" applyAlignment="1">
      <alignment horizontal="center" vertical="center" wrapText="1" shrinkToFit="1"/>
    </xf>
    <xf numFmtId="178" fontId="7" fillId="2" borderId="1" xfId="0" applyNumberFormat="1" applyFont="1" applyFill="1" applyBorder="1" applyAlignment="1">
      <alignment horizontal="center" vertical="center" wrapText="1" shrinkToFit="1"/>
    </xf>
    <xf numFmtId="181" fontId="7" fillId="2" borderId="1" xfId="0" applyNumberFormat="1" applyFont="1" applyFill="1" applyBorder="1" applyAlignment="1">
      <alignment horizontal="center" vertical="center" wrapText="1" shrinkToFit="1"/>
    </xf>
    <xf numFmtId="0" fontId="7" fillId="2" borderId="1" xfId="0" applyNumberFormat="1" applyFont="1" applyFill="1" applyBorder="1" applyAlignment="1">
      <alignment horizontal="center" vertical="center" wrapText="1" shrinkToFit="1"/>
    </xf>
    <xf numFmtId="182" fontId="7" fillId="2" borderId="2" xfId="0"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183" fontId="7" fillId="2" borderId="2" xfId="0" applyNumberFormat="1" applyFont="1" applyFill="1" applyBorder="1" applyAlignment="1">
      <alignment horizontal="center" vertical="center" wrapText="1" shrinkToFit="1"/>
    </xf>
    <xf numFmtId="180" fontId="7" fillId="2" borderId="2" xfId="0" applyNumberFormat="1" applyFont="1" applyFill="1" applyBorder="1" applyAlignment="1">
      <alignment horizontal="center" vertical="center" wrapText="1" shrinkToFit="1"/>
    </xf>
    <xf numFmtId="0" fontId="7" fillId="2" borderId="3" xfId="0" applyFont="1" applyFill="1" applyBorder="1" applyAlignment="1">
      <alignment horizontal="center" vertical="center" wrapText="1" shrinkToFit="1"/>
    </xf>
    <xf numFmtId="0" fontId="7" fillId="2" borderId="1" xfId="0" applyFont="1" applyFill="1" applyBorder="1" applyAlignment="1">
      <alignment vertical="center" wrapText="1" shrinkToFit="1"/>
    </xf>
    <xf numFmtId="0" fontId="7" fillId="2" borderId="2" xfId="0" applyFont="1" applyFill="1" applyBorder="1" applyAlignment="1">
      <alignment horizontal="center" vertical="center"/>
    </xf>
    <xf numFmtId="178" fontId="7" fillId="2" borderId="1"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6" fillId="2" borderId="1" xfId="0" applyFont="1" applyFill="1" applyBorder="1" applyAlignment="1">
      <alignment horizontal="center" vertical="center" wrapText="1" shrinkToFit="1"/>
    </xf>
    <xf numFmtId="49" fontId="6" fillId="2" borderId="1" xfId="0" applyNumberFormat="1" applyFont="1" applyFill="1" applyBorder="1" applyAlignment="1">
      <alignment horizontal="center" vertical="center" wrapText="1" shrinkToFit="1"/>
    </xf>
    <xf numFmtId="178" fontId="6" fillId="2" borderId="1" xfId="0" applyNumberFormat="1" applyFont="1" applyFill="1" applyBorder="1" applyAlignment="1">
      <alignment horizontal="center" vertical="center" wrapText="1" shrinkToFit="1"/>
    </xf>
    <xf numFmtId="181" fontId="6" fillId="2" borderId="1" xfId="0" applyNumberFormat="1" applyFont="1" applyFill="1" applyBorder="1" applyAlignment="1">
      <alignment horizontal="center" vertical="center" wrapText="1" shrinkToFit="1"/>
    </xf>
    <xf numFmtId="0" fontId="6" fillId="2" borderId="1" xfId="0" applyNumberFormat="1" applyFont="1" applyFill="1" applyBorder="1" applyAlignment="1">
      <alignment horizontal="center" vertical="center" wrapText="1" shrinkToFit="1"/>
    </xf>
    <xf numFmtId="182" fontId="6" fillId="2" borderId="1" xfId="0" applyNumberFormat="1" applyFont="1" applyFill="1" applyBorder="1" applyAlignment="1">
      <alignment horizontal="center" vertical="center" wrapText="1" shrinkToFit="1"/>
    </xf>
    <xf numFmtId="184" fontId="6" fillId="2" borderId="1" xfId="0" applyNumberFormat="1" applyFont="1" applyFill="1" applyBorder="1" applyAlignment="1">
      <alignment horizontal="center" vertical="center" wrapText="1" shrinkToFit="1"/>
    </xf>
    <xf numFmtId="180" fontId="6" fillId="2" borderId="1" xfId="0" applyNumberFormat="1" applyFont="1" applyFill="1" applyBorder="1" applyAlignment="1">
      <alignment horizontal="center" vertical="center" wrapText="1" shrinkToFit="1"/>
    </xf>
    <xf numFmtId="0" fontId="6" fillId="2" borderId="3" xfId="0" applyFont="1" applyFill="1" applyBorder="1" applyAlignment="1">
      <alignment horizontal="center" vertical="center" wrapText="1" shrinkToFit="1"/>
    </xf>
    <xf numFmtId="176" fontId="8" fillId="2" borderId="1" xfId="0" applyNumberFormat="1" applyFont="1" applyFill="1" applyBorder="1" applyAlignment="1">
      <alignment horizontal="center" vertical="center" wrapText="1" shrinkToFit="1"/>
    </xf>
    <xf numFmtId="0" fontId="23" fillId="2" borderId="1" xfId="0" applyFont="1" applyFill="1" applyBorder="1" applyAlignment="1">
      <alignment horizontal="center" vertical="center" wrapText="1" shrinkToFit="1"/>
    </xf>
    <xf numFmtId="0" fontId="23" fillId="2" borderId="2" xfId="0"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178" fontId="8" fillId="2" borderId="1" xfId="0" applyNumberFormat="1" applyFont="1" applyFill="1" applyBorder="1" applyAlignment="1">
      <alignment horizontal="center" vertical="center" wrapText="1" shrinkToFit="1"/>
    </xf>
    <xf numFmtId="181" fontId="8" fillId="2" borderId="1" xfId="0" applyNumberFormat="1" applyFont="1" applyFill="1" applyBorder="1" applyAlignment="1">
      <alignment horizontal="center" vertical="center" wrapText="1" shrinkToFit="1"/>
    </xf>
    <xf numFmtId="0" fontId="8" fillId="2" borderId="1" xfId="0" applyNumberFormat="1" applyFont="1" applyFill="1" applyBorder="1" applyAlignment="1">
      <alignment horizontal="center" vertical="center" wrapText="1" shrinkToFit="1"/>
    </xf>
    <xf numFmtId="182" fontId="8" fillId="2" borderId="2" xfId="0" applyNumberFormat="1" applyFont="1" applyFill="1" applyBorder="1" applyAlignment="1">
      <alignment horizontal="center" vertical="center" wrapText="1" shrinkToFit="1"/>
    </xf>
    <xf numFmtId="0" fontId="8" fillId="2" borderId="1" xfId="0" applyFont="1" applyFill="1" applyBorder="1" applyAlignment="1">
      <alignment horizontal="center" vertical="center" wrapText="1"/>
    </xf>
    <xf numFmtId="184" fontId="8" fillId="2" borderId="1" xfId="0" applyNumberFormat="1" applyFont="1" applyFill="1" applyBorder="1" applyAlignment="1">
      <alignment horizontal="center" vertical="center" wrapText="1" shrinkToFit="1"/>
    </xf>
    <xf numFmtId="180" fontId="8" fillId="2" borderId="1" xfId="0" applyNumberFormat="1" applyFont="1" applyFill="1" applyBorder="1" applyAlignment="1">
      <alignment horizontal="center" vertical="center" wrapText="1" shrinkToFit="1"/>
    </xf>
    <xf numFmtId="0" fontId="8" fillId="2" borderId="3" xfId="0" applyFont="1" applyFill="1" applyBorder="1" applyAlignment="1">
      <alignment horizontal="center" vertical="center" wrapText="1" shrinkToFit="1"/>
    </xf>
    <xf numFmtId="0" fontId="8" fillId="2" borderId="1" xfId="0" applyFont="1" applyFill="1" applyBorder="1" applyAlignment="1">
      <alignment vertical="center" wrapText="1" shrinkToFit="1"/>
    </xf>
    <xf numFmtId="0" fontId="8" fillId="2" borderId="2" xfId="0" applyFont="1" applyFill="1" applyBorder="1" applyAlignment="1">
      <alignment horizontal="center" vertical="center"/>
    </xf>
    <xf numFmtId="182" fontId="8" fillId="2" borderId="1" xfId="0" applyNumberFormat="1" applyFont="1" applyFill="1" applyBorder="1" applyAlignment="1">
      <alignment horizontal="center" vertical="center" wrapText="1" shrinkToFit="1"/>
    </xf>
    <xf numFmtId="184" fontId="7" fillId="2" borderId="1" xfId="0" applyNumberFormat="1" applyFont="1" applyFill="1" applyBorder="1" applyAlignment="1">
      <alignment horizontal="center" vertical="center" wrapText="1" shrinkToFit="1"/>
    </xf>
    <xf numFmtId="180" fontId="7" fillId="2" borderId="1" xfId="0" applyNumberFormat="1" applyFont="1" applyFill="1" applyBorder="1" applyAlignment="1">
      <alignment horizontal="center" vertical="center" wrapText="1" shrinkToFit="1"/>
    </xf>
    <xf numFmtId="181" fontId="24" fillId="2" borderId="3" xfId="0" applyNumberFormat="1" applyFont="1" applyFill="1" applyBorder="1" applyAlignment="1">
      <alignment horizontal="center" vertical="center" shrinkToFit="1"/>
    </xf>
    <xf numFmtId="0" fontId="24" fillId="2" borderId="3" xfId="0" applyNumberFormat="1" applyFont="1" applyFill="1" applyBorder="1" applyAlignment="1">
      <alignment horizontal="center" vertical="center" wrapText="1"/>
    </xf>
    <xf numFmtId="185" fontId="24" fillId="2" borderId="3" xfId="0" applyNumberFormat="1" applyFont="1" applyFill="1" applyBorder="1" applyAlignment="1">
      <alignment horizontal="center" vertical="center" wrapText="1"/>
    </xf>
    <xf numFmtId="0" fontId="25" fillId="2" borderId="3" xfId="0" applyNumberFormat="1" applyFont="1" applyFill="1" applyBorder="1" applyAlignment="1">
      <alignment horizontal="center" vertical="center" shrinkToFit="1"/>
    </xf>
    <xf numFmtId="0" fontId="26" fillId="2" borderId="3" xfId="0" applyNumberFormat="1" applyFont="1" applyFill="1" applyBorder="1" applyAlignment="1">
      <alignment horizontal="center" vertical="center" wrapText="1"/>
    </xf>
    <xf numFmtId="0" fontId="25" fillId="2" borderId="3" xfId="0" applyFont="1" applyFill="1" applyBorder="1" applyAlignment="1">
      <alignment horizontal="center" vertical="center" wrapText="1"/>
    </xf>
    <xf numFmtId="0" fontId="7" fillId="2" borderId="2" xfId="0" applyFont="1" applyFill="1" applyBorder="1" applyAlignment="1">
      <alignment vertical="center" wrapText="1" shrinkToFit="1"/>
    </xf>
    <xf numFmtId="0" fontId="25" fillId="2" borderId="1" xfId="0" applyFont="1" applyFill="1" applyBorder="1" applyAlignment="1">
      <alignment horizontal="center" vertical="center" wrapText="1" shrinkToFit="1"/>
    </xf>
    <xf numFmtId="0" fontId="27" fillId="2" borderId="1" xfId="0" applyFont="1" applyFill="1" applyBorder="1" applyAlignment="1">
      <alignment horizontal="center" vertical="center" wrapText="1"/>
    </xf>
    <xf numFmtId="0" fontId="25" fillId="2" borderId="1" xfId="0" applyFont="1" applyFill="1" applyBorder="1" applyAlignment="1">
      <alignment horizontal="center" vertical="center"/>
    </xf>
    <xf numFmtId="0" fontId="28" fillId="2" borderId="1" xfId="0" applyFont="1" applyFill="1" applyBorder="1" applyAlignment="1">
      <alignment horizontal="center" vertical="center" wrapText="1" shrinkToFit="1"/>
    </xf>
    <xf numFmtId="181" fontId="27" fillId="2" borderId="1" xfId="0" applyNumberFormat="1" applyFont="1" applyFill="1" applyBorder="1" applyAlignment="1">
      <alignment horizontal="center" vertical="center" wrapText="1" shrinkToFit="1"/>
    </xf>
    <xf numFmtId="0" fontId="22" fillId="2" borderId="2" xfId="0" applyFont="1" applyFill="1" applyBorder="1" applyAlignment="1">
      <alignment horizontal="center" vertical="center" wrapText="1"/>
    </xf>
    <xf numFmtId="0" fontId="22" fillId="2" borderId="1" xfId="0" applyNumberFormat="1" applyFont="1" applyFill="1" applyBorder="1" applyAlignment="1">
      <alignment horizontal="center" vertical="center" wrapText="1" shrinkToFit="1"/>
    </xf>
    <xf numFmtId="182" fontId="7" fillId="2" borderId="1" xfId="0" applyNumberFormat="1" applyFont="1" applyFill="1" applyBorder="1" applyAlignment="1">
      <alignment horizontal="center" vertical="center" wrapText="1" shrinkToFit="1"/>
    </xf>
    <xf numFmtId="0" fontId="22" fillId="2" borderId="3" xfId="0" applyFont="1" applyFill="1" applyBorder="1" applyAlignment="1">
      <alignment horizontal="center" vertical="center" wrapText="1"/>
    </xf>
    <xf numFmtId="176" fontId="6" fillId="2" borderId="3" xfId="0" applyNumberFormat="1" applyFont="1" applyFill="1" applyBorder="1" applyAlignment="1">
      <alignment horizontal="center" vertical="center" wrapText="1" shrinkToFit="1"/>
    </xf>
    <xf numFmtId="0" fontId="6"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wrapText="1"/>
    </xf>
    <xf numFmtId="181" fontId="7" fillId="2" borderId="3" xfId="0" applyNumberFormat="1" applyFont="1" applyFill="1" applyBorder="1" applyAlignment="1">
      <alignment horizontal="center" vertical="center" wrapText="1" shrinkToFit="1"/>
    </xf>
    <xf numFmtId="0" fontId="24" fillId="2" borderId="5" xfId="0" applyNumberFormat="1" applyFont="1" applyFill="1" applyBorder="1" applyAlignment="1">
      <alignment horizontal="center" vertical="center" wrapText="1"/>
    </xf>
    <xf numFmtId="0" fontId="24" fillId="2" borderId="1" xfId="0" applyNumberFormat="1" applyFont="1" applyFill="1" applyBorder="1" applyAlignment="1">
      <alignment horizontal="center" vertical="center" wrapText="1"/>
    </xf>
    <xf numFmtId="186" fontId="25" fillId="2" borderId="1" xfId="0" applyNumberFormat="1" applyFont="1" applyFill="1" applyBorder="1" applyAlignment="1">
      <alignment horizontal="center" vertical="center"/>
    </xf>
    <xf numFmtId="0" fontId="7" fillId="2" borderId="2" xfId="0" applyNumberFormat="1" applyFont="1" applyFill="1" applyBorder="1" applyAlignment="1">
      <alignment horizontal="center" vertical="center" wrapText="1" shrinkToFit="1"/>
    </xf>
    <xf numFmtId="182" fontId="3" fillId="2" borderId="1" xfId="0" applyNumberFormat="1" applyFont="1" applyFill="1" applyBorder="1" applyAlignment="1">
      <alignment horizontal="center" vertical="center" wrapText="1" shrinkToFit="1"/>
    </xf>
    <xf numFmtId="182" fontId="29" fillId="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58" fontId="7" fillId="2" borderId="1" xfId="0" applyNumberFormat="1" applyFont="1" applyFill="1" applyBorder="1" applyAlignment="1">
      <alignment horizontal="center" vertical="center" wrapText="1" shrinkToFit="1"/>
    </xf>
    <xf numFmtId="0" fontId="7" fillId="4" borderId="1" xfId="0" applyFont="1" applyFill="1" applyBorder="1" applyAlignment="1">
      <alignment horizontal="center" vertical="center" wrapText="1" shrinkToFit="1"/>
    </xf>
    <xf numFmtId="176" fontId="6" fillId="0" borderId="3" xfId="0" applyNumberFormat="1" applyFont="1" applyFill="1" applyBorder="1" applyAlignment="1">
      <alignment horizontal="center" vertical="center" wrapText="1" shrinkToFit="1"/>
    </xf>
    <xf numFmtId="0" fontId="6" fillId="0" borderId="3" xfId="0" applyFont="1" applyFill="1" applyBorder="1" applyAlignment="1">
      <alignment horizontal="center" vertical="center" wrapText="1" shrinkToFit="1"/>
    </xf>
    <xf numFmtId="0" fontId="25" fillId="0" borderId="3" xfId="0" applyNumberFormat="1" applyFont="1" applyFill="1" applyBorder="1" applyAlignment="1">
      <alignment horizontal="center" vertical="center" shrinkToFit="1"/>
    </xf>
    <xf numFmtId="0" fontId="24" fillId="0" borderId="3"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181" fontId="7" fillId="0" borderId="5" xfId="0" applyNumberFormat="1" applyFont="1" applyFill="1" applyBorder="1" applyAlignment="1">
      <alignment horizontal="center" vertical="center" wrapText="1" shrinkToFit="1"/>
    </xf>
    <xf numFmtId="177" fontId="7" fillId="0"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shrinkToFit="1"/>
    </xf>
    <xf numFmtId="0" fontId="7" fillId="0" borderId="2" xfId="0" applyFont="1" applyFill="1" applyBorder="1" applyAlignment="1">
      <alignment vertical="center" wrapText="1" shrinkToFit="1"/>
    </xf>
    <xf numFmtId="187" fontId="7" fillId="0" borderId="1" xfId="0" applyNumberFormat="1" applyFont="1" applyFill="1" applyBorder="1" applyAlignment="1">
      <alignment horizontal="center" vertical="center"/>
    </xf>
    <xf numFmtId="181" fontId="24" fillId="0" borderId="3" xfId="0" applyNumberFormat="1" applyFont="1" applyFill="1" applyBorder="1" applyAlignment="1">
      <alignment horizontal="center" vertical="center" shrinkToFit="1"/>
    </xf>
    <xf numFmtId="185" fontId="24" fillId="0"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26" fillId="0" borderId="1" xfId="0" applyNumberFormat="1" applyFont="1" applyFill="1" applyBorder="1" applyAlignment="1">
      <alignment horizontal="center" vertical="center" wrapText="1"/>
    </xf>
    <xf numFmtId="182" fontId="30" fillId="0" borderId="3" xfId="0" applyNumberFormat="1" applyFont="1" applyFill="1" applyBorder="1" applyAlignment="1">
      <alignment horizontal="center" vertical="center" wrapText="1"/>
    </xf>
    <xf numFmtId="187" fontId="7" fillId="2" borderId="1" xfId="0" applyNumberFormat="1" applyFont="1" applyFill="1" applyBorder="1" applyAlignment="1">
      <alignment horizontal="center" vertical="center"/>
    </xf>
    <xf numFmtId="181" fontId="31" fillId="0" borderId="3" xfId="0" applyNumberFormat="1" applyFont="1" applyFill="1" applyBorder="1" applyAlignment="1">
      <alignment horizontal="center" vertical="center" shrinkToFit="1"/>
    </xf>
    <xf numFmtId="0" fontId="32" fillId="0" borderId="3" xfId="0" applyFont="1" applyFill="1" applyBorder="1" applyAlignment="1">
      <alignment horizontal="center" vertical="center" wrapText="1"/>
    </xf>
    <xf numFmtId="0" fontId="33" fillId="0" borderId="3" xfId="0" applyNumberFormat="1" applyFont="1" applyFill="1" applyBorder="1" applyAlignment="1">
      <alignment horizontal="center" vertical="center" shrinkToFit="1"/>
    </xf>
    <xf numFmtId="176" fontId="6" fillId="3" borderId="3" xfId="0" applyNumberFormat="1" applyFont="1" applyFill="1" applyBorder="1" applyAlignment="1">
      <alignment horizontal="center" vertical="center" wrapText="1" shrinkToFit="1"/>
    </xf>
    <xf numFmtId="0" fontId="6" fillId="3" borderId="3" xfId="0" applyFont="1" applyFill="1" applyBorder="1" applyAlignment="1">
      <alignment horizontal="center" vertical="center" wrapText="1"/>
    </xf>
    <xf numFmtId="0" fontId="6" fillId="3" borderId="1" xfId="0" applyFont="1" applyFill="1" applyBorder="1" applyAlignment="1">
      <alignment horizontal="center" vertical="center" wrapText="1" shrinkToFit="1"/>
    </xf>
    <xf numFmtId="0" fontId="25" fillId="3" borderId="1" xfId="0" applyNumberFormat="1" applyFont="1" applyFill="1" applyBorder="1" applyAlignment="1">
      <alignment horizontal="center" vertical="center" shrinkToFit="1"/>
    </xf>
    <xf numFmtId="0" fontId="34" fillId="3" borderId="1" xfId="0" applyFont="1" applyFill="1" applyBorder="1" applyAlignment="1">
      <alignment horizontal="center" vertical="center"/>
    </xf>
    <xf numFmtId="0" fontId="7" fillId="3" borderId="1" xfId="0" applyFont="1" applyFill="1" applyBorder="1" applyAlignment="1">
      <alignment horizontal="center" vertical="center" wrapText="1" shrinkToFit="1"/>
    </xf>
    <xf numFmtId="178" fontId="7" fillId="3" borderId="1" xfId="0" applyNumberFormat="1" applyFont="1" applyFill="1" applyBorder="1" applyAlignment="1">
      <alignment horizontal="center" vertical="center" wrapText="1" shrinkToFit="1"/>
    </xf>
    <xf numFmtId="181" fontId="7" fillId="3" borderId="1" xfId="0" applyNumberFormat="1" applyFont="1" applyFill="1" applyBorder="1" applyAlignment="1">
      <alignment horizontal="center" vertical="center" wrapText="1" shrinkToFit="1"/>
    </xf>
    <xf numFmtId="0" fontId="7" fillId="3" borderId="1" xfId="0" applyNumberFormat="1" applyFont="1" applyFill="1" applyBorder="1" applyAlignment="1">
      <alignment horizontal="center" vertical="center" wrapText="1" shrinkToFit="1"/>
    </xf>
    <xf numFmtId="182" fontId="7" fillId="3" borderId="2" xfId="0" applyNumberFormat="1" applyFont="1" applyFill="1" applyBorder="1" applyAlignment="1">
      <alignment horizontal="center" vertical="center" wrapText="1" shrinkToFit="1"/>
    </xf>
    <xf numFmtId="0" fontId="7" fillId="3" borderId="1" xfId="0" applyFont="1" applyFill="1" applyBorder="1" applyAlignment="1">
      <alignment horizontal="center" vertical="center" wrapText="1"/>
    </xf>
    <xf numFmtId="0" fontId="24" fillId="3" borderId="1" xfId="0" applyNumberFormat="1" applyFont="1" applyFill="1" applyBorder="1" applyAlignment="1">
      <alignment horizontal="center" vertical="center" wrapText="1"/>
    </xf>
    <xf numFmtId="180" fontId="7" fillId="3" borderId="1" xfId="0" applyNumberFormat="1" applyFont="1" applyFill="1" applyBorder="1" applyAlignment="1">
      <alignment horizontal="center" vertical="center" wrapText="1" shrinkToFit="1"/>
    </xf>
    <xf numFmtId="0" fontId="7" fillId="3" borderId="3" xfId="0" applyFont="1" applyFill="1" applyBorder="1" applyAlignment="1">
      <alignment horizontal="center" vertical="center" wrapText="1" shrinkToFit="1"/>
    </xf>
    <xf numFmtId="0" fontId="7" fillId="3" borderId="2" xfId="0" applyFont="1" applyFill="1" applyBorder="1" applyAlignment="1">
      <alignment vertical="center" wrapText="1" shrinkToFit="1"/>
    </xf>
    <xf numFmtId="0" fontId="7" fillId="3" borderId="2" xfId="0" applyFont="1" applyFill="1" applyBorder="1" applyAlignment="1">
      <alignment horizontal="center" vertical="center" wrapText="1" shrinkToFit="1"/>
    </xf>
    <xf numFmtId="187" fontId="7" fillId="3" borderId="1" xfId="0" applyNumberFormat="1" applyFont="1" applyFill="1" applyBorder="1" applyAlignment="1">
      <alignment horizontal="center" vertical="center"/>
    </xf>
    <xf numFmtId="0" fontId="29" fillId="0" borderId="3" xfId="0" applyFont="1" applyFill="1" applyBorder="1" applyAlignment="1">
      <alignment horizontal="center" vertical="center" wrapText="1"/>
    </xf>
    <xf numFmtId="0" fontId="27" fillId="0" borderId="1" xfId="0" applyFont="1" applyFill="1" applyBorder="1" applyAlignment="1">
      <alignment horizontal="center" vertical="center" wrapText="1" shrinkToFit="1"/>
    </xf>
    <xf numFmtId="0" fontId="25" fillId="0" borderId="1" xfId="0" applyNumberFormat="1" applyFont="1" applyFill="1" applyBorder="1" applyAlignment="1">
      <alignment horizontal="center" vertical="center" shrinkToFit="1"/>
    </xf>
    <xf numFmtId="0" fontId="26" fillId="0" borderId="1" xfId="0" applyFont="1" applyFill="1" applyBorder="1" applyAlignment="1">
      <alignment horizontal="center" vertical="center"/>
    </xf>
    <xf numFmtId="182" fontId="35" fillId="0" borderId="3" xfId="0" applyNumberFormat="1" applyFont="1" applyFill="1" applyBorder="1" applyAlignment="1">
      <alignment horizontal="center" vertical="center" wrapText="1"/>
    </xf>
    <xf numFmtId="0" fontId="36" fillId="0" borderId="3" xfId="0" applyNumberFormat="1" applyFont="1" applyFill="1" applyBorder="1" applyAlignment="1">
      <alignment horizontal="center" vertical="center" shrinkToFit="1"/>
    </xf>
    <xf numFmtId="0" fontId="32" fillId="0" borderId="1" xfId="0" applyFont="1" applyFill="1" applyBorder="1" applyAlignment="1">
      <alignment horizontal="center" vertical="center" wrapText="1"/>
    </xf>
    <xf numFmtId="0" fontId="25" fillId="0" borderId="3" xfId="0" applyNumberFormat="1" applyFont="1" applyFill="1" applyBorder="1" applyAlignment="1">
      <alignment horizontal="center" vertical="center" wrapText="1"/>
    </xf>
    <xf numFmtId="0" fontId="27" fillId="0" borderId="3" xfId="0" applyNumberFormat="1" applyFont="1" applyFill="1" applyBorder="1" applyAlignment="1">
      <alignment horizontal="center" vertical="center" wrapText="1" shrinkToFit="1"/>
    </xf>
    <xf numFmtId="49" fontId="27" fillId="0" borderId="3" xfId="0" applyNumberFormat="1" applyFont="1" applyFill="1" applyBorder="1" applyAlignment="1">
      <alignment horizontal="center" vertical="center" wrapText="1"/>
    </xf>
    <xf numFmtId="181" fontId="27" fillId="0" borderId="3" xfId="0" applyNumberFormat="1" applyFont="1" applyFill="1" applyBorder="1" applyAlignment="1">
      <alignment horizontal="center" vertical="center" wrapText="1" shrinkToFit="1"/>
    </xf>
    <xf numFmtId="0" fontId="27" fillId="0" borderId="3" xfId="0" applyFont="1" applyFill="1" applyBorder="1" applyAlignment="1">
      <alignment horizontal="center" vertical="center" wrapText="1"/>
    </xf>
    <xf numFmtId="0" fontId="27" fillId="0" borderId="3" xfId="0" applyFont="1" applyFill="1" applyBorder="1" applyAlignment="1">
      <alignment horizontal="center" vertical="center"/>
    </xf>
    <xf numFmtId="181" fontId="7" fillId="0" borderId="3" xfId="0" applyNumberFormat="1" applyFont="1" applyFill="1" applyBorder="1" applyAlignment="1">
      <alignment horizontal="center" vertical="center" wrapText="1" shrinkToFit="1"/>
    </xf>
    <xf numFmtId="181" fontId="27" fillId="3" borderId="3" xfId="0" applyNumberFormat="1" applyFont="1" applyFill="1" applyBorder="1" applyAlignment="1">
      <alignment horizontal="center" vertical="center" wrapText="1" shrinkToFit="1"/>
    </xf>
    <xf numFmtId="0" fontId="27" fillId="3" borderId="3" xfId="0" applyFont="1" applyFill="1" applyBorder="1" applyAlignment="1">
      <alignment horizontal="center" vertical="center" wrapText="1"/>
    </xf>
    <xf numFmtId="0" fontId="32" fillId="3" borderId="3" xfId="0" applyFont="1" applyFill="1" applyBorder="1" applyAlignment="1">
      <alignment horizontal="center" vertical="center" wrapText="1"/>
    </xf>
    <xf numFmtId="0" fontId="27" fillId="3" borderId="3" xfId="0" applyFont="1" applyFill="1" applyBorder="1" applyAlignment="1">
      <alignment horizontal="center" vertical="center"/>
    </xf>
    <xf numFmtId="181" fontId="7" fillId="3" borderId="3" xfId="0" applyNumberFormat="1" applyFont="1" applyFill="1" applyBorder="1" applyAlignment="1">
      <alignment horizontal="center" vertical="center" wrapText="1" shrinkToFit="1"/>
    </xf>
    <xf numFmtId="0" fontId="7" fillId="3" borderId="1" xfId="0" applyFont="1" applyFill="1" applyBorder="1" applyAlignment="1">
      <alignment horizontal="left" vertical="center" wrapText="1" shrinkToFit="1"/>
    </xf>
    <xf numFmtId="49" fontId="6" fillId="0" borderId="1" xfId="0" applyNumberFormat="1" applyFont="1" applyFill="1" applyBorder="1" applyAlignment="1">
      <alignment horizontal="center" vertical="center" wrapText="1" shrinkToFit="1"/>
    </xf>
    <xf numFmtId="184" fontId="6" fillId="0" borderId="1" xfId="0" applyNumberFormat="1" applyFont="1" applyFill="1" applyBorder="1" applyAlignment="1">
      <alignment horizontal="center" vertical="center" wrapText="1" shrinkToFit="1"/>
    </xf>
    <xf numFmtId="176" fontId="22" fillId="2" borderId="3" xfId="0" applyNumberFormat="1" applyFont="1" applyFill="1" applyBorder="1" applyAlignment="1">
      <alignment horizontal="center" vertical="center" shrinkToFit="1"/>
    </xf>
    <xf numFmtId="0" fontId="22" fillId="2" borderId="3" xfId="0" applyNumberFormat="1" applyFont="1" applyFill="1" applyBorder="1" applyAlignment="1">
      <alignment horizontal="center" vertical="center" wrapText="1"/>
    </xf>
    <xf numFmtId="185" fontId="22" fillId="2" borderId="3" xfId="0" applyNumberFormat="1" applyFont="1" applyFill="1" applyBorder="1" applyAlignment="1">
      <alignment horizontal="center" vertical="center" wrapText="1"/>
    </xf>
    <xf numFmtId="0" fontId="37" fillId="2" borderId="3" xfId="0" applyNumberFormat="1" applyFont="1" applyFill="1" applyBorder="1" applyAlignment="1">
      <alignment horizontal="center" vertical="center" shrinkToFit="1"/>
    </xf>
    <xf numFmtId="182" fontId="27" fillId="2" borderId="1" xfId="0" applyNumberFormat="1" applyFont="1" applyFill="1" applyBorder="1" applyAlignment="1">
      <alignment horizontal="center" vertical="center" wrapText="1"/>
    </xf>
    <xf numFmtId="181" fontId="7" fillId="2" borderId="5" xfId="0" applyNumberFormat="1" applyFont="1" applyFill="1" applyBorder="1" applyAlignment="1">
      <alignment horizontal="center" vertical="center" wrapText="1" shrinkToFit="1"/>
    </xf>
    <xf numFmtId="177" fontId="7" fillId="2" borderId="1" xfId="0" applyNumberFormat="1" applyFont="1" applyFill="1" applyBorder="1" applyAlignment="1">
      <alignment horizontal="center" vertical="center" wrapText="1"/>
    </xf>
    <xf numFmtId="187" fontId="38" fillId="2" borderId="1" xfId="0" applyNumberFormat="1" applyFont="1" applyFill="1" applyBorder="1" applyAlignment="1">
      <alignment horizontal="center" vertical="center"/>
    </xf>
    <xf numFmtId="0" fontId="38" fillId="2" borderId="1" xfId="0" applyFont="1" applyFill="1" applyBorder="1" applyAlignment="1">
      <alignment horizontal="center" vertical="center"/>
    </xf>
    <xf numFmtId="0" fontId="24" fillId="0" borderId="1" xfId="0" applyNumberFormat="1" applyFont="1" applyFill="1" applyBorder="1" applyAlignment="1">
      <alignment horizontal="center" vertical="center" wrapText="1"/>
    </xf>
    <xf numFmtId="0" fontId="27" fillId="0" borderId="2" xfId="0" applyNumberFormat="1" applyFont="1" applyFill="1" applyBorder="1" applyAlignment="1">
      <alignment horizontal="center" vertical="center" wrapText="1" shrinkToFit="1"/>
    </xf>
    <xf numFmtId="0" fontId="39" fillId="0" borderId="1" xfId="0" applyFont="1" applyFill="1" applyBorder="1" applyAlignment="1">
      <alignment horizontal="center" vertical="center" wrapText="1"/>
    </xf>
    <xf numFmtId="0" fontId="27" fillId="0" borderId="1" xfId="0" applyNumberFormat="1" applyFont="1" applyFill="1" applyBorder="1" applyAlignment="1">
      <alignment horizontal="center" vertical="center" wrapText="1" shrinkToFit="1"/>
    </xf>
    <xf numFmtId="182" fontId="7" fillId="0" borderId="3" xfId="0" applyNumberFormat="1" applyFont="1" applyFill="1" applyBorder="1" applyAlignment="1">
      <alignment horizontal="center" vertical="center" wrapText="1" shrinkToFit="1"/>
    </xf>
    <xf numFmtId="0" fontId="22" fillId="0" borderId="3" xfId="0" applyFont="1" applyFill="1" applyBorder="1" applyAlignment="1">
      <alignment horizontal="center" vertical="center" wrapText="1"/>
    </xf>
    <xf numFmtId="0" fontId="6" fillId="0" borderId="3" xfId="0" applyFont="1" applyFill="1" applyBorder="1" applyAlignment="1">
      <alignment horizontal="center" vertical="center"/>
    </xf>
    <xf numFmtId="181" fontId="6" fillId="4" borderId="1" xfId="0" applyNumberFormat="1" applyFont="1" applyFill="1" applyBorder="1" applyAlignment="1">
      <alignment horizontal="center" vertical="center" wrapText="1" shrinkToFit="1"/>
    </xf>
    <xf numFmtId="182" fontId="6" fillId="0" borderId="2" xfId="0" applyNumberFormat="1" applyFont="1" applyFill="1" applyBorder="1" applyAlignment="1">
      <alignment horizontal="center" vertical="center" wrapText="1" shrinkToFit="1"/>
    </xf>
    <xf numFmtId="187" fontId="6" fillId="0" borderId="1" xfId="0" applyNumberFormat="1" applyFont="1" applyFill="1" applyBorder="1" applyAlignment="1">
      <alignment horizontal="center" vertical="center"/>
    </xf>
    <xf numFmtId="181" fontId="27" fillId="0" borderId="1" xfId="0" applyNumberFormat="1" applyFont="1" applyFill="1" applyBorder="1" applyAlignment="1" applyProtection="1">
      <alignment horizontal="center" vertical="center" wrapText="1" shrinkToFit="1"/>
    </xf>
    <xf numFmtId="0" fontId="27" fillId="0" borderId="1"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shrinkToFit="1"/>
      <protection locked="0"/>
    </xf>
    <xf numFmtId="0" fontId="25" fillId="0" borderId="2" xfId="0" applyNumberFormat="1" applyFont="1" applyFill="1" applyBorder="1" applyAlignment="1" applyProtection="1">
      <alignment horizontal="center" vertical="center" shrinkToFit="1"/>
      <protection locked="0"/>
    </xf>
    <xf numFmtId="0" fontId="27" fillId="0" borderId="1"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wrapText="1" shrinkToFit="1"/>
      <protection locked="0"/>
    </xf>
    <xf numFmtId="49" fontId="6" fillId="0" borderId="1" xfId="0" applyNumberFormat="1" applyFont="1" applyFill="1" applyBorder="1" applyAlignment="1" applyProtection="1">
      <alignment horizontal="center" vertical="center" wrapText="1" shrinkToFit="1"/>
      <protection locked="0"/>
    </xf>
    <xf numFmtId="178" fontId="7" fillId="0" borderId="1" xfId="0" applyNumberFormat="1" applyFont="1" applyFill="1" applyBorder="1" applyAlignment="1" applyProtection="1">
      <alignment horizontal="center" vertical="center" wrapText="1" shrinkToFit="1"/>
      <protection locked="0"/>
    </xf>
    <xf numFmtId="181" fontId="7" fillId="0" borderId="1" xfId="0" applyNumberFormat="1"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wrapText="1" shrinkToFit="1"/>
      <protection locked="0"/>
    </xf>
    <xf numFmtId="182" fontId="27" fillId="0" borderId="1" xfId="0" applyNumberFormat="1" applyFont="1" applyFill="1" applyBorder="1" applyAlignment="1" applyProtection="1">
      <alignment horizontal="center" vertical="center" wrapText="1"/>
      <protection locked="0"/>
    </xf>
    <xf numFmtId="182" fontId="7" fillId="0" borderId="1" xfId="0" applyNumberFormat="1" applyFont="1" applyFill="1" applyBorder="1" applyAlignment="1" applyProtection="1">
      <alignment horizontal="center" vertical="center" wrapText="1" shrinkToFit="1"/>
      <protection locked="0"/>
    </xf>
    <xf numFmtId="0" fontId="7" fillId="0" borderId="1" xfId="0" applyFont="1" applyFill="1" applyBorder="1" applyAlignment="1" applyProtection="1">
      <alignment horizontal="center" vertical="center" wrapText="1"/>
      <protection locked="0"/>
    </xf>
    <xf numFmtId="177" fontId="7" fillId="0" borderId="1" xfId="0" applyNumberFormat="1" applyFont="1" applyFill="1" applyBorder="1" applyAlignment="1" applyProtection="1">
      <alignment horizontal="center" vertical="center" wrapText="1"/>
      <protection locked="0"/>
    </xf>
    <xf numFmtId="180" fontId="7" fillId="0" borderId="1" xfId="0" applyNumberFormat="1" applyFont="1" applyFill="1" applyBorder="1" applyAlignment="1" applyProtection="1">
      <alignment horizontal="center" vertical="center" wrapText="1" shrinkToFit="1"/>
      <protection locked="0"/>
    </xf>
    <xf numFmtId="0" fontId="7" fillId="0" borderId="3" xfId="0" applyFont="1" applyFill="1" applyBorder="1" applyAlignment="1" applyProtection="1">
      <alignment horizontal="center" vertical="center" wrapText="1" shrinkToFit="1"/>
      <protection locked="0"/>
    </xf>
    <xf numFmtId="0" fontId="7" fillId="0" borderId="3" xfId="0" applyNumberFormat="1" applyFont="1" applyFill="1" applyBorder="1" applyAlignment="1" applyProtection="1">
      <alignment horizontal="center" vertical="center" wrapText="1" shrinkToFit="1"/>
      <protection locked="0"/>
    </xf>
    <xf numFmtId="0" fontId="7" fillId="0" borderId="1" xfId="0" applyFont="1" applyFill="1" applyBorder="1" applyAlignment="1" applyProtection="1">
      <alignment vertical="center" wrapText="1" shrinkToFit="1"/>
      <protection locked="0"/>
    </xf>
    <xf numFmtId="0" fontId="6" fillId="0" borderId="1" xfId="0" applyFont="1" applyFill="1" applyBorder="1" applyAlignment="1" applyProtection="1">
      <alignment horizontal="center" vertical="center"/>
      <protection locked="0"/>
    </xf>
    <xf numFmtId="187" fontId="7" fillId="0" borderId="1" xfId="0" applyNumberFormat="1" applyFont="1" applyFill="1" applyBorder="1" applyAlignment="1" applyProtection="1">
      <alignment horizontal="center" vertical="center"/>
      <protection locked="0"/>
    </xf>
    <xf numFmtId="176" fontId="7" fillId="0" borderId="1" xfId="0" applyNumberFormat="1" applyFont="1" applyFill="1" applyBorder="1" applyAlignment="1" applyProtection="1">
      <alignment horizontal="center" vertical="center" wrapText="1" shrinkToFit="1"/>
    </xf>
    <xf numFmtId="0" fontId="7" fillId="0" borderId="2" xfId="0" applyFont="1" applyFill="1" applyBorder="1" applyAlignment="1" applyProtection="1">
      <alignment horizontal="center" vertical="center" wrapText="1" shrinkToFit="1"/>
      <protection locked="0"/>
    </xf>
    <xf numFmtId="178" fontId="6" fillId="0" borderId="1" xfId="0" applyNumberFormat="1" applyFont="1" applyFill="1" applyBorder="1" applyAlignment="1" applyProtection="1">
      <alignment horizontal="center" vertical="center" wrapText="1" shrinkToFit="1"/>
      <protection locked="0"/>
    </xf>
    <xf numFmtId="0" fontId="6" fillId="0" borderId="1" xfId="0" applyNumberFormat="1" applyFont="1" applyFill="1" applyBorder="1" applyAlignment="1" applyProtection="1">
      <alignment horizontal="center" vertical="center" wrapText="1" shrinkToFit="1"/>
      <protection locked="0"/>
    </xf>
    <xf numFmtId="182" fontId="7" fillId="0" borderId="2" xfId="0" applyNumberFormat="1" applyFont="1" applyFill="1" applyBorder="1" applyAlignment="1" applyProtection="1">
      <alignment horizontal="center" vertical="center" wrapText="1" shrinkToFit="1"/>
      <protection locked="0"/>
    </xf>
    <xf numFmtId="181" fontId="6" fillId="0" borderId="1" xfId="0" applyNumberFormat="1" applyFont="1" applyFill="1" applyBorder="1" applyAlignment="1" applyProtection="1">
      <alignment horizontal="center" vertical="center" wrapText="1" shrinkToFit="1"/>
      <protection locked="0"/>
    </xf>
    <xf numFmtId="184" fontId="6" fillId="0" borderId="1" xfId="0" applyNumberFormat="1" applyFont="1" applyFill="1" applyBorder="1" applyAlignment="1" applyProtection="1">
      <alignment horizontal="center" vertical="center" wrapText="1" shrinkToFit="1"/>
      <protection locked="0"/>
    </xf>
    <xf numFmtId="180" fontId="6" fillId="0" borderId="1" xfId="0" applyNumberFormat="1" applyFont="1" applyFill="1" applyBorder="1" applyAlignment="1" applyProtection="1">
      <alignment horizontal="center" vertical="center" wrapText="1" shrinkToFit="1"/>
      <protection locked="0"/>
    </xf>
    <xf numFmtId="0" fontId="7" fillId="0" borderId="3" xfId="0" applyFont="1" applyFill="1" applyBorder="1" applyAlignment="1" applyProtection="1">
      <alignment vertical="center" wrapText="1" shrinkToFit="1"/>
      <protection locked="0"/>
    </xf>
    <xf numFmtId="178" fontId="7" fillId="0" borderId="1" xfId="0" applyNumberFormat="1" applyFont="1" applyFill="1" applyBorder="1" applyAlignment="1" applyProtection="1">
      <alignment horizontal="center" vertical="center"/>
      <protection locked="0"/>
    </xf>
    <xf numFmtId="0" fontId="7" fillId="0" borderId="2" xfId="0" applyFont="1" applyFill="1" applyBorder="1" applyAlignment="1" applyProtection="1">
      <alignment horizontal="center" vertical="center"/>
      <protection locked="0"/>
    </xf>
    <xf numFmtId="187" fontId="7" fillId="0" borderId="2" xfId="0" applyNumberFormat="1" applyFont="1" applyFill="1" applyBorder="1" applyAlignment="1" applyProtection="1">
      <alignment horizontal="center" vertical="center"/>
      <protection locked="0"/>
    </xf>
    <xf numFmtId="0" fontId="7" fillId="0" borderId="4" xfId="0" applyFont="1" applyFill="1" applyBorder="1" applyAlignment="1" applyProtection="1">
      <alignment horizontal="center" vertical="center" wrapText="1" shrinkToFit="1"/>
      <protection locked="0"/>
    </xf>
    <xf numFmtId="0" fontId="8" fillId="0" borderId="1" xfId="0" applyFont="1" applyFill="1" applyBorder="1" applyAlignment="1" applyProtection="1">
      <alignment horizontal="center" vertical="center" wrapText="1" shrinkToFit="1"/>
      <protection locked="0"/>
    </xf>
    <xf numFmtId="187" fontId="8" fillId="0" borderId="1" xfId="0" applyNumberFormat="1" applyFont="1" applyFill="1" applyBorder="1" applyAlignment="1" applyProtection="1">
      <alignment horizontal="center" vertical="center"/>
      <protection locked="0"/>
    </xf>
    <xf numFmtId="176" fontId="6" fillId="4" borderId="1" xfId="0" applyNumberFormat="1" applyFont="1" applyFill="1" applyBorder="1" applyAlignment="1" applyProtection="1">
      <alignment horizontal="center" vertical="center" wrapText="1" shrinkToFit="1"/>
    </xf>
    <xf numFmtId="0" fontId="6" fillId="4" borderId="1"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shrinkToFit="1"/>
      <protection locked="0"/>
    </xf>
    <xf numFmtId="0" fontId="7" fillId="4" borderId="1" xfId="0" applyFont="1" applyFill="1" applyBorder="1" applyAlignment="1" applyProtection="1">
      <alignment horizontal="center" vertical="center" wrapText="1" shrinkToFit="1"/>
      <protection locked="0"/>
    </xf>
    <xf numFmtId="178" fontId="7" fillId="4" borderId="1" xfId="0" applyNumberFormat="1" applyFont="1" applyFill="1" applyBorder="1" applyAlignment="1" applyProtection="1">
      <alignment horizontal="center" vertical="center" wrapText="1" shrinkToFit="1"/>
      <protection locked="0"/>
    </xf>
    <xf numFmtId="181" fontId="7" fillId="4" borderId="1" xfId="0" applyNumberFormat="1" applyFont="1" applyFill="1" applyBorder="1" applyAlignment="1" applyProtection="1">
      <alignment horizontal="center" vertical="center" wrapText="1" shrinkToFit="1"/>
      <protection locked="0"/>
    </xf>
    <xf numFmtId="0" fontId="7" fillId="4" borderId="1" xfId="0" applyNumberFormat="1" applyFont="1" applyFill="1" applyBorder="1" applyAlignment="1" applyProtection="1">
      <alignment horizontal="center" vertical="center" wrapText="1" shrinkToFit="1"/>
      <protection locked="0"/>
    </xf>
    <xf numFmtId="182" fontId="7" fillId="4" borderId="2" xfId="0" applyNumberFormat="1" applyFont="1" applyFill="1" applyBorder="1" applyAlignment="1" applyProtection="1">
      <alignment horizontal="center" vertical="center" wrapText="1" shrinkToFit="1"/>
      <protection locked="0"/>
    </xf>
    <xf numFmtId="0" fontId="7" fillId="4" borderId="1" xfId="0" applyFont="1" applyFill="1" applyBorder="1" applyAlignment="1" applyProtection="1">
      <alignment horizontal="center" vertical="center" wrapText="1"/>
      <protection locked="0"/>
    </xf>
    <xf numFmtId="180" fontId="7" fillId="4" borderId="1" xfId="0" applyNumberFormat="1" applyFont="1" applyFill="1" applyBorder="1" applyAlignment="1" applyProtection="1">
      <alignment horizontal="center" vertical="center" wrapText="1" shrinkToFit="1"/>
      <protection locked="0"/>
    </xf>
    <xf numFmtId="0" fontId="7" fillId="4" borderId="3" xfId="0" applyFont="1" applyFill="1" applyBorder="1" applyAlignment="1" applyProtection="1">
      <alignment horizontal="center" vertical="center" wrapText="1" shrinkToFit="1"/>
      <protection locked="0"/>
    </xf>
    <xf numFmtId="0" fontId="7" fillId="4" borderId="2" xfId="0" applyFont="1" applyFill="1" applyBorder="1" applyAlignment="1" applyProtection="1">
      <alignment horizontal="center" vertical="center" wrapText="1" shrinkToFit="1"/>
      <protection locked="0"/>
    </xf>
    <xf numFmtId="0" fontId="7" fillId="4" borderId="2" xfId="0" applyFont="1" applyFill="1" applyBorder="1" applyAlignment="1" applyProtection="1">
      <alignment vertical="center" wrapText="1" shrinkToFit="1"/>
      <protection locked="0"/>
    </xf>
    <xf numFmtId="187" fontId="7" fillId="4" borderId="1" xfId="0" applyNumberFormat="1" applyFont="1" applyFill="1" applyBorder="1" applyAlignment="1" applyProtection="1">
      <alignment horizontal="center" vertical="center"/>
      <protection locked="0"/>
    </xf>
    <xf numFmtId="176" fontId="6" fillId="4" borderId="3" xfId="0" applyNumberFormat="1" applyFont="1" applyFill="1" applyBorder="1" applyAlignment="1" applyProtection="1">
      <alignment horizontal="center" vertical="center" wrapText="1" shrinkToFit="1"/>
    </xf>
    <xf numFmtId="0" fontId="6" fillId="4" borderId="3" xfId="0" applyFont="1" applyFill="1" applyBorder="1" applyAlignment="1" applyProtection="1">
      <alignment horizontal="center" vertical="center" wrapText="1"/>
      <protection locked="0"/>
    </xf>
    <xf numFmtId="0" fontId="6" fillId="4" borderId="3" xfId="0" applyFont="1" applyFill="1" applyBorder="1" applyAlignment="1" applyProtection="1">
      <alignment horizontal="center" vertical="center" wrapText="1" shrinkToFit="1"/>
      <protection locked="0"/>
    </xf>
    <xf numFmtId="0" fontId="7" fillId="4" borderId="3" xfId="0" applyFont="1" applyFill="1" applyBorder="1" applyAlignment="1" applyProtection="1">
      <alignment horizontal="center" vertical="center"/>
      <protection locked="0"/>
    </xf>
    <xf numFmtId="0" fontId="27" fillId="4" borderId="1" xfId="0" applyNumberFormat="1" applyFont="1" applyFill="1" applyBorder="1" applyAlignment="1" applyProtection="1">
      <alignment horizontal="center" vertical="center" wrapText="1"/>
      <protection locked="0"/>
    </xf>
    <xf numFmtId="182" fontId="27" fillId="4" borderId="1" xfId="0" applyNumberFormat="1" applyFont="1" applyFill="1" applyBorder="1" applyAlignment="1" applyProtection="1">
      <alignment horizontal="center" vertical="center" wrapText="1"/>
      <protection locked="0"/>
    </xf>
    <xf numFmtId="58" fontId="7" fillId="4" borderId="2" xfId="0" applyNumberFormat="1" applyFont="1" applyFill="1" applyBorder="1" applyAlignment="1" applyProtection="1">
      <alignment vertical="center" wrapText="1" shrinkToFit="1"/>
      <protection locked="0"/>
    </xf>
    <xf numFmtId="0" fontId="25" fillId="4" borderId="3" xfId="0" applyNumberFormat="1" applyFont="1" applyFill="1" applyBorder="1" applyAlignment="1" applyProtection="1">
      <alignment horizontal="center" vertical="center" shrinkToFit="1"/>
      <protection locked="0"/>
    </xf>
    <xf numFmtId="187" fontId="38" fillId="4" borderId="1" xfId="0" applyNumberFormat="1" applyFont="1" applyFill="1" applyBorder="1" applyAlignment="1" applyProtection="1">
      <alignment horizontal="center" vertical="center"/>
      <protection locked="0"/>
    </xf>
    <xf numFmtId="0" fontId="24" fillId="4" borderId="3" xfId="0" applyNumberFormat="1" applyFont="1" applyFill="1" applyBorder="1" applyAlignment="1" applyProtection="1">
      <alignment horizontal="center" vertical="center" wrapText="1"/>
      <protection locked="0"/>
    </xf>
    <xf numFmtId="0" fontId="39" fillId="4" borderId="3" xfId="0" applyNumberFormat="1" applyFont="1" applyFill="1" applyBorder="1" applyAlignment="1" applyProtection="1">
      <alignment horizontal="center" vertical="center" wrapText="1"/>
      <protection locked="0"/>
    </xf>
    <xf numFmtId="0" fontId="27" fillId="0" borderId="2" xfId="0" applyFont="1" applyFill="1" applyBorder="1" applyAlignment="1" applyProtection="1">
      <alignment horizontal="center" vertical="center" wrapText="1"/>
      <protection locked="0"/>
    </xf>
    <xf numFmtId="0" fontId="6" fillId="0" borderId="2" xfId="0" applyFont="1" applyFill="1" applyBorder="1" applyAlignment="1" applyProtection="1">
      <alignment horizontal="center" vertical="center" wrapText="1" shrinkToFit="1"/>
      <protection locked="0"/>
    </xf>
    <xf numFmtId="188" fontId="6" fillId="0" borderId="1" xfId="0" applyNumberFormat="1" applyFont="1" applyFill="1" applyBorder="1" applyAlignment="1" applyProtection="1">
      <alignment horizontal="center" vertical="center" wrapText="1" shrinkToFit="1"/>
      <protection locked="0"/>
    </xf>
    <xf numFmtId="3" fontId="6" fillId="0" borderId="1" xfId="0" applyNumberFormat="1" applyFont="1" applyFill="1" applyBorder="1" applyAlignment="1" applyProtection="1">
      <alignment horizontal="center" vertical="center" wrapText="1" shrinkToFit="1"/>
      <protection locked="0"/>
    </xf>
    <xf numFmtId="0" fontId="40" fillId="0" borderId="0" xfId="0" applyFont="1" applyFill="1" applyAlignment="1">
      <alignment vertical="center"/>
    </xf>
    <xf numFmtId="0" fontId="41" fillId="0" borderId="0" xfId="0" applyFont="1" applyFill="1" applyAlignment="1">
      <alignment vertical="center"/>
    </xf>
    <xf numFmtId="0" fontId="42" fillId="0" borderId="0" xfId="0" applyFont="1" applyFill="1" applyBorder="1" applyAlignment="1">
      <alignment vertical="center"/>
    </xf>
    <xf numFmtId="0" fontId="43" fillId="0" borderId="0" xfId="0" applyFont="1" applyFill="1" applyBorder="1" applyAlignment="1">
      <alignment vertical="center"/>
    </xf>
    <xf numFmtId="0" fontId="42" fillId="0" borderId="0" xfId="0" applyFont="1" applyFill="1" applyAlignment="1"/>
    <xf numFmtId="0" fontId="42" fillId="0" borderId="0" xfId="0" applyFont="1" applyFill="1" applyAlignment="1">
      <alignment horizontal="center"/>
    </xf>
    <xf numFmtId="0" fontId="42" fillId="0" borderId="0" xfId="0" applyFont="1" applyAlignment="1"/>
    <xf numFmtId="3" fontId="40" fillId="0" borderId="1" xfId="0" applyNumberFormat="1" applyFont="1" applyFill="1" applyBorder="1" applyAlignment="1">
      <alignment vertical="center"/>
    </xf>
    <xf numFmtId="14" fontId="44" fillId="0" borderId="1" xfId="0" applyNumberFormat="1" applyFont="1" applyFill="1" applyBorder="1" applyAlignment="1">
      <alignment vertical="center"/>
    </xf>
    <xf numFmtId="0" fontId="40" fillId="5" borderId="1" xfId="0" applyFont="1" applyFill="1" applyBorder="1" applyAlignment="1">
      <alignment vertical="center"/>
    </xf>
    <xf numFmtId="0" fontId="45" fillId="5" borderId="1" xfId="0" applyFont="1" applyFill="1" applyBorder="1" applyAlignment="1">
      <alignment horizontal="center" vertical="center"/>
    </xf>
    <xf numFmtId="176" fontId="46" fillId="5" borderId="1" xfId="0" applyNumberFormat="1" applyFont="1" applyFill="1" applyBorder="1" applyAlignment="1">
      <alignment horizontal="center" vertical="center"/>
    </xf>
    <xf numFmtId="176" fontId="46" fillId="4" borderId="1" xfId="0" applyNumberFormat="1" applyFont="1" applyFill="1" applyBorder="1" applyAlignment="1">
      <alignment horizontal="center" vertical="center"/>
    </xf>
    <xf numFmtId="176" fontId="46" fillId="5" borderId="1" xfId="0" applyNumberFormat="1" applyFont="1" applyFill="1" applyBorder="1" applyAlignment="1">
      <alignment vertical="center"/>
    </xf>
    <xf numFmtId="0" fontId="46" fillId="5" borderId="1" xfId="0" applyFont="1" applyFill="1" applyBorder="1" applyAlignment="1">
      <alignment horizontal="center" vertical="center"/>
    </xf>
    <xf numFmtId="0" fontId="46" fillId="4" borderId="1" xfId="0" applyFont="1" applyFill="1" applyBorder="1" applyAlignment="1">
      <alignment horizontal="center" vertical="center"/>
    </xf>
    <xf numFmtId="0" fontId="46" fillId="5" borderId="1" xfId="0" applyFont="1" applyFill="1" applyBorder="1" applyAlignment="1">
      <alignment vertical="center"/>
    </xf>
    <xf numFmtId="176" fontId="46" fillId="4" borderId="6" xfId="0" applyNumberFormat="1" applyFont="1" applyFill="1" applyBorder="1" applyAlignment="1">
      <alignment horizontal="center" vertical="center"/>
    </xf>
    <xf numFmtId="176" fontId="46" fillId="5" borderId="6" xfId="0" applyNumberFormat="1" applyFont="1" applyFill="1" applyBorder="1" applyAlignment="1">
      <alignment horizontal="center" vertical="center"/>
    </xf>
    <xf numFmtId="14" fontId="44" fillId="0" borderId="6" xfId="0" applyNumberFormat="1" applyFont="1" applyFill="1" applyBorder="1" applyAlignment="1">
      <alignment horizontal="center" vertical="center"/>
    </xf>
    <xf numFmtId="0" fontId="47" fillId="6" borderId="7" xfId="0" applyFont="1" applyFill="1" applyBorder="1" applyAlignment="1">
      <alignment vertical="center"/>
    </xf>
    <xf numFmtId="0" fontId="47" fillId="6" borderId="8" xfId="0" applyFont="1" applyFill="1" applyBorder="1" applyAlignment="1">
      <alignment horizontal="center" vertical="center"/>
    </xf>
    <xf numFmtId="0" fontId="47" fillId="6" borderId="5" xfId="0" applyFont="1" applyFill="1" applyBorder="1" applyAlignment="1">
      <alignment horizontal="center" vertical="center"/>
    </xf>
    <xf numFmtId="0" fontId="47" fillId="6" borderId="9" xfId="0" applyFont="1" applyFill="1" applyBorder="1" applyAlignment="1">
      <alignment horizontal="center" vertical="center"/>
    </xf>
    <xf numFmtId="0" fontId="40" fillId="0" borderId="0" xfId="0" applyFont="1" applyFill="1" applyAlignment="1">
      <alignment horizontal="center" vertical="center"/>
    </xf>
    <xf numFmtId="0" fontId="48" fillId="0" borderId="10" xfId="0" applyFont="1" applyFill="1" applyBorder="1" applyAlignment="1">
      <alignment horizontal="center" vertical="center" wrapText="1"/>
    </xf>
    <xf numFmtId="0" fontId="48" fillId="0" borderId="11" xfId="0" applyFont="1" applyFill="1" applyBorder="1" applyAlignment="1">
      <alignment horizontal="left" vertical="center"/>
    </xf>
    <xf numFmtId="0" fontId="48" fillId="0" borderId="12" xfId="0" applyFont="1" applyFill="1" applyBorder="1" applyAlignment="1">
      <alignment horizontal="left" vertical="center"/>
    </xf>
    <xf numFmtId="0" fontId="49" fillId="0" borderId="11" xfId="0" applyFont="1" applyFill="1" applyBorder="1" applyAlignment="1">
      <alignment horizontal="center" vertical="center"/>
    </xf>
    <xf numFmtId="0" fontId="50" fillId="0" borderId="13" xfId="0" applyFont="1" applyFill="1" applyBorder="1" applyAlignment="1">
      <alignment horizontal="center" vertical="center"/>
    </xf>
    <xf numFmtId="0" fontId="40" fillId="0" borderId="13" xfId="0" applyFont="1" applyFill="1" applyBorder="1" applyAlignment="1">
      <alignment horizontal="center" vertical="center"/>
    </xf>
    <xf numFmtId="189" fontId="48" fillId="7" borderId="1" xfId="0" applyNumberFormat="1" applyFont="1" applyFill="1" applyBorder="1" applyAlignment="1">
      <alignment vertical="center"/>
    </xf>
    <xf numFmtId="189" fontId="51" fillId="7" borderId="14" xfId="0" applyNumberFormat="1" applyFont="1" applyFill="1" applyBorder="1">
      <alignment vertical="center"/>
    </xf>
    <xf numFmtId="0" fontId="41" fillId="0" borderId="0" xfId="0" applyFont="1" applyFill="1" applyAlignment="1">
      <alignment horizontal="center" vertical="center"/>
    </xf>
    <xf numFmtId="0" fontId="52" fillId="8" borderId="15" xfId="0" applyFont="1" applyFill="1" applyBorder="1" applyAlignment="1">
      <alignment vertical="center"/>
    </xf>
    <xf numFmtId="0" fontId="47" fillId="8" borderId="16" xfId="0" applyFont="1" applyFill="1" applyBorder="1" applyAlignment="1">
      <alignment vertical="center"/>
    </xf>
    <xf numFmtId="0" fontId="52" fillId="8" borderId="17" xfId="0" applyFont="1" applyFill="1" applyBorder="1" applyAlignment="1">
      <alignment horizontal="left" vertical="center" indent="2"/>
    </xf>
    <xf numFmtId="0" fontId="47" fillId="8" borderId="17" xfId="0" applyFont="1" applyFill="1" applyBorder="1" applyAlignment="1">
      <alignment horizontal="left" vertical="center" indent="1"/>
    </xf>
    <xf numFmtId="189" fontId="53" fillId="8" borderId="1" xfId="0" applyNumberFormat="1" applyFont="1" applyFill="1" applyBorder="1" applyAlignment="1">
      <alignment horizontal="center" vertical="center"/>
    </xf>
    <xf numFmtId="0" fontId="54" fillId="0" borderId="18" xfId="0" applyFont="1" applyFill="1" applyBorder="1" applyAlignment="1">
      <alignment horizontal="center" vertical="center" wrapText="1"/>
    </xf>
    <xf numFmtId="0" fontId="55" fillId="0" borderId="3" xfId="0" applyFont="1" applyFill="1" applyBorder="1" applyAlignment="1">
      <alignment horizontal="center" vertical="center" wrapText="1"/>
    </xf>
    <xf numFmtId="0" fontId="56" fillId="0" borderId="1" xfId="0" applyFont="1" applyFill="1" applyBorder="1" applyAlignment="1">
      <alignment horizontal="center" vertical="center" wrapText="1"/>
    </xf>
    <xf numFmtId="0" fontId="54" fillId="0" borderId="19"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57" fillId="0" borderId="1" xfId="0" applyFont="1" applyFill="1" applyBorder="1" applyAlignment="1">
      <alignment horizontal="center" vertical="center" wrapText="1"/>
    </xf>
    <xf numFmtId="0" fontId="58" fillId="0" borderId="1" xfId="0" applyFont="1" applyFill="1" applyBorder="1" applyAlignment="1">
      <alignment horizontal="center" vertical="center" wrapText="1"/>
    </xf>
    <xf numFmtId="0" fontId="54" fillId="0" borderId="5"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60" fillId="0" borderId="11" xfId="0" applyFont="1" applyFill="1" applyBorder="1" applyAlignment="1">
      <alignment horizontal="center" vertical="center" wrapText="1"/>
    </xf>
    <xf numFmtId="0" fontId="61" fillId="0" borderId="1" xfId="0" applyFont="1" applyFill="1" applyBorder="1" applyAlignment="1">
      <alignment horizontal="center" vertical="center" wrapText="1"/>
    </xf>
    <xf numFmtId="0" fontId="59" fillId="0" borderId="2" xfId="0" applyFont="1" applyFill="1" applyBorder="1" applyAlignment="1">
      <alignment horizontal="center" vertical="center" wrapText="1"/>
    </xf>
    <xf numFmtId="0" fontId="59" fillId="0" borderId="4" xfId="0" applyFont="1" applyFill="1" applyBorder="1" applyAlignment="1">
      <alignment horizontal="center" vertical="center" wrapText="1"/>
    </xf>
    <xf numFmtId="0" fontId="59" fillId="0" borderId="3" xfId="0" applyFont="1" applyFill="1" applyBorder="1" applyAlignment="1">
      <alignment horizontal="center" vertical="center" wrapText="1"/>
    </xf>
    <xf numFmtId="0" fontId="47" fillId="8" borderId="20" xfId="0" applyFont="1" applyFill="1" applyBorder="1" applyAlignment="1">
      <alignment horizontal="center" vertical="center"/>
    </xf>
    <xf numFmtId="0" fontId="47" fillId="8" borderId="13" xfId="0" applyFont="1" applyFill="1" applyBorder="1" applyAlignment="1">
      <alignment vertical="center"/>
    </xf>
    <xf numFmtId="0" fontId="47" fillId="8" borderId="12" xfId="0" applyFont="1" applyFill="1" applyBorder="1" applyAlignment="1">
      <alignment horizontal="left" vertical="center" indent="2"/>
    </xf>
    <xf numFmtId="0" fontId="47" fillId="8" borderId="21" xfId="0" applyFont="1" applyFill="1" applyBorder="1" applyAlignment="1">
      <alignment horizontal="left" vertical="center" indent="2"/>
    </xf>
    <xf numFmtId="0" fontId="47" fillId="8" borderId="22" xfId="0" applyFont="1" applyFill="1" applyBorder="1" applyAlignment="1">
      <alignment horizontal="left" vertical="center" indent="2"/>
    </xf>
    <xf numFmtId="189" fontId="47" fillId="8" borderId="23" xfId="0" applyNumberFormat="1" applyFont="1" applyFill="1" applyBorder="1" applyAlignment="1">
      <alignment vertical="center"/>
    </xf>
    <xf numFmtId="0" fontId="62" fillId="0" borderId="24" xfId="0" applyFont="1" applyFill="1" applyBorder="1" applyAlignment="1">
      <alignment horizontal="left" vertical="center" wrapText="1"/>
    </xf>
    <xf numFmtId="0" fontId="63" fillId="0" borderId="24" xfId="0" applyFont="1" applyFill="1" applyBorder="1" applyAlignment="1">
      <alignment horizontal="left" vertical="center" wrapText="1"/>
    </xf>
    <xf numFmtId="0" fontId="64" fillId="0" borderId="24" xfId="0" applyFont="1" applyFill="1" applyBorder="1" applyAlignment="1">
      <alignment horizontal="left" vertical="center" wrapText="1"/>
    </xf>
    <xf numFmtId="0" fontId="65" fillId="0" borderId="0" xfId="0" applyFont="1" applyFill="1" applyBorder="1" applyAlignment="1">
      <alignment vertical="center"/>
    </xf>
    <xf numFmtId="0" fontId="41" fillId="0" borderId="0" xfId="0" applyFont="1" applyFill="1" applyBorder="1" applyAlignment="1">
      <alignment vertical="center"/>
    </xf>
    <xf numFmtId="0" fontId="66" fillId="0" borderId="0" xfId="0" applyFont="1" applyFill="1" applyBorder="1" applyAlignment="1">
      <alignment vertical="center"/>
    </xf>
    <xf numFmtId="0" fontId="67" fillId="0" borderId="0" xfId="57" applyFont="1" applyFill="1" applyAlignment="1">
      <alignment horizontal="left" wrapText="1"/>
    </xf>
    <xf numFmtId="0" fontId="68" fillId="0" borderId="0" xfId="57" applyFont="1" applyFill="1" applyAlignment="1">
      <alignment horizontal="left" vertical="top" wrapText="1"/>
    </xf>
    <xf numFmtId="0" fontId="67" fillId="0" borderId="0" xfId="57" applyFont="1" applyFill="1" applyAlignment="1">
      <alignment horizontal="left" vertical="center" wrapText="1"/>
    </xf>
    <xf numFmtId="190" fontId="67" fillId="0" borderId="0" xfId="1" applyNumberFormat="1" applyFont="1" applyAlignment="1">
      <alignment horizontal="left" vertical="center" wrapText="1"/>
    </xf>
    <xf numFmtId="191" fontId="67" fillId="0" borderId="0" xfId="1" applyNumberFormat="1" applyFont="1" applyAlignment="1">
      <alignment horizontal="left" vertical="center" wrapText="1"/>
    </xf>
    <xf numFmtId="192" fontId="67" fillId="0" borderId="0" xfId="57" applyNumberFormat="1" applyFont="1" applyFill="1" applyAlignment="1">
      <alignment horizontal="left" vertical="center" wrapText="1"/>
    </xf>
    <xf numFmtId="193" fontId="69" fillId="9" borderId="1" xfId="1" applyNumberFormat="1" applyFont="1" applyFill="1" applyBorder="1" applyAlignment="1">
      <alignment horizontal="left" vertical="center" wrapText="1"/>
    </xf>
    <xf numFmtId="193" fontId="69" fillId="9" borderId="1" xfId="1" applyNumberFormat="1" applyFont="1" applyFill="1" applyBorder="1" applyAlignment="1">
      <alignment horizontal="right" vertical="center" wrapText="1"/>
    </xf>
    <xf numFmtId="194" fontId="69" fillId="9" borderId="1" xfId="1" applyNumberFormat="1" applyFont="1" applyFill="1" applyBorder="1" applyAlignment="1">
      <alignment horizontal="right" vertical="center" wrapText="1"/>
    </xf>
    <xf numFmtId="193" fontId="69" fillId="9" borderId="2" xfId="1" applyNumberFormat="1" applyFont="1" applyFill="1" applyBorder="1" applyAlignment="1">
      <alignment horizontal="left" vertical="center" wrapText="1"/>
    </xf>
    <xf numFmtId="193" fontId="69" fillId="9" borderId="2" xfId="1" applyNumberFormat="1" applyFont="1" applyFill="1" applyBorder="1" applyAlignment="1">
      <alignment horizontal="right" vertical="center" wrapText="1"/>
    </xf>
    <xf numFmtId="194" fontId="69" fillId="9" borderId="2" xfId="1" applyNumberFormat="1" applyFont="1" applyFill="1" applyBorder="1" applyAlignment="1">
      <alignment horizontal="right" vertical="center" wrapText="1"/>
    </xf>
    <xf numFmtId="0" fontId="70" fillId="9" borderId="1" xfId="54" applyFont="1" applyFill="1" applyBorder="1" applyAlignment="1">
      <alignment horizontal="left" vertical="center" wrapText="1"/>
    </xf>
    <xf numFmtId="193" fontId="70" fillId="9" borderId="1" xfId="1" applyNumberFormat="1" applyFont="1" applyFill="1" applyBorder="1" applyAlignment="1">
      <alignment horizontal="left" vertical="center" wrapText="1"/>
    </xf>
    <xf numFmtId="193" fontId="71" fillId="9" borderId="2" xfId="1" applyNumberFormat="1" applyFont="1" applyFill="1" applyBorder="1" applyAlignment="1">
      <alignment horizontal="left" vertical="center" wrapText="1"/>
    </xf>
    <xf numFmtId="0" fontId="72" fillId="9" borderId="1" xfId="54" applyFont="1" applyFill="1" applyBorder="1" applyAlignment="1">
      <alignment horizontal="left" vertical="center" wrapText="1"/>
    </xf>
    <xf numFmtId="195" fontId="70" fillId="9" borderId="1" xfId="54" applyNumberFormat="1" applyFont="1" applyFill="1" applyBorder="1" applyAlignment="1">
      <alignment horizontal="left" vertical="center" wrapText="1"/>
    </xf>
    <xf numFmtId="0" fontId="70" fillId="9" borderId="1" xfId="54" applyFont="1" applyFill="1" applyBorder="1" applyAlignment="1">
      <alignment horizontal="right" vertical="center"/>
    </xf>
    <xf numFmtId="190" fontId="70" fillId="9" borderId="1" xfId="1" applyNumberFormat="1" applyFont="1" applyFill="1" applyBorder="1" applyAlignment="1">
      <alignment horizontal="left" vertical="center"/>
    </xf>
    <xf numFmtId="0" fontId="70" fillId="9" borderId="1" xfId="54" applyFont="1" applyFill="1" applyBorder="1" applyAlignment="1">
      <alignment horizontal="left" vertical="center"/>
    </xf>
    <xf numFmtId="192" fontId="69" fillId="9" borderId="1" xfId="57" applyNumberFormat="1" applyFont="1" applyFill="1" applyBorder="1" applyAlignment="1">
      <alignment horizontal="left" vertical="center" wrapText="1"/>
    </xf>
    <xf numFmtId="192" fontId="73" fillId="9" borderId="1" xfId="57" applyNumberFormat="1" applyFont="1" applyFill="1" applyBorder="1" applyAlignment="1">
      <alignment horizontal="left" vertical="center" wrapText="1"/>
    </xf>
    <xf numFmtId="192" fontId="74" fillId="0" borderId="0" xfId="57" applyNumberFormat="1" applyFont="1" applyFill="1" applyAlignment="1">
      <alignment horizontal="left" vertical="center" wrapText="1"/>
    </xf>
    <xf numFmtId="0" fontId="75" fillId="9" borderId="2" xfId="54" applyFont="1" applyFill="1" applyBorder="1" applyAlignment="1">
      <alignment horizontal="left" vertical="top" wrapText="1"/>
    </xf>
    <xf numFmtId="0" fontId="70" fillId="9" borderId="2" xfId="54" applyFont="1" applyFill="1" applyBorder="1" applyAlignment="1">
      <alignment horizontal="left" vertical="top" wrapText="1"/>
    </xf>
    <xf numFmtId="0" fontId="70" fillId="9" borderId="2" xfId="54" applyFont="1" applyFill="1" applyBorder="1" applyAlignment="1">
      <alignment horizontal="left" vertical="top" wrapText="1" shrinkToFit="1"/>
    </xf>
    <xf numFmtId="195" fontId="70" fillId="9" borderId="2" xfId="54" applyNumberFormat="1" applyFont="1" applyFill="1" applyBorder="1" applyAlignment="1">
      <alignment horizontal="left" vertical="top" wrapText="1" shrinkToFit="1"/>
    </xf>
    <xf numFmtId="190" fontId="70" fillId="9" borderId="2" xfId="1" applyNumberFormat="1" applyFont="1" applyFill="1" applyBorder="1" applyAlignment="1">
      <alignment horizontal="left" vertical="top" wrapText="1"/>
    </xf>
    <xf numFmtId="190" fontId="76" fillId="9" borderId="2" xfId="1" applyNumberFormat="1" applyFont="1" applyFill="1" applyBorder="1" applyAlignment="1">
      <alignment vertical="top" wrapText="1"/>
    </xf>
    <xf numFmtId="190" fontId="75" fillId="9" borderId="2" xfId="1" applyNumberFormat="1" applyFont="1" applyFill="1" applyBorder="1" applyAlignment="1">
      <alignment horizontal="left" vertical="top" wrapText="1"/>
    </xf>
    <xf numFmtId="190" fontId="69" fillId="9" borderId="2" xfId="1" applyNumberFormat="1" applyFont="1" applyFill="1" applyBorder="1" applyAlignment="1">
      <alignment horizontal="left" vertical="top" wrapText="1"/>
    </xf>
    <xf numFmtId="192" fontId="77" fillId="10" borderId="11" xfId="1" applyNumberFormat="1" applyFont="1" applyFill="1" applyBorder="1" applyAlignment="1">
      <alignment horizontal="left" vertical="top" wrapText="1"/>
    </xf>
    <xf numFmtId="192" fontId="68" fillId="11" borderId="2" xfId="57" applyNumberFormat="1" applyFont="1" applyFill="1" applyBorder="1" applyAlignment="1">
      <alignment horizontal="left" vertical="top" wrapText="1"/>
    </xf>
    <xf numFmtId="0" fontId="68" fillId="11" borderId="2" xfId="57" applyFont="1" applyFill="1" applyBorder="1" applyAlignment="1">
      <alignment horizontal="left" vertical="top" wrapText="1"/>
    </xf>
    <xf numFmtId="192" fontId="68" fillId="10" borderId="2" xfId="57" applyNumberFormat="1" applyFont="1" applyFill="1" applyBorder="1" applyAlignment="1">
      <alignment horizontal="left" vertical="top" wrapText="1"/>
    </xf>
    <xf numFmtId="0" fontId="67" fillId="0" borderId="25" xfId="57" applyFont="1" applyFill="1" applyBorder="1" applyAlignment="1">
      <alignment horizontal="left" wrapText="1"/>
    </xf>
    <xf numFmtId="0" fontId="78" fillId="0" borderId="26" xfId="57" applyFont="1" applyFill="1" applyBorder="1" applyAlignment="1">
      <alignment horizontal="left" vertical="center" wrapText="1"/>
    </xf>
    <xf numFmtId="196" fontId="79" fillId="0" borderId="26" xfId="53" applyNumberFormat="1" applyFont="1" applyFill="1" applyBorder="1" applyAlignment="1">
      <alignment horizontal="left" vertical="center" wrapText="1"/>
    </xf>
    <xf numFmtId="0" fontId="80" fillId="0" borderId="26" xfId="55" applyFont="1" applyFill="1" applyBorder="1" applyAlignment="1">
      <alignment horizontal="left" vertical="center" wrapText="1"/>
    </xf>
    <xf numFmtId="0" fontId="80" fillId="0" borderId="26" xfId="52" applyFont="1" applyFill="1" applyBorder="1" applyAlignment="1">
      <alignment horizontal="left" vertical="center" wrapText="1"/>
    </xf>
    <xf numFmtId="190" fontId="67" fillId="0" borderId="26" xfId="1" applyNumberFormat="1" applyFont="1" applyFill="1" applyBorder="1" applyAlignment="1">
      <alignment horizontal="left" vertical="center" wrapText="1"/>
    </xf>
    <xf numFmtId="196" fontId="67" fillId="0" borderId="26" xfId="57" applyNumberFormat="1" applyFont="1" applyFill="1" applyBorder="1" applyAlignment="1">
      <alignment horizontal="right" vertical="center" wrapText="1"/>
    </xf>
    <xf numFmtId="190" fontId="67" fillId="0" borderId="26" xfId="1" applyNumberFormat="1" applyFont="1" applyFill="1" applyBorder="1" applyAlignment="1">
      <alignment horizontal="right" vertical="center" wrapText="1" shrinkToFit="1"/>
    </xf>
    <xf numFmtId="197" fontId="67" fillId="0" borderId="26" xfId="54" applyNumberFormat="1" applyFont="1" applyFill="1" applyBorder="1" applyAlignment="1">
      <alignment horizontal="right" vertical="center" wrapText="1" shrinkToFit="1"/>
    </xf>
    <xf numFmtId="0" fontId="81" fillId="0" borderId="26" xfId="57" applyFont="1" applyFill="1" applyBorder="1" applyAlignment="1">
      <alignment horizontal="center" vertical="center" wrapText="1"/>
    </xf>
    <xf numFmtId="189" fontId="67" fillId="0" borderId="26" xfId="57" applyNumberFormat="1" applyFont="1" applyFill="1" applyBorder="1" applyAlignment="1">
      <alignment horizontal="right" vertical="center" wrapText="1"/>
    </xf>
    <xf numFmtId="0" fontId="67" fillId="0" borderId="26" xfId="57" applyFont="1" applyFill="1" applyBorder="1" applyAlignment="1">
      <alignment horizontal="left" vertical="center" wrapText="1"/>
    </xf>
    <xf numFmtId="190" fontId="67" fillId="0" borderId="26" xfId="1" applyNumberFormat="1" applyFont="1" applyBorder="1" applyAlignment="1">
      <alignment horizontal="left" vertical="center" wrapText="1"/>
    </xf>
    <xf numFmtId="190" fontId="67" fillId="12" borderId="26" xfId="1" applyNumberFormat="1" applyFont="1" applyFill="1" applyBorder="1" applyAlignment="1">
      <alignment horizontal="left" vertical="center" wrapText="1"/>
    </xf>
    <xf numFmtId="190" fontId="67" fillId="12" borderId="4" xfId="1" applyNumberFormat="1" applyFont="1" applyFill="1" applyBorder="1" applyAlignment="1">
      <alignment horizontal="left" vertical="center" wrapText="1"/>
    </xf>
    <xf numFmtId="191" fontId="67" fillId="0" borderId="4" xfId="1" applyNumberFormat="1" applyFont="1" applyBorder="1" applyAlignment="1">
      <alignment horizontal="right" vertical="center" wrapText="1"/>
    </xf>
    <xf numFmtId="9" fontId="67" fillId="0" borderId="26" xfId="49" applyFont="1" applyBorder="1" applyAlignment="1">
      <alignment horizontal="right" vertical="center" wrapText="1"/>
    </xf>
    <xf numFmtId="190" fontId="67" fillId="4" borderId="26" xfId="57" applyNumberFormat="1" applyFont="1" applyFill="1" applyBorder="1" applyAlignment="1">
      <alignment horizontal="left" vertical="center" wrapText="1"/>
    </xf>
    <xf numFmtId="189" fontId="67" fillId="13" borderId="26" xfId="57" applyNumberFormat="1" applyFont="1" applyFill="1" applyBorder="1" applyAlignment="1">
      <alignment horizontal="right" vertical="center" wrapText="1"/>
    </xf>
    <xf numFmtId="190" fontId="67" fillId="0" borderId="26" xfId="1" applyNumberFormat="1" applyFont="1" applyBorder="1" applyAlignment="1">
      <alignment horizontal="right" vertical="center" wrapText="1"/>
    </xf>
    <xf numFmtId="192" fontId="67" fillId="10" borderId="27" xfId="57" applyNumberFormat="1" applyFont="1" applyFill="1" applyBorder="1" applyAlignment="1">
      <alignment horizontal="right" vertical="center" wrapText="1"/>
    </xf>
    <xf numFmtId="192" fontId="67" fillId="0" borderId="26" xfId="57" applyNumberFormat="1" applyFont="1" applyFill="1" applyBorder="1" applyAlignment="1">
      <alignment horizontal="right" vertical="center" wrapText="1"/>
    </xf>
    <xf numFmtId="0" fontId="67" fillId="0" borderId="26" xfId="57" applyFont="1" applyFill="1" applyBorder="1" applyAlignment="1">
      <alignment horizontal="right" vertical="center" wrapText="1"/>
    </xf>
    <xf numFmtId="198" fontId="67" fillId="4" borderId="0" xfId="57" applyNumberFormat="1" applyFont="1" applyFill="1" applyAlignment="1">
      <alignment horizontal="left" wrapText="1"/>
    </xf>
    <xf numFmtId="198" fontId="67" fillId="0" borderId="0" xfId="57" applyNumberFormat="1" applyFont="1" applyFill="1" applyAlignment="1">
      <alignment horizontal="left" wrapText="1"/>
    </xf>
    <xf numFmtId="0" fontId="67" fillId="0" borderId="20" xfId="57" applyFont="1" applyFill="1" applyBorder="1" applyAlignment="1">
      <alignment horizontal="left" wrapText="1"/>
    </xf>
    <xf numFmtId="0" fontId="81" fillId="0" borderId="4" xfId="57" applyFont="1" applyFill="1" applyBorder="1" applyAlignment="1">
      <alignment horizontal="left" vertical="center" wrapText="1"/>
    </xf>
    <xf numFmtId="196" fontId="79" fillId="0" borderId="4" xfId="53" applyNumberFormat="1" applyFont="1" applyFill="1" applyBorder="1" applyAlignment="1">
      <alignment horizontal="left" vertical="center" wrapText="1"/>
    </xf>
    <xf numFmtId="0" fontId="80" fillId="4" borderId="4" xfId="55" applyFont="1" applyFill="1" applyBorder="1" applyAlignment="1">
      <alignment horizontal="left" vertical="center" wrapText="1"/>
    </xf>
    <xf numFmtId="0" fontId="80" fillId="0" borderId="4" xfId="52" applyFont="1" applyFill="1" applyBorder="1" applyAlignment="1">
      <alignment horizontal="left" vertical="center" wrapText="1"/>
    </xf>
    <xf numFmtId="190" fontId="67" fillId="0" borderId="4" xfId="1" applyNumberFormat="1" applyFont="1" applyFill="1" applyBorder="1" applyAlignment="1">
      <alignment horizontal="left" vertical="center" wrapText="1"/>
    </xf>
    <xf numFmtId="196" fontId="67" fillId="0" borderId="4" xfId="57" applyNumberFormat="1" applyFont="1" applyFill="1" applyBorder="1" applyAlignment="1">
      <alignment horizontal="right" vertical="center" wrapText="1"/>
    </xf>
    <xf numFmtId="190" fontId="67" fillId="0" borderId="4" xfId="1" applyNumberFormat="1" applyFont="1" applyFill="1" applyBorder="1" applyAlignment="1">
      <alignment horizontal="right" vertical="center" wrapText="1" shrinkToFit="1"/>
    </xf>
    <xf numFmtId="197" fontId="67" fillId="0" borderId="4" xfId="54" applyNumberFormat="1" applyFont="1" applyFill="1" applyBorder="1" applyAlignment="1">
      <alignment horizontal="right" vertical="center" wrapText="1" shrinkToFit="1"/>
    </xf>
    <xf numFmtId="0" fontId="81" fillId="0" borderId="4" xfId="57" applyFont="1" applyFill="1" applyBorder="1" applyAlignment="1">
      <alignment horizontal="center" vertical="center" wrapText="1"/>
    </xf>
    <xf numFmtId="189" fontId="67" fillId="0" borderId="4" xfId="57" applyNumberFormat="1" applyFont="1" applyFill="1" applyBorder="1" applyAlignment="1">
      <alignment horizontal="right" vertical="center" wrapText="1"/>
    </xf>
    <xf numFmtId="0" fontId="67" fillId="0" borderId="4" xfId="57" applyFont="1" applyFill="1" applyBorder="1" applyAlignment="1">
      <alignment horizontal="left" vertical="center" wrapText="1"/>
    </xf>
    <xf numFmtId="190" fontId="67" fillId="0" borderId="4" xfId="1" applyNumberFormat="1" applyFont="1" applyBorder="1" applyAlignment="1">
      <alignment horizontal="left" vertical="center" wrapText="1"/>
    </xf>
    <xf numFmtId="9" fontId="67" fillId="0" borderId="4" xfId="49" applyFont="1" applyBorder="1" applyAlignment="1">
      <alignment horizontal="right" vertical="center" wrapText="1"/>
    </xf>
    <xf numFmtId="190" fontId="67" fillId="4" borderId="4" xfId="57" applyNumberFormat="1" applyFont="1" applyFill="1" applyBorder="1" applyAlignment="1">
      <alignment horizontal="left" vertical="center" wrapText="1"/>
    </xf>
    <xf numFmtId="189" fontId="67" fillId="13" borderId="4" xfId="57" applyNumberFormat="1" applyFont="1" applyFill="1" applyBorder="1" applyAlignment="1">
      <alignment horizontal="right" vertical="center" wrapText="1"/>
    </xf>
    <xf numFmtId="190" fontId="67" fillId="0" borderId="4" xfId="1" applyNumberFormat="1" applyFont="1" applyBorder="1" applyAlignment="1">
      <alignment horizontal="right" vertical="center" wrapText="1"/>
    </xf>
    <xf numFmtId="192" fontId="67" fillId="10" borderId="28" xfId="57" applyNumberFormat="1" applyFont="1" applyFill="1" applyBorder="1" applyAlignment="1">
      <alignment horizontal="right" vertical="center" wrapText="1"/>
    </xf>
    <xf numFmtId="192" fontId="67" fillId="0" borderId="4" xfId="57" applyNumberFormat="1" applyFont="1" applyFill="1" applyBorder="1" applyAlignment="1">
      <alignment horizontal="right" vertical="center" wrapText="1"/>
    </xf>
    <xf numFmtId="0" fontId="67" fillId="0" borderId="4" xfId="57" applyFont="1" applyFill="1" applyBorder="1" applyAlignment="1">
      <alignment horizontal="right" vertical="center" wrapText="1"/>
    </xf>
    <xf numFmtId="0" fontId="67" fillId="4" borderId="0" xfId="57" applyFont="1" applyFill="1" applyAlignment="1">
      <alignment horizontal="left" wrapText="1"/>
    </xf>
    <xf numFmtId="0" fontId="80" fillId="0" borderId="4" xfId="55" applyFont="1" applyFill="1" applyBorder="1" applyAlignment="1">
      <alignment horizontal="left" vertical="center" wrapText="1"/>
    </xf>
    <xf numFmtId="190" fontId="82" fillId="0" borderId="4" xfId="1" applyNumberFormat="1" applyFont="1" applyFill="1" applyBorder="1" applyAlignment="1">
      <alignment horizontal="left" vertical="center" wrapText="1"/>
    </xf>
    <xf numFmtId="0" fontId="67" fillId="0" borderId="29" xfId="57" applyFont="1" applyFill="1" applyBorder="1" applyAlignment="1">
      <alignment horizontal="left" wrapText="1"/>
    </xf>
    <xf numFmtId="0" fontId="81" fillId="0" borderId="30" xfId="57" applyFont="1" applyFill="1" applyBorder="1" applyAlignment="1">
      <alignment horizontal="left" vertical="center" wrapText="1"/>
    </xf>
    <xf numFmtId="196" fontId="79" fillId="0" borderId="30" xfId="53" applyNumberFormat="1" applyFont="1" applyFill="1" applyBorder="1" applyAlignment="1">
      <alignment horizontal="left" vertical="center" wrapText="1"/>
    </xf>
    <xf numFmtId="0" fontId="80" fillId="0" borderId="30" xfId="55" applyFont="1" applyFill="1" applyBorder="1" applyAlignment="1">
      <alignment horizontal="left" vertical="center" wrapText="1"/>
    </xf>
    <xf numFmtId="0" fontId="80" fillId="0" borderId="30" xfId="52" applyFont="1" applyFill="1" applyBorder="1" applyAlignment="1">
      <alignment horizontal="left" vertical="center" wrapText="1"/>
    </xf>
    <xf numFmtId="190" fontId="67" fillId="0" borderId="30" xfId="1" applyNumberFormat="1" applyFont="1" applyFill="1" applyBorder="1" applyAlignment="1">
      <alignment horizontal="left" vertical="center" wrapText="1"/>
    </xf>
    <xf numFmtId="199" fontId="67" fillId="0" borderId="30" xfId="57" applyNumberFormat="1" applyFont="1" applyFill="1" applyBorder="1" applyAlignment="1">
      <alignment horizontal="right" vertical="center" wrapText="1"/>
    </xf>
    <xf numFmtId="190" fontId="67" fillId="0" borderId="30" xfId="1" applyNumberFormat="1" applyFont="1" applyFill="1" applyBorder="1" applyAlignment="1">
      <alignment horizontal="right" vertical="center" wrapText="1"/>
    </xf>
    <xf numFmtId="197" fontId="67" fillId="0" borderId="30" xfId="54" applyNumberFormat="1" applyFont="1" applyFill="1" applyBorder="1" applyAlignment="1">
      <alignment horizontal="right" vertical="center" wrapText="1" shrinkToFit="1"/>
    </xf>
    <xf numFmtId="0" fontId="81" fillId="0" borderId="30" xfId="57" applyFont="1" applyFill="1" applyBorder="1" applyAlignment="1">
      <alignment horizontal="center" vertical="center" wrapText="1"/>
    </xf>
    <xf numFmtId="189" fontId="67" fillId="0" borderId="30" xfId="57" applyNumberFormat="1" applyFont="1" applyFill="1" applyBorder="1" applyAlignment="1">
      <alignment horizontal="right" vertical="center" wrapText="1"/>
    </xf>
    <xf numFmtId="0" fontId="67" fillId="0" borderId="30" xfId="57" applyFont="1" applyFill="1" applyBorder="1" applyAlignment="1">
      <alignment horizontal="left" vertical="center" wrapText="1"/>
    </xf>
    <xf numFmtId="190" fontId="67" fillId="0" borderId="30" xfId="1" applyNumberFormat="1" applyFont="1" applyBorder="1" applyAlignment="1">
      <alignment horizontal="left" vertical="center" wrapText="1"/>
    </xf>
    <xf numFmtId="190" fontId="67" fillId="12" borderId="30" xfId="1" applyNumberFormat="1" applyFont="1" applyFill="1" applyBorder="1" applyAlignment="1">
      <alignment horizontal="left" vertical="center" wrapText="1"/>
    </xf>
    <xf numFmtId="191" fontId="67" fillId="0" borderId="30" xfId="1" applyNumberFormat="1" applyFont="1" applyBorder="1" applyAlignment="1">
      <alignment horizontal="right" vertical="center" wrapText="1"/>
    </xf>
    <xf numFmtId="9" fontId="67" fillId="0" borderId="30" xfId="49" applyFont="1" applyBorder="1" applyAlignment="1">
      <alignment horizontal="right" vertical="center" wrapText="1"/>
    </xf>
    <xf numFmtId="190" fontId="67" fillId="4" borderId="30" xfId="57" applyNumberFormat="1" applyFont="1" applyFill="1" applyBorder="1" applyAlignment="1">
      <alignment horizontal="left" vertical="center" wrapText="1"/>
    </xf>
    <xf numFmtId="189" fontId="67" fillId="13" borderId="30" xfId="57" applyNumberFormat="1" applyFont="1" applyFill="1" applyBorder="1" applyAlignment="1">
      <alignment horizontal="right" vertical="center" wrapText="1"/>
    </xf>
    <xf numFmtId="190" fontId="67" fillId="0" borderId="30" xfId="1" applyNumberFormat="1" applyFont="1" applyBorder="1" applyAlignment="1">
      <alignment horizontal="right" vertical="center" wrapText="1"/>
    </xf>
    <xf numFmtId="192" fontId="67" fillId="10" borderId="31" xfId="57" applyNumberFormat="1" applyFont="1" applyFill="1" applyBorder="1" applyAlignment="1">
      <alignment horizontal="right" vertical="center" wrapText="1"/>
    </xf>
    <xf numFmtId="192" fontId="67" fillId="0" borderId="30" xfId="57" applyNumberFormat="1" applyFont="1" applyFill="1" applyBorder="1" applyAlignment="1">
      <alignment horizontal="right" vertical="center" wrapText="1"/>
    </xf>
    <xf numFmtId="0" fontId="67" fillId="0" borderId="30" xfId="57" applyFont="1" applyFill="1" applyBorder="1" applyAlignment="1">
      <alignment horizontal="right" vertical="center" wrapText="1"/>
    </xf>
    <xf numFmtId="0" fontId="78" fillId="0" borderId="4" xfId="57" applyFont="1" applyFill="1" applyBorder="1" applyAlignment="1">
      <alignment horizontal="left" vertical="center" wrapText="1"/>
    </xf>
    <xf numFmtId="9" fontId="67" fillId="0" borderId="4" xfId="49" applyNumberFormat="1" applyFont="1" applyBorder="1" applyAlignment="1">
      <alignment horizontal="right" vertical="center" wrapText="1"/>
    </xf>
    <xf numFmtId="0" fontId="67" fillId="14" borderId="0" xfId="57" applyFont="1" applyFill="1" applyAlignment="1">
      <alignment horizontal="left" wrapText="1"/>
    </xf>
    <xf numFmtId="190" fontId="83" fillId="0" borderId="30" xfId="1" applyNumberFormat="1" applyFont="1" applyFill="1" applyBorder="1" applyAlignment="1">
      <alignment horizontal="left" vertical="center" wrapText="1"/>
    </xf>
    <xf numFmtId="0" fontId="80" fillId="4" borderId="26" xfId="55" applyFont="1" applyFill="1" applyBorder="1" applyAlignment="1">
      <alignment horizontal="left" vertical="center" wrapText="1"/>
    </xf>
    <xf numFmtId="200" fontId="67" fillId="0" borderId="26" xfId="57" applyNumberFormat="1" applyFont="1" applyFill="1" applyBorder="1" applyAlignment="1">
      <alignment horizontal="right" vertical="center" wrapText="1"/>
    </xf>
    <xf numFmtId="0" fontId="84" fillId="0" borderId="26" xfId="57" applyFont="1" applyFill="1" applyBorder="1" applyAlignment="1">
      <alignment horizontal="left" vertical="center" wrapText="1"/>
    </xf>
    <xf numFmtId="9" fontId="67" fillId="0" borderId="26" xfId="49" applyFont="1" applyFill="1" applyBorder="1" applyAlignment="1">
      <alignment horizontal="right" vertical="center" wrapText="1"/>
    </xf>
    <xf numFmtId="200" fontId="67" fillId="0" borderId="4" xfId="57" applyNumberFormat="1" applyFont="1" applyFill="1" applyBorder="1" applyAlignment="1">
      <alignment horizontal="right" vertical="center" wrapText="1"/>
    </xf>
    <xf numFmtId="191" fontId="67" fillId="0" borderId="4" xfId="1" applyNumberFormat="1" applyFont="1" applyFill="1" applyBorder="1" applyAlignment="1">
      <alignment horizontal="right" vertical="center" wrapText="1"/>
    </xf>
    <xf numFmtId="0" fontId="67" fillId="15" borderId="0" xfId="57" applyFont="1" applyFill="1" applyAlignment="1">
      <alignment horizontal="left" wrapText="1"/>
    </xf>
    <xf numFmtId="0" fontId="78" fillId="0" borderId="30" xfId="57" applyFont="1" applyFill="1" applyBorder="1" applyAlignment="1">
      <alignment horizontal="left" vertical="center" wrapText="1"/>
    </xf>
    <xf numFmtId="0" fontId="67" fillId="0" borderId="15" xfId="57" applyFont="1" applyFill="1" applyBorder="1" applyAlignment="1">
      <alignment horizontal="left" vertical="center" wrapText="1"/>
    </xf>
    <xf numFmtId="0" fontId="78" fillId="0" borderId="32" xfId="57" applyFont="1" applyFill="1" applyBorder="1" applyAlignment="1">
      <alignment horizontal="left" vertical="center" wrapText="1"/>
    </xf>
    <xf numFmtId="196" fontId="79" fillId="0" borderId="32" xfId="53" applyNumberFormat="1" applyFont="1" applyFill="1" applyBorder="1" applyAlignment="1">
      <alignment horizontal="left" vertical="center" wrapText="1"/>
    </xf>
    <xf numFmtId="0" fontId="80" fillId="0" borderId="32" xfId="52" applyFont="1" applyFill="1" applyBorder="1" applyAlignment="1">
      <alignment horizontal="left" vertical="center" wrapText="1"/>
    </xf>
    <xf numFmtId="0" fontId="67" fillId="0" borderId="32" xfId="57" applyFont="1" applyFill="1" applyBorder="1" applyAlignment="1">
      <alignment horizontal="left" vertical="center" wrapText="1"/>
    </xf>
    <xf numFmtId="196" fontId="67" fillId="0" borderId="32" xfId="57" applyNumberFormat="1" applyFont="1" applyFill="1" applyBorder="1" applyAlignment="1">
      <alignment horizontal="left" vertical="center" wrapText="1"/>
    </xf>
    <xf numFmtId="178" fontId="67" fillId="0" borderId="32" xfId="54" applyNumberFormat="1" applyFont="1" applyFill="1" applyBorder="1" applyAlignment="1">
      <alignment horizontal="left" vertical="center" wrapText="1" shrinkToFit="1"/>
    </xf>
    <xf numFmtId="197" fontId="67" fillId="0" borderId="32" xfId="54" applyNumberFormat="1" applyFont="1" applyFill="1" applyBorder="1" applyAlignment="1">
      <alignment horizontal="right" vertical="center" wrapText="1" shrinkToFit="1"/>
    </xf>
    <xf numFmtId="0" fontId="81" fillId="0" borderId="32" xfId="57" applyFont="1" applyFill="1" applyBorder="1" applyAlignment="1">
      <alignment horizontal="center" vertical="center" wrapText="1"/>
    </xf>
    <xf numFmtId="189" fontId="67" fillId="0" borderId="32" xfId="57" applyNumberFormat="1" applyFont="1" applyFill="1" applyBorder="1" applyAlignment="1">
      <alignment horizontal="right" vertical="center" wrapText="1"/>
    </xf>
    <xf numFmtId="190" fontId="67" fillId="0" borderId="32" xfId="1" applyNumberFormat="1" applyFont="1" applyBorder="1" applyAlignment="1">
      <alignment horizontal="left" vertical="center" wrapText="1"/>
    </xf>
    <xf numFmtId="190" fontId="67" fillId="12" borderId="32" xfId="1" applyNumberFormat="1" applyFont="1" applyFill="1" applyBorder="1" applyAlignment="1">
      <alignment horizontal="left" vertical="center" wrapText="1"/>
    </xf>
    <xf numFmtId="191" fontId="67" fillId="0" borderId="32" xfId="1" applyNumberFormat="1" applyFont="1" applyBorder="1" applyAlignment="1">
      <alignment horizontal="right" vertical="center" wrapText="1"/>
    </xf>
    <xf numFmtId="9" fontId="67" fillId="0" borderId="32" xfId="49" applyFont="1" applyBorder="1" applyAlignment="1">
      <alignment horizontal="right" vertical="center" wrapText="1"/>
    </xf>
    <xf numFmtId="189" fontId="67" fillId="13" borderId="32" xfId="57" applyNumberFormat="1" applyFont="1" applyFill="1" applyBorder="1" applyAlignment="1">
      <alignment horizontal="right" vertical="center" wrapText="1"/>
    </xf>
    <xf numFmtId="190" fontId="67" fillId="0" borderId="32" xfId="1" applyNumberFormat="1" applyFont="1" applyBorder="1" applyAlignment="1">
      <alignment horizontal="right" vertical="center" wrapText="1"/>
    </xf>
    <xf numFmtId="192" fontId="67" fillId="10" borderId="16" xfId="57" applyNumberFormat="1" applyFont="1" applyFill="1" applyBorder="1" applyAlignment="1">
      <alignment horizontal="right" vertical="center" wrapText="1"/>
    </xf>
    <xf numFmtId="192" fontId="67" fillId="0" borderId="32" xfId="57" applyNumberFormat="1" applyFont="1" applyFill="1" applyBorder="1" applyAlignment="1">
      <alignment horizontal="right" vertical="center" wrapText="1"/>
    </xf>
    <xf numFmtId="0" fontId="67" fillId="0" borderId="32" xfId="57" applyFont="1" applyFill="1" applyBorder="1" applyAlignment="1">
      <alignment horizontal="right" vertical="center" wrapText="1"/>
    </xf>
    <xf numFmtId="0" fontId="85" fillId="0" borderId="26" xfId="57" applyFont="1" applyFill="1" applyBorder="1" applyAlignment="1">
      <alignment horizontal="left" vertical="center" wrapText="1"/>
    </xf>
    <xf numFmtId="179" fontId="86" fillId="0" borderId="26" xfId="56" applyNumberFormat="1" applyFont="1" applyFill="1" applyBorder="1" applyAlignment="1">
      <alignment horizontal="right" vertical="center" wrapText="1"/>
    </xf>
    <xf numFmtId="190" fontId="67" fillId="0" borderId="30" xfId="1" applyNumberFormat="1" applyFont="1" applyFill="1" applyBorder="1" applyAlignment="1">
      <alignment horizontal="right" vertical="center" wrapText="1" shrinkToFit="1"/>
    </xf>
    <xf numFmtId="196" fontId="86" fillId="0" borderId="4" xfId="56" applyNumberFormat="1" applyFont="1" applyFill="1" applyBorder="1" applyAlignment="1">
      <alignment horizontal="right" vertical="center" wrapText="1"/>
    </xf>
    <xf numFmtId="0" fontId="82" fillId="0" borderId="30" xfId="55" applyFont="1" applyFill="1" applyBorder="1" applyAlignment="1">
      <alignment horizontal="left" vertical="center" wrapText="1"/>
    </xf>
    <xf numFmtId="0" fontId="87" fillId="0" borderId="4" xfId="57" applyFont="1" applyFill="1" applyBorder="1" applyAlignment="1">
      <alignment horizontal="left" vertical="center" wrapText="1"/>
    </xf>
    <xf numFmtId="0" fontId="80" fillId="2" borderId="26" xfId="55" applyFont="1" applyFill="1" applyBorder="1" applyAlignment="1">
      <alignment horizontal="left" vertical="center" wrapText="1"/>
    </xf>
    <xf numFmtId="9" fontId="67" fillId="0" borderId="26" xfId="49" applyNumberFormat="1" applyFont="1" applyBorder="1" applyAlignment="1">
      <alignment horizontal="right" vertical="center" wrapText="1"/>
    </xf>
    <xf numFmtId="9" fontId="67" fillId="0" borderId="4" xfId="49" applyNumberFormat="1" applyFont="1" applyFill="1" applyBorder="1" applyAlignment="1">
      <alignment horizontal="right" vertical="center" wrapText="1"/>
    </xf>
    <xf numFmtId="190" fontId="82" fillId="0" borderId="30" xfId="1" applyNumberFormat="1" applyFont="1" applyFill="1" applyBorder="1" applyAlignment="1">
      <alignment horizontal="left" vertical="center" wrapText="1"/>
    </xf>
    <xf numFmtId="2" fontId="82" fillId="0" borderId="30" xfId="51" applyNumberFormat="1" applyFont="1" applyFill="1" applyBorder="1" applyAlignment="1">
      <alignment horizontal="left" vertical="center" wrapText="1"/>
    </xf>
    <xf numFmtId="2" fontId="82" fillId="0" borderId="26" xfId="51" applyNumberFormat="1" applyFont="1" applyFill="1" applyBorder="1" applyAlignment="1">
      <alignment horizontal="left" vertical="center" wrapText="1"/>
    </xf>
    <xf numFmtId="196" fontId="67" fillId="0" borderId="32" xfId="57" applyNumberFormat="1" applyFont="1" applyFill="1" applyBorder="1" applyAlignment="1">
      <alignment horizontal="right" vertical="center" wrapText="1"/>
    </xf>
    <xf numFmtId="178" fontId="67" fillId="0" borderId="32" xfId="54" applyNumberFormat="1" applyFont="1" applyFill="1" applyBorder="1" applyAlignment="1">
      <alignment horizontal="right" vertical="center" wrapText="1" shrinkToFit="1"/>
    </xf>
    <xf numFmtId="190" fontId="82" fillId="0" borderId="26" xfId="1" applyNumberFormat="1" applyFont="1" applyFill="1" applyBorder="1" applyAlignment="1">
      <alignment horizontal="left" vertical="center" wrapText="1"/>
    </xf>
    <xf numFmtId="9" fontId="67" fillId="0" borderId="4" xfId="49" applyFont="1" applyFill="1" applyBorder="1" applyAlignment="1">
      <alignment horizontal="right" vertical="center" wrapText="1"/>
    </xf>
    <xf numFmtId="0" fontId="80" fillId="0" borderId="26" xfId="57" applyFont="1" applyFill="1" applyBorder="1" applyAlignment="1">
      <alignment horizontal="left" vertical="center" wrapText="1"/>
    </xf>
    <xf numFmtId="0" fontId="80" fillId="0" borderId="4" xfId="57" applyFont="1" applyFill="1" applyBorder="1" applyAlignment="1">
      <alignment horizontal="left" vertical="center" wrapText="1"/>
    </xf>
    <xf numFmtId="0" fontId="80" fillId="0" borderId="30" xfId="57" applyFont="1" applyFill="1" applyBorder="1" applyAlignment="1">
      <alignment horizontal="left" vertical="center" wrapText="1"/>
    </xf>
    <xf numFmtId="0" fontId="0" fillId="0" borderId="0" xfId="0" applyFill="1" applyAlignment="1"/>
    <xf numFmtId="0" fontId="88" fillId="0" borderId="4" xfId="57" applyFont="1" applyFill="1" applyBorder="1" applyAlignment="1">
      <alignment horizontal="left" vertical="center" wrapText="1"/>
    </xf>
    <xf numFmtId="0" fontId="88" fillId="0" borderId="32" xfId="57" applyFont="1" applyFill="1" applyBorder="1" applyAlignment="1">
      <alignment horizontal="left" vertical="center" wrapText="1"/>
    </xf>
    <xf numFmtId="190" fontId="67" fillId="4" borderId="32" xfId="57" applyNumberFormat="1" applyFont="1" applyFill="1" applyBorder="1" applyAlignment="1">
      <alignment horizontal="left" vertical="center" wrapText="1"/>
    </xf>
    <xf numFmtId="190" fontId="70" fillId="9" borderId="33" xfId="1" applyNumberFormat="1" applyFont="1" applyFill="1" applyBorder="1" applyAlignment="1">
      <alignment horizontal="left" vertical="center" wrapText="1"/>
    </xf>
    <xf numFmtId="190" fontId="70" fillId="9" borderId="34" xfId="1" applyNumberFormat="1" applyFont="1" applyFill="1" applyBorder="1" applyAlignment="1">
      <alignment horizontal="left" vertical="center" wrapText="1"/>
    </xf>
    <xf numFmtId="191" fontId="69" fillId="9" borderId="34" xfId="1" applyNumberFormat="1" applyFont="1" applyFill="1" applyBorder="1" applyAlignment="1">
      <alignment horizontal="right" vertical="center" wrapText="1"/>
    </xf>
    <xf numFmtId="9" fontId="70" fillId="9" borderId="34" xfId="49" applyFont="1" applyFill="1" applyBorder="1" applyAlignment="1">
      <alignment horizontal="right" vertical="center" wrapText="1"/>
    </xf>
    <xf numFmtId="190" fontId="70" fillId="9" borderId="34" xfId="1" applyNumberFormat="1" applyFont="1" applyFill="1" applyBorder="1" applyAlignment="1">
      <alignment horizontal="right" vertical="center" wrapText="1"/>
    </xf>
    <xf numFmtId="190" fontId="70" fillId="9" borderId="35" xfId="1" applyNumberFormat="1" applyFont="1" applyFill="1" applyBorder="1" applyAlignment="1">
      <alignment horizontal="right" vertical="center" wrapText="1"/>
    </xf>
    <xf numFmtId="192" fontId="70" fillId="9" borderId="34" xfId="1" applyNumberFormat="1" applyFont="1" applyFill="1" applyBorder="1" applyAlignment="1">
      <alignment horizontal="right" vertical="center" wrapText="1"/>
    </xf>
    <xf numFmtId="190" fontId="70" fillId="9" borderId="7" xfId="1" applyNumberFormat="1" applyFont="1" applyFill="1" applyBorder="1" applyAlignment="1">
      <alignment horizontal="left" vertical="center" wrapText="1"/>
    </xf>
    <xf numFmtId="190" fontId="70" fillId="9" borderId="8" xfId="1" applyNumberFormat="1" applyFont="1" applyFill="1" applyBorder="1" applyAlignment="1">
      <alignment horizontal="left" vertical="center" wrapText="1"/>
    </xf>
    <xf numFmtId="190" fontId="70" fillId="9" borderId="3" xfId="1" applyNumberFormat="1" applyFont="1" applyFill="1" applyBorder="1" applyAlignment="1">
      <alignment horizontal="left" vertical="center" wrapText="1"/>
    </xf>
    <xf numFmtId="191" fontId="69" fillId="9" borderId="3" xfId="1" applyNumberFormat="1" applyFont="1" applyFill="1" applyBorder="1" applyAlignment="1">
      <alignment horizontal="right" vertical="center" wrapText="1"/>
    </xf>
    <xf numFmtId="9" fontId="70" fillId="9" borderId="3" xfId="49" applyFont="1" applyFill="1" applyBorder="1" applyAlignment="1">
      <alignment horizontal="right" vertical="center" wrapText="1"/>
    </xf>
    <xf numFmtId="190" fontId="70" fillId="9" borderId="3" xfId="1" applyNumberFormat="1" applyFont="1" applyFill="1" applyBorder="1" applyAlignment="1">
      <alignment horizontal="right" vertical="center" wrapText="1"/>
    </xf>
    <xf numFmtId="190" fontId="70" fillId="9" borderId="8" xfId="1" applyNumberFormat="1" applyFont="1" applyFill="1" applyBorder="1" applyAlignment="1">
      <alignment horizontal="right" vertical="center" wrapText="1"/>
    </xf>
    <xf numFmtId="192" fontId="70" fillId="9" borderId="3" xfId="1" applyNumberFormat="1" applyFont="1" applyFill="1" applyBorder="1" applyAlignment="1">
      <alignment horizontal="right" vertical="center" wrapText="1"/>
    </xf>
    <xf numFmtId="190" fontId="70" fillId="9" borderId="36" xfId="1" applyNumberFormat="1" applyFont="1" applyFill="1" applyBorder="1" applyAlignment="1">
      <alignment horizontal="left" vertical="center" wrapText="1"/>
    </xf>
    <xf numFmtId="190" fontId="70" fillId="9" borderId="37" xfId="1" applyNumberFormat="1" applyFont="1" applyFill="1" applyBorder="1" applyAlignment="1">
      <alignment vertical="center" wrapText="1"/>
    </xf>
    <xf numFmtId="190" fontId="70" fillId="9" borderId="1" xfId="1" applyNumberFormat="1" applyFont="1" applyFill="1" applyBorder="1" applyAlignment="1">
      <alignment horizontal="left" vertical="center" wrapText="1"/>
    </xf>
    <xf numFmtId="191" fontId="69" fillId="9" borderId="1" xfId="1" applyNumberFormat="1" applyFont="1" applyFill="1" applyBorder="1" applyAlignment="1">
      <alignment horizontal="right" vertical="center" wrapText="1"/>
    </xf>
    <xf numFmtId="190" fontId="70" fillId="9" borderId="1" xfId="1" applyNumberFormat="1" applyFont="1" applyFill="1" applyBorder="1" applyAlignment="1">
      <alignment horizontal="right" vertical="center" wrapText="1"/>
    </xf>
    <xf numFmtId="190" fontId="70" fillId="9" borderId="37" xfId="1" applyNumberFormat="1" applyFont="1" applyFill="1" applyBorder="1" applyAlignment="1">
      <alignment horizontal="right" vertical="center" wrapText="1"/>
    </xf>
    <xf numFmtId="192" fontId="70" fillId="9" borderId="1" xfId="1" applyNumberFormat="1" applyFont="1" applyFill="1" applyBorder="1" applyAlignment="1">
      <alignment horizontal="right" vertical="center" wrapText="1"/>
    </xf>
    <xf numFmtId="190" fontId="70" fillId="9" borderId="36" xfId="1" applyNumberFormat="1" applyFont="1" applyFill="1" applyBorder="1" applyAlignment="1">
      <alignment horizontal="left" vertical="center"/>
    </xf>
    <xf numFmtId="190" fontId="70" fillId="9" borderId="29" xfId="1" applyNumberFormat="1" applyFont="1" applyFill="1" applyBorder="1" applyAlignment="1">
      <alignment horizontal="left" vertical="center"/>
    </xf>
    <xf numFmtId="190" fontId="70" fillId="9" borderId="23" xfId="1" applyNumberFormat="1" applyFont="1" applyFill="1" applyBorder="1" applyAlignment="1">
      <alignment horizontal="left" vertical="center" wrapText="1"/>
    </xf>
    <xf numFmtId="191" fontId="69" fillId="9" borderId="23" xfId="1" applyNumberFormat="1" applyFont="1" applyFill="1" applyBorder="1" applyAlignment="1">
      <alignment horizontal="right" vertical="center" wrapText="1"/>
    </xf>
    <xf numFmtId="190" fontId="70" fillId="9" borderId="23" xfId="1" applyNumberFormat="1" applyFont="1" applyFill="1" applyBorder="1" applyAlignment="1">
      <alignment horizontal="right" vertical="center" wrapText="1"/>
    </xf>
    <xf numFmtId="190" fontId="70" fillId="9" borderId="21" xfId="1" applyNumberFormat="1" applyFont="1" applyFill="1" applyBorder="1" applyAlignment="1">
      <alignment horizontal="right" vertical="center" wrapText="1"/>
    </xf>
    <xf numFmtId="192" fontId="70" fillId="9" borderId="23" xfId="1" applyNumberFormat="1" applyFont="1" applyFill="1" applyBorder="1" applyAlignment="1">
      <alignment horizontal="right" vertical="center" wrapText="1"/>
    </xf>
    <xf numFmtId="190" fontId="67" fillId="0" borderId="0" xfId="57" applyNumberFormat="1" applyFont="1" applyFill="1" applyAlignment="1">
      <alignment horizontal="left" vertical="center" wrapText="1"/>
    </xf>
    <xf numFmtId="0" fontId="89" fillId="0" borderId="0" xfId="0" applyFont="1" applyFill="1" applyBorder="1" applyAlignment="1">
      <alignment vertical="center"/>
    </xf>
    <xf numFmtId="0" fontId="1" fillId="0" borderId="37" xfId="0" applyFont="1" applyFill="1" applyBorder="1" applyAlignment="1">
      <alignment horizontal="center" vertical="center"/>
    </xf>
    <xf numFmtId="0" fontId="1" fillId="0" borderId="38" xfId="0" applyFont="1" applyFill="1" applyBorder="1" applyAlignment="1">
      <alignment horizontal="center" vertical="center"/>
    </xf>
    <xf numFmtId="0" fontId="1" fillId="0" borderId="38" xfId="0" applyFont="1" applyFill="1" applyBorder="1" applyAlignment="1">
      <alignment horizontal="center" vertical="center" wrapText="1"/>
    </xf>
    <xf numFmtId="0" fontId="1" fillId="0" borderId="6" xfId="0" applyFont="1" applyFill="1" applyBorder="1" applyAlignment="1">
      <alignment horizontal="center" vertical="center"/>
    </xf>
    <xf numFmtId="176" fontId="90" fillId="0" borderId="1" xfId="1" applyNumberFormat="1" applyFont="1" applyBorder="1" applyAlignment="1">
      <alignment horizontal="center" vertical="center"/>
    </xf>
    <xf numFmtId="0" fontId="91" fillId="4" borderId="0" xfId="0" applyFont="1" applyFill="1" applyAlignment="1">
      <alignment horizontal="center" vertical="center"/>
    </xf>
    <xf numFmtId="201" fontId="90" fillId="0" borderId="1" xfId="1" applyNumberFormat="1" applyFont="1" applyBorder="1" applyAlignment="1">
      <alignment horizontal="center" vertical="center"/>
    </xf>
    <xf numFmtId="0" fontId="1" fillId="0" borderId="11"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13" xfId="0" applyFont="1" applyFill="1" applyBorder="1" applyAlignment="1">
      <alignment horizontal="center" vertical="center" wrapText="1"/>
    </xf>
    <xf numFmtId="0" fontId="1" fillId="0" borderId="12" xfId="0" applyFont="1" applyFill="1" applyBorder="1" applyAlignment="1">
      <alignment horizontal="center" vertical="center"/>
    </xf>
    <xf numFmtId="176" fontId="90" fillId="0" borderId="2" xfId="1" applyNumberFormat="1" applyFont="1" applyBorder="1" applyAlignment="1">
      <alignment horizontal="center" vertical="center"/>
    </xf>
    <xf numFmtId="0" fontId="90" fillId="0" borderId="0" xfId="0" applyFont="1" applyFill="1" applyBorder="1" applyAlignment="1">
      <alignment horizontal="center" vertical="center"/>
    </xf>
    <xf numFmtId="201" fontId="90" fillId="0" borderId="0" xfId="1" applyNumberFormat="1" applyFont="1" applyAlignment="1">
      <alignment horizontal="center" vertical="center"/>
    </xf>
    <xf numFmtId="0" fontId="92" fillId="0" borderId="1" xfId="0" applyFont="1" applyFill="1" applyBorder="1" applyAlignment="1">
      <alignment vertical="center"/>
    </xf>
    <xf numFmtId="0" fontId="92" fillId="0" borderId="1" xfId="0" applyFont="1" applyFill="1" applyBorder="1" applyAlignment="1">
      <alignment horizontal="center" vertical="center"/>
    </xf>
    <xf numFmtId="0" fontId="92" fillId="0" borderId="1" xfId="0" applyFont="1" applyFill="1" applyBorder="1" applyAlignment="1">
      <alignment horizontal="center" vertical="center" wrapText="1"/>
    </xf>
    <xf numFmtId="3" fontId="93" fillId="0" borderId="1" xfId="0" applyNumberFormat="1" applyFont="1" applyFill="1" applyBorder="1" applyAlignment="1">
      <alignment horizontal="center" vertical="center"/>
    </xf>
    <xf numFmtId="0" fontId="93" fillId="0" borderId="1" xfId="0" applyFont="1" applyFill="1" applyBorder="1" applyAlignment="1">
      <alignment horizontal="center" vertical="center"/>
    </xf>
    <xf numFmtId="180" fontId="90" fillId="0" borderId="1" xfId="1" applyNumberFormat="1" applyFont="1" applyBorder="1" applyAlignment="1">
      <alignment horizontal="center" vertical="center"/>
    </xf>
    <xf numFmtId="0" fontId="94" fillId="0" borderId="10" xfId="0" applyFont="1" applyFill="1" applyBorder="1" applyAlignment="1">
      <alignment horizontal="center" vertical="center" wrapText="1"/>
    </xf>
    <xf numFmtId="0" fontId="94" fillId="0" borderId="11" xfId="0" applyFont="1" applyFill="1" applyBorder="1" applyAlignment="1">
      <alignment horizontal="left" vertical="center"/>
    </xf>
    <xf numFmtId="0" fontId="94" fillId="0" borderId="12" xfId="0" applyFont="1" applyFill="1" applyBorder="1" applyAlignment="1">
      <alignment horizontal="left" vertical="center"/>
    </xf>
    <xf numFmtId="0" fontId="94" fillId="0" borderId="13" xfId="0" applyFont="1" applyFill="1" applyBorder="1" applyAlignment="1">
      <alignment horizontal="left" vertical="center"/>
    </xf>
    <xf numFmtId="0" fontId="49" fillId="0" borderId="37" xfId="0" applyFont="1" applyFill="1" applyBorder="1" applyAlignment="1">
      <alignment horizontal="left" vertical="center" indent="1"/>
    </xf>
    <xf numFmtId="0" fontId="95" fillId="0" borderId="38" xfId="0" applyFont="1" applyFill="1" applyBorder="1" applyAlignment="1">
      <alignment horizontal="left" vertical="center" indent="1"/>
    </xf>
    <xf numFmtId="0" fontId="95" fillId="0" borderId="13" xfId="0" applyFont="1" applyFill="1" applyBorder="1" applyAlignment="1">
      <alignment horizontal="left" vertical="center" indent="1"/>
    </xf>
    <xf numFmtId="0" fontId="96" fillId="0" borderId="11" xfId="0" applyFont="1" applyFill="1" applyBorder="1" applyAlignment="1">
      <alignment vertical="center" wrapText="1"/>
    </xf>
    <xf numFmtId="0" fontId="97" fillId="0" borderId="1" xfId="0" applyFont="1" applyFill="1" applyBorder="1" applyAlignment="1">
      <alignment horizontal="left" vertical="center" wrapText="1"/>
    </xf>
    <xf numFmtId="0" fontId="97" fillId="0" borderId="6" xfId="0" applyFont="1" applyFill="1" applyBorder="1" applyAlignment="1">
      <alignment horizontal="left" vertical="center" wrapText="1"/>
    </xf>
    <xf numFmtId="189" fontId="94" fillId="7" borderId="6" xfId="0" applyNumberFormat="1" applyFont="1" applyFill="1" applyBorder="1" applyAlignment="1">
      <alignment vertical="center"/>
    </xf>
    <xf numFmtId="189" fontId="94" fillId="16" borderId="2" xfId="0" applyNumberFormat="1" applyFont="1" applyFill="1" applyBorder="1" applyAlignment="1">
      <alignment horizontal="right" vertical="center"/>
    </xf>
    <xf numFmtId="0" fontId="89" fillId="0" borderId="1" xfId="0" applyFont="1" applyFill="1" applyBorder="1" applyAlignment="1">
      <alignment vertical="center"/>
    </xf>
    <xf numFmtId="201" fontId="95" fillId="0" borderId="1" xfId="1" applyNumberFormat="1" applyFont="1" applyBorder="1" applyAlignment="1">
      <alignment vertical="center"/>
    </xf>
    <xf numFmtId="180" fontId="90" fillId="4" borderId="1" xfId="1" applyNumberFormat="1" applyFont="1" applyFill="1" applyBorder="1" applyAlignment="1">
      <alignment horizontal="center" vertical="center"/>
    </xf>
    <xf numFmtId="0" fontId="98" fillId="0" borderId="20" xfId="0" applyFont="1" applyFill="1" applyBorder="1" applyAlignment="1">
      <alignment horizontal="left" vertical="center" wrapText="1"/>
    </xf>
    <xf numFmtId="0" fontId="99" fillId="8" borderId="11" xfId="0" applyFont="1" applyFill="1" applyBorder="1" applyAlignment="1">
      <alignment horizontal="center" vertical="center"/>
    </xf>
    <xf numFmtId="0" fontId="100" fillId="8" borderId="12" xfId="0" applyFont="1" applyFill="1" applyBorder="1" applyAlignment="1">
      <alignment horizontal="center" vertical="center"/>
    </xf>
    <xf numFmtId="0" fontId="100" fillId="8" borderId="13" xfId="0" applyFont="1" applyFill="1" applyBorder="1" applyAlignment="1">
      <alignment horizontal="center" vertical="center"/>
    </xf>
    <xf numFmtId="0" fontId="100" fillId="8" borderId="11" xfId="0" applyFont="1" applyFill="1" applyBorder="1" applyAlignment="1">
      <alignment horizontal="center" vertical="center"/>
    </xf>
    <xf numFmtId="14" fontId="100" fillId="8" borderId="11" xfId="0" applyNumberFormat="1" applyFont="1" applyFill="1" applyBorder="1" applyAlignment="1">
      <alignment horizontal="center" vertical="center" wrapText="1"/>
    </xf>
    <xf numFmtId="0" fontId="100" fillId="8" borderId="2" xfId="0" applyFont="1" applyFill="1" applyBorder="1" applyAlignment="1">
      <alignment vertical="center"/>
    </xf>
    <xf numFmtId="0" fontId="89" fillId="4" borderId="0" xfId="0" applyFont="1" applyFill="1" applyBorder="1" applyAlignment="1">
      <alignment horizontal="left" vertical="center"/>
    </xf>
    <xf numFmtId="189" fontId="99" fillId="8" borderId="12" xfId="0" applyNumberFormat="1" applyFont="1" applyFill="1" applyBorder="1" applyAlignment="1">
      <alignment vertical="center"/>
    </xf>
    <xf numFmtId="0" fontId="89" fillId="0" borderId="0" xfId="0" applyFont="1" applyFill="1" applyBorder="1" applyAlignment="1">
      <alignment horizontal="left" vertical="center"/>
    </xf>
    <xf numFmtId="0" fontId="49" fillId="0" borderId="1" xfId="0" applyFont="1" applyFill="1" applyBorder="1" applyAlignment="1">
      <alignment horizontal="left" vertical="center" indent="1"/>
    </xf>
    <xf numFmtId="0" fontId="95" fillId="0" borderId="1" xfId="0" applyFont="1" applyFill="1" applyBorder="1" applyAlignment="1">
      <alignment horizontal="left" vertical="center" indent="1"/>
    </xf>
    <xf numFmtId="0" fontId="96" fillId="0" borderId="1" xfId="0" applyFont="1" applyFill="1" applyBorder="1" applyAlignment="1">
      <alignment vertical="center" wrapText="1"/>
    </xf>
    <xf numFmtId="0" fontId="94" fillId="0" borderId="1" xfId="0" applyFont="1" applyFill="1" applyBorder="1" applyAlignment="1">
      <alignment horizontal="left" vertical="center"/>
    </xf>
    <xf numFmtId="0" fontId="0" fillId="0" borderId="1" xfId="0" applyBorder="1">
      <alignment vertical="center"/>
    </xf>
    <xf numFmtId="189" fontId="94" fillId="7" borderId="1" xfId="0" applyNumberFormat="1" applyFont="1" applyFill="1" applyBorder="1" applyAlignment="1">
      <alignment vertical="center"/>
    </xf>
    <xf numFmtId="0" fontId="95" fillId="0" borderId="37" xfId="0" applyFont="1" applyFill="1" applyBorder="1" applyAlignment="1">
      <alignment vertical="center"/>
    </xf>
    <xf numFmtId="0" fontId="101" fillId="0" borderId="37" xfId="0" applyFont="1" applyFill="1" applyBorder="1" applyAlignment="1">
      <alignment vertical="center" wrapText="1"/>
    </xf>
    <xf numFmtId="0" fontId="95" fillId="0" borderId="37" xfId="0" applyFont="1" applyFill="1" applyBorder="1" applyAlignment="1">
      <alignment vertical="center" wrapText="1"/>
    </xf>
    <xf numFmtId="0" fontId="98" fillId="0" borderId="19" xfId="0" applyFont="1" applyFill="1" applyBorder="1" applyAlignment="1">
      <alignment horizontal="left" vertical="center" wrapText="1"/>
    </xf>
    <xf numFmtId="0" fontId="102" fillId="4" borderId="37" xfId="0" applyFont="1" applyFill="1" applyBorder="1" applyAlignment="1">
      <alignment horizontal="center" vertical="center" wrapText="1"/>
    </xf>
    <xf numFmtId="0" fontId="102" fillId="4" borderId="6" xfId="0" applyFont="1" applyFill="1" applyBorder="1" applyAlignment="1">
      <alignment horizontal="center" vertical="center" wrapText="1"/>
    </xf>
    <xf numFmtId="0" fontId="103" fillId="4" borderId="1" xfId="0" applyFont="1" applyFill="1" applyBorder="1" applyAlignment="1">
      <alignment horizontal="center" vertical="center" wrapText="1"/>
    </xf>
    <xf numFmtId="0" fontId="49" fillId="4" borderId="1" xfId="0" applyFont="1" applyFill="1" applyBorder="1" applyAlignment="1">
      <alignment horizontal="left" vertical="center" indent="1"/>
    </xf>
    <xf numFmtId="0" fontId="95" fillId="4" borderId="1" xfId="0" applyFont="1" applyFill="1" applyBorder="1" applyAlignment="1">
      <alignment horizontal="left" vertical="center" indent="1"/>
    </xf>
    <xf numFmtId="0" fontId="96" fillId="4" borderId="1" xfId="0" applyFont="1" applyFill="1" applyBorder="1" applyAlignment="1">
      <alignment vertical="center" wrapText="1"/>
    </xf>
    <xf numFmtId="0" fontId="94" fillId="4" borderId="1" xfId="0" applyFont="1" applyFill="1" applyBorder="1" applyAlignment="1">
      <alignment horizontal="left" vertical="center"/>
    </xf>
    <xf numFmtId="0" fontId="0" fillId="4" borderId="1" xfId="0" applyFill="1" applyBorder="1">
      <alignment vertical="center"/>
    </xf>
    <xf numFmtId="189" fontId="94" fillId="4" borderId="1" xfId="0" applyNumberFormat="1" applyFont="1" applyFill="1" applyBorder="1" applyAlignment="1">
      <alignment vertical="center"/>
    </xf>
    <xf numFmtId="189" fontId="94" fillId="4" borderId="2" xfId="0" applyNumberFormat="1" applyFont="1" applyFill="1" applyBorder="1" applyAlignment="1">
      <alignment horizontal="right" vertical="center"/>
    </xf>
    <xf numFmtId="0" fontId="98" fillId="0" borderId="19" xfId="0" applyFont="1" applyFill="1" applyBorder="1" applyAlignment="1">
      <alignment horizontal="center" vertical="center" wrapText="1"/>
    </xf>
    <xf numFmtId="0" fontId="98" fillId="0" borderId="5" xfId="0" applyFont="1" applyFill="1" applyBorder="1" applyAlignment="1">
      <alignment horizontal="center" vertical="center" wrapText="1"/>
    </xf>
    <xf numFmtId="0" fontId="104" fillId="0" borderId="1" xfId="0" applyFont="1" applyFill="1" applyBorder="1" applyAlignment="1">
      <alignment horizontal="left" vertical="center" wrapText="1"/>
    </xf>
    <xf numFmtId="0" fontId="95" fillId="0" borderId="11" xfId="0" applyFont="1" applyFill="1" applyBorder="1" applyAlignment="1">
      <alignment vertical="center"/>
    </xf>
    <xf numFmtId="0" fontId="104" fillId="0" borderId="2" xfId="0" applyFont="1" applyFill="1" applyBorder="1" applyAlignment="1">
      <alignment horizontal="left" vertical="center" wrapText="1"/>
    </xf>
    <xf numFmtId="189" fontId="99" fillId="8" borderId="1" xfId="0" applyNumberFormat="1" applyFont="1" applyFill="1" applyBorder="1" applyAlignment="1">
      <alignment vertical="center"/>
    </xf>
    <xf numFmtId="0" fontId="105" fillId="0" borderId="39" xfId="0" applyFont="1" applyFill="1" applyBorder="1" applyAlignment="1">
      <alignment horizontal="left" vertical="center" wrapText="1"/>
    </xf>
    <xf numFmtId="0" fontId="105" fillId="0" borderId="24" xfId="0" applyFont="1" applyFill="1" applyBorder="1" applyAlignment="1">
      <alignment horizontal="left" vertical="center"/>
    </xf>
    <xf numFmtId="0" fontId="105" fillId="0" borderId="40" xfId="0" applyFont="1" applyFill="1" applyBorder="1" applyAlignment="1">
      <alignment horizontal="left" vertical="center"/>
    </xf>
    <xf numFmtId="0" fontId="106" fillId="0" borderId="41" xfId="0" applyFont="1" applyFill="1" applyBorder="1" applyAlignment="1">
      <alignment horizontal="left" vertical="center"/>
    </xf>
    <xf numFmtId="0" fontId="107" fillId="0" borderId="0" xfId="0" applyFont="1" applyFill="1" applyBorder="1" applyAlignment="1"/>
    <xf numFmtId="0" fontId="107" fillId="0" borderId="0" xfId="0" applyFont="1" applyFill="1" applyBorder="1" applyAlignment="1">
      <alignment horizontal="center"/>
    </xf>
    <xf numFmtId="201" fontId="90" fillId="0" borderId="1" xfId="1" applyNumberFormat="1" applyFont="1" applyFill="1" applyBorder="1" applyAlignment="1">
      <alignment horizontal="center" vertical="center"/>
    </xf>
    <xf numFmtId="201" fontId="90" fillId="4" borderId="1" xfId="1" applyNumberFormat="1" applyFont="1" applyFill="1" applyBorder="1" applyAlignment="1">
      <alignment horizontal="center" vertical="center"/>
    </xf>
    <xf numFmtId="0" fontId="99" fillId="6" borderId="7" xfId="0" applyFont="1" applyFill="1" applyBorder="1" applyAlignment="1">
      <alignment vertical="center"/>
    </xf>
    <xf numFmtId="0" fontId="99" fillId="6" borderId="8" xfId="0" applyFont="1" applyFill="1" applyBorder="1" applyAlignment="1">
      <alignment horizontal="center" vertical="center"/>
    </xf>
    <xf numFmtId="0" fontId="99" fillId="6" borderId="5" xfId="0" applyFont="1" applyFill="1" applyBorder="1" applyAlignment="1">
      <alignment horizontal="center" vertical="center"/>
    </xf>
    <xf numFmtId="0" fontId="99" fillId="6" borderId="9" xfId="0" applyFont="1" applyFill="1" applyBorder="1" applyAlignment="1">
      <alignment horizontal="center" vertical="center"/>
    </xf>
    <xf numFmtId="0" fontId="99" fillId="6" borderId="1" xfId="0" applyFont="1" applyFill="1" applyBorder="1" applyAlignment="1">
      <alignment horizontal="center" vertical="center"/>
    </xf>
    <xf numFmtId="0" fontId="100" fillId="6" borderId="9" xfId="0" applyFont="1" applyFill="1" applyBorder="1" applyAlignment="1">
      <alignment vertical="center"/>
    </xf>
    <xf numFmtId="0" fontId="99" fillId="6" borderId="3" xfId="0" applyFont="1" applyFill="1" applyBorder="1" applyAlignment="1">
      <alignment horizontal="center" vertical="center"/>
    </xf>
    <xf numFmtId="3" fontId="99" fillId="6" borderId="8" xfId="0" applyNumberFormat="1" applyFont="1" applyFill="1" applyBorder="1" applyAlignment="1">
      <alignment horizontal="center" vertical="center"/>
    </xf>
    <xf numFmtId="3" fontId="99" fillId="6" borderId="42" xfId="0" applyNumberFormat="1" applyFont="1" applyFill="1" applyBorder="1" applyAlignment="1">
      <alignment horizontal="center" vertical="center"/>
    </xf>
    <xf numFmtId="0" fontId="95" fillId="0" borderId="13" xfId="0" applyFont="1" applyFill="1" applyBorder="1" applyAlignment="1">
      <alignment horizontal="center" vertical="center"/>
    </xf>
    <xf numFmtId="0" fontId="95" fillId="0" borderId="12" xfId="0" applyFont="1" applyFill="1" applyBorder="1" applyAlignment="1">
      <alignment horizontal="center" vertical="center"/>
    </xf>
    <xf numFmtId="202" fontId="95" fillId="0" borderId="11" xfId="0" applyNumberFormat="1" applyFont="1" applyFill="1" applyBorder="1" applyAlignment="1">
      <alignment vertical="center"/>
    </xf>
    <xf numFmtId="189" fontId="94" fillId="7" borderId="5" xfId="0" applyNumberFormat="1" applyFont="1" applyFill="1" applyBorder="1" applyAlignment="1">
      <alignment vertical="center"/>
    </xf>
    <xf numFmtId="0" fontId="100" fillId="8" borderId="15" xfId="0" applyFont="1" applyFill="1" applyBorder="1" applyAlignment="1">
      <alignment vertical="center"/>
    </xf>
    <xf numFmtId="0" fontId="99" fillId="8" borderId="16" xfId="0" applyFont="1" applyFill="1" applyBorder="1" applyAlignment="1">
      <alignment vertical="center"/>
    </xf>
    <xf numFmtId="0" fontId="100" fillId="8" borderId="17" xfId="0" applyFont="1" applyFill="1" applyBorder="1" applyAlignment="1">
      <alignment horizontal="left" vertical="center" indent="2"/>
    </xf>
    <xf numFmtId="0" fontId="99" fillId="8" borderId="17" xfId="0" applyFont="1" applyFill="1" applyBorder="1" applyAlignment="1">
      <alignment horizontal="left" vertical="center" indent="1"/>
    </xf>
    <xf numFmtId="189" fontId="99" fillId="8" borderId="4" xfId="0" applyNumberFormat="1" applyFont="1" applyFill="1" applyBorder="1" applyAlignment="1">
      <alignment vertical="center"/>
    </xf>
    <xf numFmtId="0" fontId="108" fillId="0" borderId="19" xfId="0" applyFont="1" applyFill="1" applyBorder="1" applyAlignment="1">
      <alignment horizontal="left" vertical="center" wrapText="1"/>
    </xf>
    <xf numFmtId="0" fontId="109" fillId="0" borderId="1" xfId="0" applyFont="1" applyFill="1" applyBorder="1" applyAlignment="1">
      <alignment horizontal="center" vertical="center" wrapText="1"/>
    </xf>
    <xf numFmtId="202" fontId="89" fillId="0" borderId="8" xfId="0" applyNumberFormat="1" applyFont="1" applyFill="1" applyBorder="1" applyAlignment="1">
      <alignment vertical="center"/>
    </xf>
    <xf numFmtId="0" fontId="110" fillId="0" borderId="19" xfId="0" applyFont="1" applyFill="1" applyBorder="1" applyAlignment="1">
      <alignment horizontal="left" vertical="center" wrapText="1"/>
    </xf>
    <xf numFmtId="202" fontId="89" fillId="0" borderId="37" xfId="0" applyNumberFormat="1" applyFont="1" applyFill="1" applyBorder="1" applyAlignment="1">
      <alignment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11" fillId="0" borderId="11" xfId="0" applyFont="1" applyFill="1" applyBorder="1" applyAlignment="1">
      <alignment horizontal="center" vertical="center" wrapText="1"/>
    </xf>
    <xf numFmtId="0" fontId="111" fillId="0" borderId="2" xfId="0" applyFont="1" applyFill="1" applyBorder="1" applyAlignment="1">
      <alignment horizontal="center" vertical="center" wrapText="1"/>
    </xf>
    <xf numFmtId="202" fontId="95" fillId="0" borderId="37" xfId="0" applyNumberFormat="1" applyFont="1" applyFill="1" applyBorder="1" applyAlignment="1">
      <alignment vertical="center"/>
    </xf>
    <xf numFmtId="189" fontId="94" fillId="7" borderId="12" xfId="0" applyNumberFormat="1" applyFont="1" applyFill="1" applyBorder="1" applyAlignment="1">
      <alignment vertical="center"/>
    </xf>
    <xf numFmtId="0" fontId="2" fillId="0" borderId="4" xfId="0" applyFont="1" applyFill="1" applyBorder="1" applyAlignment="1">
      <alignment horizontal="center" vertical="center" wrapText="1"/>
    </xf>
    <xf numFmtId="0" fontId="112" fillId="0" borderId="1" xfId="0" applyFont="1" applyFill="1" applyBorder="1" applyAlignment="1"/>
    <xf numFmtId="0" fontId="2" fillId="0" borderId="3" xfId="0" applyFont="1" applyFill="1" applyBorder="1" applyAlignment="1">
      <alignment horizontal="center" vertical="center" wrapText="1"/>
    </xf>
    <xf numFmtId="0" fontId="113" fillId="0" borderId="1" xfId="0" applyFont="1" applyFill="1" applyBorder="1" applyAlignment="1">
      <alignment horizontal="center" vertical="center" wrapText="1"/>
    </xf>
    <xf numFmtId="0" fontId="111" fillId="0" borderId="1"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99" fillId="8" borderId="20" xfId="0" applyFont="1" applyFill="1" applyBorder="1" applyAlignment="1">
      <alignment horizontal="center" vertical="center"/>
    </xf>
    <xf numFmtId="0" fontId="99" fillId="8" borderId="13" xfId="0" applyFont="1" applyFill="1" applyBorder="1" applyAlignment="1">
      <alignment vertical="center"/>
    </xf>
    <xf numFmtId="0" fontId="99" fillId="8" borderId="12" xfId="0" applyFont="1" applyFill="1" applyBorder="1" applyAlignment="1">
      <alignment horizontal="left" vertical="center" indent="2"/>
    </xf>
    <xf numFmtId="0" fontId="99" fillId="8" borderId="21" xfId="0" applyFont="1" applyFill="1" applyBorder="1" applyAlignment="1">
      <alignment horizontal="left" vertical="center" indent="2"/>
    </xf>
    <xf numFmtId="0" fontId="99" fillId="8" borderId="22" xfId="0" applyFont="1" applyFill="1" applyBorder="1" applyAlignment="1">
      <alignment horizontal="left" vertical="center" indent="2"/>
    </xf>
    <xf numFmtId="0" fontId="99" fillId="8" borderId="43" xfId="0" applyFont="1" applyFill="1" applyBorder="1" applyAlignment="1">
      <alignment horizontal="left" vertical="center" indent="2"/>
    </xf>
    <xf numFmtId="202" fontId="99" fillId="8" borderId="11" xfId="0" applyNumberFormat="1" applyFont="1" applyFill="1" applyBorder="1" applyAlignment="1">
      <alignment vertical="center"/>
    </xf>
    <xf numFmtId="189" fontId="99" fillId="8" borderId="23" xfId="0" applyNumberFormat="1" applyFont="1" applyFill="1" applyBorder="1" applyAlignment="1">
      <alignment vertical="center"/>
    </xf>
    <xf numFmtId="0" fontId="114" fillId="0" borderId="24" xfId="0" applyFont="1" applyFill="1" applyBorder="1" applyAlignment="1">
      <alignment horizontal="left" vertical="center" wrapText="1"/>
    </xf>
    <xf numFmtId="0" fontId="115" fillId="0" borderId="24" xfId="0" applyFont="1" applyFill="1" applyBorder="1" applyAlignment="1">
      <alignment horizontal="left" vertical="center" wrapText="1"/>
    </xf>
    <xf numFmtId="0" fontId="116" fillId="0" borderId="24" xfId="0" applyFont="1" applyFill="1" applyBorder="1" applyAlignment="1">
      <alignment horizontal="left" vertical="center" wrapText="1"/>
    </xf>
    <xf numFmtId="0" fontId="116" fillId="0" borderId="41" xfId="0" applyFont="1" applyFill="1" applyBorder="1" applyAlignment="1">
      <alignment horizontal="left" vertical="center" wrapText="1"/>
    </xf>
    <xf numFmtId="0" fontId="117" fillId="0" borderId="0" xfId="0" applyFont="1" applyFill="1" applyBorder="1" applyAlignment="1">
      <alignment vertical="center"/>
    </xf>
    <xf numFmtId="0" fontId="118" fillId="0" borderId="0" xfId="0" applyFont="1" applyFill="1" applyBorder="1" applyAlignment="1">
      <alignment vertical="center"/>
    </xf>
    <xf numFmtId="0" fontId="98" fillId="0" borderId="0" xfId="0" applyFont="1" applyFill="1" applyBorder="1" applyAlignment="1">
      <alignment vertical="center"/>
    </xf>
    <xf numFmtId="0" fontId="119" fillId="0" borderId="0" xfId="0" applyFont="1" applyFill="1" applyBorder="1" applyAlignment="1">
      <alignment vertical="center"/>
    </xf>
    <xf numFmtId="203" fontId="67" fillId="0" borderId="0" xfId="57" applyNumberFormat="1" applyFont="1" applyFill="1" applyAlignment="1">
      <alignment horizontal="left" vertical="center" wrapText="1"/>
    </xf>
    <xf numFmtId="194" fontId="70" fillId="9" borderId="1" xfId="1" applyNumberFormat="1" applyFont="1" applyFill="1" applyBorder="1" applyAlignment="1">
      <alignment horizontal="right" vertical="center" wrapText="1"/>
    </xf>
    <xf numFmtId="194" fontId="70" fillId="9" borderId="2" xfId="1" applyNumberFormat="1" applyFont="1" applyFill="1" applyBorder="1" applyAlignment="1">
      <alignment horizontal="right" vertical="center" wrapText="1"/>
    </xf>
    <xf numFmtId="192" fontId="70" fillId="9" borderId="1" xfId="57" applyNumberFormat="1" applyFont="1" applyFill="1" applyBorder="1" applyAlignment="1">
      <alignment horizontal="left" vertical="center" wrapText="1"/>
    </xf>
    <xf numFmtId="0" fontId="72" fillId="9" borderId="2" xfId="54" applyFont="1" applyFill="1" applyBorder="1" applyAlignment="1">
      <alignment horizontal="left" vertical="top" wrapText="1"/>
    </xf>
    <xf numFmtId="190" fontId="76" fillId="9" borderId="2" xfId="1" applyNumberFormat="1" applyFont="1" applyFill="1" applyBorder="1" applyAlignment="1">
      <alignment horizontal="left" vertical="top" wrapText="1"/>
    </xf>
    <xf numFmtId="190" fontId="73" fillId="9" borderId="2" xfId="1" applyNumberFormat="1" applyFont="1" applyFill="1" applyBorder="1" applyAlignment="1">
      <alignment horizontal="left" vertical="top" wrapText="1"/>
    </xf>
    <xf numFmtId="192" fontId="68" fillId="10" borderId="11" xfId="1" applyNumberFormat="1" applyFont="1" applyFill="1" applyBorder="1" applyAlignment="1">
      <alignment horizontal="left" vertical="top" wrapText="1"/>
    </xf>
    <xf numFmtId="203" fontId="68" fillId="11" borderId="2" xfId="57" applyNumberFormat="1" applyFont="1" applyFill="1" applyBorder="1" applyAlignment="1">
      <alignment horizontal="left" vertical="top" wrapText="1"/>
    </xf>
    <xf numFmtId="0" fontId="82" fillId="0" borderId="26" xfId="55" applyFont="1" applyFill="1" applyBorder="1" applyAlignment="1">
      <alignment horizontal="left" vertical="center" wrapText="1"/>
    </xf>
    <xf numFmtId="0" fontId="82" fillId="0" borderId="26" xfId="52" applyFont="1" applyFill="1" applyBorder="1" applyAlignment="1">
      <alignment horizontal="left" vertical="center" wrapText="1"/>
    </xf>
    <xf numFmtId="190" fontId="67" fillId="4" borderId="26" xfId="1" applyNumberFormat="1" applyFont="1" applyFill="1" applyBorder="1" applyAlignment="1">
      <alignment horizontal="left" vertical="center" wrapText="1"/>
    </xf>
    <xf numFmtId="0" fontId="67" fillId="0" borderId="26" xfId="57" applyFont="1" applyFill="1" applyBorder="1" applyAlignment="1">
      <alignment horizontal="center" vertical="center" wrapText="1"/>
    </xf>
    <xf numFmtId="190" fontId="67" fillId="12" borderId="18" xfId="1" applyNumberFormat="1" applyFont="1" applyFill="1" applyBorder="1" applyAlignment="1">
      <alignment horizontal="left" vertical="center" wrapText="1"/>
    </xf>
    <xf numFmtId="180" fontId="67" fillId="12" borderId="26" xfId="57" applyNumberFormat="1" applyFont="1" applyFill="1" applyBorder="1" applyAlignment="1">
      <alignment horizontal="right" vertical="center" wrapText="1"/>
    </xf>
    <xf numFmtId="203" fontId="67" fillId="0" borderId="26" xfId="57" applyNumberFormat="1" applyFont="1" applyFill="1" applyBorder="1" applyAlignment="1">
      <alignment horizontal="right" vertical="center" wrapText="1"/>
    </xf>
    <xf numFmtId="0" fontId="82" fillId="4" borderId="4" xfId="55" applyFont="1" applyFill="1" applyBorder="1" applyAlignment="1">
      <alignment horizontal="left" vertical="center" wrapText="1"/>
    </xf>
    <xf numFmtId="0" fontId="82" fillId="0" borderId="4" xfId="52" applyFont="1" applyFill="1" applyBorder="1" applyAlignment="1">
      <alignment horizontal="left" vertical="center" wrapText="1"/>
    </xf>
    <xf numFmtId="0" fontId="67" fillId="0" borderId="4" xfId="57" applyFont="1" applyFill="1" applyBorder="1" applyAlignment="1">
      <alignment horizontal="center" vertical="center" wrapText="1"/>
    </xf>
    <xf numFmtId="190" fontId="67" fillId="12" borderId="19" xfId="1" applyNumberFormat="1" applyFont="1" applyFill="1" applyBorder="1" applyAlignment="1">
      <alignment horizontal="left" vertical="center" wrapText="1"/>
    </xf>
    <xf numFmtId="180" fontId="67" fillId="12" borderId="4" xfId="57" applyNumberFormat="1" applyFont="1" applyFill="1" applyBorder="1" applyAlignment="1">
      <alignment horizontal="right" vertical="center" wrapText="1"/>
    </xf>
    <xf numFmtId="203" fontId="67" fillId="0" borderId="4" xfId="57" applyNumberFormat="1" applyFont="1" applyFill="1" applyBorder="1" applyAlignment="1">
      <alignment horizontal="right" vertical="center" wrapText="1"/>
    </xf>
    <xf numFmtId="0" fontId="82" fillId="0" borderId="4" xfId="55" applyFont="1" applyFill="1" applyBorder="1" applyAlignment="1">
      <alignment horizontal="left" vertical="center" wrapText="1"/>
    </xf>
    <xf numFmtId="0" fontId="67" fillId="17" borderId="4" xfId="57" applyFont="1" applyFill="1" applyBorder="1" applyAlignment="1">
      <alignment horizontal="left" vertical="center" wrapText="1"/>
    </xf>
    <xf numFmtId="0" fontId="82" fillId="0" borderId="30" xfId="52" applyFont="1" applyFill="1" applyBorder="1" applyAlignment="1">
      <alignment horizontal="left" vertical="center" wrapText="1"/>
    </xf>
    <xf numFmtId="0" fontId="67" fillId="0" borderId="30" xfId="57" applyFont="1" applyFill="1" applyBorder="1" applyAlignment="1">
      <alignment horizontal="center" vertical="center" wrapText="1"/>
    </xf>
    <xf numFmtId="190" fontId="67" fillId="12" borderId="44" xfId="1" applyNumberFormat="1" applyFont="1" applyFill="1" applyBorder="1" applyAlignment="1">
      <alignment horizontal="left" vertical="center" wrapText="1"/>
    </xf>
    <xf numFmtId="180" fontId="67" fillId="12" borderId="30" xfId="57" applyNumberFormat="1" applyFont="1" applyFill="1" applyBorder="1" applyAlignment="1">
      <alignment horizontal="right" vertical="center" wrapText="1"/>
    </xf>
    <xf numFmtId="203" fontId="67" fillId="0" borderId="30" xfId="57" applyNumberFormat="1" applyFont="1" applyFill="1" applyBorder="1" applyAlignment="1">
      <alignment horizontal="right" vertical="center" wrapText="1"/>
    </xf>
    <xf numFmtId="0" fontId="67" fillId="17" borderId="26" xfId="57" applyFont="1" applyFill="1" applyBorder="1" applyAlignment="1">
      <alignment horizontal="left" vertical="center" wrapText="1"/>
    </xf>
    <xf numFmtId="0" fontId="82" fillId="4" borderId="26" xfId="55" applyFont="1" applyFill="1" applyBorder="1" applyAlignment="1">
      <alignment horizontal="left" vertical="center" wrapText="1"/>
    </xf>
    <xf numFmtId="203" fontId="67" fillId="0" borderId="4" xfId="0" applyNumberFormat="1" applyFont="1" applyFill="1" applyBorder="1" applyAlignment="1">
      <alignment horizontal="right" vertical="center" wrapText="1"/>
    </xf>
    <xf numFmtId="0" fontId="82" fillId="2" borderId="26" xfId="55" applyFont="1" applyFill="1" applyBorder="1" applyAlignment="1">
      <alignment horizontal="left" vertical="center" wrapText="1"/>
    </xf>
    <xf numFmtId="190" fontId="67" fillId="4" borderId="4" xfId="1" applyNumberFormat="1" applyFont="1" applyFill="1" applyBorder="1" applyAlignment="1">
      <alignment horizontal="left" vertical="center" wrapText="1"/>
    </xf>
    <xf numFmtId="0" fontId="67" fillId="0" borderId="0" xfId="57" applyFont="1" applyFill="1" applyAlignment="1">
      <alignment horizontal="center" vertical="center" wrapText="1"/>
    </xf>
    <xf numFmtId="2" fontId="82" fillId="17" borderId="4" xfId="51" applyNumberFormat="1" applyFont="1" applyFill="1" applyBorder="1" applyAlignment="1">
      <alignment horizontal="left" vertical="center" wrapText="1"/>
    </xf>
    <xf numFmtId="190" fontId="82" fillId="4" borderId="4" xfId="1" applyNumberFormat="1" applyFont="1" applyFill="1" applyBorder="1" applyAlignment="1">
      <alignment horizontal="left" vertical="center" wrapText="1"/>
    </xf>
    <xf numFmtId="196" fontId="120" fillId="0" borderId="26" xfId="53" applyNumberFormat="1" applyFont="1" applyFill="1" applyBorder="1" applyAlignment="1">
      <alignment horizontal="left" vertical="center" wrapText="1"/>
    </xf>
    <xf numFmtId="196" fontId="120" fillId="0" borderId="0" xfId="53" applyNumberFormat="1" applyFont="1" applyFill="1" applyBorder="1" applyAlignment="1">
      <alignment horizontal="left" vertical="center" wrapText="1"/>
    </xf>
    <xf numFmtId="0" fontId="82" fillId="0" borderId="19" xfId="52" applyFont="1" applyFill="1" applyBorder="1" applyAlignment="1">
      <alignment horizontal="left" vertical="center" wrapText="1"/>
    </xf>
    <xf numFmtId="196" fontId="120" fillId="0" borderId="4" xfId="53" applyNumberFormat="1" applyFont="1" applyFill="1" applyBorder="1" applyAlignment="1">
      <alignment horizontal="left" vertical="center" wrapText="1"/>
    </xf>
    <xf numFmtId="0" fontId="82" fillId="0" borderId="32" xfId="52" applyFont="1" applyFill="1" applyBorder="1" applyAlignment="1">
      <alignment horizontal="left" vertical="center" wrapText="1"/>
    </xf>
    <xf numFmtId="0" fontId="67" fillId="0" borderId="32" xfId="57" applyFont="1" applyFill="1" applyBorder="1" applyAlignment="1">
      <alignment horizontal="center" vertical="center" wrapText="1"/>
    </xf>
    <xf numFmtId="0" fontId="67" fillId="12" borderId="32" xfId="57" applyFont="1" applyFill="1" applyBorder="1" applyAlignment="1">
      <alignment horizontal="left" vertical="center" wrapText="1"/>
    </xf>
    <xf numFmtId="180" fontId="67" fillId="12" borderId="32" xfId="57" applyNumberFormat="1" applyFont="1" applyFill="1" applyBorder="1" applyAlignment="1">
      <alignment horizontal="right" vertical="center" wrapText="1"/>
    </xf>
    <xf numFmtId="203" fontId="67" fillId="0" borderId="32" xfId="57" applyNumberFormat="1" applyFont="1" applyFill="1" applyBorder="1" applyAlignment="1">
      <alignment horizontal="right" vertical="center" wrapText="1"/>
    </xf>
    <xf numFmtId="0" fontId="67" fillId="0" borderId="20" xfId="57" applyFont="1" applyFill="1" applyBorder="1" applyAlignment="1">
      <alignment horizontal="left" vertical="center" wrapText="1"/>
    </xf>
    <xf numFmtId="196" fontId="67" fillId="0" borderId="4" xfId="57" applyNumberFormat="1" applyFont="1" applyFill="1" applyBorder="1" applyAlignment="1">
      <alignment horizontal="left" vertical="center" wrapText="1"/>
    </xf>
    <xf numFmtId="178" fontId="67" fillId="0" borderId="4" xfId="54" applyNumberFormat="1" applyFont="1" applyFill="1" applyBorder="1" applyAlignment="1">
      <alignment horizontal="left" vertical="center" wrapText="1" shrinkToFit="1"/>
    </xf>
    <xf numFmtId="0" fontId="67" fillId="12" borderId="4" xfId="57" applyFont="1" applyFill="1" applyBorder="1" applyAlignment="1">
      <alignment horizontal="left" vertical="center" wrapText="1"/>
    </xf>
    <xf numFmtId="190" fontId="82" fillId="4" borderId="26" xfId="1" applyNumberFormat="1" applyFont="1" applyFill="1" applyBorder="1" applyAlignment="1">
      <alignment horizontal="left" vertical="center" wrapText="1"/>
    </xf>
    <xf numFmtId="0" fontId="88" fillId="0" borderId="26" xfId="57" applyFont="1" applyFill="1" applyBorder="1" applyAlignment="1">
      <alignment horizontal="left" vertical="center" wrapText="1"/>
    </xf>
    <xf numFmtId="203" fontId="70" fillId="9" borderId="34" xfId="1" applyNumberFormat="1" applyFont="1" applyFill="1" applyBorder="1" applyAlignment="1">
      <alignment horizontal="right" vertical="center" wrapText="1"/>
    </xf>
    <xf numFmtId="190" fontId="70" fillId="9" borderId="1" xfId="1" applyNumberFormat="1" applyFont="1" applyFill="1" applyBorder="1" applyAlignment="1">
      <alignment vertical="center" wrapText="1"/>
    </xf>
    <xf numFmtId="203" fontId="70" fillId="9" borderId="1" xfId="1" applyNumberFormat="1" applyFont="1" applyFill="1" applyBorder="1" applyAlignment="1">
      <alignment horizontal="right" vertical="center" wrapText="1"/>
    </xf>
    <xf numFmtId="203" fontId="70" fillId="9" borderId="23" xfId="1" applyNumberFormat="1" applyFont="1" applyFill="1" applyBorder="1" applyAlignment="1">
      <alignment horizontal="right" vertical="center" wrapText="1"/>
    </xf>
    <xf numFmtId="190" fontId="88" fillId="4" borderId="0" xfId="1" applyNumberFormat="1" applyFont="1" applyFill="1" applyAlignment="1">
      <alignment horizontal="left" vertical="center" wrapText="1"/>
    </xf>
    <xf numFmtId="190" fontId="67" fillId="4" borderId="0" xfId="1" applyNumberFormat="1" applyFont="1" applyFill="1" applyAlignment="1">
      <alignment horizontal="left" vertical="center" wrapText="1"/>
    </xf>
    <xf numFmtId="0" fontId="121" fillId="0" borderId="18" xfId="0" applyFont="1" applyFill="1" applyBorder="1"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xf>
    <xf numFmtId="0" fontId="0" fillId="0" borderId="0" xfId="0" applyFill="1" applyAlignment="1">
      <alignment horizontal="center" vertical="center"/>
    </xf>
    <xf numFmtId="0" fontId="122" fillId="0" borderId="0" xfId="0" applyFont="1" applyAlignment="1">
      <alignment vertical="center"/>
    </xf>
    <xf numFmtId="0" fontId="122" fillId="0" borderId="0" xfId="0" applyFont="1" applyAlignment="1">
      <alignment horizontal="center" vertical="center"/>
    </xf>
    <xf numFmtId="0" fontId="123" fillId="0" borderId="0" xfId="0" applyFont="1" applyAlignment="1">
      <alignment horizontal="center" vertical="center"/>
    </xf>
    <xf numFmtId="0" fontId="9" fillId="0" borderId="1" xfId="0" applyFont="1" applyFill="1" applyBorder="1" applyAlignment="1">
      <alignment horizontal="center" vertical="center" wrapText="1"/>
    </xf>
    <xf numFmtId="0" fontId="124" fillId="0" borderId="1" xfId="0" applyFont="1" applyFill="1" applyBorder="1" applyAlignment="1">
      <alignment horizontal="center" vertical="center" wrapText="1"/>
    </xf>
    <xf numFmtId="0" fontId="123" fillId="18" borderId="1" xfId="0" applyFont="1" applyFill="1" applyBorder="1" applyAlignment="1">
      <alignment horizontal="center" vertical="center" wrapText="1"/>
    </xf>
    <xf numFmtId="0" fontId="123" fillId="2" borderId="1" xfId="0" applyFont="1" applyFill="1" applyBorder="1" applyAlignment="1">
      <alignment horizontal="center" vertical="center" wrapText="1"/>
    </xf>
    <xf numFmtId="0" fontId="125" fillId="2" borderId="1" xfId="0" applyFont="1" applyFill="1" applyBorder="1" applyAlignment="1">
      <alignment horizontal="center" vertical="center" wrapText="1"/>
    </xf>
    <xf numFmtId="0" fontId="126" fillId="2" borderId="1" xfId="0" applyFont="1" applyFill="1" applyBorder="1" applyAlignment="1">
      <alignment horizontal="center" vertical="center" wrapText="1"/>
    </xf>
    <xf numFmtId="0" fontId="124" fillId="2" borderId="1" xfId="0" applyFont="1" applyFill="1" applyBorder="1" applyAlignment="1">
      <alignment horizontal="center" vertical="center" wrapText="1"/>
    </xf>
    <xf numFmtId="0" fontId="123" fillId="2" borderId="1" xfId="0" applyFont="1" applyFill="1" applyBorder="1" applyAlignment="1">
      <alignment horizontal="center" vertical="center"/>
    </xf>
    <xf numFmtId="0" fontId="123" fillId="4" borderId="1" xfId="0" applyFont="1" applyFill="1" applyBorder="1" applyAlignment="1">
      <alignment horizontal="center" vertical="center" wrapText="1"/>
    </xf>
    <xf numFmtId="0" fontId="127" fillId="18" borderId="1" xfId="0" applyFont="1" applyFill="1" applyBorder="1" applyAlignment="1">
      <alignment horizontal="center" vertical="center" wrapText="1"/>
    </xf>
    <xf numFmtId="0" fontId="125" fillId="0" borderId="1" xfId="0" applyFont="1" applyFill="1" applyBorder="1" applyAlignment="1">
      <alignment horizontal="center" vertical="center" wrapText="1"/>
    </xf>
    <xf numFmtId="0" fontId="123" fillId="0" borderId="1" xfId="0" applyFont="1" applyFill="1" applyBorder="1" applyAlignment="1">
      <alignment horizontal="center" vertical="center"/>
    </xf>
    <xf numFmtId="58" fontId="128" fillId="4" borderId="1" xfId="0" applyNumberFormat="1" applyFont="1" applyFill="1" applyBorder="1" applyAlignment="1">
      <alignment horizontal="center" vertical="center"/>
    </xf>
    <xf numFmtId="0" fontId="16" fillId="4" borderId="1" xfId="0" applyFont="1" applyFill="1" applyBorder="1" applyAlignment="1">
      <alignment horizontal="left" vertical="center"/>
    </xf>
    <xf numFmtId="0" fontId="16" fillId="4" borderId="1" xfId="0" applyFont="1" applyFill="1" applyBorder="1" applyAlignment="1">
      <alignment horizontal="center" vertical="center"/>
    </xf>
    <xf numFmtId="58" fontId="16" fillId="4" borderId="1" xfId="0" applyNumberFormat="1" applyFont="1" applyFill="1" applyBorder="1" applyAlignment="1">
      <alignment horizontal="center" vertical="center"/>
    </xf>
    <xf numFmtId="0" fontId="16" fillId="4" borderId="1" xfId="0" applyFont="1" applyFill="1" applyBorder="1" applyAlignment="1">
      <alignment horizontal="center" vertical="center" wrapText="1"/>
    </xf>
    <xf numFmtId="0" fontId="129" fillId="4" borderId="1" xfId="0" applyFont="1" applyFill="1" applyBorder="1" applyAlignment="1">
      <alignment horizontal="center" vertical="center"/>
    </xf>
    <xf numFmtId="0" fontId="129" fillId="4" borderId="1" xfId="0" applyFont="1" applyFill="1" applyBorder="1" applyAlignment="1">
      <alignment horizontal="left" vertical="center" wrapText="1"/>
    </xf>
    <xf numFmtId="58" fontId="16" fillId="0" borderId="1" xfId="0" applyNumberFormat="1" applyFont="1" applyFill="1" applyBorder="1" applyAlignment="1">
      <alignment horizontal="center" vertical="center"/>
    </xf>
    <xf numFmtId="0" fontId="16" fillId="0" borderId="1" xfId="0" applyFont="1" applyFill="1" applyBorder="1" applyAlignment="1">
      <alignment horizontal="left" vertical="center"/>
    </xf>
    <xf numFmtId="0" fontId="16"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29" fillId="0" borderId="1" xfId="0" applyFont="1" applyFill="1" applyBorder="1" applyAlignment="1">
      <alignment horizontal="center" vertical="center"/>
    </xf>
    <xf numFmtId="0" fontId="129" fillId="0" borderId="1" xfId="0" applyFont="1" applyFill="1" applyBorder="1" applyAlignment="1">
      <alignment horizontal="left" vertical="center" wrapText="1"/>
    </xf>
    <xf numFmtId="0" fontId="128" fillId="0" borderId="1" xfId="0" applyFont="1" applyFill="1" applyBorder="1" applyAlignment="1">
      <alignment horizontal="center" vertical="center"/>
    </xf>
    <xf numFmtId="0" fontId="128" fillId="4" borderId="1" xfId="0" applyFont="1" applyFill="1" applyBorder="1" applyAlignment="1">
      <alignment horizontal="center" vertical="center" wrapText="1"/>
    </xf>
    <xf numFmtId="0" fontId="128" fillId="4" borderId="1" xfId="0" applyFont="1" applyFill="1" applyBorder="1" applyAlignment="1">
      <alignment horizontal="center" vertical="center"/>
    </xf>
    <xf numFmtId="58" fontId="130" fillId="0" borderId="1" xfId="0" applyNumberFormat="1" applyFont="1" applyFill="1" applyBorder="1" applyAlignment="1">
      <alignment horizontal="center" vertical="center"/>
    </xf>
    <xf numFmtId="0" fontId="130" fillId="0" borderId="1" xfId="0" applyFont="1" applyFill="1" applyBorder="1" applyAlignment="1">
      <alignment horizontal="center" vertical="center"/>
    </xf>
    <xf numFmtId="0" fontId="130" fillId="19" borderId="1" xfId="0" applyFont="1" applyFill="1" applyBorder="1" applyAlignment="1">
      <alignment horizontal="center" vertical="center"/>
    </xf>
    <xf numFmtId="0" fontId="130" fillId="0" borderId="1" xfId="0" applyFont="1" applyFill="1" applyBorder="1" applyAlignment="1">
      <alignment horizontal="center"/>
    </xf>
    <xf numFmtId="0" fontId="129" fillId="0" borderId="1" xfId="0" applyFont="1" applyFill="1" applyBorder="1" applyAlignment="1">
      <alignment horizontal="center"/>
    </xf>
    <xf numFmtId="0" fontId="131" fillId="20" borderId="37" xfId="0" applyFont="1" applyFill="1" applyBorder="1" applyAlignment="1">
      <alignment horizontal="center" vertical="center" wrapText="1"/>
    </xf>
    <xf numFmtId="0" fontId="131" fillId="20" borderId="38" xfId="0" applyFont="1" applyFill="1" applyBorder="1" applyAlignment="1">
      <alignment horizontal="center" vertical="center" wrapText="1"/>
    </xf>
    <xf numFmtId="0" fontId="131" fillId="20" borderId="6" xfId="0" applyFont="1" applyFill="1" applyBorder="1" applyAlignment="1">
      <alignment horizontal="center" vertical="center" wrapText="1"/>
    </xf>
    <xf numFmtId="0" fontId="131" fillId="20" borderId="38" xfId="0" applyFont="1" applyFill="1" applyBorder="1" applyAlignment="1">
      <alignment vertical="center" wrapText="1"/>
    </xf>
    <xf numFmtId="3" fontId="4" fillId="20" borderId="1" xfId="0" applyNumberFormat="1" applyFont="1" applyFill="1" applyBorder="1" applyAlignment="1">
      <alignment horizontal="center" vertical="center"/>
    </xf>
    <xf numFmtId="3" fontId="129" fillId="0" borderId="1" xfId="0" applyNumberFormat="1" applyFont="1" applyFill="1" applyBorder="1" applyAlignment="1">
      <alignment horizontal="center" vertical="center"/>
    </xf>
    <xf numFmtId="0" fontId="131" fillId="0" borderId="37" xfId="0" applyFont="1" applyFill="1" applyBorder="1" applyAlignment="1">
      <alignment vertical="center" wrapText="1"/>
    </xf>
    <xf numFmtId="0" fontId="131" fillId="0" borderId="38" xfId="0" applyFont="1" applyFill="1" applyBorder="1" applyAlignment="1">
      <alignment vertical="center" wrapText="1"/>
    </xf>
    <xf numFmtId="0" fontId="131" fillId="0" borderId="6" xfId="0" applyFont="1" applyFill="1" applyBorder="1" applyAlignment="1">
      <alignment vertical="center" wrapText="1"/>
    </xf>
    <xf numFmtId="0" fontId="0" fillId="0" borderId="0" xfId="0" applyFont="1" applyFill="1" applyAlignment="1">
      <alignment horizontal="center"/>
    </xf>
    <xf numFmtId="0" fontId="129" fillId="0" borderId="0" xfId="0" applyFont="1" applyFill="1" applyAlignment="1">
      <alignment horizontal="center"/>
    </xf>
    <xf numFmtId="0" fontId="131" fillId="0" borderId="0" xfId="0" applyFont="1" applyFill="1" applyAlignment="1">
      <alignment vertical="center"/>
    </xf>
    <xf numFmtId="0" fontId="131" fillId="0" borderId="0" xfId="0" applyFont="1" applyFill="1" applyAlignment="1">
      <alignment vertical="center" wrapText="1"/>
    </xf>
    <xf numFmtId="0" fontId="131" fillId="0" borderId="37" xfId="0" applyFont="1" applyFill="1" applyBorder="1" applyAlignment="1">
      <alignment horizontal="center" vertical="center" wrapText="1"/>
    </xf>
    <xf numFmtId="0" fontId="131" fillId="0" borderId="38" xfId="0" applyFont="1" applyFill="1" applyBorder="1" applyAlignment="1">
      <alignment horizontal="center" vertical="center" wrapText="1"/>
    </xf>
    <xf numFmtId="0" fontId="131" fillId="0" borderId="6" xfId="0" applyFont="1" applyFill="1" applyBorder="1" applyAlignment="1">
      <alignment horizontal="center" vertical="center" wrapText="1"/>
    </xf>
    <xf numFmtId="3" fontId="4" fillId="0" borderId="1" xfId="0" applyNumberFormat="1" applyFont="1" applyFill="1" applyBorder="1" applyAlignment="1">
      <alignment horizontal="center" vertical="center"/>
    </xf>
    <xf numFmtId="0" fontId="129" fillId="0" borderId="1" xfId="0" applyFont="1" applyFill="1" applyBorder="1" applyAlignment="1">
      <alignment horizontal="left"/>
    </xf>
    <xf numFmtId="49" fontId="132" fillId="0" borderId="1" xfId="0" applyNumberFormat="1" applyFont="1" applyFill="1" applyBorder="1" applyAlignment="1">
      <alignment horizontal="left" vertical="center" wrapText="1"/>
    </xf>
    <xf numFmtId="0" fontId="125" fillId="0" borderId="37" xfId="0" applyFont="1" applyFill="1" applyBorder="1" applyAlignment="1">
      <alignment horizontal="center" vertical="center" wrapText="1"/>
    </xf>
    <xf numFmtId="0" fontId="133" fillId="0" borderId="1" xfId="0" applyFont="1" applyFill="1" applyBorder="1" applyAlignment="1">
      <alignment horizontal="left" vertical="top" wrapText="1"/>
    </xf>
    <xf numFmtId="0" fontId="134"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28" fillId="4" borderId="1" xfId="0" applyFont="1" applyFill="1" applyBorder="1" applyAlignment="1">
      <alignment horizontal="left"/>
    </xf>
    <xf numFmtId="0" fontId="129" fillId="4" borderId="1" xfId="0" applyFont="1" applyFill="1" applyBorder="1" applyAlignment="1">
      <alignment horizontal="left"/>
    </xf>
    <xf numFmtId="58" fontId="135" fillId="0" borderId="1" xfId="0" applyNumberFormat="1" applyFont="1" applyFill="1" applyBorder="1" applyAlignment="1">
      <alignment horizontal="center" vertical="center"/>
    </xf>
    <xf numFmtId="0" fontId="135" fillId="0" borderId="1" xfId="0" applyFont="1" applyFill="1" applyBorder="1" applyAlignment="1">
      <alignment horizontal="center" vertical="center"/>
    </xf>
    <xf numFmtId="0" fontId="135" fillId="0" borderId="1" xfId="0" applyFont="1" applyFill="1" applyBorder="1" applyAlignment="1">
      <alignment horizontal="center" vertical="center" wrapText="1"/>
    </xf>
    <xf numFmtId="0" fontId="131" fillId="0" borderId="0" xfId="0" applyFont="1" applyFill="1" applyAlignment="1">
      <alignment horizontal="center" vertical="center"/>
    </xf>
    <xf numFmtId="0" fontId="131" fillId="0" borderId="0" xfId="0" applyFont="1" applyFill="1" applyAlignment="1">
      <alignment horizontal="center" vertical="center" wrapText="1"/>
    </xf>
    <xf numFmtId="0" fontId="136" fillId="0" borderId="0" xfId="0" applyFont="1" applyFill="1" applyProtection="1">
      <alignment vertical="center"/>
      <protection locked="0"/>
    </xf>
    <xf numFmtId="0" fontId="137" fillId="0" borderId="1" xfId="0" applyFont="1" applyFill="1" applyBorder="1" applyAlignment="1" applyProtection="1">
      <alignment horizontal="center" vertical="center"/>
      <protection locked="0"/>
    </xf>
    <xf numFmtId="0" fontId="21" fillId="0" borderId="1" xfId="0" applyFont="1" applyFill="1" applyBorder="1" applyAlignment="1" applyProtection="1">
      <alignment horizontal="center" vertical="center"/>
      <protection locked="0"/>
    </xf>
    <xf numFmtId="0" fontId="138" fillId="0" borderId="1" xfId="0" applyFont="1" applyFill="1" applyBorder="1" applyAlignment="1" applyProtection="1">
      <alignment horizontal="center" vertical="center"/>
      <protection locked="0"/>
    </xf>
    <xf numFmtId="0" fontId="139" fillId="0" borderId="1" xfId="0" applyFont="1" applyFill="1" applyBorder="1" applyAlignment="1" applyProtection="1">
      <alignment horizontal="center" vertical="center"/>
      <protection locked="0"/>
    </xf>
    <xf numFmtId="0" fontId="0" fillId="0" borderId="0" xfId="0" applyFill="1" applyProtection="1">
      <alignment vertical="center"/>
      <protection locked="0"/>
    </xf>
    <xf numFmtId="176" fontId="0" fillId="0" borderId="0" xfId="0" applyNumberFormat="1" applyFill="1" applyProtection="1">
      <alignment vertical="center"/>
    </xf>
    <xf numFmtId="0" fontId="0" fillId="0" borderId="0" xfId="0" applyFill="1" applyAlignment="1" applyProtection="1">
      <alignment vertical="center" wrapText="1"/>
      <protection locked="0"/>
    </xf>
    <xf numFmtId="0" fontId="140" fillId="0" borderId="0" xfId="0" applyFont="1" applyFill="1" applyProtection="1">
      <alignment vertical="center"/>
      <protection locked="0"/>
    </xf>
    <xf numFmtId="179" fontId="0" fillId="0" borderId="0" xfId="0" applyNumberFormat="1" applyFill="1" applyAlignment="1" applyProtection="1">
      <alignment vertical="center" wrapText="1"/>
      <protection locked="0"/>
    </xf>
    <xf numFmtId="180" fontId="0" fillId="0" borderId="0" xfId="0" applyNumberFormat="1" applyFill="1" applyAlignment="1" applyProtection="1">
      <alignment vertical="center" wrapText="1"/>
      <protection locked="0"/>
    </xf>
    <xf numFmtId="0" fontId="138" fillId="0" borderId="0" xfId="0" applyFont="1" applyFill="1" applyProtection="1">
      <alignment vertical="center"/>
      <protection locked="0"/>
    </xf>
    <xf numFmtId="0" fontId="138" fillId="0" borderId="0" xfId="0" applyFont="1" applyFill="1" applyAlignment="1" applyProtection="1">
      <alignment horizontal="center" vertical="center" wrapText="1"/>
      <protection locked="0"/>
    </xf>
    <xf numFmtId="0" fontId="138" fillId="0" borderId="0" xfId="0" applyFont="1" applyFill="1" applyAlignment="1" applyProtection="1">
      <alignment horizontal="center" vertical="center"/>
      <protection locked="0"/>
    </xf>
    <xf numFmtId="0" fontId="141" fillId="0" borderId="0" xfId="0" applyNumberFormat="1" applyFont="1" applyFill="1" applyAlignment="1" applyProtection="1">
      <alignment horizontal="center" vertical="center"/>
      <protection locked="0"/>
    </xf>
    <xf numFmtId="0" fontId="141" fillId="0" borderId="0" xfId="0" applyFont="1" applyFill="1" applyProtection="1">
      <alignment vertical="center"/>
      <protection locked="0"/>
    </xf>
    <xf numFmtId="0" fontId="142" fillId="0" borderId="0" xfId="0" applyFont="1" applyFill="1" applyProtection="1">
      <alignment vertical="center"/>
      <protection locked="0"/>
    </xf>
    <xf numFmtId="187" fontId="0" fillId="0" borderId="0" xfId="0" applyNumberFormat="1" applyFill="1" applyProtection="1">
      <alignment vertical="center"/>
      <protection locked="0"/>
    </xf>
    <xf numFmtId="176" fontId="143" fillId="0" borderId="1" xfId="0" applyNumberFormat="1" applyFont="1" applyFill="1" applyBorder="1" applyAlignment="1" applyProtection="1">
      <alignment horizontal="center" vertical="center" wrapText="1" shrinkToFit="1"/>
    </xf>
    <xf numFmtId="0" fontId="143" fillId="0" borderId="1" xfId="0" applyFont="1" applyFill="1" applyBorder="1" applyAlignment="1" applyProtection="1">
      <alignment horizontal="center" vertical="center" wrapText="1" shrinkToFit="1"/>
      <protection locked="0"/>
    </xf>
    <xf numFmtId="49" fontId="143" fillId="0" borderId="1" xfId="0" applyNumberFormat="1" applyFont="1" applyFill="1" applyBorder="1" applyAlignment="1" applyProtection="1">
      <alignment horizontal="center" vertical="center" wrapText="1" shrinkToFit="1"/>
      <protection locked="0"/>
    </xf>
    <xf numFmtId="181" fontId="143" fillId="0" borderId="1" xfId="0" applyNumberFormat="1" applyFont="1" applyFill="1" applyBorder="1" applyAlignment="1" applyProtection="1">
      <alignment horizontal="center" vertical="center" wrapText="1" shrinkToFit="1"/>
      <protection locked="0"/>
    </xf>
    <xf numFmtId="0" fontId="143" fillId="0" borderId="1" xfId="0" applyNumberFormat="1" applyFont="1" applyFill="1" applyBorder="1" applyAlignment="1" applyProtection="1">
      <alignment horizontal="center" vertical="center" wrapText="1" shrinkToFit="1"/>
      <protection locked="0"/>
    </xf>
    <xf numFmtId="182" fontId="143" fillId="0" borderId="1" xfId="0" applyNumberFormat="1" applyFont="1" applyFill="1" applyBorder="1" applyAlignment="1" applyProtection="1">
      <alignment horizontal="center" vertical="center" wrapText="1" shrinkToFit="1"/>
      <protection locked="0"/>
    </xf>
    <xf numFmtId="182" fontId="144" fillId="0" borderId="1" xfId="0" applyNumberFormat="1" applyFont="1" applyFill="1" applyBorder="1" applyAlignment="1" applyProtection="1">
      <alignment horizontal="center" vertical="center" wrapText="1" shrinkToFit="1"/>
      <protection locked="0"/>
    </xf>
    <xf numFmtId="0" fontId="145" fillId="0" borderId="1" xfId="0" applyFont="1" applyFill="1" applyBorder="1" applyAlignment="1" applyProtection="1">
      <alignment horizontal="center" vertical="center"/>
      <protection locked="0"/>
    </xf>
    <xf numFmtId="179" fontId="146" fillId="0" borderId="1" xfId="0" applyNumberFormat="1" applyFont="1" applyFill="1" applyBorder="1" applyAlignment="1" applyProtection="1">
      <alignment horizontal="center" vertical="center" wrapText="1" shrinkToFit="1"/>
      <protection locked="0"/>
    </xf>
    <xf numFmtId="180" fontId="146" fillId="0" borderId="1" xfId="0" applyNumberFormat="1" applyFont="1" applyFill="1" applyBorder="1" applyAlignment="1" applyProtection="1">
      <alignment horizontal="center" vertical="center" wrapText="1" shrinkToFit="1"/>
      <protection locked="0"/>
    </xf>
    <xf numFmtId="0" fontId="147" fillId="0" borderId="1" xfId="0" applyNumberFormat="1" applyFont="1" applyFill="1" applyBorder="1" applyAlignment="1" applyProtection="1">
      <alignment horizontal="center" vertical="center" wrapText="1" shrinkToFit="1"/>
      <protection locked="0"/>
    </xf>
    <xf numFmtId="0" fontId="148" fillId="0" borderId="1" xfId="0" applyFont="1" applyFill="1" applyBorder="1" applyAlignment="1" applyProtection="1">
      <alignment horizontal="center" vertical="center" wrapText="1" shrinkToFit="1"/>
      <protection locked="0"/>
    </xf>
    <xf numFmtId="0" fontId="149" fillId="0" borderId="1" xfId="0" applyNumberFormat="1" applyFont="1" applyFill="1" applyBorder="1" applyAlignment="1" applyProtection="1">
      <alignment horizontal="center" vertical="center" wrapText="1" shrinkToFit="1"/>
      <protection locked="0"/>
    </xf>
    <xf numFmtId="0" fontId="149" fillId="0" borderId="1" xfId="0" applyFont="1" applyFill="1" applyBorder="1" applyAlignment="1" applyProtection="1">
      <alignment horizontal="center" vertical="center" wrapText="1" shrinkToFit="1"/>
      <protection locked="0"/>
    </xf>
    <xf numFmtId="0" fontId="150" fillId="0" borderId="1" xfId="0" applyFont="1" applyFill="1" applyBorder="1" applyAlignment="1" applyProtection="1">
      <alignment horizontal="center" vertical="center" wrapText="1" shrinkToFit="1"/>
      <protection locked="0"/>
    </xf>
    <xf numFmtId="0" fontId="151" fillId="0" borderId="1" xfId="0" applyFont="1" applyFill="1" applyBorder="1" applyAlignment="1" applyProtection="1">
      <alignment horizontal="center" vertical="center" wrapText="1"/>
      <protection locked="0"/>
    </xf>
    <xf numFmtId="0" fontId="152" fillId="0" borderId="1" xfId="0" applyFont="1" applyFill="1" applyBorder="1" applyAlignment="1" applyProtection="1">
      <alignment horizontal="center" vertical="center" wrapText="1"/>
      <protection locked="0"/>
    </xf>
    <xf numFmtId="0" fontId="153" fillId="0" borderId="1" xfId="0" applyFont="1" applyFill="1" applyBorder="1" applyAlignment="1" applyProtection="1">
      <alignment horizontal="center" vertical="center" wrapText="1"/>
      <protection locked="0"/>
    </xf>
    <xf numFmtId="0" fontId="144" fillId="0" borderId="1" xfId="0" applyFont="1" applyFill="1" applyBorder="1" applyAlignment="1" applyProtection="1">
      <alignment horizontal="center" vertical="center" wrapText="1"/>
      <protection locked="0"/>
    </xf>
    <xf numFmtId="0" fontId="154"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shrinkToFit="1"/>
      <protection locked="0"/>
    </xf>
    <xf numFmtId="0" fontId="148" fillId="0" borderId="1" xfId="0" applyFont="1" applyFill="1" applyBorder="1" applyAlignment="1" applyProtection="1">
      <alignment horizontal="center" vertical="center" wrapText="1"/>
      <protection locked="0"/>
    </xf>
    <xf numFmtId="187" fontId="151" fillId="0" borderId="1" xfId="0" applyNumberFormat="1" applyFont="1" applyFill="1" applyBorder="1" applyAlignment="1" applyProtection="1">
      <alignment horizontal="center" vertical="center" wrapText="1"/>
      <protection locked="0"/>
    </xf>
    <xf numFmtId="187" fontId="148" fillId="0" borderId="1" xfId="0" applyNumberFormat="1" applyFont="1" applyFill="1" applyBorder="1" applyAlignment="1" applyProtection="1">
      <alignment horizontal="center" vertical="center" wrapText="1"/>
      <protection locked="0"/>
    </xf>
    <xf numFmtId="187" fontId="151" fillId="0" borderId="1" xfId="0" applyNumberFormat="1" applyFont="1" applyFill="1" applyBorder="1" applyAlignment="1" applyProtection="1">
      <alignment horizontal="center" vertical="center"/>
      <protection locked="0"/>
    </xf>
    <xf numFmtId="176" fontId="137" fillId="0" borderId="3" xfId="0" applyNumberFormat="1" applyFont="1" applyFill="1" applyBorder="1" applyAlignment="1" applyProtection="1">
      <alignment horizontal="center" vertical="center" wrapText="1" shrinkToFit="1"/>
    </xf>
    <xf numFmtId="0" fontId="137" fillId="0" borderId="3" xfId="0" applyFont="1" applyFill="1" applyBorder="1" applyAlignment="1" applyProtection="1">
      <alignment horizontal="center" vertical="center" wrapText="1"/>
      <protection locked="0"/>
    </xf>
    <xf numFmtId="0" fontId="137" fillId="0" borderId="3" xfId="0" applyFont="1" applyFill="1" applyBorder="1" applyAlignment="1" applyProtection="1">
      <alignment horizontal="center" vertical="center" wrapText="1" shrinkToFit="1"/>
      <protection locked="0"/>
    </xf>
    <xf numFmtId="0" fontId="137" fillId="0" borderId="3" xfId="0" applyFont="1" applyFill="1" applyBorder="1" applyAlignment="1" applyProtection="1">
      <alignment horizontal="center" vertical="center"/>
      <protection locked="0"/>
    </xf>
    <xf numFmtId="49" fontId="137" fillId="0" borderId="1" xfId="0" applyNumberFormat="1" applyFont="1" applyFill="1" applyBorder="1" applyAlignment="1" applyProtection="1">
      <alignment horizontal="center" vertical="center" wrapText="1" shrinkToFit="1"/>
      <protection locked="0"/>
    </xf>
    <xf numFmtId="0" fontId="155" fillId="0" borderId="1" xfId="0" applyFont="1" applyFill="1" applyBorder="1" applyAlignment="1" applyProtection="1">
      <alignment horizontal="center" vertical="center" wrapText="1" shrinkToFit="1"/>
      <protection locked="0"/>
    </xf>
    <xf numFmtId="0" fontId="156" fillId="0" borderId="1" xfId="0" applyFont="1" applyFill="1" applyBorder="1" applyAlignment="1" applyProtection="1">
      <alignment horizontal="center" vertical="center" wrapText="1" shrinkToFit="1"/>
      <protection locked="0"/>
    </xf>
    <xf numFmtId="178" fontId="156" fillId="0" borderId="1" xfId="0" applyNumberFormat="1" applyFont="1" applyFill="1" applyBorder="1" applyAlignment="1" applyProtection="1">
      <alignment horizontal="center" vertical="center" wrapText="1" shrinkToFit="1"/>
      <protection locked="0"/>
    </xf>
    <xf numFmtId="181" fontId="137" fillId="0" borderId="1" xfId="0" applyNumberFormat="1" applyFont="1" applyFill="1" applyBorder="1" applyAlignment="1" applyProtection="1">
      <alignment horizontal="center" vertical="center" wrapText="1" shrinkToFit="1"/>
      <protection locked="0"/>
    </xf>
    <xf numFmtId="0" fontId="157" fillId="0" borderId="1" xfId="0" applyNumberFormat="1" applyFont="1" applyFill="1" applyBorder="1" applyAlignment="1" applyProtection="1">
      <alignment horizontal="center" vertical="center" wrapText="1" shrinkToFit="1"/>
      <protection locked="0"/>
    </xf>
    <xf numFmtId="0" fontId="137" fillId="0" borderId="1" xfId="0" applyNumberFormat="1" applyFont="1" applyFill="1" applyBorder="1" applyAlignment="1">
      <alignment horizontal="center" vertical="center"/>
    </xf>
    <xf numFmtId="0" fontId="137" fillId="0" borderId="1" xfId="0" applyFont="1" applyFill="1" applyBorder="1" applyAlignment="1" applyProtection="1">
      <alignment horizontal="center" vertical="center" wrapText="1" shrinkToFit="1"/>
      <protection locked="0"/>
    </xf>
    <xf numFmtId="182" fontId="157" fillId="0" borderId="1" xfId="0" applyNumberFormat="1" applyFont="1" applyFill="1" applyBorder="1" applyAlignment="1" applyProtection="1">
      <alignment horizontal="center" vertical="center" wrapText="1" shrinkToFit="1"/>
      <protection locked="0"/>
    </xf>
    <xf numFmtId="182" fontId="155" fillId="0" borderId="1" xfId="0" applyNumberFormat="1" applyFont="1" applyFill="1" applyBorder="1" applyAlignment="1" applyProtection="1">
      <alignment horizontal="center" vertical="center" wrapText="1" shrinkToFit="1"/>
      <protection locked="0"/>
    </xf>
    <xf numFmtId="0" fontId="156" fillId="0" borderId="1" xfId="0" applyFont="1" applyFill="1" applyBorder="1" applyAlignment="1" applyProtection="1">
      <alignment horizontal="center" vertical="center" wrapText="1"/>
      <protection locked="0"/>
    </xf>
    <xf numFmtId="181" fontId="157" fillId="0" borderId="1" xfId="0" applyNumberFormat="1" applyFont="1" applyFill="1" applyBorder="1" applyAlignment="1" applyProtection="1">
      <alignment horizontal="center" vertical="center" wrapText="1" shrinkToFit="1"/>
      <protection locked="0"/>
    </xf>
    <xf numFmtId="184" fontId="156" fillId="0" borderId="1" xfId="0" applyNumberFormat="1" applyFont="1" applyFill="1" applyBorder="1" applyAlignment="1" applyProtection="1">
      <alignment horizontal="center" vertical="center" wrapText="1" shrinkToFit="1"/>
      <protection locked="0"/>
    </xf>
    <xf numFmtId="180" fontId="156" fillId="0" borderId="1" xfId="0" applyNumberFormat="1" applyFont="1" applyFill="1" applyBorder="1" applyAlignment="1" applyProtection="1">
      <alignment horizontal="center" vertical="center" wrapText="1" shrinkToFit="1"/>
      <protection locked="0"/>
    </xf>
    <xf numFmtId="0" fontId="137" fillId="0" borderId="2" xfId="0" applyNumberFormat="1" applyFont="1" applyFill="1" applyBorder="1" applyAlignment="1" applyProtection="1">
      <alignment horizontal="center" vertical="center" wrapText="1" shrinkToFit="1"/>
      <protection locked="0"/>
    </xf>
    <xf numFmtId="0" fontId="137" fillId="0" borderId="1" xfId="0" applyNumberFormat="1" applyFont="1" applyFill="1" applyBorder="1" applyAlignment="1" applyProtection="1">
      <alignment horizontal="center" vertical="center" wrapText="1" shrinkToFit="1"/>
      <protection locked="0"/>
    </xf>
    <xf numFmtId="0" fontId="137" fillId="0" borderId="2" xfId="0" applyFont="1" applyFill="1" applyBorder="1" applyAlignment="1" applyProtection="1">
      <alignment horizontal="center" vertical="center" wrapText="1" shrinkToFit="1"/>
      <protection locked="0"/>
    </xf>
    <xf numFmtId="0" fontId="156" fillId="0" borderId="1" xfId="0" applyFont="1" applyFill="1" applyBorder="1" applyAlignment="1" applyProtection="1">
      <alignment horizontal="center" vertical="center"/>
      <protection locked="0"/>
    </xf>
    <xf numFmtId="182" fontId="137" fillId="0" borderId="1" xfId="0" applyNumberFormat="1" applyFont="1" applyFill="1" applyBorder="1" applyAlignment="1" applyProtection="1">
      <alignment horizontal="center" vertical="center" wrapText="1" shrinkToFit="1"/>
      <protection locked="0"/>
    </xf>
    <xf numFmtId="182" fontId="156" fillId="0" borderId="1" xfId="0" applyNumberFormat="1" applyFont="1" applyFill="1" applyBorder="1" applyAlignment="1" applyProtection="1">
      <alignment horizontal="center" vertical="center" wrapText="1" shrinkToFit="1"/>
      <protection locked="0"/>
    </xf>
    <xf numFmtId="176" fontId="21" fillId="0" borderId="1" xfId="0" applyNumberFormat="1" applyFont="1" applyFill="1" applyBorder="1" applyAlignment="1" applyProtection="1">
      <alignment horizontal="center" vertical="center" wrapText="1" shrinkToFit="1"/>
    </xf>
    <xf numFmtId="0" fontId="21" fillId="0" borderId="2" xfId="0" applyFont="1" applyFill="1" applyBorder="1" applyAlignment="1" applyProtection="1">
      <alignment horizontal="center" vertical="center" wrapText="1" shrinkToFit="1"/>
      <protection locked="0"/>
    </xf>
    <xf numFmtId="0" fontId="21" fillId="0" borderId="2" xfId="0" applyFont="1" applyFill="1" applyBorder="1" applyAlignment="1" applyProtection="1">
      <alignment horizontal="center" vertical="center"/>
      <protection locked="0"/>
    </xf>
    <xf numFmtId="0" fontId="21" fillId="0" borderId="1" xfId="0" applyFont="1" applyFill="1" applyBorder="1" applyAlignment="1" applyProtection="1">
      <alignment horizontal="center" vertical="center" wrapText="1" shrinkToFit="1"/>
      <protection locked="0"/>
    </xf>
    <xf numFmtId="49" fontId="138" fillId="0" borderId="1" xfId="0" applyNumberFormat="1" applyFont="1" applyFill="1" applyBorder="1" applyAlignment="1" applyProtection="1">
      <alignment horizontal="center" vertical="center" wrapText="1" shrinkToFit="1"/>
      <protection locked="0"/>
    </xf>
    <xf numFmtId="0" fontId="138" fillId="0" borderId="1" xfId="0" applyFont="1" applyFill="1" applyBorder="1" applyAlignment="1" applyProtection="1">
      <alignment horizontal="center" vertical="center" wrapText="1" shrinkToFit="1"/>
      <protection locked="0"/>
    </xf>
    <xf numFmtId="178" fontId="138" fillId="0" borderId="1" xfId="0" applyNumberFormat="1" applyFont="1" applyFill="1" applyBorder="1" applyAlignment="1" applyProtection="1">
      <alignment horizontal="center" vertical="center" wrapText="1" shrinkToFit="1"/>
      <protection locked="0"/>
    </xf>
    <xf numFmtId="181" fontId="21" fillId="0" borderId="1" xfId="0" applyNumberFormat="1" applyFont="1" applyFill="1" applyBorder="1" applyAlignment="1" applyProtection="1">
      <alignment horizontal="center" vertical="center" wrapText="1" shrinkToFit="1"/>
      <protection locked="0"/>
    </xf>
    <xf numFmtId="0" fontId="138" fillId="0" borderId="1" xfId="0" applyNumberFormat="1" applyFont="1" applyFill="1" applyBorder="1" applyAlignment="1" applyProtection="1">
      <alignment horizontal="center" vertical="center" wrapText="1" shrinkToFit="1"/>
      <protection locked="0"/>
    </xf>
    <xf numFmtId="182" fontId="21" fillId="0" borderId="2" xfId="0" applyNumberFormat="1"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horizontal="center" vertical="center" wrapText="1"/>
      <protection locked="0"/>
    </xf>
    <xf numFmtId="181" fontId="138" fillId="0" borderId="1" xfId="0" applyNumberFormat="1" applyFont="1" applyFill="1" applyBorder="1" applyAlignment="1" applyProtection="1">
      <alignment horizontal="center" vertical="center" wrapText="1" shrinkToFit="1"/>
      <protection locked="0"/>
    </xf>
    <xf numFmtId="184" fontId="138" fillId="0" borderId="1" xfId="0" applyNumberFormat="1" applyFont="1" applyFill="1" applyBorder="1" applyAlignment="1" applyProtection="1">
      <alignment horizontal="center" vertical="center" wrapText="1" shrinkToFit="1"/>
      <protection locked="0"/>
    </xf>
    <xf numFmtId="180" fontId="138" fillId="0" borderId="1" xfId="0" applyNumberFormat="1" applyFont="1" applyFill="1" applyBorder="1" applyAlignment="1" applyProtection="1">
      <alignment horizontal="center" vertical="center" wrapText="1" shrinkToFit="1"/>
      <protection locked="0"/>
    </xf>
    <xf numFmtId="0" fontId="21" fillId="0" borderId="1" xfId="0" applyNumberFormat="1"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vertical="center" wrapText="1" shrinkToFit="1"/>
      <protection locked="0"/>
    </xf>
    <xf numFmtId="187" fontId="21" fillId="0" borderId="1" xfId="0" applyNumberFormat="1" applyFont="1" applyFill="1" applyBorder="1" applyAlignment="1" applyProtection="1">
      <alignment horizontal="center" vertical="center"/>
      <protection locked="0"/>
    </xf>
    <xf numFmtId="178" fontId="21" fillId="0" borderId="1" xfId="0" applyNumberFormat="1" applyFont="1" applyFill="1" applyBorder="1" applyAlignment="1" applyProtection="1">
      <alignment horizontal="center" vertical="center"/>
      <protection locked="0"/>
    </xf>
    <xf numFmtId="0" fontId="158" fillId="0" borderId="1" xfId="0" applyFont="1" applyFill="1" applyBorder="1" applyAlignment="1" applyProtection="1">
      <alignment horizontal="center" vertical="center" wrapText="1"/>
      <protection locked="0"/>
    </xf>
    <xf numFmtId="0" fontId="138" fillId="0" borderId="1" xfId="0" applyFont="1" applyFill="1" applyBorder="1" applyAlignment="1" applyProtection="1">
      <alignment horizontal="center" vertical="center" wrapText="1"/>
      <protection locked="0"/>
    </xf>
    <xf numFmtId="0" fontId="138" fillId="0" borderId="3" xfId="0" applyNumberFormat="1" applyFont="1" applyFill="1" applyBorder="1" applyAlignment="1" applyProtection="1">
      <alignment horizontal="center" vertical="center" wrapText="1" shrinkToFit="1"/>
      <protection locked="0"/>
    </xf>
    <xf numFmtId="0" fontId="138" fillId="0" borderId="3" xfId="0" applyFont="1" applyFill="1" applyBorder="1" applyAlignment="1" applyProtection="1">
      <alignment horizontal="center" vertical="center" wrapText="1" shrinkToFit="1"/>
      <protection locked="0"/>
    </xf>
    <xf numFmtId="187" fontId="138" fillId="0" borderId="1" xfId="0" applyNumberFormat="1" applyFont="1" applyFill="1" applyBorder="1" applyAlignment="1" applyProtection="1">
      <alignment horizontal="center" vertical="center"/>
      <protection locked="0"/>
    </xf>
    <xf numFmtId="0" fontId="21" fillId="0" borderId="3" xfId="0" applyNumberFormat="1" applyFont="1" applyFill="1" applyBorder="1" applyAlignment="1" applyProtection="1">
      <alignment horizontal="center" vertical="center" wrapText="1" shrinkToFit="1"/>
      <protection locked="0"/>
    </xf>
    <xf numFmtId="0" fontId="21" fillId="0" borderId="3" xfId="0" applyFont="1" applyFill="1" applyBorder="1" applyAlignment="1" applyProtection="1">
      <alignment vertical="center" wrapText="1" shrinkToFit="1"/>
      <protection locked="0"/>
    </xf>
    <xf numFmtId="176" fontId="139" fillId="0" borderId="1" xfId="0" applyNumberFormat="1" applyFont="1" applyFill="1" applyBorder="1" applyAlignment="1" applyProtection="1">
      <alignment horizontal="center" vertical="center" wrapText="1" shrinkToFit="1"/>
    </xf>
    <xf numFmtId="0" fontId="139" fillId="0" borderId="2" xfId="0" applyFont="1" applyFill="1" applyBorder="1" applyAlignment="1" applyProtection="1">
      <alignment horizontal="center" vertical="center" wrapText="1" shrinkToFit="1"/>
      <protection locked="0"/>
    </xf>
    <xf numFmtId="0" fontId="139" fillId="0" borderId="2" xfId="0" applyFont="1" applyFill="1" applyBorder="1" applyAlignment="1" applyProtection="1">
      <alignment horizontal="center" vertical="center"/>
      <protection locked="0"/>
    </xf>
    <xf numFmtId="0" fontId="139" fillId="0" borderId="1" xfId="0" applyFont="1" applyFill="1" applyBorder="1" applyAlignment="1" applyProtection="1">
      <alignment horizontal="center" vertical="center" wrapText="1" shrinkToFit="1"/>
      <protection locked="0"/>
    </xf>
    <xf numFmtId="0" fontId="139" fillId="0" borderId="1" xfId="0" applyFont="1" applyFill="1" applyBorder="1" applyAlignment="1" applyProtection="1">
      <alignment horizontal="center" vertical="center" wrapText="1"/>
      <protection locked="0"/>
    </xf>
    <xf numFmtId="49" fontId="159" fillId="0" borderId="1" xfId="0" applyNumberFormat="1" applyFont="1" applyFill="1" applyBorder="1" applyAlignment="1" applyProtection="1">
      <alignment horizontal="center" vertical="center" wrapText="1" shrinkToFit="1"/>
      <protection locked="0"/>
    </xf>
    <xf numFmtId="0" fontId="159" fillId="0" borderId="1" xfId="0" applyFont="1" applyFill="1" applyBorder="1" applyAlignment="1" applyProtection="1">
      <alignment horizontal="center" vertical="center" wrapText="1" shrinkToFit="1"/>
      <protection locked="0"/>
    </xf>
    <xf numFmtId="178" fontId="159" fillId="0" borderId="1" xfId="0" applyNumberFormat="1" applyFont="1" applyFill="1" applyBorder="1" applyAlignment="1" applyProtection="1">
      <alignment horizontal="center" vertical="center" wrapText="1" shrinkToFit="1"/>
      <protection locked="0"/>
    </xf>
    <xf numFmtId="181" fontId="139" fillId="0" borderId="1" xfId="0" applyNumberFormat="1" applyFont="1" applyFill="1" applyBorder="1" applyAlignment="1" applyProtection="1">
      <alignment horizontal="center" vertical="center" wrapText="1" shrinkToFit="1"/>
      <protection locked="0"/>
    </xf>
    <xf numFmtId="0" fontId="139" fillId="0" borderId="1" xfId="0" applyNumberFormat="1" applyFont="1" applyFill="1" applyBorder="1" applyAlignment="1">
      <alignment horizontal="center" vertical="center"/>
    </xf>
    <xf numFmtId="182" fontId="139" fillId="0" borderId="2" xfId="0" applyNumberFormat="1" applyFont="1" applyFill="1" applyBorder="1" applyAlignment="1" applyProtection="1">
      <alignment horizontal="center" vertical="center" wrapText="1" shrinkToFit="1"/>
      <protection locked="0"/>
    </xf>
    <xf numFmtId="181" fontId="159" fillId="0" borderId="1" xfId="0" applyNumberFormat="1" applyFont="1" applyFill="1" applyBorder="1" applyAlignment="1" applyProtection="1">
      <alignment horizontal="center" vertical="center" wrapText="1" shrinkToFit="1"/>
      <protection locked="0"/>
    </xf>
    <xf numFmtId="184" fontId="159" fillId="0" borderId="1" xfId="0" applyNumberFormat="1" applyFont="1" applyFill="1" applyBorder="1" applyAlignment="1" applyProtection="1">
      <alignment horizontal="center" vertical="center" wrapText="1" shrinkToFit="1"/>
      <protection locked="0"/>
    </xf>
    <xf numFmtId="180" fontId="159" fillId="0" borderId="1" xfId="0" applyNumberFormat="1" applyFont="1" applyFill="1" applyBorder="1" applyAlignment="1" applyProtection="1">
      <alignment horizontal="center" vertical="center" wrapText="1" shrinkToFit="1"/>
      <protection locked="0"/>
    </xf>
    <xf numFmtId="0" fontId="159" fillId="0" borderId="1" xfId="0" applyFont="1" applyFill="1" applyBorder="1" applyAlignment="1" applyProtection="1">
      <alignment horizontal="center" vertical="center"/>
      <protection locked="0"/>
    </xf>
    <xf numFmtId="187" fontId="139" fillId="0" borderId="1" xfId="0" applyNumberFormat="1" applyFont="1" applyFill="1" applyBorder="1" applyAlignment="1" applyProtection="1">
      <alignment horizontal="center" vertical="center"/>
      <protection locked="0"/>
    </xf>
    <xf numFmtId="0" fontId="8" fillId="0" borderId="1" xfId="0" applyFont="1" applyFill="1" applyBorder="1" applyAlignment="1" applyProtection="1">
      <alignment horizontal="center" vertical="center"/>
      <protection locked="0"/>
    </xf>
    <xf numFmtId="178" fontId="139" fillId="0" borderId="1" xfId="0" applyNumberFormat="1" applyFont="1" applyFill="1" applyBorder="1" applyAlignment="1" applyProtection="1">
      <alignment horizontal="center" vertical="center"/>
      <protection locked="0"/>
    </xf>
    <xf numFmtId="0" fontId="160" fillId="0" borderId="1" xfId="0" applyFont="1" applyFill="1" applyBorder="1" applyAlignment="1" applyProtection="1">
      <alignment horizontal="center" vertical="center" wrapText="1" shrinkToFit="1"/>
      <protection locked="0"/>
    </xf>
    <xf numFmtId="58" fontId="139" fillId="0" borderId="1" xfId="0" applyNumberFormat="1" applyFont="1" applyFill="1" applyBorder="1" applyAlignment="1" applyProtection="1">
      <alignment horizontal="center" vertical="center" wrapText="1" shrinkToFit="1"/>
      <protection locked="0"/>
    </xf>
    <xf numFmtId="0" fontId="159" fillId="0" borderId="1" xfId="0" applyNumberFormat="1" applyFont="1" applyFill="1" applyBorder="1" applyAlignment="1" applyProtection="1">
      <alignment horizontal="center" vertical="center" wrapText="1" shrinkToFit="1"/>
      <protection locked="0"/>
    </xf>
    <xf numFmtId="176" fontId="139" fillId="0" borderId="37" xfId="0" applyNumberFormat="1" applyFont="1" applyFill="1" applyBorder="1" applyAlignment="1" applyProtection="1">
      <alignment horizontal="center" vertical="center" wrapText="1" shrinkToFit="1"/>
    </xf>
    <xf numFmtId="0" fontId="139" fillId="0" borderId="14" xfId="0" applyFont="1" applyFill="1" applyBorder="1" applyAlignment="1" applyProtection="1">
      <alignment horizontal="center" vertical="center" wrapText="1" shrinkToFit="1"/>
      <protection locked="0"/>
    </xf>
    <xf numFmtId="0" fontId="139" fillId="0" borderId="14" xfId="0" applyFont="1" applyFill="1" applyBorder="1" applyAlignment="1" applyProtection="1">
      <alignment horizontal="center" vertical="center"/>
      <protection locked="0"/>
    </xf>
    <xf numFmtId="0" fontId="139" fillId="0" borderId="6" xfId="0" applyFont="1" applyFill="1" applyBorder="1" applyAlignment="1" applyProtection="1">
      <alignment horizontal="center" vertical="center" wrapText="1" shrinkToFit="1"/>
      <protection locked="0"/>
    </xf>
    <xf numFmtId="0" fontId="161" fillId="0" borderId="0" xfId="0" applyFont="1" applyFill="1" applyAlignment="1" applyProtection="1">
      <alignment horizontal="center" vertical="center"/>
      <protection locked="0"/>
    </xf>
    <xf numFmtId="0" fontId="162" fillId="0" borderId="1" xfId="0" applyFont="1" applyFill="1" applyBorder="1" applyAlignment="1" applyProtection="1">
      <alignment horizontal="center" vertical="center"/>
      <protection locked="0"/>
    </xf>
    <xf numFmtId="0" fontId="21" fillId="0" borderId="14" xfId="0" applyFont="1" applyFill="1" applyBorder="1" applyAlignment="1" applyProtection="1">
      <alignment horizontal="center" vertical="center"/>
      <protection locked="0"/>
    </xf>
    <xf numFmtId="0" fontId="21" fillId="0" borderId="45" xfId="0" applyFont="1" applyFill="1" applyBorder="1" applyAlignment="1" applyProtection="1">
      <alignment horizontal="center" vertical="center"/>
      <protection locked="0"/>
    </xf>
    <xf numFmtId="0" fontId="21" fillId="0" borderId="3"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139" fillId="0" borderId="3" xfId="0" applyNumberFormat="1" applyFont="1" applyFill="1" applyBorder="1" applyAlignment="1" applyProtection="1">
      <alignment horizontal="center" vertical="center" wrapText="1" shrinkToFit="1"/>
      <protection locked="0"/>
    </xf>
    <xf numFmtId="0" fontId="139" fillId="0" borderId="1" xfId="0" applyNumberFormat="1" applyFont="1" applyFill="1" applyBorder="1" applyAlignment="1" applyProtection="1">
      <alignment horizontal="center" vertical="center" wrapText="1" shrinkToFit="1"/>
      <protection locked="0"/>
    </xf>
    <xf numFmtId="0" fontId="139" fillId="0" borderId="3" xfId="0" applyFont="1" applyFill="1" applyBorder="1" applyAlignment="1" applyProtection="1">
      <alignment vertical="center" wrapText="1" shrinkToFit="1"/>
      <protection locked="0"/>
    </xf>
    <xf numFmtId="0" fontId="139" fillId="0" borderId="2" xfId="0" applyFont="1" applyFill="1" applyBorder="1" applyAlignment="1" applyProtection="1">
      <alignment horizontal="center" vertical="center" wrapText="1"/>
      <protection locked="0"/>
    </xf>
    <xf numFmtId="181" fontId="163" fillId="0" borderId="1" xfId="0" applyNumberFormat="1" applyFont="1" applyFill="1" applyBorder="1" applyAlignment="1" applyProtection="1">
      <alignment horizontal="center" vertical="center" wrapText="1" shrinkToFit="1"/>
      <protection locked="0"/>
    </xf>
    <xf numFmtId="58" fontId="163" fillId="0" borderId="3" xfId="0" applyNumberFormat="1" applyFont="1" applyFill="1" applyBorder="1" applyAlignment="1">
      <alignment horizontal="center" vertical="center"/>
    </xf>
    <xf numFmtId="181" fontId="163" fillId="0" borderId="1" xfId="0" applyNumberFormat="1" applyFont="1" applyFill="1" applyBorder="1" applyAlignment="1" applyProtection="1">
      <alignment horizontal="center" vertical="center" wrapText="1" shrinkToFit="1"/>
    </xf>
    <xf numFmtId="0" fontId="163" fillId="0" borderId="2" xfId="0" applyFont="1" applyFill="1" applyBorder="1" applyAlignment="1" applyProtection="1">
      <alignment horizontal="center" vertical="center" wrapText="1"/>
      <protection locked="0"/>
    </xf>
    <xf numFmtId="0" fontId="164" fillId="0" borderId="2" xfId="0" applyNumberFormat="1" applyFont="1" applyFill="1" applyBorder="1" applyAlignment="1" applyProtection="1">
      <alignment horizontal="center" vertical="center" shrinkToFit="1"/>
      <protection locked="0"/>
    </xf>
    <xf numFmtId="0" fontId="163" fillId="0" borderId="1" xfId="0" applyFont="1" applyFill="1" applyBorder="1" applyAlignment="1" applyProtection="1">
      <alignment horizontal="center" vertical="center" wrapText="1"/>
      <protection locked="0"/>
    </xf>
    <xf numFmtId="0" fontId="163" fillId="0" borderId="2" xfId="0" applyFont="1" applyFill="1" applyBorder="1" applyAlignment="1" applyProtection="1">
      <alignment horizontal="center" vertical="center"/>
      <protection locked="0"/>
    </xf>
    <xf numFmtId="0" fontId="139" fillId="0" borderId="3" xfId="0" applyFont="1" applyFill="1" applyBorder="1" applyAlignment="1" applyProtection="1">
      <alignment horizontal="center" vertical="center" wrapText="1" shrinkToFit="1"/>
      <protection locked="0"/>
    </xf>
    <xf numFmtId="0" fontId="159" fillId="0" borderId="2" xfId="0" applyFont="1" applyFill="1" applyBorder="1" applyAlignment="1" applyProtection="1">
      <alignment horizontal="center" vertical="center"/>
      <protection locked="0"/>
    </xf>
    <xf numFmtId="182" fontId="139" fillId="0" borderId="1" xfId="0" applyNumberFormat="1" applyFont="1" applyFill="1" applyBorder="1" applyAlignment="1" applyProtection="1">
      <alignment horizontal="center" vertical="center" wrapText="1" shrinkToFit="1"/>
      <protection locked="0"/>
    </xf>
    <xf numFmtId="0" fontId="165" fillId="0" borderId="1" xfId="0" applyFont="1" applyFill="1" applyBorder="1" applyAlignment="1" applyProtection="1">
      <alignment horizontal="center" vertical="center" wrapText="1" shrinkToFit="1"/>
      <protection locked="0"/>
    </xf>
    <xf numFmtId="180" fontId="159" fillId="0" borderId="6" xfId="0" applyNumberFormat="1" applyFont="1" applyFill="1" applyBorder="1" applyAlignment="1" applyProtection="1">
      <alignment horizontal="center" vertical="center" wrapText="1" shrinkToFit="1"/>
      <protection locked="0"/>
    </xf>
    <xf numFmtId="0" fontId="166" fillId="2" borderId="6" xfId="0" applyFont="1" applyFill="1" applyBorder="1" applyAlignment="1">
      <alignment horizontal="center" vertical="center"/>
    </xf>
    <xf numFmtId="0" fontId="159" fillId="0" borderId="2" xfId="0" applyFont="1" applyFill="1" applyBorder="1" applyAlignment="1" applyProtection="1">
      <alignment horizontal="center" vertical="center" wrapText="1" shrinkToFit="1"/>
      <protection locked="0"/>
    </xf>
    <xf numFmtId="0" fontId="21" fillId="0" borderId="2" xfId="0" applyFont="1" applyFill="1" applyBorder="1" applyAlignment="1" applyProtection="1">
      <alignment horizontal="center" vertical="center" wrapText="1"/>
      <protection locked="0"/>
    </xf>
    <xf numFmtId="180" fontId="167" fillId="0" borderId="1" xfId="0" applyNumberFormat="1" applyFont="1" applyFill="1" applyBorder="1" applyAlignment="1" applyProtection="1">
      <alignment horizontal="center" vertical="center" wrapText="1"/>
      <protection locked="0"/>
    </xf>
    <xf numFmtId="0" fontId="168" fillId="0" borderId="1" xfId="0" applyFont="1" applyFill="1" applyBorder="1" applyAlignment="1">
      <alignment horizontal="center" vertical="center"/>
    </xf>
    <xf numFmtId="49" fontId="169" fillId="0" borderId="1" xfId="0" applyNumberFormat="1" applyFont="1" applyFill="1" applyBorder="1" applyAlignment="1" applyProtection="1">
      <alignment horizontal="center" vertical="center" wrapText="1" shrinkToFit="1"/>
      <protection locked="0"/>
    </xf>
    <xf numFmtId="176" fontId="162" fillId="0" borderId="1" xfId="0" applyNumberFormat="1" applyFont="1" applyFill="1" applyBorder="1" applyAlignment="1" applyProtection="1">
      <alignment horizontal="center" vertical="center" wrapText="1" shrinkToFit="1"/>
    </xf>
    <xf numFmtId="0" fontId="162" fillId="0" borderId="2" xfId="0" applyFont="1" applyFill="1" applyBorder="1" applyAlignment="1" applyProtection="1">
      <alignment horizontal="center" vertical="center" wrapText="1" shrinkToFit="1"/>
      <protection locked="0"/>
    </xf>
    <xf numFmtId="0" fontId="170" fillId="0" borderId="1" xfId="0" applyFont="1" applyFill="1" applyBorder="1" applyAlignment="1" applyProtection="1">
      <alignment horizontal="center" vertical="center" wrapText="1" shrinkToFit="1"/>
      <protection locked="0"/>
    </xf>
    <xf numFmtId="0" fontId="162" fillId="0" borderId="1" xfId="0" applyFont="1" applyFill="1" applyBorder="1" applyAlignment="1" applyProtection="1">
      <alignment horizontal="center" vertical="center" wrapText="1" shrinkToFit="1"/>
      <protection locked="0"/>
    </xf>
    <xf numFmtId="49" fontId="170" fillId="0" borderId="1" xfId="0" applyNumberFormat="1" applyFont="1" applyFill="1" applyBorder="1" applyAlignment="1" applyProtection="1">
      <alignment horizontal="center" vertical="center" wrapText="1" shrinkToFit="1"/>
      <protection locked="0"/>
    </xf>
    <xf numFmtId="178" fontId="170" fillId="0" borderId="1" xfId="0" applyNumberFormat="1" applyFont="1" applyFill="1" applyBorder="1" applyAlignment="1" applyProtection="1">
      <alignment horizontal="center" vertical="center" wrapText="1" shrinkToFit="1"/>
      <protection locked="0"/>
    </xf>
    <xf numFmtId="181" fontId="162" fillId="0" borderId="1" xfId="0" applyNumberFormat="1" applyFont="1" applyFill="1" applyBorder="1" applyAlignment="1" applyProtection="1">
      <alignment horizontal="center" vertical="center" wrapText="1" shrinkToFit="1"/>
      <protection locked="0"/>
    </xf>
    <xf numFmtId="0" fontId="170" fillId="0" borderId="1" xfId="0" applyNumberFormat="1" applyFont="1" applyFill="1" applyBorder="1" applyAlignment="1" applyProtection="1">
      <alignment horizontal="center" vertical="center" wrapText="1" shrinkToFit="1"/>
      <protection locked="0"/>
    </xf>
    <xf numFmtId="182" fontId="162" fillId="0" borderId="2" xfId="0" applyNumberFormat="1" applyFont="1" applyFill="1" applyBorder="1" applyAlignment="1" applyProtection="1">
      <alignment horizontal="center" vertical="center" wrapText="1" shrinkToFit="1"/>
      <protection locked="0"/>
    </xf>
    <xf numFmtId="0" fontId="162" fillId="0" borderId="1" xfId="0" applyFont="1" applyFill="1" applyBorder="1" applyAlignment="1" applyProtection="1">
      <alignment horizontal="center" vertical="center" wrapText="1"/>
      <protection locked="0"/>
    </xf>
    <xf numFmtId="181" fontId="170" fillId="0" borderId="1" xfId="0" applyNumberFormat="1" applyFont="1" applyFill="1" applyBorder="1" applyAlignment="1" applyProtection="1">
      <alignment horizontal="center" vertical="center" wrapText="1" shrinkToFit="1"/>
      <protection locked="0"/>
    </xf>
    <xf numFmtId="184" fontId="170" fillId="0" borderId="1" xfId="0" applyNumberFormat="1" applyFont="1" applyFill="1" applyBorder="1" applyAlignment="1" applyProtection="1">
      <alignment horizontal="center" vertical="center" wrapText="1" shrinkToFit="1"/>
      <protection locked="0"/>
    </xf>
    <xf numFmtId="180" fontId="170" fillId="0" borderId="1" xfId="0" applyNumberFormat="1" applyFont="1" applyFill="1" applyBorder="1" applyAlignment="1" applyProtection="1">
      <alignment horizontal="center" vertical="center" wrapText="1" shrinkToFit="1"/>
      <protection locked="0"/>
    </xf>
    <xf numFmtId="0" fontId="162" fillId="0" borderId="3" xfId="0" applyNumberFormat="1" applyFont="1" applyFill="1" applyBorder="1" applyAlignment="1" applyProtection="1">
      <alignment horizontal="center" vertical="center" wrapText="1" shrinkToFit="1"/>
      <protection locked="0"/>
    </xf>
    <xf numFmtId="0" fontId="162" fillId="0" borderId="3" xfId="0" applyFont="1" applyFill="1" applyBorder="1" applyAlignment="1" applyProtection="1">
      <alignment vertical="center" wrapText="1" shrinkToFit="1"/>
      <protection locked="0"/>
    </xf>
    <xf numFmtId="0" fontId="170" fillId="0" borderId="1" xfId="0" applyFont="1" applyFill="1" applyBorder="1" applyAlignment="1" applyProtection="1">
      <alignment horizontal="center" vertical="center"/>
      <protection locked="0"/>
    </xf>
    <xf numFmtId="0" fontId="162" fillId="0" borderId="2" xfId="0" applyFont="1" applyFill="1" applyBorder="1" applyAlignment="1" applyProtection="1">
      <alignment horizontal="center" vertical="center"/>
      <protection locked="0"/>
    </xf>
    <xf numFmtId="187" fontId="162" fillId="0" borderId="1" xfId="0" applyNumberFormat="1" applyFont="1" applyFill="1" applyBorder="1" applyAlignment="1" applyProtection="1">
      <alignment horizontal="center" vertical="center"/>
      <protection locked="0"/>
    </xf>
    <xf numFmtId="178" fontId="162" fillId="0" borderId="1" xfId="0" applyNumberFormat="1" applyFont="1" applyFill="1" applyBorder="1" applyAlignment="1" applyProtection="1">
      <alignment horizontal="center" vertical="center"/>
      <protection locked="0"/>
    </xf>
    <xf numFmtId="58" fontId="162" fillId="0" borderId="1" xfId="0" applyNumberFormat="1" applyFont="1" applyFill="1" applyBorder="1" applyAlignment="1" applyProtection="1">
      <alignment horizontal="center" vertical="center" wrapText="1" shrinkToFit="1"/>
      <protection locked="0"/>
    </xf>
    <xf numFmtId="181" fontId="171" fillId="0" borderId="1" xfId="0" applyNumberFormat="1" applyFont="1" applyFill="1" applyBorder="1" applyAlignment="1" applyProtection="1">
      <alignment horizontal="center" vertical="center" wrapText="1" shrinkToFit="1"/>
      <protection locked="0"/>
    </xf>
    <xf numFmtId="0" fontId="162" fillId="0" borderId="4" xfId="0" applyFont="1" applyFill="1" applyBorder="1" applyAlignment="1" applyProtection="1">
      <alignment horizontal="center" vertical="center" wrapText="1" shrinkToFit="1"/>
      <protection locked="0"/>
    </xf>
    <xf numFmtId="0" fontId="162" fillId="0" borderId="3" xfId="0" applyFont="1" applyFill="1" applyBorder="1" applyAlignment="1" applyProtection="1">
      <alignment horizontal="center" vertical="center" wrapText="1" shrinkToFit="1"/>
      <protection locked="0"/>
    </xf>
    <xf numFmtId="0" fontId="162" fillId="0" borderId="1" xfId="0" applyNumberFormat="1" applyFont="1" applyFill="1" applyBorder="1" applyAlignment="1" applyProtection="1">
      <alignment horizontal="center" vertical="center" wrapText="1" shrinkToFit="1"/>
      <protection locked="0"/>
    </xf>
    <xf numFmtId="0" fontId="172" fillId="0" borderId="1" xfId="0" applyFont="1" applyFill="1" applyBorder="1" applyAlignment="1">
      <alignment horizontal="center" vertical="center"/>
    </xf>
    <xf numFmtId="187" fontId="162" fillId="21" borderId="1" xfId="0" applyNumberFormat="1" applyFont="1" applyFill="1" applyBorder="1" applyAlignment="1" applyProtection="1">
      <alignment horizontal="center" vertical="center"/>
      <protection locked="0"/>
    </xf>
    <xf numFmtId="0" fontId="162" fillId="0" borderId="2" xfId="0" applyFont="1" applyFill="1" applyBorder="1" applyAlignment="1" applyProtection="1">
      <alignment horizontal="center" vertical="center" wrapText="1"/>
      <protection locked="0"/>
    </xf>
    <xf numFmtId="0" fontId="170" fillId="0" borderId="2" xfId="0" applyFont="1" applyFill="1" applyBorder="1" applyAlignment="1" applyProtection="1">
      <alignment horizontal="center" vertical="center" wrapText="1" shrinkToFit="1"/>
      <protection locked="0"/>
    </xf>
    <xf numFmtId="184" fontId="170" fillId="3" borderId="1" xfId="0" applyNumberFormat="1" applyFont="1" applyFill="1" applyBorder="1" applyAlignment="1" applyProtection="1">
      <alignment horizontal="center" vertical="center" wrapText="1" shrinkToFit="1"/>
      <protection locked="0"/>
    </xf>
    <xf numFmtId="181" fontId="173" fillId="0" borderId="1" xfId="0" applyNumberFormat="1" applyFont="1" applyFill="1" applyBorder="1" applyAlignment="1" applyProtection="1">
      <alignment horizontal="center" vertical="center" wrapText="1" shrinkToFit="1"/>
      <protection locked="0"/>
    </xf>
    <xf numFmtId="187" fontId="162" fillId="3" borderId="1" xfId="0" applyNumberFormat="1" applyFont="1" applyFill="1" applyBorder="1" applyAlignment="1" applyProtection="1">
      <alignment horizontal="center" vertical="center"/>
      <protection locked="0"/>
    </xf>
    <xf numFmtId="58" fontId="162" fillId="0" borderId="3" xfId="0" applyNumberFormat="1" applyFont="1" applyFill="1" applyBorder="1" applyAlignment="1" applyProtection="1">
      <alignment vertical="center" wrapText="1" shrinkToFit="1"/>
      <protection locked="0"/>
    </xf>
    <xf numFmtId="0" fontId="174" fillId="0" borderId="14" xfId="0" applyFont="1" applyFill="1" applyBorder="1" applyAlignment="1" applyProtection="1">
      <alignment horizontal="center" vertical="center"/>
    </xf>
    <xf numFmtId="0" fontId="175" fillId="0" borderId="1" xfId="0" applyFont="1" applyFill="1" applyBorder="1" applyAlignment="1" applyProtection="1">
      <alignment horizontal="center" vertical="center" wrapText="1" shrinkToFit="1"/>
      <protection locked="0"/>
    </xf>
    <xf numFmtId="182" fontId="162" fillId="0" borderId="1" xfId="0" applyNumberFormat="1" applyFont="1" applyFill="1" applyBorder="1" applyAlignment="1" applyProtection="1">
      <alignment horizontal="center" vertical="center" wrapText="1" shrinkToFit="1"/>
      <protection locked="0"/>
    </xf>
    <xf numFmtId="0" fontId="169" fillId="0" borderId="1" xfId="0" applyFont="1" applyFill="1" applyBorder="1" applyAlignment="1" applyProtection="1">
      <alignment horizontal="center" vertical="center" wrapText="1" shrinkToFit="1"/>
      <protection locked="0"/>
    </xf>
    <xf numFmtId="182" fontId="21" fillId="0" borderId="1" xfId="0" applyNumberFormat="1" applyFont="1" applyFill="1" applyBorder="1" applyAlignment="1" applyProtection="1">
      <alignment horizontal="center" vertical="center" wrapText="1" shrinkToFit="1"/>
      <protection locked="0"/>
    </xf>
    <xf numFmtId="0" fontId="176" fillId="0" borderId="1" xfId="0" applyNumberFormat="1" applyFont="1" applyFill="1" applyBorder="1" applyAlignment="1" applyProtection="1">
      <alignment horizontal="center" vertical="center"/>
      <protection locked="0"/>
    </xf>
    <xf numFmtId="0" fontId="21" fillId="0" borderId="4" xfId="0" applyFont="1" applyFill="1" applyBorder="1" applyAlignment="1" applyProtection="1">
      <alignment horizontal="center" vertical="center" wrapText="1" shrinkToFit="1"/>
      <protection locked="0"/>
    </xf>
    <xf numFmtId="0" fontId="21" fillId="0" borderId="3" xfId="0" applyFont="1" applyFill="1" applyBorder="1" applyAlignment="1" applyProtection="1">
      <alignment horizontal="center" vertical="center" wrapText="1" shrinkToFit="1"/>
      <protection locked="0"/>
    </xf>
    <xf numFmtId="58" fontId="21" fillId="0" borderId="1" xfId="0" applyNumberFormat="1" applyFont="1" applyFill="1" applyBorder="1" applyAlignment="1" applyProtection="1">
      <alignment horizontal="center" vertical="center" wrapText="1" shrinkToFit="1"/>
      <protection locked="0"/>
    </xf>
    <xf numFmtId="3" fontId="138" fillId="0" borderId="1" xfId="0" applyNumberFormat="1" applyFont="1" applyFill="1" applyBorder="1" applyAlignment="1" applyProtection="1">
      <alignment horizontal="center" vertical="center" wrapText="1" shrinkToFit="1"/>
      <protection locked="0"/>
    </xf>
    <xf numFmtId="188" fontId="138" fillId="0" borderId="1" xfId="0" applyNumberFormat="1" applyFont="1" applyFill="1" applyBorder="1" applyAlignment="1" applyProtection="1">
      <alignment horizontal="center" vertical="center" wrapText="1" shrinkToFit="1"/>
      <protection locked="0"/>
    </xf>
    <xf numFmtId="181" fontId="167" fillId="0" borderId="1" xfId="0" applyNumberFormat="1" applyFont="1" applyFill="1" applyBorder="1" applyAlignment="1" applyProtection="1">
      <alignment horizontal="center" vertical="center" wrapText="1" shrinkToFit="1"/>
    </xf>
    <xf numFmtId="0" fontId="167" fillId="0" borderId="2" xfId="0" applyFont="1" applyFill="1" applyBorder="1" applyAlignment="1" applyProtection="1">
      <alignment horizontal="center" vertical="center" wrapText="1"/>
      <protection locked="0"/>
    </xf>
    <xf numFmtId="0" fontId="138" fillId="0" borderId="2" xfId="0" applyFont="1" applyFill="1" applyBorder="1" applyAlignment="1" applyProtection="1">
      <alignment horizontal="center" vertical="center" wrapText="1" shrinkToFit="1"/>
      <protection locked="0"/>
    </xf>
    <xf numFmtId="0" fontId="172" fillId="0" borderId="2" xfId="0" applyNumberFormat="1" applyFont="1" applyFill="1" applyBorder="1" applyAlignment="1" applyProtection="1">
      <alignment horizontal="center" vertical="center" shrinkToFit="1"/>
      <protection locked="0"/>
    </xf>
    <xf numFmtId="0" fontId="167" fillId="0" borderId="1" xfId="0" applyFont="1" applyFill="1" applyBorder="1" applyAlignment="1" applyProtection="1">
      <alignment horizontal="center" vertical="center" wrapText="1"/>
      <protection locked="0"/>
    </xf>
    <xf numFmtId="187" fontId="21" fillId="4" borderId="1" xfId="0" applyNumberFormat="1" applyFont="1" applyFill="1" applyBorder="1" applyAlignment="1" applyProtection="1">
      <alignment horizontal="center" vertical="center"/>
      <protection locked="0"/>
    </xf>
    <xf numFmtId="0" fontId="177" fillId="0" borderId="1" xfId="0" applyFont="1" applyFill="1" applyBorder="1" applyAlignment="1" applyProtection="1">
      <alignment horizontal="center" vertical="center" wrapText="1"/>
      <protection locked="0"/>
    </xf>
    <xf numFmtId="0" fontId="170" fillId="0" borderId="1" xfId="0" applyFont="1" applyFill="1" applyBorder="1" applyAlignment="1" applyProtection="1">
      <alignment horizontal="center" vertical="center" wrapText="1"/>
      <protection locked="0"/>
    </xf>
    <xf numFmtId="188" fontId="170" fillId="0" borderId="1" xfId="0" applyNumberFormat="1" applyFont="1" applyFill="1" applyBorder="1" applyAlignment="1" applyProtection="1">
      <alignment horizontal="center" vertical="center" wrapText="1" shrinkToFit="1"/>
      <protection locked="0"/>
    </xf>
    <xf numFmtId="0" fontId="170" fillId="0" borderId="3" xfId="0" applyNumberFormat="1" applyFont="1" applyFill="1" applyBorder="1" applyAlignment="1" applyProtection="1">
      <alignment horizontal="center" vertical="center" wrapText="1" shrinkToFit="1"/>
      <protection locked="0"/>
    </xf>
    <xf numFmtId="0" fontId="170" fillId="0" borderId="3" xfId="0" applyFont="1" applyFill="1" applyBorder="1" applyAlignment="1" applyProtection="1">
      <alignment horizontal="center" vertical="center" wrapText="1" shrinkToFit="1"/>
      <protection locked="0"/>
    </xf>
    <xf numFmtId="0" fontId="162" fillId="0" borderId="1" xfId="0" applyFont="1" applyFill="1" applyBorder="1" applyAlignment="1" applyProtection="1">
      <alignment vertical="center" wrapText="1" shrinkToFit="1"/>
      <protection locked="0"/>
    </xf>
    <xf numFmtId="181" fontId="162" fillId="4" borderId="1" xfId="0" applyNumberFormat="1" applyFont="1" applyFill="1" applyBorder="1" applyAlignment="1" applyProtection="1">
      <alignment horizontal="center" vertical="center" wrapText="1" shrinkToFit="1"/>
      <protection locked="0"/>
    </xf>
    <xf numFmtId="0" fontId="170" fillId="4" borderId="1" xfId="0" applyFont="1" applyFill="1" applyBorder="1" applyAlignment="1" applyProtection="1">
      <alignment horizontal="center" vertical="center" wrapText="1" shrinkToFit="1"/>
      <protection locked="0"/>
    </xf>
    <xf numFmtId="0" fontId="178" fillId="3" borderId="1" xfId="0" applyFont="1" applyFill="1" applyBorder="1" applyAlignment="1" applyProtection="1">
      <alignment horizontal="center" vertical="center" wrapText="1"/>
      <protection locked="0"/>
    </xf>
    <xf numFmtId="182" fontId="175" fillId="0" borderId="2" xfId="0" applyNumberFormat="1" applyFont="1" applyFill="1" applyBorder="1" applyAlignment="1" applyProtection="1">
      <alignment horizontal="center" vertical="center" wrapText="1" shrinkToFit="1"/>
      <protection locked="0"/>
    </xf>
    <xf numFmtId="0" fontId="179" fillId="0" borderId="1" xfId="0" applyFont="1" applyFill="1" applyBorder="1" applyAlignment="1" applyProtection="1">
      <alignment horizontal="center" vertical="center" wrapText="1"/>
      <protection locked="0"/>
    </xf>
    <xf numFmtId="0" fontId="159" fillId="0" borderId="1" xfId="0" applyFont="1" applyFill="1" applyBorder="1" applyAlignment="1" applyProtection="1">
      <alignment horizontal="center" vertical="center" wrapText="1"/>
      <protection locked="0"/>
    </xf>
    <xf numFmtId="188" fontId="159" fillId="0" borderId="1" xfId="0" applyNumberFormat="1" applyFont="1" applyFill="1" applyBorder="1" applyAlignment="1" applyProtection="1">
      <alignment horizontal="center" vertical="center" wrapText="1" shrinkToFit="1"/>
      <protection locked="0"/>
    </xf>
    <xf numFmtId="0" fontId="159" fillId="0" borderId="3" xfId="0" applyNumberFormat="1" applyFont="1" applyFill="1" applyBorder="1" applyAlignment="1" applyProtection="1">
      <alignment horizontal="center" vertical="center" wrapText="1" shrinkToFit="1"/>
      <protection locked="0"/>
    </xf>
    <xf numFmtId="0" fontId="159" fillId="0" borderId="3" xfId="0" applyFont="1" applyFill="1" applyBorder="1" applyAlignment="1" applyProtection="1">
      <alignment horizontal="center" vertical="center" wrapText="1" shrinkToFit="1"/>
      <protection locked="0"/>
    </xf>
    <xf numFmtId="0" fontId="21" fillId="4" borderId="1" xfId="0" applyFont="1" applyFill="1" applyBorder="1" applyAlignment="1" applyProtection="1">
      <alignment horizontal="center" vertical="center" wrapText="1"/>
      <protection locked="0"/>
    </xf>
    <xf numFmtId="181" fontId="21" fillId="4" borderId="1" xfId="0" applyNumberFormat="1" applyFont="1" applyFill="1" applyBorder="1" applyAlignment="1" applyProtection="1">
      <alignment horizontal="center" vertical="center" wrapText="1" shrinkToFit="1"/>
      <protection locked="0"/>
    </xf>
    <xf numFmtId="182" fontId="180" fillId="0" borderId="2" xfId="0" applyNumberFormat="1" applyFont="1" applyFill="1" applyBorder="1" applyAlignment="1" applyProtection="1">
      <alignment horizontal="center" vertical="center" wrapText="1" shrinkToFit="1"/>
      <protection locked="0"/>
    </xf>
    <xf numFmtId="0" fontId="167" fillId="0" borderId="1" xfId="0" applyNumberFormat="1" applyFont="1" applyFill="1" applyBorder="1" applyAlignment="1" applyProtection="1">
      <alignment horizontal="center" vertical="center" wrapText="1" shrinkToFit="1"/>
      <protection locked="0"/>
    </xf>
    <xf numFmtId="0" fontId="180" fillId="0" borderId="1" xfId="0" applyFont="1" applyFill="1" applyBorder="1" applyAlignment="1" applyProtection="1">
      <alignment horizontal="center" vertical="center" wrapText="1" shrinkToFit="1"/>
      <protection locked="0"/>
    </xf>
    <xf numFmtId="49" fontId="167" fillId="0" borderId="1" xfId="0" applyNumberFormat="1" applyFont="1" applyFill="1" applyBorder="1" applyAlignment="1" applyProtection="1">
      <alignment horizontal="center" vertical="center" wrapText="1" shrinkToFit="1"/>
      <protection locked="0"/>
    </xf>
    <xf numFmtId="0" fontId="167" fillId="0" borderId="1" xfId="0" applyFont="1" applyFill="1" applyBorder="1" applyAlignment="1" applyProtection="1">
      <alignment horizontal="center" vertical="center" wrapText="1" shrinkToFit="1"/>
      <protection locked="0"/>
    </xf>
    <xf numFmtId="3" fontId="138" fillId="4" borderId="1" xfId="0" applyNumberFormat="1" applyFont="1" applyFill="1" applyBorder="1" applyAlignment="1" applyProtection="1">
      <alignment horizontal="center" vertical="center" wrapText="1" shrinkToFit="1"/>
      <protection locked="0"/>
    </xf>
    <xf numFmtId="0" fontId="180" fillId="0" borderId="2" xfId="0" applyFont="1" applyFill="1" applyBorder="1" applyAlignment="1" applyProtection="1">
      <alignment horizontal="center" vertical="center" wrapText="1" shrinkToFit="1"/>
      <protection locked="0"/>
    </xf>
    <xf numFmtId="181" fontId="167" fillId="4" borderId="1" xfId="0" applyNumberFormat="1" applyFont="1" applyFill="1" applyBorder="1" applyAlignment="1">
      <alignment horizontal="center" vertical="center" wrapText="1" shrinkToFit="1"/>
    </xf>
    <xf numFmtId="0" fontId="180" fillId="4" borderId="1" xfId="0" applyFont="1" applyFill="1" applyBorder="1" applyAlignment="1" applyProtection="1">
      <alignment horizontal="center" vertical="center" wrapText="1"/>
      <protection locked="0"/>
    </xf>
    <xf numFmtId="58" fontId="21" fillId="0" borderId="3" xfId="0" applyNumberFormat="1" applyFont="1" applyFill="1" applyBorder="1" applyAlignment="1" applyProtection="1">
      <alignment vertical="center" wrapText="1" shrinkToFit="1"/>
      <protection locked="0"/>
    </xf>
    <xf numFmtId="0" fontId="180" fillId="0" borderId="1" xfId="0" applyFont="1" applyFill="1" applyBorder="1" applyAlignment="1" applyProtection="1">
      <alignment horizontal="center" vertical="center" wrapText="1"/>
      <protection locked="0"/>
    </xf>
    <xf numFmtId="180" fontId="167" fillId="0" borderId="1" xfId="0" applyNumberFormat="1" applyFont="1" applyFill="1" applyBorder="1" applyAlignment="1" applyProtection="1">
      <alignment horizontal="center" vertical="center" wrapText="1" shrinkToFit="1"/>
      <protection locked="0"/>
    </xf>
    <xf numFmtId="0" fontId="157" fillId="0" borderId="1" xfId="0" applyFont="1" applyFill="1" applyBorder="1" applyAlignment="1" applyProtection="1">
      <alignment horizontal="center" vertical="center" wrapText="1" shrinkToFit="1"/>
      <protection locked="0"/>
    </xf>
    <xf numFmtId="58" fontId="138" fillId="0" borderId="1" xfId="0" applyNumberFormat="1" applyFont="1" applyFill="1" applyBorder="1" applyAlignment="1" applyProtection="1">
      <alignment horizontal="center" vertical="center" wrapText="1" shrinkToFit="1"/>
      <protection locked="0"/>
    </xf>
    <xf numFmtId="182" fontId="180" fillId="4" borderId="2" xfId="0" applyNumberFormat="1"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horizontal="center" vertical="center"/>
    </xf>
    <xf numFmtId="58" fontId="167" fillId="0" borderId="1" xfId="0" applyNumberFormat="1" applyFont="1" applyFill="1" applyBorder="1" applyAlignment="1" applyProtection="1">
      <alignment horizontal="center" vertical="center" wrapText="1" shrinkToFit="1"/>
      <protection locked="0"/>
    </xf>
    <xf numFmtId="176" fontId="21" fillId="0" borderId="14" xfId="0" applyNumberFormat="1" applyFont="1" applyFill="1" applyBorder="1" applyAlignment="1" applyProtection="1">
      <alignment horizontal="center" vertical="center" wrapText="1" shrinkToFit="1"/>
    </xf>
    <xf numFmtId="0" fontId="21" fillId="0" borderId="14" xfId="0" applyFont="1" applyFill="1" applyBorder="1" applyAlignment="1" applyProtection="1">
      <alignment horizontal="center" vertical="center" wrapText="1" shrinkToFit="1"/>
      <protection locked="0"/>
    </xf>
    <xf numFmtId="49" fontId="138" fillId="0" borderId="14" xfId="0" applyNumberFormat="1" applyFont="1" applyFill="1" applyBorder="1" applyAlignment="1" applyProtection="1">
      <alignment horizontal="center" vertical="center" wrapText="1" shrinkToFit="1"/>
      <protection locked="0"/>
    </xf>
    <xf numFmtId="0" fontId="138" fillId="0" borderId="14" xfId="0" applyFont="1" applyFill="1" applyBorder="1" applyAlignment="1" applyProtection="1">
      <alignment horizontal="center" vertical="center" wrapText="1" shrinkToFit="1"/>
      <protection locked="0"/>
    </xf>
    <xf numFmtId="178" fontId="138" fillId="0" borderId="14" xfId="0" applyNumberFormat="1" applyFont="1" applyFill="1" applyBorder="1" applyAlignment="1" applyProtection="1">
      <alignment horizontal="center" vertical="center" wrapText="1" shrinkToFit="1"/>
      <protection locked="0"/>
    </xf>
    <xf numFmtId="181" fontId="21" fillId="0" borderId="14" xfId="0" applyNumberFormat="1" applyFont="1" applyFill="1" applyBorder="1" applyAlignment="1" applyProtection="1">
      <alignment horizontal="center" vertical="center" wrapText="1" shrinkToFit="1"/>
      <protection locked="0"/>
    </xf>
    <xf numFmtId="58" fontId="21" fillId="0" borderId="14" xfId="0" applyNumberFormat="1" applyFont="1" applyFill="1" applyBorder="1" applyAlignment="1" applyProtection="1">
      <alignment horizontal="center" vertical="center" wrapText="1" shrinkToFit="1"/>
      <protection locked="0"/>
    </xf>
    <xf numFmtId="182" fontId="21" fillId="0" borderId="14" xfId="0" applyNumberFormat="1" applyFont="1" applyFill="1" applyBorder="1" applyAlignment="1" applyProtection="1">
      <alignment horizontal="center" vertical="center" wrapText="1" shrinkToFit="1"/>
      <protection locked="0"/>
    </xf>
    <xf numFmtId="182" fontId="180" fillId="0" borderId="14" xfId="0" applyNumberFormat="1" applyFont="1" applyFill="1" applyBorder="1" applyAlignment="1" applyProtection="1">
      <alignment horizontal="center" vertical="center" wrapText="1" shrinkToFit="1"/>
      <protection locked="0"/>
    </xf>
    <xf numFmtId="0" fontId="180" fillId="0" borderId="14" xfId="0" applyFont="1" applyFill="1" applyBorder="1" applyAlignment="1" applyProtection="1">
      <alignment horizontal="center" vertical="center" wrapText="1"/>
      <protection locked="0"/>
    </xf>
    <xf numFmtId="181" fontId="138" fillId="0" borderId="14" xfId="0" applyNumberFormat="1" applyFont="1" applyFill="1" applyBorder="1" applyAlignment="1" applyProtection="1">
      <alignment horizontal="center" vertical="center" wrapText="1" shrinkToFit="1"/>
      <protection locked="0"/>
    </xf>
    <xf numFmtId="184" fontId="138" fillId="0" borderId="14" xfId="0" applyNumberFormat="1" applyFont="1" applyFill="1" applyBorder="1" applyAlignment="1" applyProtection="1">
      <alignment horizontal="center" vertical="center" wrapText="1" shrinkToFit="1"/>
      <protection locked="0"/>
    </xf>
    <xf numFmtId="180" fontId="138" fillId="0" borderId="14" xfId="0" applyNumberFormat="1" applyFont="1" applyFill="1" applyBorder="1" applyAlignment="1" applyProtection="1">
      <alignment horizontal="center" vertical="center" wrapText="1" shrinkToFit="1"/>
      <protection locked="0"/>
    </xf>
    <xf numFmtId="0" fontId="167" fillId="0" borderId="14" xfId="0" applyFont="1" applyFill="1" applyBorder="1" applyAlignment="1" applyProtection="1">
      <alignment horizontal="center" vertical="center" wrapText="1" shrinkToFit="1"/>
      <protection locked="0"/>
    </xf>
    <xf numFmtId="0" fontId="21" fillId="0" borderId="14" xfId="0" applyNumberFormat="1" applyFont="1" applyFill="1" applyBorder="1" applyAlignment="1" applyProtection="1">
      <alignment horizontal="center" vertical="center" wrapText="1" shrinkToFit="1"/>
      <protection locked="0"/>
    </xf>
    <xf numFmtId="0" fontId="21" fillId="0" borderId="14" xfId="0" applyFont="1" applyFill="1" applyBorder="1" applyAlignment="1" applyProtection="1">
      <alignment vertical="center" wrapText="1" shrinkToFit="1"/>
      <protection locked="0"/>
    </xf>
    <xf numFmtId="0" fontId="180" fillId="0" borderId="14" xfId="0" applyFont="1" applyFill="1" applyBorder="1" applyAlignment="1" applyProtection="1">
      <alignment horizontal="center" vertical="center" wrapText="1" shrinkToFit="1"/>
      <protection locked="0"/>
    </xf>
    <xf numFmtId="0" fontId="138" fillId="0" borderId="14" xfId="0" applyFont="1" applyFill="1" applyBorder="1" applyAlignment="1" applyProtection="1">
      <alignment horizontal="center" vertical="center"/>
      <protection locked="0"/>
    </xf>
    <xf numFmtId="187" fontId="21" fillId="0" borderId="14" xfId="0" applyNumberFormat="1" applyFont="1" applyFill="1" applyBorder="1" applyAlignment="1" applyProtection="1">
      <alignment horizontal="center" vertical="center"/>
      <protection locked="0"/>
    </xf>
    <xf numFmtId="178" fontId="21" fillId="0" borderId="14" xfId="0" applyNumberFormat="1" applyFont="1" applyFill="1" applyBorder="1" applyAlignment="1" applyProtection="1">
      <alignment horizontal="center" vertical="center"/>
      <protection locked="0"/>
    </xf>
    <xf numFmtId="176" fontId="21" fillId="0" borderId="45" xfId="0" applyNumberFormat="1" applyFont="1" applyFill="1" applyBorder="1" applyAlignment="1" applyProtection="1">
      <alignment horizontal="center" vertical="center" wrapText="1" shrinkToFit="1"/>
    </xf>
    <xf numFmtId="0" fontId="21" fillId="0" borderId="45" xfId="0" applyFont="1" applyFill="1" applyBorder="1" applyAlignment="1" applyProtection="1">
      <alignment horizontal="center" vertical="center" wrapText="1" shrinkToFit="1"/>
      <protection locked="0"/>
    </xf>
    <xf numFmtId="0" fontId="21" fillId="4" borderId="45" xfId="0" applyFont="1" applyFill="1" applyBorder="1" applyAlignment="1" applyProtection="1">
      <alignment horizontal="center" vertical="center" wrapText="1" shrinkToFit="1"/>
      <protection locked="0"/>
    </xf>
    <xf numFmtId="49" fontId="138" fillId="0" borderId="45" xfId="0" applyNumberFormat="1" applyFont="1" applyFill="1" applyBorder="1" applyAlignment="1" applyProtection="1">
      <alignment horizontal="center" vertical="center" wrapText="1" shrinkToFit="1"/>
      <protection locked="0"/>
    </xf>
    <xf numFmtId="0" fontId="138" fillId="0" borderId="45" xfId="0" applyFont="1" applyFill="1" applyBorder="1" applyAlignment="1" applyProtection="1">
      <alignment horizontal="center" vertical="center" wrapText="1" shrinkToFit="1"/>
      <protection locked="0"/>
    </xf>
    <xf numFmtId="178" fontId="138" fillId="0" borderId="45" xfId="0" applyNumberFormat="1" applyFont="1" applyFill="1" applyBorder="1" applyAlignment="1" applyProtection="1">
      <alignment horizontal="center" vertical="center" wrapText="1" shrinkToFit="1"/>
      <protection locked="0"/>
    </xf>
    <xf numFmtId="181" fontId="21" fillId="4" borderId="45" xfId="0" applyNumberFormat="1" applyFont="1" applyFill="1" applyBorder="1" applyAlignment="1" applyProtection="1">
      <alignment horizontal="center" vertical="center" wrapText="1" shrinkToFit="1"/>
      <protection locked="0"/>
    </xf>
    <xf numFmtId="0" fontId="180" fillId="0" borderId="45" xfId="0" applyFont="1" applyFill="1" applyBorder="1" applyAlignment="1" applyProtection="1">
      <alignment horizontal="center" vertical="center" wrapText="1" shrinkToFit="1"/>
      <protection locked="0"/>
    </xf>
    <xf numFmtId="0" fontId="167" fillId="0" borderId="2" xfId="0" applyNumberFormat="1" applyFont="1" applyFill="1" applyBorder="1" applyAlignment="1" applyProtection="1">
      <alignment horizontal="center" vertical="center" wrapText="1" shrinkToFit="1"/>
      <protection locked="0"/>
    </xf>
    <xf numFmtId="58" fontId="21" fillId="0" borderId="45" xfId="0" applyNumberFormat="1" applyFont="1" applyFill="1" applyBorder="1" applyAlignment="1" applyProtection="1">
      <alignment horizontal="center" vertical="center" wrapText="1" shrinkToFit="1"/>
      <protection locked="0"/>
    </xf>
    <xf numFmtId="182" fontId="21" fillId="0" borderId="45" xfId="0" applyNumberFormat="1" applyFont="1" applyFill="1" applyBorder="1" applyAlignment="1" applyProtection="1">
      <alignment horizontal="center" vertical="center" wrapText="1" shrinkToFit="1"/>
      <protection locked="0"/>
    </xf>
    <xf numFmtId="182" fontId="180" fillId="0" borderId="45" xfId="0" applyNumberFormat="1" applyFont="1" applyFill="1" applyBorder="1" applyAlignment="1" applyProtection="1">
      <alignment horizontal="center" vertical="center" wrapText="1" shrinkToFit="1"/>
      <protection locked="0"/>
    </xf>
    <xf numFmtId="0" fontId="21" fillId="0" borderId="45" xfId="0" applyFont="1" applyFill="1" applyBorder="1" applyAlignment="1" applyProtection="1">
      <alignment horizontal="center" vertical="center" wrapText="1"/>
      <protection locked="0"/>
    </xf>
    <xf numFmtId="181" fontId="138" fillId="0" borderId="45" xfId="0" applyNumberFormat="1" applyFont="1" applyFill="1" applyBorder="1" applyAlignment="1" applyProtection="1">
      <alignment horizontal="center" vertical="center" wrapText="1" shrinkToFit="1"/>
      <protection locked="0"/>
    </xf>
    <xf numFmtId="184" fontId="138" fillId="0" borderId="45" xfId="0" applyNumberFormat="1" applyFont="1" applyFill="1" applyBorder="1" applyAlignment="1" applyProtection="1">
      <alignment horizontal="center" vertical="center" wrapText="1" shrinkToFit="1"/>
      <protection locked="0"/>
    </xf>
    <xf numFmtId="180" fontId="138" fillId="0" borderId="45" xfId="0" applyNumberFormat="1" applyFont="1" applyFill="1" applyBorder="1" applyAlignment="1" applyProtection="1">
      <alignment horizontal="center" vertical="center" wrapText="1" shrinkToFit="1"/>
      <protection locked="0"/>
    </xf>
    <xf numFmtId="0" fontId="21" fillId="0" borderId="45" xfId="0" applyNumberFormat="1" applyFont="1" applyFill="1" applyBorder="1" applyAlignment="1" applyProtection="1">
      <alignment horizontal="center" vertical="center" wrapText="1" shrinkToFit="1"/>
      <protection locked="0"/>
    </xf>
    <xf numFmtId="0" fontId="21" fillId="0" borderId="45" xfId="0" applyFont="1" applyFill="1" applyBorder="1" applyAlignment="1" applyProtection="1">
      <alignment vertical="center" wrapText="1" shrinkToFit="1"/>
      <protection locked="0"/>
    </xf>
    <xf numFmtId="0" fontId="138" fillId="0" borderId="45" xfId="0" applyFont="1" applyFill="1" applyBorder="1" applyAlignment="1" applyProtection="1">
      <alignment horizontal="center" vertical="center"/>
      <protection locked="0"/>
    </xf>
    <xf numFmtId="187" fontId="21" fillId="0" borderId="45" xfId="0" applyNumberFormat="1" applyFont="1" applyFill="1" applyBorder="1" applyAlignment="1" applyProtection="1">
      <alignment horizontal="center" vertical="center"/>
      <protection locked="0"/>
    </xf>
    <xf numFmtId="178" fontId="21" fillId="0" borderId="45" xfId="0" applyNumberFormat="1" applyFont="1" applyFill="1" applyBorder="1" applyAlignment="1" applyProtection="1">
      <alignment horizontal="center" vertical="center"/>
      <protection locked="0"/>
    </xf>
    <xf numFmtId="176" fontId="21" fillId="0" borderId="3" xfId="0" applyNumberFormat="1" applyFont="1" applyFill="1" applyBorder="1" applyAlignment="1" applyProtection="1">
      <alignment horizontal="center" vertical="center" wrapText="1" shrinkToFit="1"/>
    </xf>
    <xf numFmtId="0" fontId="21" fillId="0" borderId="4" xfId="0" applyFont="1" applyFill="1" applyBorder="1" applyAlignment="1" applyProtection="1">
      <alignment horizontal="center" vertical="center"/>
      <protection locked="0"/>
    </xf>
    <xf numFmtId="49" fontId="138" fillId="0" borderId="3" xfId="0" applyNumberFormat="1" applyFont="1" applyFill="1" applyBorder="1" applyAlignment="1" applyProtection="1">
      <alignment horizontal="center" vertical="center" wrapText="1" shrinkToFit="1"/>
      <protection locked="0"/>
    </xf>
    <xf numFmtId="0" fontId="167" fillId="0" borderId="3" xfId="0" applyFont="1" applyFill="1" applyBorder="1" applyAlignment="1" applyProtection="1">
      <alignment horizontal="center" vertical="center" wrapText="1" shrinkToFit="1"/>
      <protection locked="0"/>
    </xf>
    <xf numFmtId="3" fontId="138" fillId="0" borderId="3" xfId="0" applyNumberFormat="1" applyFont="1" applyFill="1" applyBorder="1" applyAlignment="1" applyProtection="1">
      <alignment horizontal="center" vertical="center" wrapText="1" shrinkToFit="1"/>
      <protection locked="0"/>
    </xf>
    <xf numFmtId="178" fontId="138" fillId="0" borderId="3" xfId="0" applyNumberFormat="1" applyFont="1" applyFill="1" applyBorder="1" applyAlignment="1" applyProtection="1">
      <alignment horizontal="center" vertical="center" wrapText="1" shrinkToFit="1"/>
      <protection locked="0"/>
    </xf>
    <xf numFmtId="181" fontId="21" fillId="0" borderId="3" xfId="0" applyNumberFormat="1" applyFont="1" applyFill="1" applyBorder="1" applyAlignment="1" applyProtection="1">
      <alignment horizontal="center" vertical="center" wrapText="1" shrinkToFit="1"/>
      <protection locked="0"/>
    </xf>
    <xf numFmtId="0" fontId="180" fillId="0" borderId="3" xfId="0" applyFont="1" applyFill="1" applyBorder="1" applyAlignment="1" applyProtection="1">
      <alignment horizontal="center" vertical="center" wrapText="1" shrinkToFit="1"/>
      <protection locked="0"/>
    </xf>
    <xf numFmtId="182" fontId="180" fillId="0" borderId="4" xfId="0" applyNumberFormat="1" applyFont="1" applyFill="1" applyBorder="1" applyAlignment="1" applyProtection="1">
      <alignment horizontal="center" vertical="center" wrapText="1" shrinkToFit="1"/>
      <protection locked="0"/>
    </xf>
    <xf numFmtId="0" fontId="180" fillId="4" borderId="3" xfId="0" applyFont="1" applyFill="1" applyBorder="1" applyAlignment="1" applyProtection="1">
      <alignment horizontal="center" vertical="center" wrapText="1"/>
      <protection locked="0"/>
    </xf>
    <xf numFmtId="181" fontId="138" fillId="0" borderId="3" xfId="0" applyNumberFormat="1" applyFont="1" applyFill="1" applyBorder="1" applyAlignment="1" applyProtection="1">
      <alignment horizontal="center" vertical="center" wrapText="1" shrinkToFit="1"/>
      <protection locked="0"/>
    </xf>
    <xf numFmtId="188" fontId="138" fillId="0" borderId="3" xfId="0" applyNumberFormat="1" applyFont="1" applyFill="1" applyBorder="1" applyAlignment="1" applyProtection="1">
      <alignment horizontal="center" vertical="center" wrapText="1" shrinkToFit="1"/>
      <protection locked="0"/>
    </xf>
    <xf numFmtId="180" fontId="138" fillId="0" borderId="3" xfId="0" applyNumberFormat="1" applyFont="1" applyFill="1" applyBorder="1" applyAlignment="1" applyProtection="1">
      <alignment horizontal="center" vertical="center" wrapText="1" shrinkToFit="1"/>
      <protection locked="0"/>
    </xf>
    <xf numFmtId="0" fontId="138" fillId="0" borderId="3" xfId="0" applyFont="1" applyFill="1" applyBorder="1" applyAlignment="1" applyProtection="1">
      <alignment horizontal="center" vertical="center"/>
      <protection locked="0"/>
    </xf>
    <xf numFmtId="187" fontId="21" fillId="0" borderId="3" xfId="0" applyNumberFormat="1" applyFont="1" applyFill="1" applyBorder="1" applyAlignment="1" applyProtection="1">
      <alignment horizontal="center" vertical="center"/>
      <protection locked="0"/>
    </xf>
    <xf numFmtId="178" fontId="21" fillId="0" borderId="3" xfId="0" applyNumberFormat="1" applyFont="1" applyFill="1" applyBorder="1" applyAlignment="1" applyProtection="1">
      <alignment horizontal="center" vertical="center"/>
      <protection locked="0"/>
    </xf>
    <xf numFmtId="176" fontId="8" fillId="0" borderId="14" xfId="0" applyNumberFormat="1" applyFont="1" applyFill="1" applyBorder="1" applyAlignment="1" applyProtection="1">
      <alignment horizontal="center" vertical="center" wrapText="1" shrinkToFit="1"/>
    </xf>
    <xf numFmtId="0" fontId="8" fillId="0" borderId="14" xfId="0" applyFont="1" applyFill="1" applyBorder="1" applyAlignment="1" applyProtection="1">
      <alignment horizontal="center" vertical="center" wrapText="1" shrinkToFit="1"/>
      <protection locked="0"/>
    </xf>
    <xf numFmtId="49" fontId="169" fillId="0" borderId="14" xfId="0" applyNumberFormat="1" applyFont="1" applyFill="1" applyBorder="1" applyAlignment="1" applyProtection="1">
      <alignment horizontal="center" vertical="center" wrapText="1" shrinkToFit="1"/>
      <protection locked="0"/>
    </xf>
    <xf numFmtId="0" fontId="169" fillId="0" borderId="14" xfId="0" applyFont="1" applyFill="1" applyBorder="1" applyAlignment="1" applyProtection="1">
      <alignment horizontal="center" vertical="center" wrapText="1" shrinkToFit="1"/>
      <protection locked="0"/>
    </xf>
    <xf numFmtId="3" fontId="169" fillId="0" borderId="14" xfId="0" applyNumberFormat="1" applyFont="1" applyFill="1" applyBorder="1" applyAlignment="1" applyProtection="1">
      <alignment horizontal="center" vertical="center" wrapText="1" shrinkToFit="1"/>
      <protection locked="0"/>
    </xf>
    <xf numFmtId="178" fontId="169" fillId="0" borderId="14" xfId="0" applyNumberFormat="1" applyFont="1" applyFill="1" applyBorder="1" applyAlignment="1" applyProtection="1">
      <alignment horizontal="center" vertical="center" wrapText="1" shrinkToFit="1"/>
      <protection locked="0"/>
    </xf>
    <xf numFmtId="181" fontId="8" fillId="0" borderId="14" xfId="0" applyNumberFormat="1" applyFont="1" applyFill="1" applyBorder="1" applyAlignment="1" applyProtection="1">
      <alignment horizontal="center" vertical="center" wrapText="1" shrinkToFit="1"/>
      <protection locked="0"/>
    </xf>
    <xf numFmtId="181" fontId="8" fillId="4" borderId="14" xfId="0" applyNumberFormat="1" applyFont="1" applyFill="1" applyBorder="1" applyAlignment="1" applyProtection="1">
      <alignment horizontal="center" vertical="center" wrapText="1" shrinkToFit="1"/>
      <protection locked="0"/>
    </xf>
    <xf numFmtId="0" fontId="169" fillId="0" borderId="14" xfId="0" applyNumberFormat="1" applyFont="1" applyFill="1" applyBorder="1" applyAlignment="1" applyProtection="1">
      <alignment horizontal="center" vertical="center" wrapText="1" shrinkToFit="1"/>
      <protection locked="0"/>
    </xf>
    <xf numFmtId="58" fontId="8" fillId="0" borderId="14" xfId="0" applyNumberFormat="1" applyFont="1" applyFill="1" applyBorder="1" applyAlignment="1" applyProtection="1">
      <alignment horizontal="center" vertical="center" wrapText="1" shrinkToFit="1"/>
      <protection locked="0"/>
    </xf>
    <xf numFmtId="182" fontId="8" fillId="0" borderId="14" xfId="0" applyNumberFormat="1" applyFont="1" applyFill="1" applyBorder="1" applyAlignment="1" applyProtection="1">
      <alignment horizontal="center" vertical="center" wrapText="1" shrinkToFit="1"/>
      <protection locked="0"/>
    </xf>
    <xf numFmtId="182" fontId="157" fillId="0" borderId="14" xfId="0" applyNumberFormat="1" applyFont="1" applyFill="1" applyBorder="1" applyAlignment="1" applyProtection="1">
      <alignment horizontal="center" vertical="center" wrapText="1" shrinkToFit="1"/>
      <protection locked="0"/>
    </xf>
    <xf numFmtId="0" fontId="134" fillId="0" borderId="14" xfId="0" applyFont="1" applyFill="1" applyBorder="1" applyAlignment="1" applyProtection="1">
      <alignment horizontal="center" vertical="center" wrapText="1"/>
      <protection locked="0"/>
    </xf>
    <xf numFmtId="181" fontId="169" fillId="0" borderId="14" xfId="0" applyNumberFormat="1" applyFont="1" applyFill="1" applyBorder="1" applyAlignment="1" applyProtection="1">
      <alignment horizontal="center" vertical="center" wrapText="1" shrinkToFit="1"/>
      <protection locked="0"/>
    </xf>
    <xf numFmtId="188" fontId="169" fillId="0" borderId="14" xfId="0" applyNumberFormat="1" applyFont="1" applyFill="1" applyBorder="1" applyAlignment="1" applyProtection="1">
      <alignment horizontal="center" vertical="center" wrapText="1" shrinkToFit="1"/>
      <protection locked="0"/>
    </xf>
    <xf numFmtId="180" fontId="169" fillId="0" borderId="14" xfId="0" applyNumberFormat="1" applyFont="1" applyFill="1" applyBorder="1" applyAlignment="1" applyProtection="1">
      <alignment horizontal="center" vertical="center" wrapText="1" shrinkToFit="1"/>
      <protection locked="0"/>
    </xf>
    <xf numFmtId="0" fontId="157" fillId="0" borderId="14" xfId="0" applyFont="1" applyFill="1" applyBorder="1" applyAlignment="1" applyProtection="1">
      <alignment horizontal="center" vertical="center" wrapText="1" shrinkToFit="1"/>
      <protection locked="0"/>
    </xf>
    <xf numFmtId="0" fontId="8" fillId="0" borderId="14" xfId="0" applyNumberFormat="1" applyFont="1" applyFill="1" applyBorder="1" applyAlignment="1" applyProtection="1">
      <alignment horizontal="center" vertical="center" wrapText="1" shrinkToFit="1"/>
      <protection locked="0"/>
    </xf>
    <xf numFmtId="0" fontId="8" fillId="0" borderId="14" xfId="0" applyFont="1" applyFill="1" applyBorder="1" applyAlignment="1" applyProtection="1">
      <alignment vertical="center" wrapText="1" shrinkToFit="1"/>
      <protection locked="0"/>
    </xf>
    <xf numFmtId="0" fontId="137" fillId="0" borderId="14" xfId="0" applyFont="1" applyFill="1" applyBorder="1" applyAlignment="1" applyProtection="1">
      <alignment horizontal="center" vertical="center" wrapText="1" shrinkToFit="1"/>
      <protection locked="0"/>
    </xf>
    <xf numFmtId="0" fontId="169" fillId="0" borderId="14" xfId="0" applyFont="1" applyFill="1" applyBorder="1" applyAlignment="1" applyProtection="1">
      <alignment horizontal="center" vertical="center"/>
      <protection locked="0"/>
    </xf>
    <xf numFmtId="0" fontId="137" fillId="0" borderId="14" xfId="0" applyFont="1" applyFill="1" applyBorder="1" applyAlignment="1" applyProtection="1">
      <alignment horizontal="center" vertical="center"/>
      <protection locked="0"/>
    </xf>
    <xf numFmtId="187" fontId="8" fillId="0" borderId="14" xfId="0" applyNumberFormat="1" applyFont="1" applyFill="1" applyBorder="1" applyAlignment="1" applyProtection="1">
      <alignment horizontal="center" vertical="center"/>
      <protection locked="0"/>
    </xf>
    <xf numFmtId="178" fontId="8" fillId="0" borderId="14" xfId="0" applyNumberFormat="1" applyFont="1" applyFill="1" applyBorder="1" applyAlignment="1" applyProtection="1">
      <alignment horizontal="center" vertical="center"/>
      <protection locked="0"/>
    </xf>
    <xf numFmtId="176" fontId="137" fillId="0" borderId="1" xfId="0" applyNumberFormat="1" applyFont="1" applyFill="1" applyBorder="1" applyAlignment="1" applyProtection="1">
      <alignment horizontal="center" vertical="center" wrapText="1" shrinkToFit="1"/>
    </xf>
    <xf numFmtId="0" fontId="137" fillId="0" borderId="2" xfId="0" applyFont="1" applyFill="1" applyBorder="1" applyAlignment="1" applyProtection="1">
      <alignment horizontal="center" vertical="center"/>
      <protection locked="0"/>
    </xf>
    <xf numFmtId="49" fontId="156" fillId="0" borderId="1" xfId="0" applyNumberFormat="1" applyFont="1" applyFill="1" applyBorder="1" applyAlignment="1" applyProtection="1">
      <alignment horizontal="center" vertical="center" wrapText="1" shrinkToFit="1"/>
      <protection locked="0"/>
    </xf>
    <xf numFmtId="3" fontId="156" fillId="0" borderId="1" xfId="0" applyNumberFormat="1" applyFont="1" applyFill="1" applyBorder="1" applyAlignment="1" applyProtection="1">
      <alignment horizontal="center" vertical="center" wrapText="1" shrinkToFit="1"/>
      <protection locked="0"/>
    </xf>
    <xf numFmtId="181" fontId="137" fillId="4" borderId="1" xfId="0" applyNumberFormat="1" applyFont="1" applyFill="1" applyBorder="1" applyAlignment="1" applyProtection="1">
      <alignment horizontal="center" vertical="center" wrapText="1" shrinkToFit="1"/>
      <protection locked="0"/>
    </xf>
    <xf numFmtId="0" fontId="156" fillId="0" borderId="1" xfId="0" applyNumberFormat="1" applyFont="1" applyFill="1" applyBorder="1" applyAlignment="1" applyProtection="1">
      <alignment horizontal="center" vertical="center" wrapText="1" shrinkToFit="1"/>
      <protection locked="0"/>
    </xf>
    <xf numFmtId="182" fontId="157" fillId="0" borderId="2" xfId="0" applyNumberFormat="1" applyFont="1" applyFill="1" applyBorder="1" applyAlignment="1" applyProtection="1">
      <alignment horizontal="center" vertical="center" wrapText="1" shrinkToFit="1"/>
      <protection locked="0"/>
    </xf>
    <xf numFmtId="0" fontId="157" fillId="0" borderId="1" xfId="0" applyFont="1" applyFill="1" applyBorder="1" applyAlignment="1" applyProtection="1">
      <alignment horizontal="center" vertical="center" wrapText="1"/>
      <protection locked="0"/>
    </xf>
    <xf numFmtId="181" fontId="156" fillId="0" borderId="1" xfId="0" applyNumberFormat="1" applyFont="1" applyFill="1" applyBorder="1" applyAlignment="1" applyProtection="1">
      <alignment horizontal="center" vertical="center" wrapText="1" shrinkToFit="1"/>
      <protection locked="0"/>
    </xf>
    <xf numFmtId="188" fontId="156" fillId="0" borderId="1" xfId="0" applyNumberFormat="1" applyFont="1" applyFill="1" applyBorder="1" applyAlignment="1" applyProtection="1">
      <alignment horizontal="center" vertical="center" wrapText="1" shrinkToFit="1"/>
      <protection locked="0"/>
    </xf>
    <xf numFmtId="0" fontId="137" fillId="0" borderId="3" xfId="0" applyNumberFormat="1" applyFont="1" applyFill="1" applyBorder="1" applyAlignment="1" applyProtection="1">
      <alignment horizontal="center" vertical="center" wrapText="1" shrinkToFit="1"/>
      <protection locked="0"/>
    </xf>
    <xf numFmtId="0" fontId="137" fillId="0" borderId="3" xfId="0" applyFont="1" applyFill="1" applyBorder="1" applyAlignment="1" applyProtection="1">
      <alignment vertical="center" wrapText="1" shrinkToFit="1"/>
      <protection locked="0"/>
    </xf>
    <xf numFmtId="187" fontId="137" fillId="0" borderId="1" xfId="0" applyNumberFormat="1" applyFont="1" applyFill="1" applyBorder="1" applyAlignment="1" applyProtection="1">
      <alignment horizontal="center" vertical="center"/>
      <protection locked="0"/>
    </xf>
    <xf numFmtId="178" fontId="137" fillId="0" borderId="1" xfId="0" applyNumberFormat="1" applyFont="1" applyFill="1" applyBorder="1" applyAlignment="1" applyProtection="1">
      <alignment horizontal="center" vertical="center"/>
      <protection locked="0"/>
    </xf>
    <xf numFmtId="0" fontId="137" fillId="4" borderId="1" xfId="0" applyFont="1" applyFill="1" applyBorder="1" applyAlignment="1" applyProtection="1">
      <alignment horizontal="center" vertical="center"/>
      <protection locked="0"/>
    </xf>
    <xf numFmtId="182" fontId="137" fillId="0" borderId="2" xfId="0" applyNumberFormat="1" applyFont="1" applyFill="1" applyBorder="1" applyAlignment="1" applyProtection="1">
      <alignment horizontal="center" vertical="center" wrapText="1" shrinkToFit="1"/>
      <protection locked="0"/>
    </xf>
    <xf numFmtId="0" fontId="8" fillId="0" borderId="3" xfId="0" applyNumberFormat="1" applyFont="1" applyFill="1" applyBorder="1" applyAlignment="1" applyProtection="1">
      <alignment horizontal="center" vertical="center" wrapText="1" shrinkToFit="1"/>
      <protection locked="0"/>
    </xf>
    <xf numFmtId="0" fontId="157" fillId="4" borderId="1" xfId="0" applyFont="1" applyFill="1" applyBorder="1" applyAlignment="1" applyProtection="1">
      <alignment horizontal="center" vertical="center" wrapText="1"/>
      <protection locked="0"/>
    </xf>
    <xf numFmtId="176" fontId="8" fillId="0" borderId="1" xfId="0" applyNumberFormat="1" applyFont="1" applyFill="1" applyBorder="1" applyAlignment="1" applyProtection="1">
      <alignment horizontal="center" vertical="center" wrapText="1" shrinkToFit="1"/>
    </xf>
    <xf numFmtId="0" fontId="8" fillId="0" borderId="2" xfId="0" applyFont="1" applyFill="1" applyBorder="1" applyAlignment="1" applyProtection="1">
      <alignment horizontal="center" vertical="center" wrapText="1" shrinkToFit="1"/>
      <protection locked="0"/>
    </xf>
    <xf numFmtId="0" fontId="8" fillId="0" borderId="2" xfId="0" applyFont="1" applyFill="1" applyBorder="1" applyAlignment="1" applyProtection="1">
      <alignment horizontal="center" vertical="center"/>
      <protection locked="0"/>
    </xf>
    <xf numFmtId="3" fontId="169" fillId="0" borderId="1" xfId="0" applyNumberFormat="1" applyFont="1" applyFill="1" applyBorder="1" applyAlignment="1" applyProtection="1">
      <alignment horizontal="center" vertical="center" wrapText="1" shrinkToFit="1"/>
      <protection locked="0"/>
    </xf>
    <xf numFmtId="178" fontId="169" fillId="0" borderId="1" xfId="0" applyNumberFormat="1" applyFont="1" applyFill="1" applyBorder="1" applyAlignment="1" applyProtection="1">
      <alignment horizontal="center" vertical="center" wrapText="1" shrinkToFit="1"/>
      <protection locked="0"/>
    </xf>
    <xf numFmtId="181" fontId="8" fillId="0" borderId="1" xfId="0" applyNumberFormat="1" applyFont="1" applyFill="1" applyBorder="1" applyAlignment="1" applyProtection="1">
      <alignment horizontal="center" vertical="center" wrapText="1" shrinkToFit="1"/>
      <protection locked="0"/>
    </xf>
    <xf numFmtId="0" fontId="169" fillId="0" borderId="1" xfId="0" applyNumberFormat="1" applyFont="1" applyFill="1" applyBorder="1" applyAlignment="1" applyProtection="1">
      <alignment horizontal="center" vertical="center" wrapText="1" shrinkToFit="1"/>
      <protection locked="0"/>
    </xf>
    <xf numFmtId="181" fontId="169" fillId="0" borderId="1" xfId="0" applyNumberFormat="1" applyFont="1" applyFill="1" applyBorder="1" applyAlignment="1" applyProtection="1">
      <alignment horizontal="center" vertical="center" wrapText="1" shrinkToFit="1"/>
      <protection locked="0"/>
    </xf>
    <xf numFmtId="188" fontId="169" fillId="0" borderId="1" xfId="0" applyNumberFormat="1" applyFont="1" applyFill="1" applyBorder="1" applyAlignment="1" applyProtection="1">
      <alignment horizontal="center" vertical="center" wrapText="1" shrinkToFit="1"/>
      <protection locked="0"/>
    </xf>
    <xf numFmtId="180" fontId="169" fillId="0" borderId="1" xfId="0" applyNumberFormat="1" applyFont="1" applyFill="1" applyBorder="1" applyAlignment="1" applyProtection="1">
      <alignment horizontal="center" vertical="center" wrapText="1" shrinkToFit="1"/>
      <protection locked="0"/>
    </xf>
    <xf numFmtId="0" fontId="8" fillId="0" borderId="3" xfId="0" applyFont="1" applyFill="1" applyBorder="1" applyAlignment="1" applyProtection="1">
      <alignment vertical="center" wrapText="1" shrinkToFit="1"/>
      <protection locked="0"/>
    </xf>
    <xf numFmtId="0" fontId="169" fillId="0" borderId="1" xfId="0" applyFont="1" applyFill="1" applyBorder="1" applyAlignment="1" applyProtection="1">
      <alignment horizontal="center" vertical="center"/>
      <protection locked="0"/>
    </xf>
    <xf numFmtId="178" fontId="8" fillId="0" borderId="1" xfId="0" applyNumberFormat="1" applyFont="1" applyFill="1" applyBorder="1" applyAlignment="1" applyProtection="1">
      <alignment horizontal="center" vertical="center"/>
      <protection locked="0"/>
    </xf>
    <xf numFmtId="182" fontId="8" fillId="0" borderId="2" xfId="0" applyNumberFormat="1" applyFont="1" applyFill="1" applyBorder="1" applyAlignment="1" applyProtection="1">
      <alignment horizontal="center" vertical="center" wrapText="1" shrinkToFit="1"/>
      <protection locked="0"/>
    </xf>
    <xf numFmtId="0" fontId="134" fillId="0" borderId="1" xfId="0" applyFont="1" applyFill="1" applyBorder="1" applyAlignment="1" applyProtection="1">
      <alignment horizontal="center" vertical="center" wrapText="1"/>
      <protection locked="0"/>
    </xf>
    <xf numFmtId="0" fontId="137" fillId="0" borderId="1" xfId="0" applyNumberFormat="1" applyFont="1" applyFill="1" applyBorder="1" applyAlignment="1" applyProtection="1">
      <alignment horizontal="center" vertical="center"/>
      <protection locked="0"/>
    </xf>
    <xf numFmtId="0" fontId="137" fillId="4" borderId="1" xfId="0" applyFont="1" applyFill="1" applyBorder="1" applyAlignment="1" applyProtection="1">
      <alignment horizontal="center" vertical="center" wrapText="1" shrinkToFit="1"/>
      <protection locked="0"/>
    </xf>
    <xf numFmtId="182" fontId="181" fillId="4" borderId="2" xfId="0" applyNumberFormat="1" applyFont="1" applyFill="1" applyBorder="1" applyAlignment="1" applyProtection="1">
      <alignment horizontal="center" vertical="center" wrapText="1" shrinkToFit="1"/>
      <protection locked="0"/>
    </xf>
    <xf numFmtId="178" fontId="21" fillId="0" borderId="1" xfId="0" applyNumberFormat="1" applyFont="1" applyFill="1" applyBorder="1" applyAlignment="1" applyProtection="1">
      <alignment horizontal="center" vertical="center" wrapText="1" shrinkToFit="1"/>
      <protection locked="0"/>
    </xf>
    <xf numFmtId="0" fontId="180" fillId="0" borderId="1" xfId="0" applyFont="1" applyFill="1" applyBorder="1" applyAlignment="1" applyProtection="1">
      <alignment horizontal="center" vertical="center"/>
      <protection locked="0"/>
    </xf>
    <xf numFmtId="184" fontId="21" fillId="0" borderId="1" xfId="0" applyNumberFormat="1" applyFont="1" applyFill="1" applyBorder="1" applyAlignment="1" applyProtection="1">
      <alignment horizontal="center" vertical="center" wrapText="1" shrinkToFit="1"/>
      <protection locked="0"/>
    </xf>
    <xf numFmtId="180" fontId="21" fillId="0" borderId="1" xfId="0" applyNumberFormat="1" applyFont="1" applyFill="1" applyBorder="1" applyAlignment="1" applyProtection="1">
      <alignment horizontal="center" vertical="center" wrapText="1" shrinkToFit="1"/>
      <protection locked="0"/>
    </xf>
    <xf numFmtId="0" fontId="38" fillId="0" borderId="1" xfId="0" applyFont="1" applyFill="1" applyBorder="1" applyAlignment="1" applyProtection="1">
      <alignment horizontal="center" vertical="center" wrapText="1" shrinkToFit="1"/>
      <protection locked="0"/>
    </xf>
    <xf numFmtId="0" fontId="38" fillId="0" borderId="1" xfId="0" applyFont="1" applyFill="1" applyBorder="1" applyAlignment="1" applyProtection="1">
      <alignment horizontal="center" vertical="center"/>
      <protection locked="0"/>
    </xf>
    <xf numFmtId="0" fontId="0" fillId="0" borderId="0" xfId="0" applyFill="1">
      <alignment vertical="center"/>
    </xf>
    <xf numFmtId="0" fontId="182" fillId="0" borderId="0" xfId="0" applyFont="1" applyFill="1" applyProtection="1">
      <alignment vertical="center"/>
      <protection locked="0"/>
    </xf>
    <xf numFmtId="0" fontId="151" fillId="0" borderId="1" xfId="0" applyFont="1" applyFill="1" applyBorder="1" applyAlignment="1" applyProtection="1">
      <alignment horizontal="center" vertical="center"/>
      <protection locked="0"/>
    </xf>
    <xf numFmtId="0" fontId="183" fillId="0" borderId="1" xfId="0" applyFont="1" applyFill="1" applyBorder="1" applyAlignment="1" applyProtection="1">
      <alignment horizontal="center" vertical="center" wrapText="1"/>
      <protection locked="0"/>
    </xf>
    <xf numFmtId="0" fontId="184" fillId="0" borderId="1" xfId="0" applyFont="1" applyFill="1" applyBorder="1" applyAlignment="1" applyProtection="1">
      <alignment horizontal="center" vertical="center" wrapText="1"/>
      <protection locked="0"/>
    </xf>
    <xf numFmtId="0" fontId="136" fillId="0" borderId="0" xfId="0" applyFont="1" applyFill="1" applyAlignment="1" applyProtection="1">
      <alignment vertical="center" wrapText="1"/>
      <protection locked="0"/>
    </xf>
    <xf numFmtId="181" fontId="167" fillId="0" borderId="3" xfId="0" applyNumberFormat="1" applyFont="1" applyFill="1" applyBorder="1" applyAlignment="1" applyProtection="1">
      <alignment horizontal="center" vertical="center" wrapText="1" shrinkToFit="1"/>
    </xf>
    <xf numFmtId="0" fontId="158" fillId="0" borderId="3" xfId="0" applyNumberFormat="1" applyFont="1" applyFill="1" applyBorder="1" applyAlignment="1" applyProtection="1">
      <alignment horizontal="center" vertical="center" wrapText="1"/>
      <protection locked="0"/>
    </xf>
    <xf numFmtId="185" fontId="158" fillId="0" borderId="3" xfId="0" applyNumberFormat="1" applyFont="1" applyFill="1" applyBorder="1" applyAlignment="1" applyProtection="1">
      <alignment horizontal="center" vertical="center" wrapText="1"/>
      <protection locked="0"/>
    </xf>
    <xf numFmtId="0" fontId="172" fillId="0" borderId="3" xfId="0" applyNumberFormat="1" applyFont="1" applyFill="1" applyBorder="1" applyAlignment="1" applyProtection="1">
      <alignment horizontal="center" vertical="center" shrinkToFit="1"/>
      <protection locked="0"/>
    </xf>
    <xf numFmtId="0" fontId="185" fillId="0" borderId="3" xfId="0" applyNumberFormat="1" applyFont="1" applyFill="1" applyBorder="1" applyAlignment="1" applyProtection="1">
      <alignment horizontal="center" vertical="center" shrinkToFit="1"/>
      <protection locked="0"/>
    </xf>
    <xf numFmtId="182" fontId="186" fillId="0" borderId="1" xfId="0" applyNumberFormat="1" applyFont="1" applyFill="1" applyBorder="1" applyAlignment="1" applyProtection="1">
      <alignment horizontal="center" vertical="center" wrapText="1"/>
      <protection locked="0"/>
    </xf>
    <xf numFmtId="181" fontId="21" fillId="0" borderId="5" xfId="0" applyNumberFormat="1" applyFont="1" applyFill="1" applyBorder="1" applyAlignment="1" applyProtection="1">
      <alignment horizontal="center" vertical="center" wrapText="1" shrinkToFit="1"/>
      <protection locked="0"/>
    </xf>
    <xf numFmtId="177" fontId="21" fillId="0" borderId="1" xfId="0" applyNumberFormat="1" applyFont="1" applyFill="1" applyBorder="1" applyAlignment="1" applyProtection="1">
      <alignment horizontal="center" vertical="center" wrapText="1"/>
      <protection locked="0"/>
    </xf>
    <xf numFmtId="0" fontId="21" fillId="0" borderId="2" xfId="0" applyFont="1" applyFill="1" applyBorder="1" applyAlignment="1" applyProtection="1">
      <alignment vertical="center" wrapText="1" shrinkToFit="1"/>
      <protection locked="0"/>
    </xf>
    <xf numFmtId="187" fontId="38" fillId="0" borderId="1" xfId="0" applyNumberFormat="1" applyFont="1" applyFill="1" applyBorder="1" applyAlignment="1" applyProtection="1">
      <alignment horizontal="center" vertical="center"/>
      <protection locked="0"/>
    </xf>
    <xf numFmtId="0" fontId="167" fillId="0" borderId="3" xfId="0" applyFont="1" applyFill="1" applyBorder="1" applyAlignment="1" applyProtection="1">
      <alignment horizontal="center" vertical="center" wrapText="1"/>
      <protection locked="0"/>
    </xf>
    <xf numFmtId="0" fontId="187" fillId="0" borderId="3" xfId="0" applyFont="1" applyFill="1" applyBorder="1" applyAlignment="1" applyProtection="1">
      <alignment horizontal="center" vertical="center" wrapText="1"/>
      <protection locked="0"/>
    </xf>
    <xf numFmtId="0" fontId="167" fillId="0" borderId="3" xfId="0" applyFont="1" applyFill="1" applyBorder="1" applyAlignment="1" applyProtection="1">
      <alignment horizontal="center" vertical="center"/>
      <protection locked="0"/>
    </xf>
    <xf numFmtId="182" fontId="138" fillId="0" borderId="2" xfId="0" applyNumberFormat="1" applyFont="1" applyFill="1" applyBorder="1" applyAlignment="1" applyProtection="1">
      <alignment horizontal="center" vertical="center" wrapText="1" shrinkToFit="1"/>
      <protection locked="0"/>
    </xf>
    <xf numFmtId="0" fontId="188" fillId="0" borderId="1" xfId="0" applyNumberFormat="1" applyFont="1" applyFill="1" applyBorder="1" applyAlignment="1" applyProtection="1">
      <alignment horizontal="center" vertical="center" wrapText="1"/>
      <protection locked="0"/>
    </xf>
    <xf numFmtId="181" fontId="178" fillId="0" borderId="3" xfId="0" applyNumberFormat="1" applyFont="1" applyFill="1" applyBorder="1" applyAlignment="1" applyProtection="1">
      <alignment horizontal="center" vertical="center" wrapText="1" shrinkToFit="1"/>
    </xf>
    <xf numFmtId="0" fontId="178" fillId="0" borderId="3" xfId="0" applyFont="1" applyFill="1" applyBorder="1" applyAlignment="1" applyProtection="1">
      <alignment horizontal="center" vertical="center" wrapText="1"/>
      <protection locked="0"/>
    </xf>
    <xf numFmtId="0" fontId="189" fillId="0" borderId="1" xfId="0" applyFont="1" applyFill="1" applyBorder="1" applyAlignment="1" applyProtection="1">
      <alignment horizontal="center" vertical="center" wrapText="1"/>
      <protection locked="0"/>
    </xf>
    <xf numFmtId="0" fontId="178" fillId="0" borderId="3" xfId="0" applyFont="1" applyFill="1" applyBorder="1" applyAlignment="1" applyProtection="1">
      <alignment horizontal="center" vertical="center"/>
      <protection locked="0"/>
    </xf>
    <xf numFmtId="178" fontId="162" fillId="0" borderId="1" xfId="0" applyNumberFormat="1" applyFont="1" applyFill="1" applyBorder="1" applyAlignment="1" applyProtection="1">
      <alignment horizontal="center" vertical="center" wrapText="1" shrinkToFit="1"/>
      <protection locked="0"/>
    </xf>
    <xf numFmtId="182" fontId="170" fillId="0" borderId="2" xfId="0" applyNumberFormat="1" applyFont="1" applyFill="1" applyBorder="1" applyAlignment="1" applyProtection="1">
      <alignment horizontal="center" vertical="center" wrapText="1" shrinkToFit="1"/>
      <protection locked="0"/>
    </xf>
    <xf numFmtId="0" fontId="190" fillId="0" borderId="1" xfId="0" applyNumberFormat="1" applyFont="1" applyFill="1" applyBorder="1" applyAlignment="1" applyProtection="1">
      <alignment horizontal="center" vertical="center" wrapText="1"/>
      <protection locked="0"/>
    </xf>
    <xf numFmtId="177" fontId="162" fillId="0" borderId="1" xfId="0" applyNumberFormat="1" applyFont="1" applyFill="1" applyBorder="1" applyAlignment="1" applyProtection="1">
      <alignment horizontal="center" vertical="center" wrapText="1"/>
      <protection locked="0"/>
    </xf>
    <xf numFmtId="180" fontId="162" fillId="0" borderId="1" xfId="0" applyNumberFormat="1" applyFont="1" applyFill="1" applyBorder="1" applyAlignment="1" applyProtection="1">
      <alignment horizontal="center" vertical="center" wrapText="1" shrinkToFit="1"/>
      <protection locked="0"/>
    </xf>
    <xf numFmtId="0" fontId="162" fillId="0" borderId="2" xfId="0" applyFont="1" applyFill="1" applyBorder="1" applyAlignment="1" applyProtection="1">
      <alignment vertical="center" wrapText="1" shrinkToFit="1"/>
      <protection locked="0"/>
    </xf>
    <xf numFmtId="0" fontId="189" fillId="0" borderId="3" xfId="0" applyFont="1" applyFill="1" applyBorder="1" applyAlignment="1" applyProtection="1">
      <alignment horizontal="center" vertical="center" wrapText="1"/>
      <protection locked="0"/>
    </xf>
    <xf numFmtId="0" fontId="8" fillId="0" borderId="4" xfId="0" applyFont="1" applyFill="1" applyBorder="1" applyAlignment="1" applyProtection="1">
      <alignment horizontal="center" vertical="center" wrapText="1" shrinkToFit="1"/>
      <protection locked="0"/>
    </xf>
    <xf numFmtId="0" fontId="191" fillId="0" borderId="1" xfId="0" applyFont="1" applyFill="1" applyBorder="1" applyAlignment="1" applyProtection="1">
      <alignment horizontal="center" vertical="center" wrapText="1" shrinkToFit="1"/>
      <protection locked="0"/>
    </xf>
    <xf numFmtId="176" fontId="162" fillId="0" borderId="2" xfId="0" applyNumberFormat="1" applyFont="1" applyFill="1" applyBorder="1" applyAlignment="1" applyProtection="1">
      <alignment vertical="center" wrapText="1" shrinkToFit="1"/>
      <protection locked="0"/>
    </xf>
    <xf numFmtId="0" fontId="172" fillId="0" borderId="1" xfId="0" applyFont="1" applyFill="1" applyBorder="1" applyAlignment="1" applyProtection="1">
      <alignment horizontal="center" vertical="center"/>
      <protection locked="0"/>
    </xf>
    <xf numFmtId="0" fontId="21" fillId="4" borderId="1" xfId="0" applyFont="1" applyFill="1" applyBorder="1" applyAlignment="1" applyProtection="1">
      <alignment horizontal="center" vertical="center" wrapText="1" shrinkToFit="1"/>
      <protection locked="0"/>
    </xf>
    <xf numFmtId="182" fontId="192" fillId="0" borderId="1" xfId="0" applyNumberFormat="1" applyFont="1" applyFill="1" applyBorder="1" applyAlignment="1" applyProtection="1">
      <alignment horizontal="center" vertical="center" wrapText="1"/>
      <protection locked="0"/>
    </xf>
    <xf numFmtId="0" fontId="193" fillId="0" borderId="1" xfId="0" applyFont="1" applyFill="1" applyBorder="1" applyAlignment="1" applyProtection="1">
      <alignment horizontal="center" vertical="center" wrapText="1" shrinkToFit="1"/>
      <protection locked="0"/>
    </xf>
    <xf numFmtId="180" fontId="162" fillId="0" borderId="6" xfId="0" applyNumberFormat="1" applyFont="1" applyFill="1" applyBorder="1" applyAlignment="1" applyProtection="1">
      <alignment horizontal="center" vertical="center" wrapText="1" shrinkToFit="1"/>
      <protection locked="0"/>
    </xf>
    <xf numFmtId="0" fontId="194" fillId="0" borderId="6" xfId="0" applyFont="1" applyFill="1" applyBorder="1" applyAlignment="1" applyProtection="1">
      <alignment horizontal="center" vertical="center"/>
    </xf>
    <xf numFmtId="180" fontId="162" fillId="0" borderId="2" xfId="0" applyNumberFormat="1" applyFont="1" applyFill="1" applyBorder="1" applyAlignment="1" applyProtection="1">
      <alignment horizontal="center" vertical="center" wrapText="1" shrinkToFit="1"/>
      <protection locked="0"/>
    </xf>
    <xf numFmtId="0" fontId="172" fillId="0" borderId="2" xfId="0" applyNumberFormat="1" applyFont="1" applyFill="1" applyBorder="1" applyAlignment="1" applyProtection="1">
      <alignment horizontal="center" vertical="center"/>
      <protection locked="0"/>
    </xf>
    <xf numFmtId="181" fontId="162" fillId="3" borderId="1" xfId="0" applyNumberFormat="1" applyFont="1" applyFill="1" applyBorder="1" applyAlignment="1" applyProtection="1">
      <alignment horizontal="center" vertical="center" wrapText="1" shrinkToFit="1"/>
      <protection locked="0"/>
    </xf>
    <xf numFmtId="0" fontId="163" fillId="0" borderId="1" xfId="0" applyFont="1" applyFill="1" applyBorder="1" applyAlignment="1" applyProtection="1">
      <alignment horizontal="center" vertical="center"/>
      <protection locked="0"/>
    </xf>
    <xf numFmtId="178" fontId="139" fillId="0" borderId="1" xfId="0" applyNumberFormat="1" applyFont="1" applyFill="1" applyBorder="1" applyAlignment="1" applyProtection="1">
      <alignment horizontal="center" vertical="center" wrapText="1" shrinkToFit="1"/>
      <protection locked="0"/>
    </xf>
    <xf numFmtId="58" fontId="139" fillId="4" borderId="1" xfId="0" applyNumberFormat="1" applyFont="1" applyFill="1" applyBorder="1" applyAlignment="1" applyProtection="1">
      <alignment horizontal="center" vertical="center" wrapText="1" shrinkToFit="1"/>
      <protection locked="0"/>
    </xf>
    <xf numFmtId="180" fontId="139" fillId="0" borderId="1" xfId="0" applyNumberFormat="1" applyFont="1" applyFill="1" applyBorder="1" applyAlignment="1" applyProtection="1">
      <alignment horizontal="center" vertical="center" wrapText="1" shrinkToFit="1"/>
      <protection locked="0"/>
    </xf>
    <xf numFmtId="0" fontId="139" fillId="0" borderId="1" xfId="0" applyFont="1" applyFill="1" applyBorder="1" applyAlignment="1" applyProtection="1">
      <alignment vertical="center" wrapText="1" shrinkToFit="1"/>
      <protection locked="0"/>
    </xf>
    <xf numFmtId="0" fontId="139" fillId="3" borderId="1" xfId="0" applyFont="1" applyFill="1" applyBorder="1" applyAlignment="1" applyProtection="1">
      <alignment horizontal="center" vertical="center"/>
      <protection locked="0"/>
    </xf>
    <xf numFmtId="0" fontId="139" fillId="0" borderId="4" xfId="0" applyFont="1" applyFill="1" applyBorder="1" applyAlignment="1" applyProtection="1">
      <alignment horizontal="center" vertical="center" wrapText="1" shrinkToFit="1"/>
      <protection locked="0"/>
    </xf>
    <xf numFmtId="181" fontId="195" fillId="0" borderId="1" xfId="0" applyNumberFormat="1" applyFont="1" applyFill="1" applyBorder="1" applyAlignment="1" applyProtection="1">
      <alignment horizontal="center" vertical="center" wrapText="1" shrinkToFit="1"/>
    </xf>
    <xf numFmtId="0" fontId="195" fillId="0" borderId="1" xfId="0" applyFont="1" applyFill="1" applyBorder="1" applyAlignment="1" applyProtection="1">
      <alignment horizontal="center" vertical="center" wrapText="1"/>
      <protection locked="0"/>
    </xf>
    <xf numFmtId="0" fontId="196" fillId="0" borderId="2" xfId="0" applyNumberFormat="1" applyFont="1" applyFill="1" applyBorder="1" applyAlignment="1" applyProtection="1">
      <alignment horizontal="center" vertical="center" shrinkToFit="1"/>
      <protection locked="0"/>
    </xf>
    <xf numFmtId="0" fontId="195" fillId="0" borderId="1" xfId="0" applyFont="1" applyFill="1" applyBorder="1" applyAlignment="1" applyProtection="1">
      <alignment horizontal="center" vertical="center"/>
      <protection locked="0"/>
    </xf>
    <xf numFmtId="178" fontId="8" fillId="0" borderId="1" xfId="0" applyNumberFormat="1" applyFont="1" applyFill="1" applyBorder="1" applyAlignment="1" applyProtection="1">
      <alignment horizontal="center" vertical="center" wrapText="1" shrinkToFit="1"/>
      <protection locked="0"/>
    </xf>
    <xf numFmtId="0" fontId="8" fillId="0" borderId="1" xfId="0" applyNumberFormat="1" applyFont="1" applyFill="1" applyBorder="1" applyAlignment="1" applyProtection="1">
      <alignment horizontal="center" vertical="center" wrapText="1" shrinkToFit="1"/>
      <protection locked="0"/>
    </xf>
    <xf numFmtId="182" fontId="195" fillId="0" borderId="1" xfId="0" applyNumberFormat="1" applyFont="1" applyFill="1" applyBorder="1" applyAlignment="1" applyProtection="1">
      <alignment horizontal="center" vertical="center" wrapText="1"/>
      <protection locked="0"/>
    </xf>
    <xf numFmtId="182" fontId="8" fillId="0" borderId="1" xfId="0" applyNumberFormat="1" applyFont="1" applyFill="1" applyBorder="1" applyAlignment="1" applyProtection="1">
      <alignment horizontal="center" vertical="center" wrapText="1" shrinkToFit="1"/>
      <protection locked="0"/>
    </xf>
    <xf numFmtId="0" fontId="8" fillId="0" borderId="1" xfId="0" applyFont="1" applyFill="1" applyBorder="1" applyAlignment="1" applyProtection="1">
      <alignment horizontal="center" vertical="center" wrapText="1"/>
      <protection locked="0"/>
    </xf>
    <xf numFmtId="180" fontId="8" fillId="0" borderId="1" xfId="0" applyNumberFormat="1" applyFont="1" applyFill="1" applyBorder="1" applyAlignment="1" applyProtection="1">
      <alignment horizontal="center" vertical="center" wrapText="1" shrinkToFit="1"/>
      <protection locked="0"/>
    </xf>
    <xf numFmtId="0" fontId="8" fillId="0" borderId="3" xfId="0" applyFont="1" applyFill="1" applyBorder="1" applyAlignment="1" applyProtection="1">
      <alignment horizontal="center" vertical="center" wrapText="1" shrinkToFit="1"/>
      <protection locked="0"/>
    </xf>
    <xf numFmtId="0" fontId="8" fillId="0" borderId="1" xfId="0" applyFont="1" applyFill="1" applyBorder="1" applyAlignment="1" applyProtection="1">
      <alignment vertical="center" wrapText="1" shrinkToFit="1"/>
      <protection locked="0"/>
    </xf>
    <xf numFmtId="0" fontId="8" fillId="4" borderId="1" xfId="0" applyFont="1" applyFill="1" applyBorder="1" applyAlignment="1" applyProtection="1">
      <alignment horizontal="center" vertical="center"/>
      <protection locked="0"/>
    </xf>
    <xf numFmtId="182" fontId="163" fillId="0" borderId="1" xfId="0" applyNumberFormat="1" applyFont="1" applyFill="1" applyBorder="1" applyAlignment="1" applyProtection="1">
      <alignment horizontal="center" vertical="center" wrapText="1"/>
      <protection locked="0"/>
    </xf>
    <xf numFmtId="0" fontId="139" fillId="4" borderId="1" xfId="0" applyFont="1" applyFill="1" applyBorder="1" applyAlignment="1" applyProtection="1">
      <alignment horizontal="center" vertical="center" wrapText="1" shrinkToFit="1"/>
      <protection locked="0"/>
    </xf>
    <xf numFmtId="177" fontId="139" fillId="0" borderId="1" xfId="0" applyNumberFormat="1" applyFont="1" applyFill="1" applyBorder="1" applyAlignment="1" applyProtection="1">
      <alignment horizontal="center" vertical="center" wrapText="1"/>
      <protection locked="0"/>
    </xf>
    <xf numFmtId="0" fontId="197" fillId="0" borderId="1" xfId="0" applyNumberFormat="1" applyFont="1" applyFill="1" applyBorder="1" applyAlignment="1" applyProtection="1">
      <alignment horizontal="center" vertical="center"/>
      <protection locked="0"/>
    </xf>
    <xf numFmtId="0" fontId="139" fillId="4" borderId="1" xfId="0" applyFont="1" applyFill="1" applyBorder="1" applyAlignment="1" applyProtection="1">
      <alignment horizontal="center" vertical="center" wrapText="1"/>
      <protection locked="0"/>
    </xf>
    <xf numFmtId="0" fontId="139" fillId="4" borderId="1" xfId="0" applyFont="1" applyFill="1" applyBorder="1" applyAlignment="1">
      <alignment horizontal="left" vertical="center" wrapText="1" shrinkToFit="1"/>
    </xf>
    <xf numFmtId="0" fontId="167" fillId="0" borderId="1" xfId="0" applyFont="1" applyFill="1" applyBorder="1" applyAlignment="1" applyProtection="1">
      <alignment horizontal="center" vertical="center"/>
      <protection locked="0"/>
    </xf>
    <xf numFmtId="182" fontId="167" fillId="0" borderId="1" xfId="0" applyNumberFormat="1" applyFont="1" applyFill="1" applyBorder="1" applyAlignment="1" applyProtection="1">
      <alignment horizontal="center" vertical="center" wrapText="1"/>
      <protection locked="0"/>
    </xf>
    <xf numFmtId="0" fontId="21" fillId="0" borderId="1" xfId="0" applyFont="1" applyFill="1" applyBorder="1" applyAlignment="1">
      <alignment horizontal="left" vertical="center" wrapText="1" shrinkToFit="1"/>
    </xf>
    <xf numFmtId="0" fontId="21" fillId="4" borderId="1" xfId="0" applyFont="1" applyFill="1" applyBorder="1" applyAlignment="1" applyProtection="1">
      <alignment horizontal="center" vertical="center"/>
      <protection locked="0"/>
    </xf>
    <xf numFmtId="181" fontId="178" fillId="0" borderId="1" xfId="0" applyNumberFormat="1" applyFont="1" applyFill="1" applyBorder="1" applyAlignment="1" applyProtection="1">
      <alignment horizontal="center" vertical="center" wrapText="1" shrinkToFit="1"/>
    </xf>
    <xf numFmtId="0" fontId="178" fillId="0" borderId="1" xfId="0" applyFont="1" applyFill="1" applyBorder="1" applyAlignment="1" applyProtection="1">
      <alignment horizontal="center" vertical="center" wrapText="1"/>
      <protection locked="0"/>
    </xf>
    <xf numFmtId="0" fontId="198" fillId="0" borderId="2" xfId="0" applyNumberFormat="1" applyFont="1" applyFill="1" applyBorder="1" applyAlignment="1" applyProtection="1">
      <alignment horizontal="center" vertical="center" shrinkToFit="1"/>
      <protection locked="0"/>
    </xf>
    <xf numFmtId="0" fontId="178" fillId="0" borderId="1" xfId="0" applyFont="1" applyFill="1" applyBorder="1" applyAlignment="1" applyProtection="1">
      <alignment horizontal="center" vertical="center"/>
      <protection locked="0"/>
    </xf>
    <xf numFmtId="182" fontId="178" fillId="0" borderId="1" xfId="0" applyNumberFormat="1" applyFont="1" applyFill="1" applyBorder="1" applyAlignment="1" applyProtection="1">
      <alignment horizontal="center" vertical="center" wrapText="1"/>
      <protection locked="0"/>
    </xf>
    <xf numFmtId="0" fontId="162" fillId="3" borderId="1" xfId="0" applyFont="1" applyFill="1" applyBorder="1" applyAlignment="1" applyProtection="1">
      <alignment horizontal="center" vertical="center"/>
      <protection locked="0"/>
    </xf>
    <xf numFmtId="0" fontId="175" fillId="0" borderId="0" xfId="0" applyFont="1" applyFill="1">
      <alignment vertical="center"/>
    </xf>
    <xf numFmtId="0" fontId="162" fillId="4" borderId="1" xfId="0" applyFont="1" applyFill="1" applyBorder="1" applyAlignment="1" applyProtection="1">
      <alignment horizontal="center" vertical="center" wrapText="1"/>
      <protection locked="0"/>
    </xf>
    <xf numFmtId="182" fontId="162" fillId="0" borderId="0" xfId="0" applyNumberFormat="1" applyFont="1" applyFill="1" applyAlignment="1" applyProtection="1">
      <alignment horizontal="center" vertical="center" wrapText="1" shrinkToFit="1"/>
      <protection locked="0"/>
    </xf>
    <xf numFmtId="0" fontId="199" fillId="0" borderId="0" xfId="0" applyFont="1" applyFill="1">
      <alignment vertical="center"/>
    </xf>
    <xf numFmtId="0" fontId="199" fillId="0" borderId="0" xfId="0" applyFont="1" applyFill="1" applyAlignment="1">
      <alignment vertical="center" wrapText="1"/>
    </xf>
    <xf numFmtId="0" fontId="162" fillId="4" borderId="1" xfId="0" applyFont="1" applyFill="1" applyBorder="1" applyAlignment="1" applyProtection="1">
      <alignment horizontal="center" vertical="center"/>
      <protection locked="0"/>
    </xf>
    <xf numFmtId="0" fontId="200" fillId="0" borderId="1" xfId="0" applyFont="1" applyFill="1" applyBorder="1" applyAlignment="1" applyProtection="1">
      <alignment horizontal="center" vertical="center" wrapText="1" shrinkToFit="1"/>
      <protection locked="0"/>
    </xf>
    <xf numFmtId="3" fontId="21" fillId="0" borderId="1" xfId="0" applyNumberFormat="1" applyFont="1" applyFill="1" applyBorder="1" applyAlignment="1" applyProtection="1">
      <alignment horizontal="center" vertical="center" wrapText="1" shrinkToFit="1"/>
      <protection locked="0"/>
    </xf>
    <xf numFmtId="188" fontId="21" fillId="0" borderId="1" xfId="0" applyNumberFormat="1" applyFont="1" applyFill="1" applyBorder="1" applyAlignment="1" applyProtection="1">
      <alignment horizontal="center" vertical="center" wrapText="1"/>
      <protection locked="0"/>
    </xf>
    <xf numFmtId="3" fontId="162" fillId="0" borderId="1" xfId="0" applyNumberFormat="1" applyFont="1" applyFill="1" applyBorder="1" applyAlignment="1" applyProtection="1">
      <alignment horizontal="center" vertical="center" wrapText="1" shrinkToFit="1"/>
      <protection locked="0"/>
    </xf>
    <xf numFmtId="0" fontId="177" fillId="0" borderId="3" xfId="0" applyNumberFormat="1" applyFont="1" applyFill="1" applyBorder="1" applyAlignment="1" applyProtection="1">
      <alignment horizontal="center" vertical="center" wrapText="1"/>
      <protection locked="0"/>
    </xf>
    <xf numFmtId="185" fontId="177" fillId="0" borderId="3" xfId="0" applyNumberFormat="1" applyFont="1" applyFill="1" applyBorder="1" applyAlignment="1" applyProtection="1">
      <alignment horizontal="center" vertical="center" wrapText="1"/>
      <protection locked="0"/>
    </xf>
    <xf numFmtId="0" fontId="198" fillId="0" borderId="3" xfId="0" applyNumberFormat="1" applyFont="1" applyFill="1" applyBorder="1" applyAlignment="1" applyProtection="1">
      <alignment horizontal="center" vertical="center" shrinkToFit="1"/>
      <protection locked="0"/>
    </xf>
    <xf numFmtId="0" fontId="201" fillId="0" borderId="3" xfId="0" applyNumberFormat="1" applyFont="1" applyFill="1" applyBorder="1" applyAlignment="1" applyProtection="1">
      <alignment horizontal="center" vertical="center" shrinkToFit="1"/>
      <protection locked="0"/>
    </xf>
    <xf numFmtId="181" fontId="162" fillId="0" borderId="5" xfId="0" applyNumberFormat="1" applyFont="1" applyFill="1" applyBorder="1" applyAlignment="1" applyProtection="1">
      <alignment horizontal="center" vertical="center" wrapText="1" shrinkToFit="1"/>
      <protection locked="0"/>
    </xf>
    <xf numFmtId="188" fontId="162" fillId="0" borderId="1" xfId="0" applyNumberFormat="1" applyFont="1" applyFill="1" applyBorder="1" applyAlignment="1" applyProtection="1">
      <alignment horizontal="center" vertical="center" wrapText="1"/>
      <protection locked="0"/>
    </xf>
    <xf numFmtId="0" fontId="21" fillId="0" borderId="37" xfId="0" applyFont="1" applyFill="1" applyBorder="1" applyAlignment="1" applyProtection="1">
      <alignment horizontal="center" vertical="center" wrapText="1" shrinkToFit="1"/>
      <protection locked="0"/>
    </xf>
    <xf numFmtId="0" fontId="21" fillId="0" borderId="12" xfId="0" applyFont="1" applyFill="1" applyBorder="1" applyAlignment="1" applyProtection="1">
      <alignment horizontal="center" vertical="center" wrapText="1" shrinkToFit="1"/>
      <protection locked="0"/>
    </xf>
    <xf numFmtId="3" fontId="139" fillId="0" borderId="1" xfId="0" applyNumberFormat="1" applyFont="1" applyFill="1" applyBorder="1" applyAlignment="1" applyProtection="1">
      <alignment horizontal="center" vertical="center" wrapText="1" shrinkToFit="1"/>
      <protection locked="0"/>
    </xf>
    <xf numFmtId="181" fontId="139" fillId="4" borderId="1" xfId="0" applyNumberFormat="1" applyFont="1" applyFill="1" applyBorder="1" applyAlignment="1" applyProtection="1">
      <alignment horizontal="center" vertical="center" wrapText="1" shrinkToFit="1"/>
      <protection locked="0"/>
    </xf>
    <xf numFmtId="0" fontId="165" fillId="0" borderId="1" xfId="0" applyFont="1" applyFill="1" applyBorder="1" applyAlignment="1" applyProtection="1">
      <alignment horizontal="center" vertical="center" wrapText="1"/>
      <protection locked="0"/>
    </xf>
    <xf numFmtId="182" fontId="180" fillId="0" borderId="1" xfId="0" applyNumberFormat="1" applyFont="1" applyFill="1" applyBorder="1" applyAlignment="1" applyProtection="1">
      <alignment horizontal="center" vertical="center" wrapText="1" shrinkToFit="1"/>
      <protection locked="0"/>
    </xf>
    <xf numFmtId="0" fontId="138" fillId="0" borderId="14" xfId="0" applyFont="1" applyBorder="1">
      <alignment vertical="center"/>
    </xf>
    <xf numFmtId="58" fontId="180" fillId="0" borderId="1" xfId="0" applyNumberFormat="1" applyFont="1" applyFill="1" applyBorder="1" applyAlignment="1" applyProtection="1">
      <alignment horizontal="center" vertical="center" wrapText="1" shrinkToFit="1"/>
      <protection locked="0"/>
    </xf>
    <xf numFmtId="180" fontId="180" fillId="0" borderId="1" xfId="0" applyNumberFormat="1" applyFont="1" applyFill="1" applyBorder="1" applyAlignment="1" applyProtection="1">
      <alignment horizontal="center" vertical="center" wrapText="1" shrinkToFit="1"/>
      <protection locked="0"/>
    </xf>
    <xf numFmtId="0" fontId="21" fillId="0" borderId="8" xfId="0" applyFont="1" applyFill="1" applyBorder="1" applyAlignment="1" applyProtection="1">
      <alignment horizontal="center" vertical="center" wrapText="1" shrinkToFit="1"/>
      <protection locked="0"/>
    </xf>
    <xf numFmtId="0" fontId="180" fillId="0" borderId="4" xfId="0" applyFont="1" applyFill="1" applyBorder="1" applyAlignment="1" applyProtection="1">
      <alignment horizontal="center" vertical="center" wrapText="1" shrinkToFit="1"/>
      <protection locked="0"/>
    </xf>
    <xf numFmtId="0" fontId="21" fillId="0" borderId="11" xfId="0" applyFont="1" applyFill="1" applyBorder="1" applyAlignment="1" applyProtection="1">
      <alignment horizontal="center" vertical="center" wrapText="1" shrinkToFit="1"/>
      <protection locked="0"/>
    </xf>
    <xf numFmtId="3" fontId="8" fillId="0" borderId="1" xfId="0" applyNumberFormat="1" applyFont="1" applyFill="1" applyBorder="1" applyAlignment="1" applyProtection="1">
      <alignment horizontal="center" vertical="center" wrapText="1" shrinkToFit="1"/>
      <protection locked="0"/>
    </xf>
    <xf numFmtId="0" fontId="8" fillId="0" borderId="37" xfId="0" applyFont="1" applyFill="1" applyBorder="1" applyAlignment="1" applyProtection="1">
      <alignment horizontal="center" vertical="center" wrapText="1" shrinkToFit="1"/>
      <protection locked="0"/>
    </xf>
    <xf numFmtId="0" fontId="0" fillId="0" borderId="14" xfId="0" applyBorder="1">
      <alignment vertical="center"/>
    </xf>
    <xf numFmtId="0" fontId="162" fillId="0" borderId="12" xfId="0" applyFont="1" applyFill="1" applyBorder="1" applyAlignment="1" applyProtection="1">
      <alignment horizontal="center" vertical="center" wrapText="1" shrinkToFit="1"/>
      <protection locked="0"/>
    </xf>
    <xf numFmtId="181" fontId="155" fillId="0" borderId="1" xfId="0" applyNumberFormat="1" applyFont="1" applyFill="1" applyBorder="1" applyAlignment="1" applyProtection="1">
      <alignment horizontal="center" vertical="center" wrapText="1" shrinkToFit="1"/>
    </xf>
    <xf numFmtId="0" fontId="155" fillId="0" borderId="1" xfId="0" applyFont="1" applyFill="1" applyBorder="1" applyAlignment="1" applyProtection="1">
      <alignment horizontal="center" vertical="center" wrapText="1"/>
      <protection locked="0"/>
    </xf>
    <xf numFmtId="0" fontId="202" fillId="0" borderId="2" xfId="0" applyNumberFormat="1" applyFont="1" applyFill="1" applyBorder="1" applyAlignment="1" applyProtection="1">
      <alignment horizontal="center" vertical="center" shrinkToFit="1"/>
      <protection locked="0"/>
    </xf>
    <xf numFmtId="3" fontId="137" fillId="0" borderId="1" xfId="0" applyNumberFormat="1" applyFont="1" applyFill="1" applyBorder="1" applyAlignment="1" applyProtection="1">
      <alignment horizontal="center" vertical="center" wrapText="1" shrinkToFit="1"/>
      <protection locked="0"/>
    </xf>
    <xf numFmtId="178" fontId="137" fillId="0" borderId="1" xfId="0" applyNumberFormat="1" applyFont="1" applyFill="1" applyBorder="1" applyAlignment="1" applyProtection="1">
      <alignment horizontal="center" vertical="center" wrapText="1" shrinkToFit="1"/>
      <protection locked="0"/>
    </xf>
    <xf numFmtId="182" fontId="155" fillId="0" borderId="1" xfId="0" applyNumberFormat="1" applyFont="1" applyFill="1" applyBorder="1" applyAlignment="1" applyProtection="1">
      <alignment horizontal="center" vertical="center" wrapText="1"/>
      <protection locked="0"/>
    </xf>
    <xf numFmtId="182" fontId="157" fillId="4" borderId="1" xfId="0" applyNumberFormat="1" applyFont="1" applyFill="1" applyBorder="1" applyAlignment="1" applyProtection="1">
      <alignment horizontal="center" vertical="center" wrapText="1" shrinkToFit="1"/>
      <protection locked="0"/>
    </xf>
    <xf numFmtId="182" fontId="181" fillId="0" borderId="2" xfId="0" applyNumberFormat="1" applyFont="1" applyFill="1" applyBorder="1" applyAlignment="1" applyProtection="1">
      <alignment horizontal="center" vertical="center" wrapText="1" shrinkToFit="1"/>
      <protection locked="0"/>
    </xf>
    <xf numFmtId="0" fontId="137" fillId="0" borderId="1" xfId="0" applyFont="1" applyFill="1" applyBorder="1" applyAlignment="1" applyProtection="1">
      <alignment horizontal="center" vertical="center" wrapText="1"/>
      <protection locked="0"/>
    </xf>
    <xf numFmtId="180" fontId="137" fillId="0" borderId="1" xfId="0" applyNumberFormat="1" applyFont="1" applyFill="1" applyBorder="1" applyAlignment="1" applyProtection="1">
      <alignment horizontal="center" vertical="center" wrapText="1" shrinkToFit="1"/>
      <protection locked="0"/>
    </xf>
    <xf numFmtId="180" fontId="157" fillId="0" borderId="1" xfId="0" applyNumberFormat="1" applyFont="1" applyFill="1" applyBorder="1" applyAlignment="1" applyProtection="1">
      <alignment horizontal="center" vertical="center" wrapText="1" shrinkToFit="1"/>
      <protection locked="0"/>
    </xf>
    <xf numFmtId="0" fontId="157" fillId="0" borderId="1" xfId="0" applyFont="1" applyFill="1" applyBorder="1" applyAlignment="1" applyProtection="1">
      <alignment horizontal="center" vertical="center"/>
      <protection locked="0"/>
    </xf>
    <xf numFmtId="0" fontId="137" fillId="0" borderId="37" xfId="0" applyFont="1" applyFill="1" applyBorder="1" applyAlignment="1" applyProtection="1">
      <alignment horizontal="center" vertical="center" wrapText="1" shrinkToFit="1"/>
      <protection locked="0"/>
    </xf>
    <xf numFmtId="0" fontId="137" fillId="0" borderId="1" xfId="0" applyFont="1" applyFill="1" applyBorder="1" applyAlignment="1" applyProtection="1">
      <alignment vertical="center" wrapText="1" shrinkToFit="1"/>
      <protection locked="0"/>
    </xf>
    <xf numFmtId="0" fontId="156" fillId="0" borderId="14" xfId="0" applyFont="1" applyFill="1" applyBorder="1">
      <alignment vertical="center"/>
    </xf>
    <xf numFmtId="177" fontId="137" fillId="0" borderId="1" xfId="0" applyNumberFormat="1" applyFont="1" applyFill="1" applyBorder="1" applyAlignment="1" applyProtection="1">
      <alignment horizontal="center" vertical="center" wrapText="1"/>
      <protection locked="0"/>
    </xf>
    <xf numFmtId="0" fontId="137" fillId="0" borderId="12" xfId="0" applyFont="1" applyFill="1" applyBorder="1" applyAlignment="1" applyProtection="1">
      <alignment horizontal="center" vertical="center" wrapText="1" shrinkToFit="1"/>
      <protection locked="0"/>
    </xf>
    <xf numFmtId="0" fontId="21" fillId="0" borderId="5" xfId="0" applyNumberFormat="1" applyFont="1" applyFill="1" applyBorder="1" applyAlignment="1" applyProtection="1">
      <alignment horizontal="center" vertical="center" wrapText="1" shrinkToFit="1"/>
      <protection locked="0"/>
    </xf>
    <xf numFmtId="0" fontId="203" fillId="0" borderId="1" xfId="0" applyFont="1" applyFill="1" applyBorder="1" applyAlignment="1" applyProtection="1">
      <alignment horizontal="center" vertical="center" wrapText="1" shrinkToFit="1"/>
      <protection locked="0"/>
    </xf>
    <xf numFmtId="187" fontId="21" fillId="0" borderId="2" xfId="0" applyNumberFormat="1" applyFont="1" applyFill="1" applyBorder="1" applyAlignment="1" applyProtection="1">
      <alignment horizontal="center" vertical="center"/>
      <protection locked="0"/>
    </xf>
    <xf numFmtId="0" fontId="142" fillId="0" borderId="1" xfId="0" applyNumberFormat="1" applyFont="1" applyFill="1" applyBorder="1" applyAlignment="1" applyProtection="1">
      <alignment horizontal="center" vertical="center" wrapText="1" shrinkToFit="1"/>
      <protection locked="0"/>
    </xf>
    <xf numFmtId="184" fontId="138" fillId="0" borderId="37" xfId="0" applyNumberFormat="1" applyFont="1" applyFill="1" applyBorder="1" applyAlignment="1" applyProtection="1">
      <alignment horizontal="center" vertical="center" wrapText="1" shrinkToFit="1"/>
      <protection locked="0"/>
    </xf>
    <xf numFmtId="0" fontId="21" fillId="0" borderId="6" xfId="0" applyFont="1" applyFill="1" applyBorder="1" applyAlignment="1" applyProtection="1">
      <alignment horizontal="center" vertical="center" wrapText="1" shrinkToFit="1"/>
      <protection locked="0"/>
    </xf>
    <xf numFmtId="0" fontId="158" fillId="0" borderId="1" xfId="0" applyFont="1" applyFill="1" applyBorder="1" applyAlignment="1" applyProtection="1">
      <alignment horizontal="center" vertical="center" wrapText="1" shrinkToFit="1"/>
      <protection locked="0"/>
    </xf>
    <xf numFmtId="176" fontId="38" fillId="0" borderId="1" xfId="0" applyNumberFormat="1" applyFont="1" applyFill="1" applyBorder="1" applyAlignment="1" applyProtection="1">
      <alignment horizontal="center" vertical="center" wrapText="1" shrinkToFit="1"/>
    </xf>
    <xf numFmtId="0" fontId="38" fillId="0" borderId="2" xfId="0" applyFont="1" applyFill="1" applyBorder="1" applyAlignment="1" applyProtection="1">
      <alignment horizontal="center" vertical="center" wrapText="1" shrinkToFit="1"/>
      <protection locked="0"/>
    </xf>
    <xf numFmtId="0" fontId="38" fillId="0" borderId="2" xfId="0" applyFont="1" applyFill="1" applyBorder="1" applyAlignment="1" applyProtection="1">
      <alignment horizontal="center" vertical="center"/>
      <protection locked="0"/>
    </xf>
    <xf numFmtId="49" fontId="142" fillId="0" borderId="1" xfId="0" applyNumberFormat="1" applyFont="1" applyFill="1" applyBorder="1" applyAlignment="1" applyProtection="1">
      <alignment horizontal="center" vertical="center" wrapText="1" shrinkToFit="1"/>
      <protection locked="0"/>
    </xf>
    <xf numFmtId="0" fontId="142" fillId="0" borderId="1" xfId="0" applyFont="1" applyFill="1" applyBorder="1" applyAlignment="1" applyProtection="1">
      <alignment horizontal="center" vertical="center" wrapText="1" shrinkToFit="1"/>
      <protection locked="0"/>
    </xf>
    <xf numFmtId="178" fontId="142" fillId="0" borderId="1" xfId="0" applyNumberFormat="1" applyFont="1" applyFill="1" applyBorder="1" applyAlignment="1" applyProtection="1">
      <alignment horizontal="center" vertical="center" wrapText="1" shrinkToFit="1"/>
      <protection locked="0"/>
    </xf>
    <xf numFmtId="181" fontId="38" fillId="0" borderId="1" xfId="0" applyNumberFormat="1" applyFont="1" applyFill="1" applyBorder="1" applyAlignment="1" applyProtection="1">
      <alignment horizontal="center" vertical="center" wrapText="1" shrinkToFit="1"/>
      <protection locked="0"/>
    </xf>
    <xf numFmtId="0" fontId="38" fillId="0" borderId="1" xfId="0" applyNumberFormat="1" applyFont="1" applyFill="1" applyBorder="1" applyAlignment="1" applyProtection="1">
      <alignment horizontal="center" vertical="center" wrapText="1" shrinkToFit="1"/>
      <protection locked="0"/>
    </xf>
    <xf numFmtId="182" fontId="38" fillId="0" borderId="2" xfId="0" applyNumberFormat="1" applyFont="1" applyFill="1" applyBorder="1" applyAlignment="1" applyProtection="1">
      <alignment horizontal="center" vertical="center" wrapText="1" shrinkToFit="1"/>
      <protection locked="0"/>
    </xf>
    <xf numFmtId="0" fontId="38" fillId="0" borderId="1" xfId="0" applyFont="1" applyFill="1" applyBorder="1" applyAlignment="1" applyProtection="1">
      <alignment horizontal="center" vertical="center" wrapText="1"/>
      <protection locked="0"/>
    </xf>
    <xf numFmtId="181" fontId="142" fillId="0" borderId="1" xfId="0" applyNumberFormat="1" applyFont="1" applyFill="1" applyBorder="1" applyAlignment="1" applyProtection="1">
      <alignment horizontal="center" vertical="center" wrapText="1" shrinkToFit="1"/>
      <protection locked="0"/>
    </xf>
    <xf numFmtId="184" fontId="142" fillId="0" borderId="1" xfId="0" applyNumberFormat="1" applyFont="1" applyFill="1" applyBorder="1" applyAlignment="1" applyProtection="1">
      <alignment horizontal="center" vertical="center" wrapText="1" shrinkToFit="1"/>
      <protection locked="0"/>
    </xf>
    <xf numFmtId="180" fontId="142" fillId="0" borderId="1" xfId="0" applyNumberFormat="1" applyFont="1" applyFill="1" applyBorder="1" applyAlignment="1" applyProtection="1">
      <alignment horizontal="center" vertical="center" wrapText="1" shrinkToFit="1"/>
      <protection locked="0"/>
    </xf>
    <xf numFmtId="0" fontId="38" fillId="0" borderId="37" xfId="0" applyFont="1" applyFill="1" applyBorder="1" applyAlignment="1" applyProtection="1">
      <alignment horizontal="center" vertical="center" wrapText="1" shrinkToFit="1"/>
      <protection locked="0"/>
    </xf>
    <xf numFmtId="0" fontId="38" fillId="0" borderId="5" xfId="0" applyNumberFormat="1" applyFont="1" applyFill="1" applyBorder="1" applyAlignment="1" applyProtection="1">
      <alignment horizontal="center" vertical="center" wrapText="1" shrinkToFit="1"/>
      <protection locked="0"/>
    </xf>
    <xf numFmtId="0" fontId="38" fillId="0" borderId="3" xfId="0" applyFont="1" applyFill="1" applyBorder="1" applyAlignment="1" applyProtection="1">
      <alignment vertical="center" wrapText="1" shrinkToFit="1"/>
      <protection locked="0"/>
    </xf>
    <xf numFmtId="0" fontId="142" fillId="0" borderId="1" xfId="0" applyFont="1" applyFill="1" applyBorder="1" applyAlignment="1" applyProtection="1">
      <alignment horizontal="center" vertical="center"/>
      <protection locked="0"/>
    </xf>
    <xf numFmtId="187" fontId="38" fillId="0" borderId="2" xfId="0" applyNumberFormat="1" applyFont="1" applyFill="1" applyBorder="1" applyAlignment="1" applyProtection="1">
      <alignment horizontal="center" vertical="center"/>
      <protection locked="0"/>
    </xf>
    <xf numFmtId="178" fontId="38" fillId="0" borderId="1" xfId="0" applyNumberFormat="1" applyFont="1" applyFill="1" applyBorder="1" applyAlignment="1" applyProtection="1">
      <alignment horizontal="center" vertical="center"/>
      <protection locked="0"/>
    </xf>
    <xf numFmtId="0" fontId="204" fillId="0" borderId="1" xfId="0" applyFont="1" applyFill="1" applyBorder="1" applyAlignment="1" applyProtection="1">
      <alignment horizontal="center" vertical="center" wrapText="1" shrinkToFit="1"/>
      <protection locked="0"/>
    </xf>
    <xf numFmtId="0" fontId="21" fillId="0" borderId="12" xfId="0" applyNumberFormat="1" applyFont="1" applyFill="1" applyBorder="1" applyAlignment="1" applyProtection="1">
      <alignment horizontal="center" vertical="center" wrapText="1" shrinkToFit="1"/>
      <protection locked="0"/>
    </xf>
    <xf numFmtId="49" fontId="21" fillId="0" borderId="1" xfId="0" applyNumberFormat="1" applyFont="1" applyFill="1" applyBorder="1" applyAlignment="1" applyProtection="1">
      <alignment horizontal="center" vertical="center" wrapText="1" shrinkToFit="1"/>
      <protection locked="0"/>
    </xf>
    <xf numFmtId="179" fontId="21" fillId="0" borderId="1" xfId="0" applyNumberFormat="1" applyFont="1" applyFill="1" applyBorder="1" applyAlignment="1" applyProtection="1">
      <alignment horizontal="center" vertical="center" wrapText="1" shrinkToFit="1"/>
      <protection locked="0"/>
    </xf>
    <xf numFmtId="0" fontId="21" fillId="0" borderId="6" xfId="0" applyNumberFormat="1" applyFont="1" applyFill="1" applyBorder="1" applyAlignment="1" applyProtection="1">
      <alignment horizontal="center" vertical="center" wrapText="1" shrinkToFit="1"/>
      <protection locked="0"/>
    </xf>
    <xf numFmtId="0" fontId="0" fillId="0" borderId="0" xfId="0" applyFill="1" applyAlignment="1" applyProtection="1">
      <alignment horizontal="center" vertical="center"/>
      <protection locked="0"/>
    </xf>
    <xf numFmtId="0" fontId="0" fillId="0" borderId="1" xfId="0" applyFill="1" applyBorder="1" applyAlignment="1" applyProtection="1">
      <alignment horizontal="center" vertical="center"/>
      <protection locked="0"/>
    </xf>
    <xf numFmtId="179" fontId="0" fillId="0" borderId="0" xfId="0" applyNumberFormat="1" applyFill="1" applyAlignment="1" applyProtection="1">
      <alignment horizontal="center" vertical="center" wrapText="1"/>
      <protection locked="0"/>
    </xf>
    <xf numFmtId="180" fontId="0" fillId="0" borderId="0" xfId="0" applyNumberFormat="1" applyFill="1" applyAlignment="1" applyProtection="1">
      <alignment horizontal="center" vertical="center" wrapText="1"/>
      <protection locked="0"/>
    </xf>
    <xf numFmtId="0" fontId="141" fillId="0" borderId="0" xfId="0" applyFont="1" applyFill="1" applyAlignment="1" applyProtection="1">
      <alignment horizontal="center" vertical="center"/>
      <protection locked="0"/>
    </xf>
    <xf numFmtId="0" fontId="182" fillId="0" borderId="0" xfId="0" applyFont="1" applyFill="1" applyAlignment="1" applyProtection="1">
      <alignment horizontal="center" vertical="center"/>
      <protection locked="0"/>
    </xf>
    <xf numFmtId="187" fontId="0" fillId="0" borderId="1" xfId="0" applyNumberFormat="1" applyFill="1" applyBorder="1" applyAlignment="1" applyProtection="1">
      <alignment horizontal="center" vertical="center"/>
      <protection locked="0"/>
    </xf>
    <xf numFmtId="0" fontId="141" fillId="0" borderId="0" xfId="0" applyNumberFormat="1" applyFont="1" applyFill="1" applyProtection="1">
      <alignment vertical="center"/>
      <protection locked="0"/>
    </xf>
    <xf numFmtId="0" fontId="123" fillId="0" borderId="1" xfId="0" applyFont="1" applyFill="1" applyBorder="1" applyAlignment="1" applyProtection="1">
      <alignment horizontal="center" vertical="center"/>
      <protection locked="0"/>
    </xf>
    <xf numFmtId="176" fontId="124" fillId="0" borderId="1" xfId="0" applyNumberFormat="1" applyFont="1" applyFill="1" applyBorder="1" applyAlignment="1" applyProtection="1">
      <alignment horizontal="center" vertical="center" wrapText="1" shrinkToFit="1"/>
    </xf>
    <xf numFmtId="0" fontId="124" fillId="0" borderId="1" xfId="0" applyFont="1" applyFill="1" applyBorder="1" applyAlignment="1" applyProtection="1">
      <alignment horizontal="center" vertical="center" wrapText="1" shrinkToFit="1"/>
      <protection locked="0"/>
    </xf>
    <xf numFmtId="49" fontId="124" fillId="0" borderId="1" xfId="0" applyNumberFormat="1" applyFont="1" applyFill="1" applyBorder="1" applyAlignment="1" applyProtection="1">
      <alignment horizontal="center" vertical="center" wrapText="1" shrinkToFit="1"/>
      <protection locked="0"/>
    </xf>
    <xf numFmtId="181" fontId="124" fillId="0" borderId="1" xfId="0" applyNumberFormat="1" applyFont="1" applyFill="1" applyBorder="1" applyAlignment="1" applyProtection="1">
      <alignment horizontal="center" vertical="center" wrapText="1" shrinkToFit="1"/>
      <protection locked="0"/>
    </xf>
    <xf numFmtId="0" fontId="124" fillId="0" borderId="1" xfId="0" applyNumberFormat="1" applyFont="1" applyFill="1" applyBorder="1" applyAlignment="1" applyProtection="1">
      <alignment horizontal="center" vertical="center" wrapText="1" shrinkToFit="1"/>
      <protection locked="0"/>
    </xf>
    <xf numFmtId="182" fontId="124" fillId="0" borderId="1" xfId="0" applyNumberFormat="1" applyFont="1" applyFill="1" applyBorder="1" applyAlignment="1" applyProtection="1">
      <alignment horizontal="center" vertical="center" wrapText="1" shrinkToFit="1"/>
      <protection locked="0"/>
    </xf>
    <xf numFmtId="179" fontId="205" fillId="0" borderId="1" xfId="0" applyNumberFormat="1" applyFont="1" applyFill="1" applyBorder="1" applyAlignment="1" applyProtection="1">
      <alignment horizontal="center" vertical="center" wrapText="1" shrinkToFit="1"/>
      <protection locked="0"/>
    </xf>
    <xf numFmtId="180" fontId="205" fillId="0" borderId="1" xfId="0" applyNumberFormat="1" applyFont="1" applyFill="1" applyBorder="1" applyAlignment="1" applyProtection="1">
      <alignment horizontal="center" vertical="center" wrapText="1" shrinkToFit="1"/>
      <protection locked="0"/>
    </xf>
    <xf numFmtId="0" fontId="127" fillId="0" borderId="1" xfId="0" applyFont="1" applyFill="1" applyBorder="1" applyAlignment="1" applyProtection="1">
      <alignment horizontal="center" vertical="center" wrapText="1" shrinkToFit="1"/>
      <protection locked="0"/>
    </xf>
    <xf numFmtId="0" fontId="206" fillId="0" borderId="1" xfId="0" applyNumberFormat="1" applyFont="1" applyFill="1" applyBorder="1" applyAlignment="1" applyProtection="1">
      <alignment horizontal="center" vertical="center" wrapText="1" shrinkToFit="1"/>
      <protection locked="0"/>
    </xf>
    <xf numFmtId="0" fontId="206" fillId="0" borderId="1" xfId="0" applyFont="1" applyFill="1" applyBorder="1" applyAlignment="1" applyProtection="1">
      <alignment horizontal="center" vertical="center" wrapText="1" shrinkToFit="1"/>
      <protection locked="0"/>
    </xf>
    <xf numFmtId="0" fontId="123" fillId="0" borderId="1" xfId="0" applyFont="1" applyFill="1" applyBorder="1" applyAlignment="1" applyProtection="1">
      <alignment horizontal="center" vertical="center" wrapText="1"/>
      <protection locked="0"/>
    </xf>
    <xf numFmtId="0" fontId="125" fillId="0" borderId="1" xfId="0" applyFont="1" applyFill="1" applyBorder="1" applyAlignment="1" applyProtection="1">
      <alignment horizontal="center" vertical="center" wrapText="1"/>
      <protection locked="0"/>
    </xf>
    <xf numFmtId="0" fontId="123" fillId="0" borderId="37" xfId="0" applyFont="1" applyFill="1" applyBorder="1" applyAlignment="1" applyProtection="1">
      <alignment horizontal="center" vertical="center" wrapText="1"/>
      <protection locked="0"/>
    </xf>
    <xf numFmtId="0" fontId="127" fillId="0" borderId="1" xfId="0" applyFont="1" applyFill="1" applyBorder="1" applyAlignment="1" applyProtection="1">
      <alignment horizontal="center" vertical="center" wrapText="1"/>
      <protection locked="0"/>
    </xf>
    <xf numFmtId="181" fontId="207" fillId="0" borderId="3" xfId="0" applyNumberFormat="1" applyFont="1" applyFill="1" applyBorder="1" applyAlignment="1" applyProtection="1">
      <alignment horizontal="center" vertical="center" shrinkToFit="1"/>
    </xf>
    <xf numFmtId="0" fontId="138" fillId="0" borderId="3" xfId="0" applyFont="1" applyFill="1" applyBorder="1" applyAlignment="1" applyProtection="1">
      <alignment horizontal="center" vertical="center" wrapText="1"/>
      <protection locked="0"/>
    </xf>
    <xf numFmtId="0" fontId="188" fillId="0" borderId="3" xfId="0" applyNumberFormat="1" applyFont="1" applyFill="1" applyBorder="1" applyAlignment="1" applyProtection="1">
      <alignment horizontal="center" vertical="center" wrapText="1"/>
      <protection locked="0"/>
    </xf>
    <xf numFmtId="182" fontId="138" fillId="0" borderId="1" xfId="0" applyNumberFormat="1" applyFont="1" applyFill="1" applyBorder="1" applyAlignment="1" applyProtection="1">
      <alignment horizontal="center" vertical="center" wrapText="1" shrinkToFit="1"/>
      <protection locked="0"/>
    </xf>
    <xf numFmtId="0" fontId="21" fillId="0" borderId="2" xfId="0" applyNumberFormat="1" applyFont="1" applyFill="1" applyBorder="1" applyAlignment="1" applyProtection="1">
      <alignment horizontal="center" vertical="center" wrapText="1" shrinkToFit="1"/>
      <protection locked="0"/>
    </xf>
    <xf numFmtId="182" fontId="21" fillId="0" borderId="3" xfId="0" applyNumberFormat="1" applyFont="1" applyFill="1" applyBorder="1" applyAlignment="1" applyProtection="1">
      <alignment horizontal="center" vertical="center" wrapText="1" shrinkToFit="1"/>
      <protection locked="0"/>
    </xf>
    <xf numFmtId="181" fontId="208" fillId="0" borderId="3" xfId="0" applyNumberFormat="1" applyFont="1" applyFill="1" applyBorder="1" applyAlignment="1" applyProtection="1">
      <alignment horizontal="center" vertical="center" shrinkToFit="1"/>
    </xf>
    <xf numFmtId="0" fontId="159" fillId="0" borderId="3" xfId="0" applyFont="1" applyFill="1" applyBorder="1" applyAlignment="1" applyProtection="1">
      <alignment horizontal="center" vertical="center" wrapText="1"/>
      <protection locked="0"/>
    </xf>
    <xf numFmtId="0" fontId="164" fillId="0" borderId="3" xfId="0" applyNumberFormat="1" applyFont="1" applyFill="1" applyBorder="1" applyAlignment="1" applyProtection="1">
      <alignment horizontal="center" vertical="center" shrinkToFit="1"/>
      <protection locked="0"/>
    </xf>
    <xf numFmtId="0" fontId="209" fillId="0" borderId="3" xfId="0" applyNumberFormat="1" applyFont="1" applyFill="1" applyBorder="1" applyAlignment="1" applyProtection="1">
      <alignment horizontal="center" vertical="center" wrapText="1"/>
      <protection locked="0"/>
    </xf>
    <xf numFmtId="182" fontId="159" fillId="0" borderId="1" xfId="0" applyNumberFormat="1" applyFont="1" applyFill="1" applyBorder="1" applyAlignment="1" applyProtection="1">
      <alignment horizontal="center" vertical="center" wrapText="1" shrinkToFit="1"/>
      <protection locked="0"/>
    </xf>
    <xf numFmtId="0" fontId="209" fillId="0" borderId="1" xfId="0" applyNumberFormat="1" applyFont="1" applyFill="1" applyBorder="1" applyAlignment="1" applyProtection="1">
      <alignment horizontal="center" vertical="center" wrapText="1"/>
      <protection locked="0"/>
    </xf>
    <xf numFmtId="0" fontId="139" fillId="0" borderId="2" xfId="0" applyNumberFormat="1" applyFont="1" applyFill="1" applyBorder="1" applyAlignment="1" applyProtection="1">
      <alignment horizontal="center" vertical="center" wrapText="1" shrinkToFit="1"/>
      <protection locked="0"/>
    </xf>
    <xf numFmtId="182" fontId="139" fillId="0" borderId="3" xfId="0" applyNumberFormat="1" applyFont="1" applyFill="1" applyBorder="1" applyAlignment="1" applyProtection="1">
      <alignment horizontal="center" vertical="center" wrapText="1" shrinkToFit="1"/>
      <protection locked="0"/>
    </xf>
    <xf numFmtId="176" fontId="139" fillId="0" borderId="3" xfId="0" applyNumberFormat="1" applyFont="1" applyFill="1" applyBorder="1" applyAlignment="1" applyProtection="1">
      <alignment horizontal="center" vertical="center" wrapText="1" shrinkToFit="1"/>
    </xf>
    <xf numFmtId="0" fontId="139" fillId="0" borderId="3" xfId="0" applyFont="1" applyFill="1" applyBorder="1" applyAlignment="1" applyProtection="1">
      <alignment horizontal="center" vertical="center" wrapText="1"/>
      <protection locked="0"/>
    </xf>
    <xf numFmtId="0" fontId="139" fillId="0" borderId="3" xfId="0" applyFont="1" applyFill="1" applyBorder="1" applyAlignment="1" applyProtection="1">
      <alignment horizontal="center" vertical="center"/>
      <protection locked="0"/>
    </xf>
    <xf numFmtId="49" fontId="139" fillId="0" borderId="1" xfId="0" applyNumberFormat="1" applyFont="1" applyFill="1" applyBorder="1" applyAlignment="1" applyProtection="1">
      <alignment horizontal="center" vertical="center" wrapText="1" shrinkToFit="1"/>
      <protection locked="0"/>
    </xf>
    <xf numFmtId="0" fontId="139" fillId="2" borderId="1" xfId="0" applyFont="1" applyFill="1" applyBorder="1" applyAlignment="1" applyProtection="1">
      <alignment horizontal="center" vertical="center" wrapText="1" shrinkToFit="1"/>
      <protection locked="0"/>
    </xf>
    <xf numFmtId="0" fontId="139" fillId="2" borderId="1" xfId="0" applyNumberFormat="1" applyFont="1" applyFill="1" applyBorder="1" applyAlignment="1" applyProtection="1">
      <alignment horizontal="center" vertical="center" wrapText="1" shrinkToFit="1"/>
      <protection locked="0"/>
    </xf>
    <xf numFmtId="0" fontId="169" fillId="0" borderId="1" xfId="0" applyFont="1" applyFill="1" applyBorder="1" applyAlignment="1" applyProtection="1">
      <alignment horizontal="center" vertical="center" wrapText="1"/>
      <protection locked="0"/>
    </xf>
    <xf numFmtId="0" fontId="142" fillId="0" borderId="0" xfId="0" applyFont="1" applyFill="1" applyAlignment="1" applyProtection="1">
      <alignment horizontal="center" vertical="center"/>
      <protection locked="0"/>
    </xf>
    <xf numFmtId="178" fontId="0" fillId="0" borderId="1" xfId="0" applyNumberFormat="1" applyFill="1" applyBorder="1" applyAlignment="1" applyProtection="1">
      <alignment horizontal="center" vertical="center"/>
      <protection locked="0"/>
    </xf>
    <xf numFmtId="0" fontId="125" fillId="18" borderId="6" xfId="0" applyFont="1" applyFill="1" applyBorder="1" applyAlignment="1">
      <alignment horizontal="center" vertical="center" wrapText="1"/>
    </xf>
    <xf numFmtId="0" fontId="125" fillId="18" borderId="1" xfId="0" applyFont="1" applyFill="1" applyBorder="1" applyAlignment="1">
      <alignment horizontal="center" vertical="center" wrapText="1"/>
    </xf>
    <xf numFmtId="0" fontId="123" fillId="0"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xf>
    <xf numFmtId="3" fontId="210" fillId="22" borderId="1" xfId="0" applyNumberFormat="1" applyFont="1" applyFill="1" applyBorder="1" applyAlignment="1">
      <alignment horizontal="center" vertical="center"/>
    </xf>
    <xf numFmtId="0" fontId="178" fillId="0" borderId="3" xfId="0" applyFont="1" applyFill="1" applyBorder="1" applyAlignment="1" applyProtection="1" quotePrefix="1">
      <alignment horizontal="center" vertical="center" wrapText="1"/>
      <protection locked="0"/>
    </xf>
    <xf numFmtId="0" fontId="163" fillId="0" borderId="1" xfId="0" applyFont="1" applyFill="1" applyBorder="1" applyAlignment="1" applyProtection="1" quotePrefix="1">
      <alignment horizontal="center" vertical="center" wrapText="1"/>
      <protection locked="0"/>
    </xf>
    <xf numFmtId="0" fontId="178" fillId="0" borderId="1" xfId="0" applyFont="1" applyFill="1" applyBorder="1" applyAlignment="1" applyProtection="1" quotePrefix="1">
      <alignment horizontal="center" vertical="center" wrapText="1"/>
      <protection locked="0"/>
    </xf>
    <xf numFmtId="0" fontId="139" fillId="0" borderId="1" xfId="0" applyFont="1" applyFill="1" applyBorder="1" applyAlignment="1" applyProtection="1" quotePrefix="1">
      <alignment horizontal="center" vertical="center" wrapText="1" shrinkToFit="1"/>
      <protection locked="0"/>
    </xf>
    <xf numFmtId="0" fontId="162" fillId="0" borderId="1" xfId="0" applyFont="1" applyFill="1" applyBorder="1" applyAlignment="1" applyProtection="1" quotePrefix="1">
      <alignment horizontal="center" vertical="center" wrapText="1" shrinkToFit="1"/>
      <protection locked="0"/>
    </xf>
    <xf numFmtId="0" fontId="21" fillId="0" borderId="1" xfId="0" applyFont="1" applyFill="1" applyBorder="1" applyAlignment="1" applyProtection="1" quotePrefix="1">
      <alignment horizontal="center" vertical="center" wrapText="1" shrinkToFit="1"/>
      <protection locked="0"/>
    </xf>
    <xf numFmtId="0" fontId="21" fillId="0" borderId="1" xfId="0" applyFont="1" applyFill="1" applyBorder="1" applyAlignment="1" applyProtection="1" quotePrefix="1">
      <alignment horizontal="center" vertical="center"/>
      <protection locked="0"/>
    </xf>
    <xf numFmtId="0" fontId="133" fillId="0" borderId="1" xfId="0" applyFont="1" applyFill="1" applyBorder="1" applyAlignment="1" quotePrefix="1">
      <alignment horizontal="left" vertical="top" wrapText="1"/>
    </xf>
    <xf numFmtId="0" fontId="129" fillId="0" borderId="1" xfId="0" applyFont="1" applyFill="1" applyBorder="1" applyAlignment="1" quotePrefix="1">
      <alignment horizontal="left"/>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5" xfId="50"/>
    <cellStyle name="常规 3 2" xfId="51"/>
    <cellStyle name="常规 10" xfId="52"/>
    <cellStyle name="20% - 强调文字颜色 4 2 3 117" xfId="53"/>
    <cellStyle name="常规 2" xfId="54"/>
    <cellStyle name="常规 10 2 2 2 2 2 2 2 2" xfId="55"/>
    <cellStyle name="常规 14 2 2 2" xfId="56"/>
    <cellStyle name="常规 5" xfId="57"/>
  </cellStyles>
  <dxfs count="5">
    <dxf>
      <font>
        <color rgb="FF9C0006"/>
      </font>
      <fill>
        <patternFill patternType="solid">
          <bgColor rgb="FFFFC7CE"/>
        </patternFill>
      </fill>
    </dxf>
    <dxf>
      <fill>
        <patternFill patternType="solid">
          <bgColor theme="5" tint="-0.25"/>
        </patternFill>
      </fill>
    </dxf>
    <dxf>
      <font>
        <color rgb="FFD73434"/>
      </font>
      <fill>
        <patternFill patternType="solid">
          <bgColor rgb="FFFEC8CE"/>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003E2CEA"/>
      <color rgb="002727F0"/>
      <color rgb="000FB7FD"/>
      <color rgb="00F7241F"/>
      <color rgb="00000000"/>
      <color rgb="00FF0000"/>
      <color rgb="00010CDD"/>
      <color rgb="000000FF"/>
      <color rgb="0000B0F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5529" dbFileVersion="0" changeLogVersion="0">
    <open main="525" threadCnt="1"/>
    <sheetInfos>
      <sheetInfo cellCmpFml="10" sheetStid="24">
        <open main="1" threadCnt="1"/>
      </sheetInfo>
      <sheetInfo cellCmpFml="12" sheetStid="23">
        <open main="5" threadCnt="1"/>
      </sheetInfo>
      <sheetInfo cellCmpFml="1305" sheetStid="26">
        <open main="128" threadCnt="1"/>
      </sheetInfo>
      <sheetInfo cellCmpFml="1280" sheetStid="33">
        <open main="135" threadCnt="1"/>
      </sheetInfo>
      <sheetInfo cellCmpFml="12" sheetStid="39">
        <open main="6" threadCnt="1"/>
      </sheetInfo>
      <sheetInfo cellCmpFml="44" sheetStid="30">
        <open main="6" threadCnt="1"/>
      </sheetInfo>
      <sheetInfo cellCmpFml="33" sheetStid="36">
        <open main="3" threadCnt="1"/>
      </sheetInfo>
      <sheetInfo cellCmpFml="12" sheetStid="43">
        <open main="1" threadCnt="1"/>
      </sheetInfo>
      <sheetInfo cellCmpFml="0" sheetStid="41">
        <open threadCnt="1"/>
      </sheetInfo>
      <sheetInfo cellCmpFml="18" sheetStid="40">
        <open main="1" threadCnt="1"/>
      </sheetInfo>
      <sheetInfo cellCmpFml="448" sheetStid="32">
        <open main="11" threadCnt="1"/>
      </sheetInfo>
      <sheetInfo cellCmpFml="74" sheetStid="29">
        <open main="2" threadCnt="1"/>
      </sheetInfo>
      <sheetInfo cellCmpFml="18" sheetStid="18">
        <open main="1" threadCnt="1"/>
      </sheetInfo>
      <sheetInfo cellCmpFml="235" sheetStid="35">
        <open main="9" threadCnt="1"/>
      </sheetInfo>
      <sheetInfo cellCmpFml="23" sheetStid="34">
        <open main="2" threadCnt="1"/>
      </sheetInfo>
      <sheetInfo cellCmpFml="1992" sheetStid="15">
        <open main="42" threadCnt="1"/>
      </sheetInfo>
      <sheetInfo cellCmpFml="13" sheetStid="37">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www.wps.cn/officeDocument/2023/relationships/woinfos" Target="woinfos.xml"/><Relationship Id="rId27" Type="http://schemas.openxmlformats.org/officeDocument/2006/relationships/styles" Target="styles.xml"/><Relationship Id="rId26" Type="http://schemas.openxmlformats.org/officeDocument/2006/relationships/customXml" Target="../customXml/item5.xml"/><Relationship Id="rId25" Type="http://schemas.openxmlformats.org/officeDocument/2006/relationships/customXml" Target="../customXml/item4.xml"/><Relationship Id="rId24" Type="http://schemas.openxmlformats.org/officeDocument/2006/relationships/customXml" Target="../customXml/item3.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2.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6.jpeg"/></Relationships>
</file>

<file path=xl/drawings/_rels/drawing5.xml.rels><?xml version="1.0" encoding="UTF-8" standalone="yes"?>
<Relationships xmlns="http://schemas.openxmlformats.org/package/2006/relationships"><Relationship Id="rId9" Type="http://schemas.openxmlformats.org/officeDocument/2006/relationships/image" Target="../media/image45.png"/><Relationship Id="rId8" Type="http://schemas.openxmlformats.org/officeDocument/2006/relationships/image" Target="../media/image44.png"/><Relationship Id="rId7" Type="http://schemas.openxmlformats.org/officeDocument/2006/relationships/image" Target="../media/image43.png"/><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 Id="rId36" Type="http://schemas.openxmlformats.org/officeDocument/2006/relationships/image" Target="../media/image72.png"/><Relationship Id="rId35" Type="http://schemas.openxmlformats.org/officeDocument/2006/relationships/image" Target="../media/image71.png"/><Relationship Id="rId34" Type="http://schemas.openxmlformats.org/officeDocument/2006/relationships/image" Target="../media/image70.png"/><Relationship Id="rId33" Type="http://schemas.openxmlformats.org/officeDocument/2006/relationships/image" Target="../media/image69.png"/><Relationship Id="rId32" Type="http://schemas.openxmlformats.org/officeDocument/2006/relationships/image" Target="../media/image68.png"/><Relationship Id="rId31" Type="http://schemas.openxmlformats.org/officeDocument/2006/relationships/image" Target="../media/image67.png"/><Relationship Id="rId30" Type="http://schemas.openxmlformats.org/officeDocument/2006/relationships/image" Target="../media/image66.png"/><Relationship Id="rId3" Type="http://schemas.openxmlformats.org/officeDocument/2006/relationships/image" Target="../media/image39.png"/><Relationship Id="rId29" Type="http://schemas.openxmlformats.org/officeDocument/2006/relationships/image" Target="../media/image65.png"/><Relationship Id="rId28" Type="http://schemas.openxmlformats.org/officeDocument/2006/relationships/image" Target="../media/image64.png"/><Relationship Id="rId27" Type="http://schemas.openxmlformats.org/officeDocument/2006/relationships/image" Target="../media/image63.png"/><Relationship Id="rId26" Type="http://schemas.openxmlformats.org/officeDocument/2006/relationships/image" Target="../media/image62.png"/><Relationship Id="rId25" Type="http://schemas.openxmlformats.org/officeDocument/2006/relationships/image" Target="../media/image61.png"/><Relationship Id="rId24" Type="http://schemas.openxmlformats.org/officeDocument/2006/relationships/image" Target="../media/image60.png"/><Relationship Id="rId23" Type="http://schemas.openxmlformats.org/officeDocument/2006/relationships/image" Target="../media/image59.png"/><Relationship Id="rId22" Type="http://schemas.openxmlformats.org/officeDocument/2006/relationships/image" Target="../media/image58.png"/><Relationship Id="rId21" Type="http://schemas.openxmlformats.org/officeDocument/2006/relationships/image" Target="../media/image57.png"/><Relationship Id="rId20" Type="http://schemas.openxmlformats.org/officeDocument/2006/relationships/image" Target="../media/image56.png"/><Relationship Id="rId2" Type="http://schemas.openxmlformats.org/officeDocument/2006/relationships/image" Target="../media/image38.png"/><Relationship Id="rId19" Type="http://schemas.openxmlformats.org/officeDocument/2006/relationships/image" Target="../media/image55.png"/><Relationship Id="rId18" Type="http://schemas.openxmlformats.org/officeDocument/2006/relationships/image" Target="../media/image54.png"/><Relationship Id="rId17" Type="http://schemas.openxmlformats.org/officeDocument/2006/relationships/image" Target="../media/image53.png"/><Relationship Id="rId16" Type="http://schemas.openxmlformats.org/officeDocument/2006/relationships/image" Target="../media/image52.png"/><Relationship Id="rId15" Type="http://schemas.openxmlformats.org/officeDocument/2006/relationships/image" Target="../media/image51.png"/><Relationship Id="rId14" Type="http://schemas.openxmlformats.org/officeDocument/2006/relationships/image" Target="../media/image50.png"/><Relationship Id="rId13" Type="http://schemas.openxmlformats.org/officeDocument/2006/relationships/image" Target="../media/image49.png"/><Relationship Id="rId12" Type="http://schemas.openxmlformats.org/officeDocument/2006/relationships/image" Target="../media/image48.png"/><Relationship Id="rId11" Type="http://schemas.openxmlformats.org/officeDocument/2006/relationships/image" Target="../media/image47.png"/><Relationship Id="rId10" Type="http://schemas.openxmlformats.org/officeDocument/2006/relationships/image" Target="../media/image46.png"/><Relationship Id="rId1" Type="http://schemas.openxmlformats.org/officeDocument/2006/relationships/image" Target="../media/image37.png"/></Relationships>
</file>

<file path=xl/drawings/_rels/drawing6.xml.rels><?xml version="1.0" encoding="UTF-8" standalone="yes"?>
<Relationships xmlns="http://schemas.openxmlformats.org/package/2006/relationships"><Relationship Id="rId1" Type="http://schemas.openxmlformats.org/officeDocument/2006/relationships/image" Target="../media/image36.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244</xdr:row>
      <xdr:rowOff>28575</xdr:rowOff>
    </xdr:from>
    <xdr:to>
      <xdr:col>4</xdr:col>
      <xdr:colOff>564515</xdr:colOff>
      <xdr:row>250</xdr:row>
      <xdr:rowOff>71755</xdr:rowOff>
    </xdr:to>
    <xdr:pic>
      <xdr:nvPicPr>
        <xdr:cNvPr id="2" name="图片 1"/>
        <xdr:cNvPicPr>
          <a:picLocks noChangeAspect="1"/>
        </xdr:cNvPicPr>
      </xdr:nvPicPr>
      <xdr:blipFill>
        <a:blip r:embed="rId1"/>
        <a:stretch>
          <a:fillRect/>
        </a:stretch>
      </xdr:blipFill>
      <xdr:spPr>
        <a:xfrm>
          <a:off x="635" y="55457725"/>
          <a:ext cx="3510280" cy="107188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100</xdr:row>
      <xdr:rowOff>28575</xdr:rowOff>
    </xdr:from>
    <xdr:to>
      <xdr:col>4</xdr:col>
      <xdr:colOff>448310</xdr:colOff>
      <xdr:row>106</xdr:row>
      <xdr:rowOff>71755</xdr:rowOff>
    </xdr:to>
    <xdr:pic>
      <xdr:nvPicPr>
        <xdr:cNvPr id="2" name="图片 1"/>
        <xdr:cNvPicPr>
          <a:picLocks noChangeAspect="1"/>
        </xdr:cNvPicPr>
      </xdr:nvPicPr>
      <xdr:blipFill>
        <a:blip r:embed="rId1"/>
        <a:stretch>
          <a:fillRect/>
        </a:stretch>
      </xdr:blipFill>
      <xdr:spPr>
        <a:xfrm>
          <a:off x="635" y="19650075"/>
          <a:ext cx="3517265" cy="107188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15668</xdr:colOff>
      <xdr:row>4</xdr:row>
      <xdr:rowOff>305954</xdr:rowOff>
    </xdr:from>
    <xdr:to>
      <xdr:col>0</xdr:col>
      <xdr:colOff>955468</xdr:colOff>
      <xdr:row>7</xdr:row>
      <xdr:rowOff>140854</xdr:rowOff>
    </xdr:to>
    <xdr:pic>
      <xdr:nvPicPr>
        <xdr:cNvPr id="2" name="图片 1" descr="1669453420179"/>
        <xdr:cNvPicPr>
          <a:picLocks noChangeAspect="1"/>
        </xdr:cNvPicPr>
      </xdr:nvPicPr>
      <xdr:blipFill>
        <a:blip r:embed="rId1"/>
        <a:stretch>
          <a:fillRect/>
        </a:stretch>
      </xdr:blipFill>
      <xdr:spPr>
        <a:xfrm>
          <a:off x="15240" y="1707515"/>
          <a:ext cx="939800" cy="977900"/>
        </a:xfrm>
        <a:prstGeom prst="rect">
          <a:avLst/>
        </a:prstGeom>
      </xdr:spPr>
    </xdr:pic>
    <xdr:clientData/>
  </xdr:twoCellAnchor>
  <xdr:twoCellAnchor editAs="oneCell">
    <xdr:from>
      <xdr:col>0</xdr:col>
      <xdr:colOff>0</xdr:colOff>
      <xdr:row>8</xdr:row>
      <xdr:rowOff>92256</xdr:rowOff>
    </xdr:from>
    <xdr:to>
      <xdr:col>0</xdr:col>
      <xdr:colOff>944880</xdr:colOff>
      <xdr:row>10</xdr:row>
      <xdr:rowOff>294186</xdr:rowOff>
    </xdr:to>
    <xdr:pic>
      <xdr:nvPicPr>
        <xdr:cNvPr id="3" name="图片 2"/>
        <xdr:cNvPicPr>
          <a:picLocks noChangeAspect="1"/>
        </xdr:cNvPicPr>
      </xdr:nvPicPr>
      <xdr:blipFill>
        <a:blip r:embed="rId2"/>
        <a:stretch>
          <a:fillRect/>
        </a:stretch>
      </xdr:blipFill>
      <xdr:spPr>
        <a:xfrm>
          <a:off x="0" y="3018155"/>
          <a:ext cx="944880" cy="963930"/>
        </a:xfrm>
        <a:prstGeom prst="rect">
          <a:avLst/>
        </a:prstGeom>
        <a:noFill/>
        <a:ln w="9525">
          <a:noFill/>
        </a:ln>
      </xdr:spPr>
    </xdr:pic>
    <xdr:clientData/>
  </xdr:twoCellAnchor>
  <xdr:twoCellAnchor editAs="oneCell">
    <xdr:from>
      <xdr:col>0</xdr:col>
      <xdr:colOff>0</xdr:colOff>
      <xdr:row>11</xdr:row>
      <xdr:rowOff>113943</xdr:rowOff>
    </xdr:from>
    <xdr:to>
      <xdr:col>0</xdr:col>
      <xdr:colOff>951230</xdr:colOff>
      <xdr:row>13</xdr:row>
      <xdr:rowOff>369848</xdr:rowOff>
    </xdr:to>
    <xdr:pic>
      <xdr:nvPicPr>
        <xdr:cNvPr id="4" name="图片 3"/>
        <xdr:cNvPicPr>
          <a:picLocks noChangeAspect="1"/>
        </xdr:cNvPicPr>
      </xdr:nvPicPr>
      <xdr:blipFill>
        <a:blip r:embed="rId3"/>
        <a:stretch>
          <a:fillRect/>
        </a:stretch>
      </xdr:blipFill>
      <xdr:spPr>
        <a:xfrm>
          <a:off x="0" y="4182745"/>
          <a:ext cx="951230" cy="1300480"/>
        </a:xfrm>
        <a:prstGeom prst="rect">
          <a:avLst/>
        </a:prstGeom>
        <a:noFill/>
        <a:ln w="9525">
          <a:noFill/>
        </a:ln>
      </xdr:spPr>
    </xdr:pic>
    <xdr:clientData/>
  </xdr:twoCellAnchor>
  <xdr:twoCellAnchor editAs="oneCell">
    <xdr:from>
      <xdr:col>0</xdr:col>
      <xdr:colOff>126010</xdr:colOff>
      <xdr:row>15</xdr:row>
      <xdr:rowOff>308429</xdr:rowOff>
    </xdr:from>
    <xdr:to>
      <xdr:col>0</xdr:col>
      <xdr:colOff>980085</xdr:colOff>
      <xdr:row>16</xdr:row>
      <xdr:rowOff>503374</xdr:rowOff>
    </xdr:to>
    <xdr:pic>
      <xdr:nvPicPr>
        <xdr:cNvPr id="5" name="图片 4"/>
        <xdr:cNvPicPr>
          <a:picLocks noChangeAspect="1"/>
        </xdr:cNvPicPr>
      </xdr:nvPicPr>
      <xdr:blipFill>
        <a:blip r:embed="rId4"/>
        <a:stretch>
          <a:fillRect/>
        </a:stretch>
      </xdr:blipFill>
      <xdr:spPr>
        <a:xfrm>
          <a:off x="125730" y="6183630"/>
          <a:ext cx="854075" cy="937895"/>
        </a:xfrm>
        <a:prstGeom prst="rect">
          <a:avLst/>
        </a:prstGeom>
        <a:noFill/>
        <a:ln w="9525">
          <a:noFill/>
        </a:ln>
      </xdr:spPr>
    </xdr:pic>
    <xdr:clientData/>
  </xdr:twoCellAnchor>
  <xdr:twoCellAnchor editAs="oneCell">
    <xdr:from>
      <xdr:col>0</xdr:col>
      <xdr:colOff>113725</xdr:colOff>
      <xdr:row>21</xdr:row>
      <xdr:rowOff>136235</xdr:rowOff>
    </xdr:from>
    <xdr:to>
      <xdr:col>0</xdr:col>
      <xdr:colOff>934145</xdr:colOff>
      <xdr:row>24</xdr:row>
      <xdr:rowOff>125440</xdr:rowOff>
    </xdr:to>
    <xdr:pic>
      <xdr:nvPicPr>
        <xdr:cNvPr id="7" name="图片 6"/>
        <xdr:cNvPicPr>
          <a:picLocks noChangeAspect="1"/>
        </xdr:cNvPicPr>
      </xdr:nvPicPr>
      <xdr:blipFill>
        <a:blip r:embed="rId5"/>
        <a:stretch>
          <a:fillRect/>
        </a:stretch>
      </xdr:blipFill>
      <xdr:spPr>
        <a:xfrm>
          <a:off x="113665" y="8849995"/>
          <a:ext cx="820420" cy="1319530"/>
        </a:xfrm>
        <a:prstGeom prst="rect">
          <a:avLst/>
        </a:prstGeom>
        <a:noFill/>
        <a:ln w="9525">
          <a:noFill/>
        </a:ln>
      </xdr:spPr>
    </xdr:pic>
    <xdr:clientData/>
  </xdr:twoCellAnchor>
  <xdr:twoCellAnchor editAs="oneCell">
    <xdr:from>
      <xdr:col>0</xdr:col>
      <xdr:colOff>83127</xdr:colOff>
      <xdr:row>25</xdr:row>
      <xdr:rowOff>270164</xdr:rowOff>
    </xdr:from>
    <xdr:to>
      <xdr:col>0</xdr:col>
      <xdr:colOff>999432</xdr:colOff>
      <xdr:row>28</xdr:row>
      <xdr:rowOff>449869</xdr:rowOff>
    </xdr:to>
    <xdr:pic>
      <xdr:nvPicPr>
        <xdr:cNvPr id="8" name="图片 7"/>
        <xdr:cNvPicPr>
          <a:picLocks noChangeAspect="1"/>
        </xdr:cNvPicPr>
      </xdr:nvPicPr>
      <xdr:blipFill>
        <a:blip r:embed="rId6"/>
        <a:stretch>
          <a:fillRect/>
        </a:stretch>
      </xdr:blipFill>
      <xdr:spPr>
        <a:xfrm>
          <a:off x="82550" y="10695305"/>
          <a:ext cx="916305" cy="1322705"/>
        </a:xfrm>
        <a:prstGeom prst="rect">
          <a:avLst/>
        </a:prstGeom>
        <a:noFill/>
        <a:ln w="9525">
          <a:noFill/>
        </a:ln>
      </xdr:spPr>
    </xdr:pic>
    <xdr:clientData/>
  </xdr:twoCellAnchor>
  <xdr:twoCellAnchor editAs="oneCell">
    <xdr:from>
      <xdr:col>0</xdr:col>
      <xdr:colOff>0</xdr:colOff>
      <xdr:row>30</xdr:row>
      <xdr:rowOff>278906</xdr:rowOff>
    </xdr:from>
    <xdr:to>
      <xdr:col>0</xdr:col>
      <xdr:colOff>977900</xdr:colOff>
      <xdr:row>33</xdr:row>
      <xdr:rowOff>278906</xdr:rowOff>
    </xdr:to>
    <xdr:pic>
      <xdr:nvPicPr>
        <xdr:cNvPr id="9" name="图片 8"/>
        <xdr:cNvPicPr>
          <a:picLocks noChangeAspect="1"/>
        </xdr:cNvPicPr>
      </xdr:nvPicPr>
      <xdr:blipFill>
        <a:blip r:embed="rId7"/>
        <a:stretch>
          <a:fillRect/>
        </a:stretch>
      </xdr:blipFill>
      <xdr:spPr>
        <a:xfrm>
          <a:off x="0" y="12796520"/>
          <a:ext cx="977900" cy="1143000"/>
        </a:xfrm>
        <a:prstGeom prst="rect">
          <a:avLst/>
        </a:prstGeom>
        <a:noFill/>
        <a:ln w="9525">
          <a:noFill/>
        </a:ln>
      </xdr:spPr>
    </xdr:pic>
    <xdr:clientData/>
  </xdr:twoCellAnchor>
  <xdr:twoCellAnchor editAs="oneCell">
    <xdr:from>
      <xdr:col>0</xdr:col>
      <xdr:colOff>0</xdr:colOff>
      <xdr:row>35</xdr:row>
      <xdr:rowOff>92363</xdr:rowOff>
    </xdr:from>
    <xdr:to>
      <xdr:col>0</xdr:col>
      <xdr:colOff>906780</xdr:colOff>
      <xdr:row>38</xdr:row>
      <xdr:rowOff>564803</xdr:rowOff>
    </xdr:to>
    <xdr:pic>
      <xdr:nvPicPr>
        <xdr:cNvPr id="10" name="图片 9"/>
        <xdr:cNvPicPr>
          <a:picLocks noChangeAspect="1"/>
        </xdr:cNvPicPr>
      </xdr:nvPicPr>
      <xdr:blipFill>
        <a:blip r:embed="rId8"/>
        <a:stretch>
          <a:fillRect/>
        </a:stretch>
      </xdr:blipFill>
      <xdr:spPr>
        <a:xfrm>
          <a:off x="0" y="14667230"/>
          <a:ext cx="906780" cy="1615440"/>
        </a:xfrm>
        <a:prstGeom prst="rect">
          <a:avLst/>
        </a:prstGeom>
        <a:noFill/>
        <a:ln w="9525">
          <a:noFill/>
        </a:ln>
      </xdr:spPr>
    </xdr:pic>
    <xdr:clientData/>
  </xdr:twoCellAnchor>
  <xdr:twoCellAnchor editAs="oneCell">
    <xdr:from>
      <xdr:col>0</xdr:col>
      <xdr:colOff>0</xdr:colOff>
      <xdr:row>40</xdr:row>
      <xdr:rowOff>218594</xdr:rowOff>
    </xdr:from>
    <xdr:to>
      <xdr:col>0</xdr:col>
      <xdr:colOff>979805</xdr:colOff>
      <xdr:row>42</xdr:row>
      <xdr:rowOff>465609</xdr:rowOff>
    </xdr:to>
    <xdr:pic>
      <xdr:nvPicPr>
        <xdr:cNvPr id="11" name="图片 10"/>
        <xdr:cNvPicPr>
          <a:picLocks noChangeAspect="1"/>
        </xdr:cNvPicPr>
      </xdr:nvPicPr>
      <xdr:blipFill>
        <a:blip r:embed="rId9"/>
        <a:stretch>
          <a:fillRect/>
        </a:stretch>
      </xdr:blipFill>
      <xdr:spPr>
        <a:xfrm>
          <a:off x="0" y="16946245"/>
          <a:ext cx="979805" cy="1009015"/>
        </a:xfrm>
        <a:prstGeom prst="rect">
          <a:avLst/>
        </a:prstGeom>
        <a:noFill/>
        <a:ln w="9525">
          <a:noFill/>
        </a:ln>
      </xdr:spPr>
    </xdr:pic>
    <xdr:clientData/>
  </xdr:twoCellAnchor>
  <xdr:twoCellAnchor editAs="oneCell">
    <xdr:from>
      <xdr:col>0</xdr:col>
      <xdr:colOff>0</xdr:colOff>
      <xdr:row>44</xdr:row>
      <xdr:rowOff>295756</xdr:rowOff>
    </xdr:from>
    <xdr:to>
      <xdr:col>0</xdr:col>
      <xdr:colOff>925195</xdr:colOff>
      <xdr:row>46</xdr:row>
      <xdr:rowOff>331951</xdr:rowOff>
    </xdr:to>
    <xdr:pic>
      <xdr:nvPicPr>
        <xdr:cNvPr id="12" name="图片 11"/>
        <xdr:cNvPicPr>
          <a:picLocks noChangeAspect="1"/>
        </xdr:cNvPicPr>
      </xdr:nvPicPr>
      <xdr:blipFill>
        <a:blip r:embed="rId10"/>
        <a:stretch>
          <a:fillRect/>
        </a:stretch>
      </xdr:blipFill>
      <xdr:spPr>
        <a:xfrm>
          <a:off x="0" y="18756630"/>
          <a:ext cx="925195" cy="988695"/>
        </a:xfrm>
        <a:prstGeom prst="rect">
          <a:avLst/>
        </a:prstGeom>
      </xdr:spPr>
    </xdr:pic>
    <xdr:clientData/>
  </xdr:twoCellAnchor>
  <xdr:twoCellAnchor editAs="oneCell">
    <xdr:from>
      <xdr:col>0</xdr:col>
      <xdr:colOff>114491</xdr:colOff>
      <xdr:row>48</xdr:row>
      <xdr:rowOff>200506</xdr:rowOff>
    </xdr:from>
    <xdr:to>
      <xdr:col>0</xdr:col>
      <xdr:colOff>963486</xdr:colOff>
      <xdr:row>51</xdr:row>
      <xdr:rowOff>28421</xdr:rowOff>
    </xdr:to>
    <xdr:pic>
      <xdr:nvPicPr>
        <xdr:cNvPr id="13" name="图片 12"/>
        <xdr:cNvPicPr>
          <a:picLocks noChangeAspect="1"/>
        </xdr:cNvPicPr>
      </xdr:nvPicPr>
      <xdr:blipFill>
        <a:blip r:embed="rId11"/>
        <a:stretch>
          <a:fillRect/>
        </a:stretch>
      </xdr:blipFill>
      <xdr:spPr>
        <a:xfrm>
          <a:off x="114300" y="20794980"/>
          <a:ext cx="848995" cy="1272540"/>
        </a:xfrm>
        <a:prstGeom prst="rect">
          <a:avLst/>
        </a:prstGeom>
      </xdr:spPr>
    </xdr:pic>
    <xdr:clientData/>
  </xdr:twoCellAnchor>
  <xdr:twoCellAnchor editAs="oneCell">
    <xdr:from>
      <xdr:col>0</xdr:col>
      <xdr:colOff>0</xdr:colOff>
      <xdr:row>52</xdr:row>
      <xdr:rowOff>294216</xdr:rowOff>
    </xdr:from>
    <xdr:to>
      <xdr:col>0</xdr:col>
      <xdr:colOff>974090</xdr:colOff>
      <xdr:row>54</xdr:row>
      <xdr:rowOff>430741</xdr:rowOff>
    </xdr:to>
    <xdr:pic>
      <xdr:nvPicPr>
        <xdr:cNvPr id="14" name="图片 13"/>
        <xdr:cNvPicPr>
          <a:picLocks noChangeAspect="1"/>
        </xdr:cNvPicPr>
      </xdr:nvPicPr>
      <xdr:blipFill>
        <a:blip r:embed="rId12"/>
        <a:stretch>
          <a:fillRect/>
        </a:stretch>
      </xdr:blipFill>
      <xdr:spPr>
        <a:xfrm>
          <a:off x="0" y="22714585"/>
          <a:ext cx="974090" cy="898525"/>
        </a:xfrm>
        <a:prstGeom prst="rect">
          <a:avLst/>
        </a:prstGeom>
      </xdr:spPr>
    </xdr:pic>
    <xdr:clientData/>
  </xdr:twoCellAnchor>
  <xdr:twoCellAnchor editAs="oneCell">
    <xdr:from>
      <xdr:col>0</xdr:col>
      <xdr:colOff>0</xdr:colOff>
      <xdr:row>56</xdr:row>
      <xdr:rowOff>157787</xdr:rowOff>
    </xdr:from>
    <xdr:to>
      <xdr:col>0</xdr:col>
      <xdr:colOff>949325</xdr:colOff>
      <xdr:row>59</xdr:row>
      <xdr:rowOff>307</xdr:rowOff>
    </xdr:to>
    <xdr:pic>
      <xdr:nvPicPr>
        <xdr:cNvPr id="15" name="图片 14"/>
        <xdr:cNvPicPr>
          <a:picLocks noChangeAspect="1"/>
        </xdr:cNvPicPr>
      </xdr:nvPicPr>
      <xdr:blipFill>
        <a:blip r:embed="rId13"/>
        <a:stretch>
          <a:fillRect/>
        </a:stretch>
      </xdr:blipFill>
      <xdr:spPr>
        <a:xfrm>
          <a:off x="0" y="24365585"/>
          <a:ext cx="949325" cy="1260475"/>
        </a:xfrm>
        <a:prstGeom prst="rect">
          <a:avLst/>
        </a:prstGeom>
        <a:noFill/>
        <a:ln w="9525">
          <a:noFill/>
        </a:ln>
      </xdr:spPr>
    </xdr:pic>
    <xdr:clientData/>
  </xdr:twoCellAnchor>
  <xdr:twoCellAnchor editAs="oneCell">
    <xdr:from>
      <xdr:col>0</xdr:col>
      <xdr:colOff>20397</xdr:colOff>
      <xdr:row>60</xdr:row>
      <xdr:rowOff>167795</xdr:rowOff>
    </xdr:from>
    <xdr:to>
      <xdr:col>0</xdr:col>
      <xdr:colOff>969722</xdr:colOff>
      <xdr:row>63</xdr:row>
      <xdr:rowOff>256695</xdr:rowOff>
    </xdr:to>
    <xdr:pic>
      <xdr:nvPicPr>
        <xdr:cNvPr id="16" name="图片 15"/>
        <xdr:cNvPicPr>
          <a:picLocks noChangeAspect="1"/>
        </xdr:cNvPicPr>
      </xdr:nvPicPr>
      <xdr:blipFill>
        <a:blip r:embed="rId14"/>
        <a:stretch>
          <a:fillRect/>
        </a:stretch>
      </xdr:blipFill>
      <xdr:spPr>
        <a:xfrm>
          <a:off x="20320" y="26174700"/>
          <a:ext cx="949325" cy="1231900"/>
        </a:xfrm>
        <a:prstGeom prst="rect">
          <a:avLst/>
        </a:prstGeom>
      </xdr:spPr>
    </xdr:pic>
    <xdr:clientData/>
  </xdr:twoCellAnchor>
  <xdr:twoCellAnchor editAs="oneCell">
    <xdr:from>
      <xdr:col>0</xdr:col>
      <xdr:colOff>146051</xdr:colOff>
      <xdr:row>64</xdr:row>
      <xdr:rowOff>189345</xdr:rowOff>
    </xdr:from>
    <xdr:to>
      <xdr:col>0</xdr:col>
      <xdr:colOff>939801</xdr:colOff>
      <xdr:row>67</xdr:row>
      <xdr:rowOff>69330</xdr:rowOff>
    </xdr:to>
    <xdr:pic>
      <xdr:nvPicPr>
        <xdr:cNvPr id="17" name="图片 16"/>
        <xdr:cNvPicPr>
          <a:picLocks noChangeAspect="1"/>
        </xdr:cNvPicPr>
      </xdr:nvPicPr>
      <xdr:blipFill>
        <a:blip r:embed="rId15"/>
        <a:stretch>
          <a:fillRect/>
        </a:stretch>
      </xdr:blipFill>
      <xdr:spPr>
        <a:xfrm>
          <a:off x="146050" y="27720290"/>
          <a:ext cx="793750" cy="1022985"/>
        </a:xfrm>
        <a:prstGeom prst="rect">
          <a:avLst/>
        </a:prstGeom>
        <a:noFill/>
        <a:ln w="9525">
          <a:noFill/>
        </a:ln>
      </xdr:spPr>
    </xdr:pic>
    <xdr:clientData/>
  </xdr:twoCellAnchor>
  <xdr:twoCellAnchor editAs="oneCell">
    <xdr:from>
      <xdr:col>0</xdr:col>
      <xdr:colOff>63830</xdr:colOff>
      <xdr:row>68</xdr:row>
      <xdr:rowOff>49315</xdr:rowOff>
    </xdr:from>
    <xdr:to>
      <xdr:col>0</xdr:col>
      <xdr:colOff>825830</xdr:colOff>
      <xdr:row>69</xdr:row>
      <xdr:rowOff>317285</xdr:rowOff>
    </xdr:to>
    <xdr:pic>
      <xdr:nvPicPr>
        <xdr:cNvPr id="18" name="图片 17" descr="1681095045929"/>
        <xdr:cNvPicPr>
          <a:picLocks noChangeAspect="1"/>
        </xdr:cNvPicPr>
      </xdr:nvPicPr>
      <xdr:blipFill>
        <a:blip r:embed="rId16"/>
        <a:stretch>
          <a:fillRect/>
        </a:stretch>
      </xdr:blipFill>
      <xdr:spPr>
        <a:xfrm>
          <a:off x="63500" y="29103955"/>
          <a:ext cx="762000" cy="648970"/>
        </a:xfrm>
        <a:prstGeom prst="rect">
          <a:avLst/>
        </a:prstGeom>
      </xdr:spPr>
    </xdr:pic>
    <xdr:clientData/>
  </xdr:twoCellAnchor>
  <xdr:twoCellAnchor editAs="oneCell">
    <xdr:from>
      <xdr:col>0</xdr:col>
      <xdr:colOff>208975</xdr:colOff>
      <xdr:row>70</xdr:row>
      <xdr:rowOff>73120</xdr:rowOff>
    </xdr:from>
    <xdr:to>
      <xdr:col>0</xdr:col>
      <xdr:colOff>1058605</xdr:colOff>
      <xdr:row>71</xdr:row>
      <xdr:rowOff>292195</xdr:rowOff>
    </xdr:to>
    <xdr:pic>
      <xdr:nvPicPr>
        <xdr:cNvPr id="19" name="图片 18"/>
        <xdr:cNvPicPr>
          <a:picLocks noChangeAspect="1"/>
        </xdr:cNvPicPr>
      </xdr:nvPicPr>
      <xdr:blipFill>
        <a:blip r:embed="rId17"/>
        <a:stretch>
          <a:fillRect/>
        </a:stretch>
      </xdr:blipFill>
      <xdr:spPr>
        <a:xfrm>
          <a:off x="208915" y="29890085"/>
          <a:ext cx="849630" cy="600075"/>
        </a:xfrm>
        <a:prstGeom prst="rect">
          <a:avLst/>
        </a:prstGeom>
        <a:noFill/>
        <a:ln w="9525">
          <a:noFill/>
        </a:ln>
      </xdr:spPr>
    </xdr:pic>
    <xdr:clientData/>
  </xdr:twoCellAnchor>
  <xdr:twoCellAnchor editAs="oneCell">
    <xdr:from>
      <xdr:col>0</xdr:col>
      <xdr:colOff>0</xdr:colOff>
      <xdr:row>72</xdr:row>
      <xdr:rowOff>62732</xdr:rowOff>
    </xdr:from>
    <xdr:to>
      <xdr:col>0</xdr:col>
      <xdr:colOff>883285</xdr:colOff>
      <xdr:row>74</xdr:row>
      <xdr:rowOff>275457</xdr:rowOff>
    </xdr:to>
    <xdr:pic>
      <xdr:nvPicPr>
        <xdr:cNvPr id="20" name="图片 19"/>
        <xdr:cNvPicPr>
          <a:picLocks noChangeAspect="1"/>
        </xdr:cNvPicPr>
      </xdr:nvPicPr>
      <xdr:blipFill>
        <a:blip r:embed="rId18"/>
        <a:stretch>
          <a:fillRect/>
        </a:stretch>
      </xdr:blipFill>
      <xdr:spPr>
        <a:xfrm>
          <a:off x="0" y="30641290"/>
          <a:ext cx="883285" cy="974725"/>
        </a:xfrm>
        <a:prstGeom prst="rect">
          <a:avLst/>
        </a:prstGeom>
        <a:noFill/>
        <a:ln w="9525">
          <a:noFill/>
        </a:ln>
      </xdr:spPr>
    </xdr:pic>
    <xdr:clientData/>
  </xdr:twoCellAnchor>
  <xdr:twoCellAnchor editAs="oneCell">
    <xdr:from>
      <xdr:col>0</xdr:col>
      <xdr:colOff>264583</xdr:colOff>
      <xdr:row>75</xdr:row>
      <xdr:rowOff>21169</xdr:rowOff>
    </xdr:from>
    <xdr:to>
      <xdr:col>0</xdr:col>
      <xdr:colOff>850053</xdr:colOff>
      <xdr:row>75</xdr:row>
      <xdr:rowOff>840954</xdr:rowOff>
    </xdr:to>
    <xdr:pic>
      <xdr:nvPicPr>
        <xdr:cNvPr id="21" name="图片 20"/>
        <xdr:cNvPicPr>
          <a:picLocks noChangeAspect="1"/>
        </xdr:cNvPicPr>
      </xdr:nvPicPr>
      <xdr:blipFill>
        <a:blip r:embed="rId19"/>
        <a:stretch>
          <a:fillRect/>
        </a:stretch>
      </xdr:blipFill>
      <xdr:spPr>
        <a:xfrm>
          <a:off x="264160" y="31743015"/>
          <a:ext cx="585470" cy="819785"/>
        </a:xfrm>
        <a:prstGeom prst="rect">
          <a:avLst/>
        </a:prstGeom>
      </xdr:spPr>
    </xdr:pic>
    <xdr:clientData/>
  </xdr:twoCellAnchor>
  <xdr:twoCellAnchor editAs="oneCell">
    <xdr:from>
      <xdr:col>0</xdr:col>
      <xdr:colOff>370418</xdr:colOff>
      <xdr:row>76</xdr:row>
      <xdr:rowOff>21167</xdr:rowOff>
    </xdr:from>
    <xdr:to>
      <xdr:col>0</xdr:col>
      <xdr:colOff>659343</xdr:colOff>
      <xdr:row>76</xdr:row>
      <xdr:rowOff>868892</xdr:rowOff>
    </xdr:to>
    <xdr:pic>
      <xdr:nvPicPr>
        <xdr:cNvPr id="22" name="图片 21"/>
        <xdr:cNvPicPr>
          <a:picLocks noChangeAspect="1"/>
        </xdr:cNvPicPr>
      </xdr:nvPicPr>
      <xdr:blipFill>
        <a:blip r:embed="rId20"/>
        <a:stretch>
          <a:fillRect/>
        </a:stretch>
      </xdr:blipFill>
      <xdr:spPr>
        <a:xfrm>
          <a:off x="370205" y="32635190"/>
          <a:ext cx="288925" cy="847725"/>
        </a:xfrm>
        <a:prstGeom prst="rect">
          <a:avLst/>
        </a:prstGeom>
      </xdr:spPr>
    </xdr:pic>
    <xdr:clientData/>
  </xdr:twoCellAnchor>
  <xdr:twoCellAnchor editAs="oneCell">
    <xdr:from>
      <xdr:col>0</xdr:col>
      <xdr:colOff>370420</xdr:colOff>
      <xdr:row>77</xdr:row>
      <xdr:rowOff>52918</xdr:rowOff>
    </xdr:from>
    <xdr:to>
      <xdr:col>0</xdr:col>
      <xdr:colOff>602195</xdr:colOff>
      <xdr:row>77</xdr:row>
      <xdr:rowOff>789518</xdr:rowOff>
    </xdr:to>
    <xdr:pic>
      <xdr:nvPicPr>
        <xdr:cNvPr id="23" name="图片 22"/>
        <xdr:cNvPicPr>
          <a:picLocks noChangeAspect="1"/>
        </xdr:cNvPicPr>
      </xdr:nvPicPr>
      <xdr:blipFill>
        <a:blip r:embed="rId21"/>
        <a:stretch>
          <a:fillRect/>
        </a:stretch>
      </xdr:blipFill>
      <xdr:spPr>
        <a:xfrm>
          <a:off x="370205" y="33559115"/>
          <a:ext cx="231775" cy="736600"/>
        </a:xfrm>
        <a:prstGeom prst="rect">
          <a:avLst/>
        </a:prstGeom>
      </xdr:spPr>
    </xdr:pic>
    <xdr:clientData/>
  </xdr:twoCellAnchor>
  <xdr:twoCellAnchor editAs="oneCell">
    <xdr:from>
      <xdr:col>0</xdr:col>
      <xdr:colOff>306917</xdr:colOff>
      <xdr:row>78</xdr:row>
      <xdr:rowOff>20562</xdr:rowOff>
    </xdr:from>
    <xdr:to>
      <xdr:col>0</xdr:col>
      <xdr:colOff>564092</xdr:colOff>
      <xdr:row>78</xdr:row>
      <xdr:rowOff>741922</xdr:rowOff>
    </xdr:to>
    <xdr:pic>
      <xdr:nvPicPr>
        <xdr:cNvPr id="24" name="图片 23"/>
        <xdr:cNvPicPr>
          <a:picLocks noChangeAspect="1"/>
        </xdr:cNvPicPr>
      </xdr:nvPicPr>
      <xdr:blipFill>
        <a:blip r:embed="rId22"/>
        <a:stretch>
          <a:fillRect/>
        </a:stretch>
      </xdr:blipFill>
      <xdr:spPr>
        <a:xfrm>
          <a:off x="306705" y="34449385"/>
          <a:ext cx="257175" cy="721360"/>
        </a:xfrm>
        <a:prstGeom prst="rect">
          <a:avLst/>
        </a:prstGeom>
      </xdr:spPr>
    </xdr:pic>
    <xdr:clientData/>
  </xdr:twoCellAnchor>
  <xdr:twoCellAnchor editAs="oneCell">
    <xdr:from>
      <xdr:col>0</xdr:col>
      <xdr:colOff>0</xdr:colOff>
      <xdr:row>79</xdr:row>
      <xdr:rowOff>117929</xdr:rowOff>
    </xdr:from>
    <xdr:to>
      <xdr:col>0</xdr:col>
      <xdr:colOff>1006475</xdr:colOff>
      <xdr:row>80</xdr:row>
      <xdr:rowOff>220799</xdr:rowOff>
    </xdr:to>
    <xdr:pic>
      <xdr:nvPicPr>
        <xdr:cNvPr id="25" name="图片 24"/>
        <xdr:cNvPicPr>
          <a:picLocks noChangeAspect="1"/>
        </xdr:cNvPicPr>
      </xdr:nvPicPr>
      <xdr:blipFill>
        <a:blip r:embed="rId23"/>
        <a:stretch>
          <a:fillRect/>
        </a:stretch>
      </xdr:blipFill>
      <xdr:spPr>
        <a:xfrm>
          <a:off x="0" y="35308540"/>
          <a:ext cx="1006475" cy="483870"/>
        </a:xfrm>
        <a:prstGeom prst="rect">
          <a:avLst/>
        </a:prstGeom>
        <a:noFill/>
        <a:ln w="9525">
          <a:noFill/>
        </a:ln>
      </xdr:spPr>
    </xdr:pic>
    <xdr:clientData/>
  </xdr:twoCellAnchor>
  <xdr:twoCellAnchor editAs="oneCell">
    <xdr:from>
      <xdr:col>0</xdr:col>
      <xdr:colOff>0</xdr:colOff>
      <xdr:row>81</xdr:row>
      <xdr:rowOff>117928</xdr:rowOff>
    </xdr:from>
    <xdr:to>
      <xdr:col>0</xdr:col>
      <xdr:colOff>958850</xdr:colOff>
      <xdr:row>83</xdr:row>
      <xdr:rowOff>124278</xdr:rowOff>
    </xdr:to>
    <xdr:pic>
      <xdr:nvPicPr>
        <xdr:cNvPr id="26" name="图片 25"/>
        <xdr:cNvPicPr>
          <a:picLocks noChangeAspect="1"/>
        </xdr:cNvPicPr>
      </xdr:nvPicPr>
      <xdr:blipFill>
        <a:blip r:embed="rId24"/>
        <a:stretch>
          <a:fillRect/>
        </a:stretch>
      </xdr:blipFill>
      <xdr:spPr>
        <a:xfrm>
          <a:off x="0" y="36070540"/>
          <a:ext cx="958850" cy="768350"/>
        </a:xfrm>
        <a:prstGeom prst="rect">
          <a:avLst/>
        </a:prstGeom>
      </xdr:spPr>
    </xdr:pic>
    <xdr:clientData/>
  </xdr:twoCellAnchor>
  <xdr:twoCellAnchor editAs="oneCell">
    <xdr:from>
      <xdr:col>0</xdr:col>
      <xdr:colOff>27214</xdr:colOff>
      <xdr:row>84</xdr:row>
      <xdr:rowOff>72571</xdr:rowOff>
    </xdr:from>
    <xdr:to>
      <xdr:col>0</xdr:col>
      <xdr:colOff>1069884</xdr:colOff>
      <xdr:row>85</xdr:row>
      <xdr:rowOff>292281</xdr:rowOff>
    </xdr:to>
    <xdr:pic>
      <xdr:nvPicPr>
        <xdr:cNvPr id="27" name="图片 26"/>
        <xdr:cNvPicPr>
          <a:picLocks noChangeAspect="1"/>
        </xdr:cNvPicPr>
      </xdr:nvPicPr>
      <xdr:blipFill>
        <a:blip r:embed="rId25"/>
        <a:stretch>
          <a:fillRect/>
        </a:stretch>
      </xdr:blipFill>
      <xdr:spPr>
        <a:xfrm>
          <a:off x="26670" y="37168455"/>
          <a:ext cx="1042670" cy="600710"/>
        </a:xfrm>
        <a:prstGeom prst="rect">
          <a:avLst/>
        </a:prstGeom>
      </xdr:spPr>
    </xdr:pic>
    <xdr:clientData/>
  </xdr:twoCellAnchor>
  <xdr:twoCellAnchor editAs="oneCell">
    <xdr:from>
      <xdr:col>0</xdr:col>
      <xdr:colOff>72572</xdr:colOff>
      <xdr:row>86</xdr:row>
      <xdr:rowOff>72572</xdr:rowOff>
    </xdr:from>
    <xdr:to>
      <xdr:col>0</xdr:col>
      <xdr:colOff>959667</xdr:colOff>
      <xdr:row>87</xdr:row>
      <xdr:rowOff>237037</xdr:rowOff>
    </xdr:to>
    <xdr:pic>
      <xdr:nvPicPr>
        <xdr:cNvPr id="28" name="图片 27"/>
        <xdr:cNvPicPr>
          <a:picLocks noChangeAspect="1"/>
        </xdr:cNvPicPr>
      </xdr:nvPicPr>
      <xdr:blipFill>
        <a:blip r:embed="rId26"/>
        <a:stretch>
          <a:fillRect/>
        </a:stretch>
      </xdr:blipFill>
      <xdr:spPr>
        <a:xfrm>
          <a:off x="72390" y="37930455"/>
          <a:ext cx="887095" cy="545465"/>
        </a:xfrm>
        <a:prstGeom prst="rect">
          <a:avLst/>
        </a:prstGeom>
      </xdr:spPr>
    </xdr:pic>
    <xdr:clientData/>
  </xdr:twoCellAnchor>
  <xdr:twoCellAnchor editAs="oneCell">
    <xdr:from>
      <xdr:col>0</xdr:col>
      <xdr:colOff>9072</xdr:colOff>
      <xdr:row>88</xdr:row>
      <xdr:rowOff>81642</xdr:rowOff>
    </xdr:from>
    <xdr:to>
      <xdr:col>0</xdr:col>
      <xdr:colOff>999672</xdr:colOff>
      <xdr:row>89</xdr:row>
      <xdr:rowOff>221977</xdr:rowOff>
    </xdr:to>
    <xdr:pic>
      <xdr:nvPicPr>
        <xdr:cNvPr id="29" name="图片 28"/>
        <xdr:cNvPicPr>
          <a:picLocks noChangeAspect="1"/>
        </xdr:cNvPicPr>
      </xdr:nvPicPr>
      <xdr:blipFill>
        <a:blip r:embed="rId27"/>
        <a:stretch>
          <a:fillRect/>
        </a:stretch>
      </xdr:blipFill>
      <xdr:spPr>
        <a:xfrm>
          <a:off x="8890" y="38701345"/>
          <a:ext cx="990600" cy="521335"/>
        </a:xfrm>
        <a:prstGeom prst="rect">
          <a:avLst/>
        </a:prstGeom>
      </xdr:spPr>
    </xdr:pic>
    <xdr:clientData/>
  </xdr:twoCellAnchor>
  <xdr:twoCellAnchor editAs="oneCell">
    <xdr:from>
      <xdr:col>0</xdr:col>
      <xdr:colOff>108857</xdr:colOff>
      <xdr:row>90</xdr:row>
      <xdr:rowOff>90714</xdr:rowOff>
    </xdr:from>
    <xdr:to>
      <xdr:col>0</xdr:col>
      <xdr:colOff>849267</xdr:colOff>
      <xdr:row>90</xdr:row>
      <xdr:rowOff>849539</xdr:rowOff>
    </xdr:to>
    <xdr:pic>
      <xdr:nvPicPr>
        <xdr:cNvPr id="30" name="图片 29"/>
        <xdr:cNvPicPr>
          <a:picLocks noChangeAspect="1"/>
        </xdr:cNvPicPr>
      </xdr:nvPicPr>
      <xdr:blipFill>
        <a:blip r:embed="rId28"/>
        <a:stretch>
          <a:fillRect/>
        </a:stretch>
      </xdr:blipFill>
      <xdr:spPr>
        <a:xfrm>
          <a:off x="108585" y="39472235"/>
          <a:ext cx="740410" cy="758825"/>
        </a:xfrm>
        <a:prstGeom prst="rect">
          <a:avLst/>
        </a:prstGeom>
      </xdr:spPr>
    </xdr:pic>
    <xdr:clientData/>
  </xdr:twoCellAnchor>
  <xdr:twoCellAnchor editAs="oneCell">
    <xdr:from>
      <xdr:col>0</xdr:col>
      <xdr:colOff>136071</xdr:colOff>
      <xdr:row>91</xdr:row>
      <xdr:rowOff>145143</xdr:rowOff>
    </xdr:from>
    <xdr:to>
      <xdr:col>0</xdr:col>
      <xdr:colOff>1016816</xdr:colOff>
      <xdr:row>93</xdr:row>
      <xdr:rowOff>258173</xdr:rowOff>
    </xdr:to>
    <xdr:pic>
      <xdr:nvPicPr>
        <xdr:cNvPr id="31" name="图片 30"/>
        <xdr:cNvPicPr>
          <a:picLocks noChangeAspect="1"/>
        </xdr:cNvPicPr>
      </xdr:nvPicPr>
      <xdr:blipFill>
        <a:blip r:embed="rId29"/>
        <a:stretch>
          <a:fillRect/>
        </a:stretch>
      </xdr:blipFill>
      <xdr:spPr>
        <a:xfrm>
          <a:off x="135890" y="40449500"/>
          <a:ext cx="880745" cy="875030"/>
        </a:xfrm>
        <a:prstGeom prst="rect">
          <a:avLst/>
        </a:prstGeom>
      </xdr:spPr>
    </xdr:pic>
    <xdr:clientData/>
  </xdr:twoCellAnchor>
  <xdr:twoCellAnchor editAs="oneCell">
    <xdr:from>
      <xdr:col>0</xdr:col>
      <xdr:colOff>0</xdr:colOff>
      <xdr:row>94</xdr:row>
      <xdr:rowOff>63500</xdr:rowOff>
    </xdr:from>
    <xdr:to>
      <xdr:col>0</xdr:col>
      <xdr:colOff>977900</xdr:colOff>
      <xdr:row>95</xdr:row>
      <xdr:rowOff>313055</xdr:rowOff>
    </xdr:to>
    <xdr:pic>
      <xdr:nvPicPr>
        <xdr:cNvPr id="32" name="图片 31"/>
        <xdr:cNvPicPr>
          <a:picLocks noChangeAspect="1"/>
        </xdr:cNvPicPr>
      </xdr:nvPicPr>
      <xdr:blipFill>
        <a:blip r:embed="rId30"/>
        <a:stretch>
          <a:fillRect/>
        </a:stretch>
      </xdr:blipFill>
      <xdr:spPr>
        <a:xfrm>
          <a:off x="0" y="41511220"/>
          <a:ext cx="977900" cy="630555"/>
        </a:xfrm>
        <a:prstGeom prst="rect">
          <a:avLst/>
        </a:prstGeom>
      </xdr:spPr>
    </xdr:pic>
    <xdr:clientData/>
  </xdr:twoCellAnchor>
  <xdr:twoCellAnchor editAs="oneCell">
    <xdr:from>
      <xdr:col>0</xdr:col>
      <xdr:colOff>90714</xdr:colOff>
      <xdr:row>96</xdr:row>
      <xdr:rowOff>99786</xdr:rowOff>
    </xdr:from>
    <xdr:to>
      <xdr:col>0</xdr:col>
      <xdr:colOff>950504</xdr:colOff>
      <xdr:row>97</xdr:row>
      <xdr:rowOff>316321</xdr:rowOff>
    </xdr:to>
    <xdr:pic>
      <xdr:nvPicPr>
        <xdr:cNvPr id="33" name="图片 32"/>
        <xdr:cNvPicPr>
          <a:picLocks noChangeAspect="1"/>
        </xdr:cNvPicPr>
      </xdr:nvPicPr>
      <xdr:blipFill>
        <a:blip r:embed="rId31"/>
        <a:stretch>
          <a:fillRect/>
        </a:stretch>
      </xdr:blipFill>
      <xdr:spPr>
        <a:xfrm>
          <a:off x="90170" y="42309415"/>
          <a:ext cx="859790" cy="597535"/>
        </a:xfrm>
        <a:prstGeom prst="rect">
          <a:avLst/>
        </a:prstGeom>
      </xdr:spPr>
    </xdr:pic>
    <xdr:clientData/>
  </xdr:twoCellAnchor>
  <xdr:twoCellAnchor editAs="oneCell">
    <xdr:from>
      <xdr:col>0</xdr:col>
      <xdr:colOff>0</xdr:colOff>
      <xdr:row>98</xdr:row>
      <xdr:rowOff>127000</xdr:rowOff>
    </xdr:from>
    <xdr:to>
      <xdr:col>0</xdr:col>
      <xdr:colOff>969010</xdr:colOff>
      <xdr:row>99</xdr:row>
      <xdr:rowOff>312420</xdr:rowOff>
    </xdr:to>
    <xdr:pic>
      <xdr:nvPicPr>
        <xdr:cNvPr id="34" name="图片 33"/>
        <xdr:cNvPicPr>
          <a:picLocks noChangeAspect="1"/>
        </xdr:cNvPicPr>
      </xdr:nvPicPr>
      <xdr:blipFill>
        <a:blip r:embed="rId32"/>
        <a:stretch>
          <a:fillRect/>
        </a:stretch>
      </xdr:blipFill>
      <xdr:spPr>
        <a:xfrm>
          <a:off x="0" y="43098720"/>
          <a:ext cx="969010" cy="566420"/>
        </a:xfrm>
        <a:prstGeom prst="rect">
          <a:avLst/>
        </a:prstGeom>
      </xdr:spPr>
    </xdr:pic>
    <xdr:clientData/>
  </xdr:twoCellAnchor>
  <xdr:twoCellAnchor editAs="oneCell">
    <xdr:from>
      <xdr:col>0</xdr:col>
      <xdr:colOff>0</xdr:colOff>
      <xdr:row>100</xdr:row>
      <xdr:rowOff>0</xdr:rowOff>
    </xdr:from>
    <xdr:to>
      <xdr:col>0</xdr:col>
      <xdr:colOff>848995</xdr:colOff>
      <xdr:row>101</xdr:row>
      <xdr:rowOff>351155</xdr:rowOff>
    </xdr:to>
    <xdr:pic>
      <xdr:nvPicPr>
        <xdr:cNvPr id="35" name="图片 34"/>
        <xdr:cNvPicPr>
          <a:picLocks noChangeAspect="1"/>
        </xdr:cNvPicPr>
      </xdr:nvPicPr>
      <xdr:blipFill>
        <a:blip r:embed="rId33"/>
        <a:stretch>
          <a:fillRect/>
        </a:stretch>
      </xdr:blipFill>
      <xdr:spPr>
        <a:xfrm>
          <a:off x="0" y="43733720"/>
          <a:ext cx="848995" cy="732155"/>
        </a:xfrm>
        <a:prstGeom prst="rect">
          <a:avLst/>
        </a:prstGeom>
      </xdr:spPr>
    </xdr:pic>
    <xdr:clientData/>
  </xdr:twoCellAnchor>
  <xdr:twoCellAnchor editAs="oneCell">
    <xdr:from>
      <xdr:col>0</xdr:col>
      <xdr:colOff>0</xdr:colOff>
      <xdr:row>102</xdr:row>
      <xdr:rowOff>90714</xdr:rowOff>
    </xdr:from>
    <xdr:to>
      <xdr:col>0</xdr:col>
      <xdr:colOff>1011555</xdr:colOff>
      <xdr:row>103</xdr:row>
      <xdr:rowOff>274229</xdr:rowOff>
    </xdr:to>
    <xdr:pic>
      <xdr:nvPicPr>
        <xdr:cNvPr id="36" name="图片 35"/>
        <xdr:cNvPicPr>
          <a:picLocks noChangeAspect="1"/>
        </xdr:cNvPicPr>
      </xdr:nvPicPr>
      <xdr:blipFill>
        <a:blip r:embed="rId34"/>
        <a:stretch>
          <a:fillRect/>
        </a:stretch>
      </xdr:blipFill>
      <xdr:spPr>
        <a:xfrm>
          <a:off x="0" y="44585890"/>
          <a:ext cx="1011555" cy="56451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716280</xdr:colOff>
      <xdr:row>44</xdr:row>
      <xdr:rowOff>6350</xdr:rowOff>
    </xdr:from>
    <xdr:to>
      <xdr:col>6</xdr:col>
      <xdr:colOff>716280</xdr:colOff>
      <xdr:row>45</xdr:row>
      <xdr:rowOff>139700</xdr:rowOff>
    </xdr:to>
    <xdr:pic>
      <xdr:nvPicPr>
        <xdr:cNvPr id="20" name="Picture 527" descr="PETsymbol"/>
        <xdr:cNvPicPr>
          <a:picLocks noChangeAspect="1"/>
        </xdr:cNvPicPr>
      </xdr:nvPicPr>
      <xdr:blipFill>
        <a:blip r:embed="rId1"/>
        <a:stretch>
          <a:fillRect/>
        </a:stretch>
      </xdr:blipFill>
      <xdr:spPr>
        <a:xfrm>
          <a:off x="9400540" y="9169400"/>
          <a:ext cx="0" cy="361950"/>
        </a:xfrm>
        <a:prstGeom prst="rect">
          <a:avLst/>
        </a:prstGeom>
        <a:noFill/>
        <a:ln w="9525">
          <a:noFill/>
        </a:ln>
      </xdr:spPr>
    </xdr:pic>
    <xdr:clientData/>
  </xdr:twoCellAnchor>
  <xdr:twoCellAnchor>
    <xdr:from>
      <xdr:col>6</xdr:col>
      <xdr:colOff>716280</xdr:colOff>
      <xdr:row>43</xdr:row>
      <xdr:rowOff>6350</xdr:rowOff>
    </xdr:from>
    <xdr:to>
      <xdr:col>6</xdr:col>
      <xdr:colOff>716280</xdr:colOff>
      <xdr:row>44</xdr:row>
      <xdr:rowOff>139700</xdr:rowOff>
    </xdr:to>
    <xdr:pic>
      <xdr:nvPicPr>
        <xdr:cNvPr id="18" name="Picture 527" descr="PETsymbol"/>
        <xdr:cNvPicPr>
          <a:picLocks noChangeAspect="1"/>
        </xdr:cNvPicPr>
      </xdr:nvPicPr>
      <xdr:blipFill>
        <a:blip r:embed="rId1"/>
        <a:stretch>
          <a:fillRect/>
        </a:stretch>
      </xdr:blipFill>
      <xdr:spPr>
        <a:xfrm>
          <a:off x="9400540" y="8988425"/>
          <a:ext cx="0" cy="3143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155222</xdr:colOff>
      <xdr:row>5</xdr:row>
      <xdr:rowOff>204612</xdr:rowOff>
    </xdr:from>
    <xdr:to>
      <xdr:col>0</xdr:col>
      <xdr:colOff>1199445</xdr:colOff>
      <xdr:row>8</xdr:row>
      <xdr:rowOff>93550</xdr:rowOff>
    </xdr:to>
    <xdr:pic>
      <xdr:nvPicPr>
        <xdr:cNvPr id="2" name="图片 1"/>
        <xdr:cNvPicPr>
          <a:picLocks noChangeAspect="1"/>
        </xdr:cNvPicPr>
      </xdr:nvPicPr>
      <xdr:blipFill>
        <a:blip r:embed="rId1"/>
        <a:stretch>
          <a:fillRect/>
        </a:stretch>
      </xdr:blipFill>
      <xdr:spPr>
        <a:xfrm>
          <a:off x="154940" y="1987550"/>
          <a:ext cx="1043940" cy="1031875"/>
        </a:xfrm>
        <a:prstGeom prst="rect">
          <a:avLst/>
        </a:prstGeom>
      </xdr:spPr>
    </xdr:pic>
    <xdr:clientData/>
  </xdr:twoCellAnchor>
  <xdr:twoCellAnchor editAs="oneCell">
    <xdr:from>
      <xdr:col>0</xdr:col>
      <xdr:colOff>201085</xdr:colOff>
      <xdr:row>11</xdr:row>
      <xdr:rowOff>21167</xdr:rowOff>
    </xdr:from>
    <xdr:to>
      <xdr:col>0</xdr:col>
      <xdr:colOff>1054525</xdr:colOff>
      <xdr:row>13</xdr:row>
      <xdr:rowOff>372957</xdr:rowOff>
    </xdr:to>
    <xdr:pic>
      <xdr:nvPicPr>
        <xdr:cNvPr id="3" name="图片 2"/>
        <xdr:cNvPicPr>
          <a:picLocks noChangeAspect="1"/>
        </xdr:cNvPicPr>
      </xdr:nvPicPr>
      <xdr:blipFill>
        <a:blip r:embed="rId2"/>
        <a:stretch>
          <a:fillRect/>
        </a:stretch>
      </xdr:blipFill>
      <xdr:spPr>
        <a:xfrm>
          <a:off x="200660" y="4090035"/>
          <a:ext cx="853440" cy="1113790"/>
        </a:xfrm>
        <a:prstGeom prst="rect">
          <a:avLst/>
        </a:prstGeom>
      </xdr:spPr>
    </xdr:pic>
    <xdr:clientData/>
  </xdr:twoCellAnchor>
  <xdr:twoCellAnchor editAs="oneCell">
    <xdr:from>
      <xdr:col>0</xdr:col>
      <xdr:colOff>84669</xdr:colOff>
      <xdr:row>15</xdr:row>
      <xdr:rowOff>317500</xdr:rowOff>
    </xdr:from>
    <xdr:to>
      <xdr:col>0</xdr:col>
      <xdr:colOff>1026374</xdr:colOff>
      <xdr:row>18</xdr:row>
      <xdr:rowOff>207010</xdr:rowOff>
    </xdr:to>
    <xdr:pic>
      <xdr:nvPicPr>
        <xdr:cNvPr id="4" name="图片 3"/>
        <xdr:cNvPicPr>
          <a:picLocks noChangeAspect="1"/>
        </xdr:cNvPicPr>
      </xdr:nvPicPr>
      <xdr:blipFill>
        <a:blip r:embed="rId3"/>
        <a:stretch>
          <a:fillRect/>
        </a:stretch>
      </xdr:blipFill>
      <xdr:spPr>
        <a:xfrm>
          <a:off x="84455" y="5910580"/>
          <a:ext cx="941705" cy="1032510"/>
        </a:xfrm>
        <a:prstGeom prst="rect">
          <a:avLst/>
        </a:prstGeom>
      </xdr:spPr>
    </xdr:pic>
    <xdr:clientData/>
  </xdr:twoCellAnchor>
  <xdr:twoCellAnchor editAs="oneCell">
    <xdr:from>
      <xdr:col>0</xdr:col>
      <xdr:colOff>158751</xdr:colOff>
      <xdr:row>19</xdr:row>
      <xdr:rowOff>264584</xdr:rowOff>
    </xdr:from>
    <xdr:to>
      <xdr:col>0</xdr:col>
      <xdr:colOff>1054736</xdr:colOff>
      <xdr:row>22</xdr:row>
      <xdr:rowOff>295699</xdr:rowOff>
    </xdr:to>
    <xdr:pic>
      <xdr:nvPicPr>
        <xdr:cNvPr id="5" name="图片 4"/>
        <xdr:cNvPicPr>
          <a:picLocks noChangeAspect="1"/>
        </xdr:cNvPicPr>
      </xdr:nvPicPr>
      <xdr:blipFill>
        <a:blip r:embed="rId4"/>
        <a:stretch>
          <a:fillRect/>
        </a:stretch>
      </xdr:blipFill>
      <xdr:spPr>
        <a:xfrm>
          <a:off x="158750" y="7381240"/>
          <a:ext cx="895985" cy="1174115"/>
        </a:xfrm>
        <a:prstGeom prst="rect">
          <a:avLst/>
        </a:prstGeom>
      </xdr:spPr>
    </xdr:pic>
    <xdr:clientData/>
  </xdr:twoCellAnchor>
  <xdr:twoCellAnchor editAs="oneCell">
    <xdr:from>
      <xdr:col>0</xdr:col>
      <xdr:colOff>158751</xdr:colOff>
      <xdr:row>24</xdr:row>
      <xdr:rowOff>261409</xdr:rowOff>
    </xdr:from>
    <xdr:to>
      <xdr:col>0</xdr:col>
      <xdr:colOff>1044576</xdr:colOff>
      <xdr:row>26</xdr:row>
      <xdr:rowOff>368724</xdr:rowOff>
    </xdr:to>
    <xdr:pic>
      <xdr:nvPicPr>
        <xdr:cNvPr id="6" name="图片 5"/>
        <xdr:cNvPicPr>
          <a:picLocks noChangeAspect="1"/>
        </xdr:cNvPicPr>
      </xdr:nvPicPr>
      <xdr:blipFill>
        <a:blip r:embed="rId5"/>
        <a:stretch>
          <a:fillRect/>
        </a:stretch>
      </xdr:blipFill>
      <xdr:spPr>
        <a:xfrm>
          <a:off x="158750" y="9283065"/>
          <a:ext cx="885825" cy="869315"/>
        </a:xfrm>
        <a:prstGeom prst="rect">
          <a:avLst/>
        </a:prstGeom>
      </xdr:spPr>
    </xdr:pic>
    <xdr:clientData/>
  </xdr:twoCellAnchor>
  <xdr:twoCellAnchor editAs="oneCell">
    <xdr:from>
      <xdr:col>0</xdr:col>
      <xdr:colOff>201083</xdr:colOff>
      <xdr:row>29</xdr:row>
      <xdr:rowOff>328083</xdr:rowOff>
    </xdr:from>
    <xdr:to>
      <xdr:col>0</xdr:col>
      <xdr:colOff>1105958</xdr:colOff>
      <xdr:row>32</xdr:row>
      <xdr:rowOff>159173</xdr:rowOff>
    </xdr:to>
    <xdr:pic>
      <xdr:nvPicPr>
        <xdr:cNvPr id="7" name="图片 6"/>
        <xdr:cNvPicPr>
          <a:picLocks noChangeAspect="1"/>
        </xdr:cNvPicPr>
      </xdr:nvPicPr>
      <xdr:blipFill>
        <a:blip r:embed="rId6"/>
        <a:stretch>
          <a:fillRect/>
        </a:stretch>
      </xdr:blipFill>
      <xdr:spPr>
        <a:xfrm>
          <a:off x="200660" y="12111990"/>
          <a:ext cx="904875" cy="974090"/>
        </a:xfrm>
        <a:prstGeom prst="rect">
          <a:avLst/>
        </a:prstGeom>
      </xdr:spPr>
    </xdr:pic>
    <xdr:clientData/>
  </xdr:twoCellAnchor>
  <xdr:twoCellAnchor editAs="oneCell">
    <xdr:from>
      <xdr:col>0</xdr:col>
      <xdr:colOff>253999</xdr:colOff>
      <xdr:row>28</xdr:row>
      <xdr:rowOff>137583</xdr:rowOff>
    </xdr:from>
    <xdr:to>
      <xdr:col>0</xdr:col>
      <xdr:colOff>945514</xdr:colOff>
      <xdr:row>28</xdr:row>
      <xdr:rowOff>1097703</xdr:rowOff>
    </xdr:to>
    <xdr:pic>
      <xdr:nvPicPr>
        <xdr:cNvPr id="8" name="图片 7"/>
        <xdr:cNvPicPr>
          <a:picLocks noChangeAspect="1"/>
        </xdr:cNvPicPr>
      </xdr:nvPicPr>
      <xdr:blipFill>
        <a:blip r:embed="rId7"/>
        <a:stretch>
          <a:fillRect/>
        </a:stretch>
      </xdr:blipFill>
      <xdr:spPr>
        <a:xfrm>
          <a:off x="253365" y="10683240"/>
          <a:ext cx="691515" cy="960120"/>
        </a:xfrm>
        <a:prstGeom prst="rect">
          <a:avLst/>
        </a:prstGeom>
      </xdr:spPr>
    </xdr:pic>
    <xdr:clientData/>
  </xdr:twoCellAnchor>
  <xdr:twoCellAnchor editAs="oneCell">
    <xdr:from>
      <xdr:col>0</xdr:col>
      <xdr:colOff>95251</xdr:colOff>
      <xdr:row>33</xdr:row>
      <xdr:rowOff>158750</xdr:rowOff>
    </xdr:from>
    <xdr:to>
      <xdr:col>0</xdr:col>
      <xdr:colOff>1153796</xdr:colOff>
      <xdr:row>36</xdr:row>
      <xdr:rowOff>228600</xdr:rowOff>
    </xdr:to>
    <xdr:pic>
      <xdr:nvPicPr>
        <xdr:cNvPr id="9" name="图片 8"/>
        <xdr:cNvPicPr>
          <a:picLocks noChangeAspect="1"/>
        </xdr:cNvPicPr>
      </xdr:nvPicPr>
      <xdr:blipFill>
        <a:blip r:embed="rId8"/>
        <a:stretch>
          <a:fillRect/>
        </a:stretch>
      </xdr:blipFill>
      <xdr:spPr>
        <a:xfrm>
          <a:off x="95250" y="13467080"/>
          <a:ext cx="1058545" cy="1212850"/>
        </a:xfrm>
        <a:prstGeom prst="rect">
          <a:avLst/>
        </a:prstGeom>
      </xdr:spPr>
    </xdr:pic>
    <xdr:clientData/>
  </xdr:twoCellAnchor>
  <xdr:twoCellAnchor editAs="oneCell">
    <xdr:from>
      <xdr:col>0</xdr:col>
      <xdr:colOff>232834</xdr:colOff>
      <xdr:row>37</xdr:row>
      <xdr:rowOff>162985</xdr:rowOff>
    </xdr:from>
    <xdr:to>
      <xdr:col>0</xdr:col>
      <xdr:colOff>982134</xdr:colOff>
      <xdr:row>37</xdr:row>
      <xdr:rowOff>1123105</xdr:rowOff>
    </xdr:to>
    <xdr:pic>
      <xdr:nvPicPr>
        <xdr:cNvPr id="10" name="图片 9"/>
        <xdr:cNvPicPr>
          <a:picLocks noChangeAspect="1"/>
        </xdr:cNvPicPr>
      </xdr:nvPicPr>
      <xdr:blipFill>
        <a:blip r:embed="rId9"/>
        <a:stretch>
          <a:fillRect/>
        </a:stretch>
      </xdr:blipFill>
      <xdr:spPr>
        <a:xfrm>
          <a:off x="232410" y="14994890"/>
          <a:ext cx="749300" cy="960120"/>
        </a:xfrm>
        <a:prstGeom prst="rect">
          <a:avLst/>
        </a:prstGeom>
      </xdr:spPr>
    </xdr:pic>
    <xdr:clientData/>
  </xdr:twoCellAnchor>
  <xdr:twoCellAnchor editAs="oneCell">
    <xdr:from>
      <xdr:col>0</xdr:col>
      <xdr:colOff>193675</xdr:colOff>
      <xdr:row>38</xdr:row>
      <xdr:rowOff>116416</xdr:rowOff>
    </xdr:from>
    <xdr:to>
      <xdr:col>0</xdr:col>
      <xdr:colOff>1078230</xdr:colOff>
      <xdr:row>38</xdr:row>
      <xdr:rowOff>1152736</xdr:rowOff>
    </xdr:to>
    <xdr:pic>
      <xdr:nvPicPr>
        <xdr:cNvPr id="11" name="图片 10"/>
        <xdr:cNvPicPr>
          <a:picLocks noChangeAspect="1"/>
        </xdr:cNvPicPr>
      </xdr:nvPicPr>
      <xdr:blipFill>
        <a:blip r:embed="rId10"/>
        <a:stretch>
          <a:fillRect/>
        </a:stretch>
      </xdr:blipFill>
      <xdr:spPr>
        <a:xfrm>
          <a:off x="193675" y="16186785"/>
          <a:ext cx="884555" cy="1036320"/>
        </a:xfrm>
        <a:prstGeom prst="rect">
          <a:avLst/>
        </a:prstGeom>
      </xdr:spPr>
    </xdr:pic>
    <xdr:clientData/>
  </xdr:twoCellAnchor>
  <xdr:twoCellAnchor editAs="oneCell">
    <xdr:from>
      <xdr:col>0</xdr:col>
      <xdr:colOff>165098</xdr:colOff>
      <xdr:row>39</xdr:row>
      <xdr:rowOff>130175</xdr:rowOff>
    </xdr:from>
    <xdr:to>
      <xdr:col>0</xdr:col>
      <xdr:colOff>1076323</xdr:colOff>
      <xdr:row>41</xdr:row>
      <xdr:rowOff>257175</xdr:rowOff>
    </xdr:to>
    <xdr:pic>
      <xdr:nvPicPr>
        <xdr:cNvPr id="12" name="图片 11"/>
        <xdr:cNvPicPr>
          <a:picLocks noChangeAspect="1"/>
        </xdr:cNvPicPr>
      </xdr:nvPicPr>
      <xdr:blipFill>
        <a:blip r:embed="rId11"/>
        <a:stretch>
          <a:fillRect/>
        </a:stretch>
      </xdr:blipFill>
      <xdr:spPr>
        <a:xfrm>
          <a:off x="164465" y="17439005"/>
          <a:ext cx="911225" cy="889000"/>
        </a:xfrm>
        <a:prstGeom prst="rect">
          <a:avLst/>
        </a:prstGeom>
      </xdr:spPr>
    </xdr:pic>
    <xdr:clientData/>
  </xdr:twoCellAnchor>
  <xdr:twoCellAnchor editAs="oneCell">
    <xdr:from>
      <xdr:col>0</xdr:col>
      <xdr:colOff>194735</xdr:colOff>
      <xdr:row>42</xdr:row>
      <xdr:rowOff>84667</xdr:rowOff>
    </xdr:from>
    <xdr:to>
      <xdr:col>0</xdr:col>
      <xdr:colOff>1057700</xdr:colOff>
      <xdr:row>43</xdr:row>
      <xdr:rowOff>487892</xdr:rowOff>
    </xdr:to>
    <xdr:pic>
      <xdr:nvPicPr>
        <xdr:cNvPr id="13" name="图片 12"/>
        <xdr:cNvPicPr>
          <a:picLocks noChangeAspect="1"/>
        </xdr:cNvPicPr>
      </xdr:nvPicPr>
      <xdr:blipFill>
        <a:blip r:embed="rId12"/>
        <a:stretch>
          <a:fillRect/>
        </a:stretch>
      </xdr:blipFill>
      <xdr:spPr>
        <a:xfrm>
          <a:off x="194310" y="18536285"/>
          <a:ext cx="862965" cy="911225"/>
        </a:xfrm>
        <a:prstGeom prst="rect">
          <a:avLst/>
        </a:prstGeom>
      </xdr:spPr>
    </xdr:pic>
    <xdr:clientData/>
  </xdr:twoCellAnchor>
  <xdr:twoCellAnchor editAs="oneCell">
    <xdr:from>
      <xdr:col>0</xdr:col>
      <xdr:colOff>172509</xdr:colOff>
      <xdr:row>44</xdr:row>
      <xdr:rowOff>377826</xdr:rowOff>
    </xdr:from>
    <xdr:to>
      <xdr:col>0</xdr:col>
      <xdr:colOff>1165014</xdr:colOff>
      <xdr:row>48</xdr:row>
      <xdr:rowOff>30481</xdr:rowOff>
    </xdr:to>
    <xdr:pic>
      <xdr:nvPicPr>
        <xdr:cNvPr id="14" name="图片 13"/>
        <xdr:cNvPicPr>
          <a:picLocks noChangeAspect="1"/>
        </xdr:cNvPicPr>
      </xdr:nvPicPr>
      <xdr:blipFill>
        <a:blip r:embed="rId13"/>
        <a:stretch>
          <a:fillRect/>
        </a:stretch>
      </xdr:blipFill>
      <xdr:spPr>
        <a:xfrm>
          <a:off x="172085" y="19845655"/>
          <a:ext cx="992505" cy="1176655"/>
        </a:xfrm>
        <a:prstGeom prst="rect">
          <a:avLst/>
        </a:prstGeom>
      </xdr:spPr>
    </xdr:pic>
    <xdr:clientData/>
  </xdr:twoCellAnchor>
  <xdr:twoCellAnchor editAs="oneCell">
    <xdr:from>
      <xdr:col>0</xdr:col>
      <xdr:colOff>193676</xdr:colOff>
      <xdr:row>49</xdr:row>
      <xdr:rowOff>155576</xdr:rowOff>
    </xdr:from>
    <xdr:to>
      <xdr:col>0</xdr:col>
      <xdr:colOff>1000761</xdr:colOff>
      <xdr:row>50</xdr:row>
      <xdr:rowOff>478791</xdr:rowOff>
    </xdr:to>
    <xdr:pic>
      <xdr:nvPicPr>
        <xdr:cNvPr id="15" name="图片 14"/>
        <xdr:cNvPicPr>
          <a:picLocks noChangeAspect="1"/>
        </xdr:cNvPicPr>
      </xdr:nvPicPr>
      <xdr:blipFill>
        <a:blip r:embed="rId14"/>
        <a:stretch>
          <a:fillRect/>
        </a:stretch>
      </xdr:blipFill>
      <xdr:spPr>
        <a:xfrm>
          <a:off x="193675" y="21528405"/>
          <a:ext cx="807085" cy="831215"/>
        </a:xfrm>
        <a:prstGeom prst="rect">
          <a:avLst/>
        </a:prstGeom>
      </xdr:spPr>
    </xdr:pic>
    <xdr:clientData/>
  </xdr:twoCellAnchor>
  <xdr:twoCellAnchor editAs="oneCell">
    <xdr:from>
      <xdr:col>0</xdr:col>
      <xdr:colOff>190500</xdr:colOff>
      <xdr:row>51</xdr:row>
      <xdr:rowOff>21169</xdr:rowOff>
    </xdr:from>
    <xdr:to>
      <xdr:col>0</xdr:col>
      <xdr:colOff>1068705</xdr:colOff>
      <xdr:row>53</xdr:row>
      <xdr:rowOff>298029</xdr:rowOff>
    </xdr:to>
    <xdr:pic>
      <xdr:nvPicPr>
        <xdr:cNvPr id="16" name="图片 15"/>
        <xdr:cNvPicPr>
          <a:picLocks noChangeAspect="1"/>
        </xdr:cNvPicPr>
      </xdr:nvPicPr>
      <xdr:blipFill>
        <a:blip r:embed="rId15"/>
        <a:stretch>
          <a:fillRect/>
        </a:stretch>
      </xdr:blipFill>
      <xdr:spPr>
        <a:xfrm>
          <a:off x="190500" y="22409785"/>
          <a:ext cx="878205" cy="1038860"/>
        </a:xfrm>
        <a:prstGeom prst="rect">
          <a:avLst/>
        </a:prstGeom>
      </xdr:spPr>
    </xdr:pic>
    <xdr:clientData/>
  </xdr:twoCellAnchor>
  <xdr:twoCellAnchor editAs="oneCell">
    <xdr:from>
      <xdr:col>0</xdr:col>
      <xdr:colOff>148167</xdr:colOff>
      <xdr:row>54</xdr:row>
      <xdr:rowOff>74084</xdr:rowOff>
    </xdr:from>
    <xdr:to>
      <xdr:col>0</xdr:col>
      <xdr:colOff>1188297</xdr:colOff>
      <xdr:row>57</xdr:row>
      <xdr:rowOff>255059</xdr:rowOff>
    </xdr:to>
    <xdr:pic>
      <xdr:nvPicPr>
        <xdr:cNvPr id="17" name="图片 16"/>
        <xdr:cNvPicPr>
          <a:picLocks noChangeAspect="1"/>
        </xdr:cNvPicPr>
      </xdr:nvPicPr>
      <xdr:blipFill>
        <a:blip r:embed="rId16"/>
        <a:stretch>
          <a:fillRect/>
        </a:stretch>
      </xdr:blipFill>
      <xdr:spPr>
        <a:xfrm>
          <a:off x="147955" y="23605490"/>
          <a:ext cx="1040130" cy="1323975"/>
        </a:xfrm>
        <a:prstGeom prst="rect">
          <a:avLst/>
        </a:prstGeom>
      </xdr:spPr>
    </xdr:pic>
    <xdr:clientData/>
  </xdr:twoCellAnchor>
  <xdr:twoCellAnchor editAs="oneCell">
    <xdr:from>
      <xdr:col>0</xdr:col>
      <xdr:colOff>105833</xdr:colOff>
      <xdr:row>58</xdr:row>
      <xdr:rowOff>74083</xdr:rowOff>
    </xdr:from>
    <xdr:to>
      <xdr:col>0</xdr:col>
      <xdr:colOff>1178983</xdr:colOff>
      <xdr:row>60</xdr:row>
      <xdr:rowOff>353483</xdr:rowOff>
    </xdr:to>
    <xdr:pic>
      <xdr:nvPicPr>
        <xdr:cNvPr id="18" name="图片 17"/>
        <xdr:cNvPicPr>
          <a:picLocks noChangeAspect="1"/>
        </xdr:cNvPicPr>
      </xdr:nvPicPr>
      <xdr:blipFill>
        <a:blip r:embed="rId17"/>
        <a:stretch>
          <a:fillRect/>
        </a:stretch>
      </xdr:blipFill>
      <xdr:spPr>
        <a:xfrm>
          <a:off x="105410" y="25129490"/>
          <a:ext cx="1073150" cy="1041400"/>
        </a:xfrm>
        <a:prstGeom prst="rect">
          <a:avLst/>
        </a:prstGeom>
      </xdr:spPr>
    </xdr:pic>
    <xdr:clientData/>
  </xdr:twoCellAnchor>
  <xdr:twoCellAnchor editAs="oneCell">
    <xdr:from>
      <xdr:col>0</xdr:col>
      <xdr:colOff>137583</xdr:colOff>
      <xdr:row>62</xdr:row>
      <xdr:rowOff>63501</xdr:rowOff>
    </xdr:from>
    <xdr:to>
      <xdr:col>0</xdr:col>
      <xdr:colOff>1037378</xdr:colOff>
      <xdr:row>64</xdr:row>
      <xdr:rowOff>173356</xdr:rowOff>
    </xdr:to>
    <xdr:pic>
      <xdr:nvPicPr>
        <xdr:cNvPr id="19" name="图片 18"/>
        <xdr:cNvPicPr>
          <a:picLocks noChangeAspect="1"/>
        </xdr:cNvPicPr>
      </xdr:nvPicPr>
      <xdr:blipFill>
        <a:blip r:embed="rId18"/>
        <a:stretch>
          <a:fillRect/>
        </a:stretch>
      </xdr:blipFill>
      <xdr:spPr>
        <a:xfrm>
          <a:off x="137160" y="26643330"/>
          <a:ext cx="899795" cy="871855"/>
        </a:xfrm>
        <a:prstGeom prst="rect">
          <a:avLst/>
        </a:prstGeom>
      </xdr:spPr>
    </xdr:pic>
    <xdr:clientData/>
  </xdr:twoCellAnchor>
  <xdr:twoCellAnchor editAs="oneCell">
    <xdr:from>
      <xdr:col>0</xdr:col>
      <xdr:colOff>137584</xdr:colOff>
      <xdr:row>66</xdr:row>
      <xdr:rowOff>179917</xdr:rowOff>
    </xdr:from>
    <xdr:to>
      <xdr:col>0</xdr:col>
      <xdr:colOff>1112944</xdr:colOff>
      <xdr:row>66</xdr:row>
      <xdr:rowOff>1164167</xdr:rowOff>
    </xdr:to>
    <xdr:pic>
      <xdr:nvPicPr>
        <xdr:cNvPr id="20" name="图片 19"/>
        <xdr:cNvPicPr>
          <a:picLocks noChangeAspect="1"/>
        </xdr:cNvPicPr>
      </xdr:nvPicPr>
      <xdr:blipFill>
        <a:blip r:embed="rId19"/>
        <a:stretch>
          <a:fillRect/>
        </a:stretch>
      </xdr:blipFill>
      <xdr:spPr>
        <a:xfrm>
          <a:off x="137160" y="28283535"/>
          <a:ext cx="975360" cy="984250"/>
        </a:xfrm>
        <a:prstGeom prst="rect">
          <a:avLst/>
        </a:prstGeom>
      </xdr:spPr>
    </xdr:pic>
    <xdr:clientData/>
  </xdr:twoCellAnchor>
  <xdr:twoCellAnchor editAs="oneCell">
    <xdr:from>
      <xdr:col>0</xdr:col>
      <xdr:colOff>253999</xdr:colOff>
      <xdr:row>67</xdr:row>
      <xdr:rowOff>69852</xdr:rowOff>
    </xdr:from>
    <xdr:to>
      <xdr:col>0</xdr:col>
      <xdr:colOff>1076324</xdr:colOff>
      <xdr:row>68</xdr:row>
      <xdr:rowOff>370842</xdr:rowOff>
    </xdr:to>
    <xdr:pic>
      <xdr:nvPicPr>
        <xdr:cNvPr id="21" name="图片 20"/>
        <xdr:cNvPicPr>
          <a:picLocks noChangeAspect="1"/>
        </xdr:cNvPicPr>
      </xdr:nvPicPr>
      <xdr:blipFill>
        <a:blip r:embed="rId20"/>
        <a:stretch>
          <a:fillRect/>
        </a:stretch>
      </xdr:blipFill>
      <xdr:spPr>
        <a:xfrm>
          <a:off x="253365" y="29411930"/>
          <a:ext cx="822325" cy="808990"/>
        </a:xfrm>
        <a:prstGeom prst="rect">
          <a:avLst/>
        </a:prstGeom>
      </xdr:spPr>
    </xdr:pic>
    <xdr:clientData/>
  </xdr:twoCellAnchor>
  <xdr:twoCellAnchor editAs="oneCell">
    <xdr:from>
      <xdr:col>0</xdr:col>
      <xdr:colOff>179917</xdr:colOff>
      <xdr:row>69</xdr:row>
      <xdr:rowOff>158750</xdr:rowOff>
    </xdr:from>
    <xdr:to>
      <xdr:col>0</xdr:col>
      <xdr:colOff>1207982</xdr:colOff>
      <xdr:row>72</xdr:row>
      <xdr:rowOff>228600</xdr:rowOff>
    </xdr:to>
    <xdr:pic>
      <xdr:nvPicPr>
        <xdr:cNvPr id="22" name="图片 21"/>
        <xdr:cNvPicPr>
          <a:picLocks noChangeAspect="1"/>
        </xdr:cNvPicPr>
      </xdr:nvPicPr>
      <xdr:blipFill>
        <a:blip r:embed="rId21"/>
        <a:stretch>
          <a:fillRect/>
        </a:stretch>
      </xdr:blipFill>
      <xdr:spPr>
        <a:xfrm>
          <a:off x="179705" y="30516830"/>
          <a:ext cx="1028065" cy="1212850"/>
        </a:xfrm>
        <a:prstGeom prst="rect">
          <a:avLst/>
        </a:prstGeom>
      </xdr:spPr>
    </xdr:pic>
    <xdr:clientData/>
  </xdr:twoCellAnchor>
  <xdr:twoCellAnchor editAs="oneCell">
    <xdr:from>
      <xdr:col>0</xdr:col>
      <xdr:colOff>211667</xdr:colOff>
      <xdr:row>73</xdr:row>
      <xdr:rowOff>134410</xdr:rowOff>
    </xdr:from>
    <xdr:to>
      <xdr:col>0</xdr:col>
      <xdr:colOff>1076537</xdr:colOff>
      <xdr:row>75</xdr:row>
      <xdr:rowOff>240455</xdr:rowOff>
    </xdr:to>
    <xdr:pic>
      <xdr:nvPicPr>
        <xdr:cNvPr id="23" name="图片 22"/>
        <xdr:cNvPicPr>
          <a:picLocks noChangeAspect="1"/>
        </xdr:cNvPicPr>
      </xdr:nvPicPr>
      <xdr:blipFill>
        <a:blip r:embed="rId22"/>
        <a:stretch>
          <a:fillRect/>
        </a:stretch>
      </xdr:blipFill>
      <xdr:spPr>
        <a:xfrm>
          <a:off x="211455" y="32016065"/>
          <a:ext cx="864870" cy="868045"/>
        </a:xfrm>
        <a:prstGeom prst="rect">
          <a:avLst/>
        </a:prstGeom>
      </xdr:spPr>
    </xdr:pic>
    <xdr:clientData/>
  </xdr:twoCellAnchor>
  <xdr:twoCellAnchor editAs="oneCell">
    <xdr:from>
      <xdr:col>0</xdr:col>
      <xdr:colOff>0</xdr:colOff>
      <xdr:row>76</xdr:row>
      <xdr:rowOff>127000</xdr:rowOff>
    </xdr:from>
    <xdr:to>
      <xdr:col>0</xdr:col>
      <xdr:colOff>1287780</xdr:colOff>
      <xdr:row>81</xdr:row>
      <xdr:rowOff>200660</xdr:rowOff>
    </xdr:to>
    <xdr:pic>
      <xdr:nvPicPr>
        <xdr:cNvPr id="24" name="图片 23"/>
        <xdr:cNvPicPr>
          <a:picLocks noChangeAspect="1"/>
        </xdr:cNvPicPr>
      </xdr:nvPicPr>
      <xdr:blipFill>
        <a:blip r:embed="rId23"/>
        <a:stretch>
          <a:fillRect/>
        </a:stretch>
      </xdr:blipFill>
      <xdr:spPr>
        <a:xfrm>
          <a:off x="0" y="33152080"/>
          <a:ext cx="1287780" cy="1978660"/>
        </a:xfrm>
        <a:prstGeom prst="rect">
          <a:avLst/>
        </a:prstGeom>
      </xdr:spPr>
    </xdr:pic>
    <xdr:clientData/>
  </xdr:twoCellAnchor>
  <xdr:twoCellAnchor editAs="oneCell">
    <xdr:from>
      <xdr:col>0</xdr:col>
      <xdr:colOff>137584</xdr:colOff>
      <xdr:row>82</xdr:row>
      <xdr:rowOff>148167</xdr:rowOff>
    </xdr:from>
    <xdr:to>
      <xdr:col>0</xdr:col>
      <xdr:colOff>1201844</xdr:colOff>
      <xdr:row>84</xdr:row>
      <xdr:rowOff>237067</xdr:rowOff>
    </xdr:to>
    <xdr:pic>
      <xdr:nvPicPr>
        <xdr:cNvPr id="25" name="图片 24"/>
        <xdr:cNvPicPr>
          <a:picLocks noChangeAspect="1"/>
        </xdr:cNvPicPr>
      </xdr:nvPicPr>
      <xdr:blipFill>
        <a:blip r:embed="rId24"/>
        <a:stretch>
          <a:fillRect/>
        </a:stretch>
      </xdr:blipFill>
      <xdr:spPr>
        <a:xfrm>
          <a:off x="137160" y="35459035"/>
          <a:ext cx="1064260" cy="850900"/>
        </a:xfrm>
        <a:prstGeom prst="rect">
          <a:avLst/>
        </a:prstGeom>
      </xdr:spPr>
    </xdr:pic>
    <xdr:clientData/>
  </xdr:twoCellAnchor>
  <xdr:twoCellAnchor editAs="oneCell">
    <xdr:from>
      <xdr:col>0</xdr:col>
      <xdr:colOff>161925</xdr:colOff>
      <xdr:row>85</xdr:row>
      <xdr:rowOff>66675</xdr:rowOff>
    </xdr:from>
    <xdr:to>
      <xdr:col>0</xdr:col>
      <xdr:colOff>1150620</xdr:colOff>
      <xdr:row>86</xdr:row>
      <xdr:rowOff>429260</xdr:rowOff>
    </xdr:to>
    <xdr:pic>
      <xdr:nvPicPr>
        <xdr:cNvPr id="26" name="图片 25"/>
        <xdr:cNvPicPr>
          <a:picLocks noChangeAspect="1"/>
        </xdr:cNvPicPr>
      </xdr:nvPicPr>
      <xdr:blipFill>
        <a:blip r:embed="rId25"/>
        <a:stretch>
          <a:fillRect/>
        </a:stretch>
      </xdr:blipFill>
      <xdr:spPr>
        <a:xfrm>
          <a:off x="161925" y="36520755"/>
          <a:ext cx="988695" cy="870585"/>
        </a:xfrm>
        <a:prstGeom prst="rect">
          <a:avLst/>
        </a:prstGeom>
      </xdr:spPr>
    </xdr:pic>
    <xdr:clientData/>
  </xdr:twoCellAnchor>
  <xdr:twoCellAnchor editAs="oneCell">
    <xdr:from>
      <xdr:col>0</xdr:col>
      <xdr:colOff>158750</xdr:colOff>
      <xdr:row>87</xdr:row>
      <xdr:rowOff>105835</xdr:rowOff>
    </xdr:from>
    <xdr:to>
      <xdr:col>0</xdr:col>
      <xdr:colOff>1188720</xdr:colOff>
      <xdr:row>89</xdr:row>
      <xdr:rowOff>255060</xdr:rowOff>
    </xdr:to>
    <xdr:pic>
      <xdr:nvPicPr>
        <xdr:cNvPr id="27" name="图片 26"/>
        <xdr:cNvPicPr>
          <a:picLocks noChangeAspect="1"/>
        </xdr:cNvPicPr>
      </xdr:nvPicPr>
      <xdr:blipFill>
        <a:blip r:embed="rId26"/>
        <a:stretch>
          <a:fillRect/>
        </a:stretch>
      </xdr:blipFill>
      <xdr:spPr>
        <a:xfrm>
          <a:off x="158750" y="37575490"/>
          <a:ext cx="1029970" cy="911225"/>
        </a:xfrm>
        <a:prstGeom prst="rect">
          <a:avLst/>
        </a:prstGeom>
      </xdr:spPr>
    </xdr:pic>
    <xdr:clientData/>
  </xdr:twoCellAnchor>
  <xdr:twoCellAnchor editAs="oneCell">
    <xdr:from>
      <xdr:col>0</xdr:col>
      <xdr:colOff>116417</xdr:colOff>
      <xdr:row>90</xdr:row>
      <xdr:rowOff>21166</xdr:rowOff>
    </xdr:from>
    <xdr:to>
      <xdr:col>0</xdr:col>
      <xdr:colOff>1114002</xdr:colOff>
      <xdr:row>91</xdr:row>
      <xdr:rowOff>402166</xdr:rowOff>
    </xdr:to>
    <xdr:pic>
      <xdr:nvPicPr>
        <xdr:cNvPr id="28" name="图片 27"/>
        <xdr:cNvPicPr>
          <a:picLocks noChangeAspect="1" noChangeArrowheads="1"/>
        </xdr:cNvPicPr>
      </xdr:nvPicPr>
      <xdr:blipFill>
        <a:blip r:embed="rId27" cstate="print">
          <a:extLst>
            <a:ext uri="{28A0092B-C50C-407E-A947-70E740481C1C}">
              <a14:useLocalDpi xmlns:a14="http://schemas.microsoft.com/office/drawing/2010/main" val="0"/>
            </a:ext>
          </a:extLst>
        </a:blip>
        <a:srcRect/>
        <a:stretch>
          <a:fillRect/>
        </a:stretch>
      </xdr:blipFill>
      <xdr:spPr>
        <a:xfrm>
          <a:off x="116205" y="38634035"/>
          <a:ext cx="997585"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137583</xdr:colOff>
      <xdr:row>92</xdr:row>
      <xdr:rowOff>42334</xdr:rowOff>
    </xdr:from>
    <xdr:to>
      <xdr:col>0</xdr:col>
      <xdr:colOff>1210098</xdr:colOff>
      <xdr:row>93</xdr:row>
      <xdr:rowOff>444924</xdr:rowOff>
    </xdr:to>
    <xdr:pic>
      <xdr:nvPicPr>
        <xdr:cNvPr id="29" name="图片 28"/>
        <xdr:cNvPicPr>
          <a:picLocks noChangeAspect="1"/>
        </xdr:cNvPicPr>
      </xdr:nvPicPr>
      <xdr:blipFill>
        <a:blip r:embed="rId28"/>
        <a:stretch>
          <a:fillRect/>
        </a:stretch>
      </xdr:blipFill>
      <xdr:spPr>
        <a:xfrm>
          <a:off x="137160" y="39670990"/>
          <a:ext cx="1072515" cy="910590"/>
        </a:xfrm>
        <a:prstGeom prst="rect">
          <a:avLst/>
        </a:prstGeom>
      </xdr:spPr>
    </xdr:pic>
    <xdr:clientData/>
  </xdr:twoCellAnchor>
  <xdr:twoCellAnchor editAs="oneCell">
    <xdr:from>
      <xdr:col>0</xdr:col>
      <xdr:colOff>137584</xdr:colOff>
      <xdr:row>94</xdr:row>
      <xdr:rowOff>188384</xdr:rowOff>
    </xdr:from>
    <xdr:to>
      <xdr:col>0</xdr:col>
      <xdr:colOff>1246294</xdr:colOff>
      <xdr:row>97</xdr:row>
      <xdr:rowOff>103929</xdr:rowOff>
    </xdr:to>
    <xdr:pic>
      <xdr:nvPicPr>
        <xdr:cNvPr id="30" name="图片 29"/>
        <xdr:cNvPicPr>
          <a:picLocks noChangeAspect="1" noChangeArrowheads="1"/>
        </xdr:cNvPicPr>
      </xdr:nvPicPr>
      <xdr:blipFill>
        <a:blip r:embed="rId29" cstate="print">
          <a:extLst>
            <a:ext uri="{28A0092B-C50C-407E-A947-70E740481C1C}">
              <a14:useLocalDpi xmlns:a14="http://schemas.microsoft.com/office/drawing/2010/main" val="0"/>
            </a:ext>
          </a:extLst>
        </a:blip>
        <a:srcRect/>
        <a:stretch>
          <a:fillRect/>
        </a:stretch>
      </xdr:blipFill>
      <xdr:spPr>
        <a:xfrm>
          <a:off x="137160" y="40833040"/>
          <a:ext cx="1108710" cy="1058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201084</xdr:colOff>
      <xdr:row>98</xdr:row>
      <xdr:rowOff>74085</xdr:rowOff>
    </xdr:from>
    <xdr:to>
      <xdr:col>0</xdr:col>
      <xdr:colOff>1104054</xdr:colOff>
      <xdr:row>100</xdr:row>
      <xdr:rowOff>295065</xdr:rowOff>
    </xdr:to>
    <xdr:pic>
      <xdr:nvPicPr>
        <xdr:cNvPr id="31" name="图片 30"/>
        <xdr:cNvPicPr>
          <a:picLocks noChangeAspect="1"/>
        </xdr:cNvPicPr>
      </xdr:nvPicPr>
      <xdr:blipFill>
        <a:blip r:embed="rId30"/>
        <a:stretch>
          <a:fillRect/>
        </a:stretch>
      </xdr:blipFill>
      <xdr:spPr>
        <a:xfrm>
          <a:off x="200660" y="42242740"/>
          <a:ext cx="902970" cy="982980"/>
        </a:xfrm>
        <a:prstGeom prst="rect">
          <a:avLst/>
        </a:prstGeom>
      </xdr:spPr>
    </xdr:pic>
    <xdr:clientData/>
  </xdr:twoCellAnchor>
  <xdr:twoCellAnchor editAs="oneCell">
    <xdr:from>
      <xdr:col>0</xdr:col>
      <xdr:colOff>275168</xdr:colOff>
      <xdr:row>101</xdr:row>
      <xdr:rowOff>63502</xdr:rowOff>
    </xdr:from>
    <xdr:to>
      <xdr:col>0</xdr:col>
      <xdr:colOff>1040343</xdr:colOff>
      <xdr:row>102</xdr:row>
      <xdr:rowOff>464822</xdr:rowOff>
    </xdr:to>
    <xdr:pic>
      <xdr:nvPicPr>
        <xdr:cNvPr id="32" name="图片 31"/>
        <xdr:cNvPicPr>
          <a:picLocks noChangeAspect="1" noChangeArrowheads="1"/>
        </xdr:cNvPicPr>
      </xdr:nvPicPr>
      <xdr:blipFill>
        <a:blip r:embed="rId31" cstate="print">
          <a:extLst>
            <a:ext uri="{28A0092B-C50C-407E-A947-70E740481C1C}">
              <a14:useLocalDpi xmlns:a14="http://schemas.microsoft.com/office/drawing/2010/main" val="0"/>
            </a:ext>
          </a:extLst>
        </a:blip>
        <a:srcRect/>
        <a:stretch>
          <a:fillRect/>
        </a:stretch>
      </xdr:blipFill>
      <xdr:spPr>
        <a:xfrm>
          <a:off x="274955" y="43375580"/>
          <a:ext cx="765175" cy="909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148166</xdr:colOff>
      <xdr:row>103</xdr:row>
      <xdr:rowOff>52918</xdr:rowOff>
    </xdr:from>
    <xdr:to>
      <xdr:col>0</xdr:col>
      <xdr:colOff>1145751</xdr:colOff>
      <xdr:row>103</xdr:row>
      <xdr:rowOff>921598</xdr:rowOff>
    </xdr:to>
    <xdr:pic>
      <xdr:nvPicPr>
        <xdr:cNvPr id="33" name="图片 32"/>
        <xdr:cNvPicPr>
          <a:picLocks noChangeAspect="1"/>
        </xdr:cNvPicPr>
      </xdr:nvPicPr>
      <xdr:blipFill>
        <a:blip r:embed="rId32"/>
        <a:stretch>
          <a:fillRect/>
        </a:stretch>
      </xdr:blipFill>
      <xdr:spPr>
        <a:xfrm>
          <a:off x="147955" y="44380785"/>
          <a:ext cx="997585" cy="868680"/>
        </a:xfrm>
        <a:prstGeom prst="rect">
          <a:avLst/>
        </a:prstGeom>
      </xdr:spPr>
    </xdr:pic>
    <xdr:clientData/>
  </xdr:twoCellAnchor>
  <xdr:twoCellAnchor editAs="oneCell">
    <xdr:from>
      <xdr:col>0</xdr:col>
      <xdr:colOff>116418</xdr:colOff>
      <xdr:row>104</xdr:row>
      <xdr:rowOff>296333</xdr:rowOff>
    </xdr:from>
    <xdr:to>
      <xdr:col>0</xdr:col>
      <xdr:colOff>1228938</xdr:colOff>
      <xdr:row>107</xdr:row>
      <xdr:rowOff>31538</xdr:rowOff>
    </xdr:to>
    <xdr:pic>
      <xdr:nvPicPr>
        <xdr:cNvPr id="34" name="图片 33"/>
        <xdr:cNvPicPr>
          <a:picLocks noChangeAspect="1"/>
        </xdr:cNvPicPr>
      </xdr:nvPicPr>
      <xdr:blipFill>
        <a:blip r:embed="rId33"/>
        <a:stretch>
          <a:fillRect/>
        </a:stretch>
      </xdr:blipFill>
      <xdr:spPr>
        <a:xfrm>
          <a:off x="116205" y="45639990"/>
          <a:ext cx="1112520" cy="878205"/>
        </a:xfrm>
        <a:prstGeom prst="rect">
          <a:avLst/>
        </a:prstGeom>
      </xdr:spPr>
    </xdr:pic>
    <xdr:clientData/>
  </xdr:twoCellAnchor>
  <xdr:twoCellAnchor editAs="oneCell">
    <xdr:from>
      <xdr:col>0</xdr:col>
      <xdr:colOff>211668</xdr:colOff>
      <xdr:row>108</xdr:row>
      <xdr:rowOff>105833</xdr:rowOff>
    </xdr:from>
    <xdr:to>
      <xdr:col>0</xdr:col>
      <xdr:colOff>997798</xdr:colOff>
      <xdr:row>109</xdr:row>
      <xdr:rowOff>409998</xdr:rowOff>
    </xdr:to>
    <xdr:pic>
      <xdr:nvPicPr>
        <xdr:cNvPr id="35" name="图片 34"/>
        <xdr:cNvPicPr>
          <a:picLocks noChangeAspect="1"/>
        </xdr:cNvPicPr>
      </xdr:nvPicPr>
      <xdr:blipFill>
        <a:blip r:embed="rId34"/>
        <a:stretch>
          <a:fillRect/>
        </a:stretch>
      </xdr:blipFill>
      <xdr:spPr>
        <a:xfrm>
          <a:off x="211455" y="46973490"/>
          <a:ext cx="786130" cy="812165"/>
        </a:xfrm>
        <a:prstGeom prst="rect">
          <a:avLst/>
        </a:prstGeom>
      </xdr:spPr>
    </xdr:pic>
    <xdr:clientData/>
  </xdr:twoCellAnchor>
  <xdr:twoCellAnchor editAs="oneCell">
    <xdr:from>
      <xdr:col>0</xdr:col>
      <xdr:colOff>264584</xdr:colOff>
      <xdr:row>110</xdr:row>
      <xdr:rowOff>105834</xdr:rowOff>
    </xdr:from>
    <xdr:to>
      <xdr:col>0</xdr:col>
      <xdr:colOff>1026584</xdr:colOff>
      <xdr:row>111</xdr:row>
      <xdr:rowOff>430319</xdr:rowOff>
    </xdr:to>
    <xdr:pic>
      <xdr:nvPicPr>
        <xdr:cNvPr id="36" name="图片 35"/>
        <xdr:cNvPicPr>
          <a:picLocks noChangeAspect="1"/>
        </xdr:cNvPicPr>
      </xdr:nvPicPr>
      <xdr:blipFill>
        <a:blip r:embed="rId35"/>
        <a:stretch>
          <a:fillRect/>
        </a:stretch>
      </xdr:blipFill>
      <xdr:spPr>
        <a:xfrm>
          <a:off x="264160" y="47989490"/>
          <a:ext cx="762000" cy="832485"/>
        </a:xfrm>
        <a:prstGeom prst="rect">
          <a:avLst/>
        </a:prstGeom>
      </xdr:spPr>
    </xdr:pic>
    <xdr:clientData/>
  </xdr:twoCellAnchor>
  <xdr:twoCellAnchor editAs="oneCell">
    <xdr:from>
      <xdr:col>0</xdr:col>
      <xdr:colOff>21167</xdr:colOff>
      <xdr:row>112</xdr:row>
      <xdr:rowOff>105835</xdr:rowOff>
    </xdr:from>
    <xdr:to>
      <xdr:col>0</xdr:col>
      <xdr:colOff>1190202</xdr:colOff>
      <xdr:row>114</xdr:row>
      <xdr:rowOff>315385</xdr:rowOff>
    </xdr:to>
    <xdr:pic>
      <xdr:nvPicPr>
        <xdr:cNvPr id="37" name="图片 36"/>
        <xdr:cNvPicPr>
          <a:picLocks noChangeAspect="1"/>
        </xdr:cNvPicPr>
      </xdr:nvPicPr>
      <xdr:blipFill>
        <a:blip r:embed="rId36"/>
        <a:stretch>
          <a:fillRect/>
        </a:stretch>
      </xdr:blipFill>
      <xdr:spPr>
        <a:xfrm>
          <a:off x="20955" y="49005490"/>
          <a:ext cx="1169035" cy="9715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6</xdr:col>
      <xdr:colOff>1104900</xdr:colOff>
      <xdr:row>40</xdr:row>
      <xdr:rowOff>6350</xdr:rowOff>
    </xdr:from>
    <xdr:to>
      <xdr:col>6</xdr:col>
      <xdr:colOff>1104900</xdr:colOff>
      <xdr:row>41</xdr:row>
      <xdr:rowOff>196850</xdr:rowOff>
    </xdr:to>
    <xdr:pic>
      <xdr:nvPicPr>
        <xdr:cNvPr id="2" name="Picture 527" descr="PETsymbol"/>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440670" y="9587230"/>
          <a:ext cx="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as/Users/Administrator/AppData/Roaming/Foxmail7/Temp-5528-20230725080002/Attach/MA-RR-915 (Mini Brand Fashion S3  77485 # Production).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nas/Users/Administrator/AppData/Roaming/Foxmail7/Temp-5312-20240318093407/Attach/MA-RR-1112(Mini&#160;Brands&#160;Mini&#160;Fashion&#160;S3&#160;77485&#160;Material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 Application"/>
      <sheetName val="MA-RR-915"/>
      <sheetName val="Summary"/>
      <sheetName val="Fashion S3 Ratio（不带鞋子）"/>
    </sheetNames>
    <sheetDataSet>
      <sheetData sheetId="0" refreshError="1"/>
      <sheetData sheetId="1" refreshError="1"/>
      <sheetData sheetId="2" refreshError="1">
        <row r="8">
          <cell r="I8">
            <v>5035.71428571429</v>
          </cell>
        </row>
        <row r="9">
          <cell r="I9">
            <v>5035.71428571429</v>
          </cell>
        </row>
        <row r="10">
          <cell r="I10">
            <v>5035.71428571429</v>
          </cell>
        </row>
        <row r="11">
          <cell r="I11">
            <v>5035.71428571429</v>
          </cell>
        </row>
        <row r="12">
          <cell r="I12">
            <v>5035.71428571429</v>
          </cell>
        </row>
        <row r="13">
          <cell r="I13">
            <v>5035.71428571429</v>
          </cell>
        </row>
        <row r="14">
          <cell r="I14">
            <v>5035.71428571429</v>
          </cell>
        </row>
        <row r="15">
          <cell r="I15">
            <v>5035.71428571429</v>
          </cell>
        </row>
        <row r="16">
          <cell r="I16">
            <v>5035.71428571429</v>
          </cell>
        </row>
        <row r="17">
          <cell r="I17">
            <v>5035.71428571429</v>
          </cell>
        </row>
        <row r="18">
          <cell r="I18">
            <v>5035.71428571429</v>
          </cell>
        </row>
        <row r="19">
          <cell r="I19">
            <v>5035.71428571429</v>
          </cell>
        </row>
        <row r="20">
          <cell r="I20">
            <v>5035.71428571429</v>
          </cell>
        </row>
        <row r="21">
          <cell r="I21">
            <v>5035.71428571429</v>
          </cell>
        </row>
        <row r="22">
          <cell r="I22">
            <v>5035.71428571429</v>
          </cell>
        </row>
        <row r="23">
          <cell r="I23">
            <v>5035.71428571429</v>
          </cell>
        </row>
        <row r="24">
          <cell r="I24">
            <v>5035.71428571429</v>
          </cell>
        </row>
        <row r="25">
          <cell r="I25">
            <v>5035.71428571429</v>
          </cell>
        </row>
        <row r="26">
          <cell r="I26">
            <v>5035.71428571429</v>
          </cell>
        </row>
        <row r="27">
          <cell r="I27">
            <v>5035.71428571429</v>
          </cell>
        </row>
        <row r="28">
          <cell r="I28">
            <v>5035.71428571429</v>
          </cell>
        </row>
        <row r="29">
          <cell r="I29">
            <v>2250</v>
          </cell>
        </row>
        <row r="30">
          <cell r="I30">
            <v>0</v>
          </cell>
        </row>
        <row r="31">
          <cell r="I31">
            <v>0</v>
          </cell>
        </row>
        <row r="32">
          <cell r="I32">
            <v>0</v>
          </cell>
        </row>
        <row r="33">
          <cell r="I33">
            <v>0</v>
          </cell>
        </row>
        <row r="34">
          <cell r="I34">
            <v>0</v>
          </cell>
        </row>
        <row r="35">
          <cell r="I35">
            <v>0</v>
          </cell>
        </row>
        <row r="35">
          <cell r="U35">
            <v>0</v>
          </cell>
        </row>
      </sheetData>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 Application New"/>
      <sheetName val="MA-RR-1112"/>
      <sheetName val="Summary"/>
      <sheetName val="S2新Ratio布料"/>
      <sheetName val="77485布料 MOQ (分析)-Final"/>
      <sheetName val="77485布料 MA(工厂4.17）"/>
      <sheetName val="77485 布料MOQ（工厂4.13）"/>
      <sheetName val="Ratio"/>
    </sheetNames>
    <sheetDataSet>
      <sheetData sheetId="0"/>
      <sheetData sheetId="1"/>
      <sheetData sheetId="2"/>
      <sheetData sheetId="3">
        <row r="5">
          <cell r="AB5">
            <v>0</v>
          </cell>
        </row>
        <row r="9">
          <cell r="AB9">
            <v>6.9</v>
          </cell>
        </row>
        <row r="13">
          <cell r="AB13">
            <v>17.4</v>
          </cell>
        </row>
        <row r="15">
          <cell r="AB15">
            <v>147.333333333333</v>
          </cell>
        </row>
        <row r="16">
          <cell r="AB16">
            <v>45.3333333333333</v>
          </cell>
        </row>
        <row r="17">
          <cell r="AB17">
            <v>68</v>
          </cell>
        </row>
        <row r="21">
          <cell r="AB21">
            <v>0</v>
          </cell>
        </row>
        <row r="23">
          <cell r="AB23">
            <v>26.4</v>
          </cell>
        </row>
        <row r="26">
          <cell r="AB26">
            <v>6.9</v>
          </cell>
        </row>
        <row r="32">
          <cell r="AB32">
            <v>31.95</v>
          </cell>
        </row>
        <row r="34">
          <cell r="AB34">
            <v>6.75</v>
          </cell>
        </row>
        <row r="35">
          <cell r="AB35">
            <v>4500</v>
          </cell>
        </row>
        <row r="36">
          <cell r="AB36">
            <v>80.55</v>
          </cell>
        </row>
        <row r="37">
          <cell r="AB37">
            <v>56.7</v>
          </cell>
        </row>
        <row r="39">
          <cell r="AB39">
            <v>91.3095</v>
          </cell>
        </row>
        <row r="40">
          <cell r="AB40">
            <v>0</v>
          </cell>
        </row>
        <row r="41">
          <cell r="AB41">
            <v>0</v>
          </cell>
        </row>
        <row r="42">
          <cell r="AB42">
            <v>0</v>
          </cell>
        </row>
        <row r="44">
          <cell r="AB44">
            <v>68.598</v>
          </cell>
        </row>
        <row r="45">
          <cell r="AB45">
            <v>33300</v>
          </cell>
        </row>
        <row r="46">
          <cell r="AB46">
            <v>68.598</v>
          </cell>
        </row>
        <row r="48">
          <cell r="AB48">
            <v>82.194</v>
          </cell>
        </row>
        <row r="49">
          <cell r="AB49">
            <v>52.53</v>
          </cell>
        </row>
        <row r="50">
          <cell r="AB50">
            <v>6000</v>
          </cell>
        </row>
        <row r="51">
          <cell r="AB51">
            <v>45.423</v>
          </cell>
        </row>
        <row r="52">
          <cell r="AB52">
            <v>16.377</v>
          </cell>
        </row>
        <row r="53">
          <cell r="AB53">
            <v>16.995</v>
          </cell>
        </row>
        <row r="54">
          <cell r="AB54">
            <v>3000</v>
          </cell>
        </row>
        <row r="55">
          <cell r="AB55">
            <v>9.3627</v>
          </cell>
        </row>
        <row r="56">
          <cell r="AB56">
            <v>1.9467</v>
          </cell>
        </row>
        <row r="57">
          <cell r="AB57">
            <v>900</v>
          </cell>
        </row>
        <row r="58">
          <cell r="AB58">
            <v>44.496</v>
          </cell>
        </row>
        <row r="59">
          <cell r="AB59">
            <v>37.08</v>
          </cell>
        </row>
        <row r="61">
          <cell r="AB61">
            <v>259.56</v>
          </cell>
        </row>
        <row r="62">
          <cell r="AB62">
            <v>69.216</v>
          </cell>
        </row>
        <row r="63">
          <cell r="AB63">
            <v>6.18</v>
          </cell>
        </row>
        <row r="65">
          <cell r="AB65">
            <v>64.89</v>
          </cell>
        </row>
        <row r="66">
          <cell r="AB66">
            <v>17.304</v>
          </cell>
        </row>
        <row r="68">
          <cell r="AB68">
            <v>3000</v>
          </cell>
        </row>
        <row r="69">
          <cell r="AB69">
            <v>54</v>
          </cell>
        </row>
        <row r="70">
          <cell r="AB70">
            <v>4.2</v>
          </cell>
        </row>
        <row r="71">
          <cell r="AB71">
            <v>19.5</v>
          </cell>
        </row>
        <row r="72">
          <cell r="AB72">
            <v>3000</v>
          </cell>
        </row>
        <row r="73">
          <cell r="AB73">
            <v>55.5</v>
          </cell>
        </row>
        <row r="74">
          <cell r="AB74">
            <v>8.7</v>
          </cell>
        </row>
        <row r="75">
          <cell r="AB75">
            <v>3000</v>
          </cell>
        </row>
        <row r="77">
          <cell r="AB77">
            <v>13.905</v>
          </cell>
        </row>
        <row r="78">
          <cell r="AB78">
            <v>4500</v>
          </cell>
        </row>
      </sheetData>
      <sheetData sheetId="4"/>
      <sheetData sheetId="5"/>
      <sheetData sheetId="6"/>
      <sheetData sheetId="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workbookViewId="0">
      <pane xSplit="7" ySplit="2" topLeftCell="H3" activePane="bottomRight" state="frozen"/>
      <selection/>
      <selection pane="topRight"/>
      <selection pane="bottomLeft"/>
      <selection pane="bottomRight" activeCell="H3" sqref="H3"/>
    </sheetView>
  </sheetViews>
  <sheetFormatPr defaultColWidth="9" defaultRowHeight="13.5"/>
  <cols>
    <col min="1" max="2" width="9" style="785"/>
    <col min="3" max="3" width="10.3333333333333" style="785"/>
    <col min="4" max="4" width="17.025" style="785" customWidth="1"/>
    <col min="5" max="5" width="9" style="785"/>
    <col min="6" max="6" width="12.5833333333333" style="785" customWidth="1"/>
    <col min="7" max="8" width="9" style="785"/>
    <col min="9" max="10" width="9.225" style="785"/>
    <col min="11" max="13" width="9" style="785"/>
    <col min="14" max="14" width="31.1333333333333" style="785" customWidth="1"/>
    <col min="15" max="16384" width="9" style="785"/>
  </cols>
  <sheetData>
    <row r="1" ht="34" customHeight="1" spans="1:14">
      <c r="A1" s="789" t="s">
        <v>0</v>
      </c>
      <c r="B1" s="789"/>
      <c r="C1" s="789"/>
      <c r="D1" s="789"/>
      <c r="E1" s="789"/>
      <c r="F1" s="789"/>
      <c r="G1" s="789"/>
      <c r="H1" s="789"/>
      <c r="I1" s="789"/>
      <c r="J1" s="789"/>
      <c r="K1" s="789"/>
      <c r="L1" s="790"/>
      <c r="M1" s="789"/>
      <c r="N1" s="789"/>
    </row>
    <row r="2" ht="22" customHeight="1" spans="1:14">
      <c r="A2" s="791" t="s">
        <v>1</v>
      </c>
      <c r="B2" s="791" t="s">
        <v>2</v>
      </c>
      <c r="C2" s="791" t="s">
        <v>3</v>
      </c>
      <c r="D2" s="791" t="s">
        <v>4</v>
      </c>
      <c r="E2" s="791" t="s">
        <v>5</v>
      </c>
      <c r="F2" s="791" t="s">
        <v>6</v>
      </c>
      <c r="G2" s="791" t="s">
        <v>7</v>
      </c>
      <c r="H2" s="793" t="s">
        <v>8</v>
      </c>
      <c r="I2" s="1414" t="s">
        <v>9</v>
      </c>
      <c r="J2" s="1414"/>
      <c r="K2" s="793" t="s">
        <v>10</v>
      </c>
      <c r="L2" s="1415" t="s">
        <v>11</v>
      </c>
      <c r="M2" s="1416"/>
      <c r="N2" s="802" t="s">
        <v>12</v>
      </c>
    </row>
    <row r="3" s="787" customFormat="1" ht="16" customHeight="1" spans="1:14">
      <c r="A3" s="810">
        <v>44930</v>
      </c>
      <c r="B3" s="811" t="s">
        <v>13</v>
      </c>
      <c r="C3" s="812" t="s">
        <v>14</v>
      </c>
      <c r="D3" s="813">
        <v>77425</v>
      </c>
      <c r="E3" s="813">
        <v>20000</v>
      </c>
      <c r="F3" s="812" t="s">
        <v>15</v>
      </c>
      <c r="G3" s="813" t="s">
        <v>16</v>
      </c>
      <c r="H3" s="814">
        <v>20000</v>
      </c>
      <c r="I3" s="814"/>
      <c r="J3" s="814"/>
      <c r="K3" s="814"/>
      <c r="L3" s="814"/>
      <c r="M3" s="813"/>
      <c r="N3" s="841"/>
    </row>
    <row r="4" s="787" customFormat="1" ht="15" customHeight="1" spans="1:14">
      <c r="A4" s="810">
        <v>44930</v>
      </c>
      <c r="B4" s="811" t="s">
        <v>13</v>
      </c>
      <c r="C4" s="813" t="s">
        <v>17</v>
      </c>
      <c r="D4" s="813">
        <v>77425</v>
      </c>
      <c r="E4" s="813">
        <v>20000</v>
      </c>
      <c r="F4" s="812" t="s">
        <v>18</v>
      </c>
      <c r="G4" s="813" t="s">
        <v>16</v>
      </c>
      <c r="H4" s="814"/>
      <c r="I4" s="814">
        <v>20000</v>
      </c>
      <c r="J4" s="814"/>
      <c r="K4" s="814"/>
      <c r="L4" s="814"/>
      <c r="M4" s="813"/>
      <c r="N4" s="841"/>
    </row>
    <row r="5" s="787" customFormat="1" ht="16" customHeight="1" spans="1:14">
      <c r="A5" s="810">
        <v>44991</v>
      </c>
      <c r="B5" s="811" t="s">
        <v>13</v>
      </c>
      <c r="C5" s="812">
        <v>1000013388</v>
      </c>
      <c r="D5" s="813">
        <v>77425</v>
      </c>
      <c r="E5" s="813">
        <v>5000</v>
      </c>
      <c r="F5" s="812" t="s">
        <v>15</v>
      </c>
      <c r="G5" s="813" t="s">
        <v>16</v>
      </c>
      <c r="H5" s="814"/>
      <c r="I5" s="814"/>
      <c r="J5" s="814"/>
      <c r="K5" s="814">
        <v>5000</v>
      </c>
      <c r="L5" s="814"/>
      <c r="M5" s="813"/>
      <c r="N5" s="841"/>
    </row>
    <row r="6" s="787" customFormat="1" ht="16" customHeight="1" spans="1:14">
      <c r="A6" s="810"/>
      <c r="B6" s="811"/>
      <c r="C6" s="812"/>
      <c r="D6" s="805">
        <v>77425</v>
      </c>
      <c r="E6" s="805" t="s">
        <v>19</v>
      </c>
      <c r="F6" s="812"/>
      <c r="G6" s="813"/>
      <c r="H6" s="814"/>
      <c r="I6" s="814"/>
      <c r="J6" s="814"/>
      <c r="K6" s="814"/>
      <c r="L6" s="814">
        <v>3000</v>
      </c>
      <c r="M6" s="813"/>
      <c r="N6" s="841"/>
    </row>
    <row r="7" s="787" customFormat="1" ht="15" customHeight="1" spans="1:14">
      <c r="A7" s="810">
        <v>45023</v>
      </c>
      <c r="B7" s="813" t="s">
        <v>13</v>
      </c>
      <c r="C7" s="813" t="s">
        <v>20</v>
      </c>
      <c r="D7" s="813">
        <v>77425</v>
      </c>
      <c r="E7" s="813">
        <v>10000</v>
      </c>
      <c r="F7" s="812" t="s">
        <v>15</v>
      </c>
      <c r="G7" s="813" t="s">
        <v>16</v>
      </c>
      <c r="H7" s="814">
        <v>10000</v>
      </c>
      <c r="I7" s="814"/>
      <c r="J7" s="814"/>
      <c r="K7" s="814"/>
      <c r="L7" s="814"/>
      <c r="M7" s="813"/>
      <c r="N7" s="841"/>
    </row>
    <row r="8" s="787" customFormat="1" ht="15" customHeight="1" spans="1:14">
      <c r="A8" s="810">
        <v>45023</v>
      </c>
      <c r="B8" s="813" t="s">
        <v>13</v>
      </c>
      <c r="C8" s="813" t="s">
        <v>21</v>
      </c>
      <c r="D8" s="813">
        <v>77425</v>
      </c>
      <c r="E8" s="813">
        <v>20000</v>
      </c>
      <c r="F8" s="812" t="s">
        <v>18</v>
      </c>
      <c r="G8" s="813" t="s">
        <v>16</v>
      </c>
      <c r="H8" s="814"/>
      <c r="I8" s="814">
        <v>20000</v>
      </c>
      <c r="J8" s="814"/>
      <c r="K8" s="814"/>
      <c r="L8" s="814"/>
      <c r="M8" s="813"/>
      <c r="N8" s="841"/>
    </row>
    <row r="9" s="787" customFormat="1" ht="15" customHeight="1" spans="1:14">
      <c r="A9" s="810">
        <v>45034</v>
      </c>
      <c r="B9" s="813" t="s">
        <v>13</v>
      </c>
      <c r="C9" s="813" t="s">
        <v>22</v>
      </c>
      <c r="D9" s="813">
        <v>77425</v>
      </c>
      <c r="E9" s="813">
        <v>10000</v>
      </c>
      <c r="F9" s="812" t="s">
        <v>15</v>
      </c>
      <c r="G9" s="813" t="s">
        <v>16</v>
      </c>
      <c r="H9" s="814">
        <v>10000</v>
      </c>
      <c r="I9" s="814"/>
      <c r="J9" s="814"/>
      <c r="K9" s="814"/>
      <c r="L9" s="814"/>
      <c r="M9" s="813"/>
      <c r="N9" s="841"/>
    </row>
    <row r="10" s="787" customFormat="1" ht="15" customHeight="1" spans="1:14">
      <c r="A10" s="810">
        <v>45034</v>
      </c>
      <c r="B10" s="813" t="s">
        <v>13</v>
      </c>
      <c r="C10" s="813" t="s">
        <v>23</v>
      </c>
      <c r="D10" s="813">
        <v>77425</v>
      </c>
      <c r="E10" s="813">
        <v>10000</v>
      </c>
      <c r="F10" s="812" t="s">
        <v>18</v>
      </c>
      <c r="G10" s="813" t="s">
        <v>16</v>
      </c>
      <c r="H10" s="814"/>
      <c r="I10" s="814">
        <v>10000</v>
      </c>
      <c r="J10" s="814"/>
      <c r="K10" s="814"/>
      <c r="L10" s="814"/>
      <c r="M10" s="813"/>
      <c r="N10" s="841"/>
    </row>
    <row r="11" s="787" customFormat="1" ht="15" customHeight="1" spans="1:14">
      <c r="A11" s="810">
        <v>45043</v>
      </c>
      <c r="B11" s="813" t="s">
        <v>13</v>
      </c>
      <c r="C11" s="813" t="s">
        <v>24</v>
      </c>
      <c r="D11" s="813">
        <v>77425</v>
      </c>
      <c r="E11" s="813">
        <v>20000</v>
      </c>
      <c r="F11" s="812" t="s">
        <v>15</v>
      </c>
      <c r="G11" s="813" t="s">
        <v>16</v>
      </c>
      <c r="H11" s="814">
        <v>20000</v>
      </c>
      <c r="I11" s="814"/>
      <c r="J11" s="814"/>
      <c r="K11" s="814"/>
      <c r="L11" s="814"/>
      <c r="M11" s="813"/>
      <c r="N11" s="841"/>
    </row>
    <row r="12" s="787" customFormat="1" ht="15" customHeight="1" spans="1:14">
      <c r="A12" s="810">
        <v>45043</v>
      </c>
      <c r="B12" s="813" t="s">
        <v>13</v>
      </c>
      <c r="C12" s="813" t="s">
        <v>25</v>
      </c>
      <c r="D12" s="813">
        <v>77425</v>
      </c>
      <c r="E12" s="813">
        <v>10000</v>
      </c>
      <c r="F12" s="812" t="s">
        <v>15</v>
      </c>
      <c r="G12" s="813" t="s">
        <v>16</v>
      </c>
      <c r="H12" s="814"/>
      <c r="I12" s="814"/>
      <c r="J12" s="814"/>
      <c r="K12" s="814">
        <v>10000</v>
      </c>
      <c r="L12" s="814"/>
      <c r="M12" s="813"/>
      <c r="N12" s="841"/>
    </row>
    <row r="13" s="787" customFormat="1" ht="15" customHeight="1" spans="1:14">
      <c r="A13" s="810">
        <v>45043</v>
      </c>
      <c r="B13" s="813" t="s">
        <v>13</v>
      </c>
      <c r="C13" s="813" t="s">
        <v>26</v>
      </c>
      <c r="D13" s="813">
        <v>77425</v>
      </c>
      <c r="E13" s="813">
        <v>25000</v>
      </c>
      <c r="F13" s="812" t="s">
        <v>18</v>
      </c>
      <c r="G13" s="813" t="s">
        <v>16</v>
      </c>
      <c r="H13" s="814"/>
      <c r="I13" s="814">
        <v>25000</v>
      </c>
      <c r="J13" s="814"/>
      <c r="K13" s="814"/>
      <c r="L13" s="814"/>
      <c r="M13" s="813"/>
      <c r="N13" s="841"/>
    </row>
    <row r="14" s="787" customFormat="1" ht="15" customHeight="1" spans="1:14">
      <c r="A14" s="810">
        <v>45111</v>
      </c>
      <c r="B14" s="813" t="s">
        <v>13</v>
      </c>
      <c r="C14" s="813" t="s">
        <v>27</v>
      </c>
      <c r="D14" s="813">
        <v>77425</v>
      </c>
      <c r="E14" s="813">
        <v>20000</v>
      </c>
      <c r="F14" s="812" t="s">
        <v>15</v>
      </c>
      <c r="G14" s="813" t="s">
        <v>16</v>
      </c>
      <c r="H14" s="814">
        <v>20000</v>
      </c>
      <c r="I14" s="814"/>
      <c r="J14" s="814"/>
      <c r="K14" s="814"/>
      <c r="L14" s="814"/>
      <c r="M14" s="813"/>
      <c r="N14" s="841"/>
    </row>
    <row r="15" s="787" customFormat="1" ht="15" customHeight="1" spans="1:14">
      <c r="A15" s="810">
        <v>45111</v>
      </c>
      <c r="B15" s="813" t="s">
        <v>13</v>
      </c>
      <c r="C15" s="813" t="s">
        <v>28</v>
      </c>
      <c r="D15" s="813">
        <v>77425</v>
      </c>
      <c r="E15" s="813">
        <v>15000</v>
      </c>
      <c r="F15" s="812" t="s">
        <v>18</v>
      </c>
      <c r="G15" s="813" t="s">
        <v>16</v>
      </c>
      <c r="H15" s="814"/>
      <c r="I15" s="814">
        <v>15000</v>
      </c>
      <c r="J15" s="814"/>
      <c r="K15" s="814"/>
      <c r="L15" s="814"/>
      <c r="M15" s="813"/>
      <c r="N15" s="841"/>
    </row>
    <row r="16" s="787" customFormat="1" ht="15" customHeight="1" spans="1:14">
      <c r="A16" s="810">
        <v>45111</v>
      </c>
      <c r="B16" s="813" t="s">
        <v>13</v>
      </c>
      <c r="C16" s="813" t="s">
        <v>29</v>
      </c>
      <c r="D16" s="813">
        <v>77425</v>
      </c>
      <c r="E16" s="813">
        <v>5000</v>
      </c>
      <c r="F16" s="812" t="s">
        <v>15</v>
      </c>
      <c r="G16" s="813" t="s">
        <v>16</v>
      </c>
      <c r="H16" s="814"/>
      <c r="I16" s="814"/>
      <c r="J16" s="814"/>
      <c r="K16" s="814">
        <v>5000</v>
      </c>
      <c r="L16" s="814"/>
      <c r="M16" s="813"/>
      <c r="N16" s="841"/>
    </row>
    <row r="17" s="787" customFormat="1" ht="15" customHeight="1" spans="1:14">
      <c r="A17" s="810">
        <v>45128</v>
      </c>
      <c r="B17" s="813" t="s">
        <v>13</v>
      </c>
      <c r="C17" s="813" t="s">
        <v>30</v>
      </c>
      <c r="D17" s="813">
        <v>77425</v>
      </c>
      <c r="E17" s="813">
        <v>10000</v>
      </c>
      <c r="F17" s="812" t="s">
        <v>18</v>
      </c>
      <c r="G17" s="813" t="s">
        <v>16</v>
      </c>
      <c r="H17" s="814"/>
      <c r="I17" s="814">
        <v>10000</v>
      </c>
      <c r="J17" s="814"/>
      <c r="K17" s="814"/>
      <c r="L17" s="814"/>
      <c r="M17" s="813"/>
      <c r="N17" s="841"/>
    </row>
    <row r="18" s="787" customFormat="1" ht="15" customHeight="1" spans="1:14">
      <c r="A18" s="810">
        <v>45142</v>
      </c>
      <c r="B18" s="813" t="s">
        <v>13</v>
      </c>
      <c r="C18" s="813" t="s">
        <v>31</v>
      </c>
      <c r="D18" s="813">
        <v>77425</v>
      </c>
      <c r="E18" s="813">
        <v>15000</v>
      </c>
      <c r="F18" s="812" t="s">
        <v>15</v>
      </c>
      <c r="G18" s="813" t="s">
        <v>16</v>
      </c>
      <c r="H18" s="814">
        <v>15000</v>
      </c>
      <c r="I18" s="814"/>
      <c r="J18" s="814"/>
      <c r="K18" s="814"/>
      <c r="L18" s="814"/>
      <c r="M18" s="813"/>
      <c r="N18" s="841"/>
    </row>
    <row r="19" s="787" customFormat="1" ht="15" customHeight="1" spans="1:14">
      <c r="A19" s="810">
        <v>45142</v>
      </c>
      <c r="B19" s="813" t="s">
        <v>13</v>
      </c>
      <c r="C19" s="813" t="s">
        <v>32</v>
      </c>
      <c r="D19" s="813">
        <v>77425</v>
      </c>
      <c r="E19" s="813">
        <v>10000</v>
      </c>
      <c r="F19" s="812" t="s">
        <v>18</v>
      </c>
      <c r="G19" s="813" t="s">
        <v>16</v>
      </c>
      <c r="H19" s="814"/>
      <c r="I19" s="814">
        <v>10000</v>
      </c>
      <c r="J19" s="814"/>
      <c r="K19" s="814"/>
      <c r="L19" s="814"/>
      <c r="M19" s="813"/>
      <c r="N19" s="841"/>
    </row>
    <row r="20" s="787" customFormat="1" ht="15" customHeight="1" spans="1:14">
      <c r="A20" s="810">
        <v>45475</v>
      </c>
      <c r="B20" s="813" t="s">
        <v>13</v>
      </c>
      <c r="C20" s="813" t="s">
        <v>33</v>
      </c>
      <c r="D20" s="813">
        <v>77425</v>
      </c>
      <c r="E20" s="813">
        <v>2000</v>
      </c>
      <c r="F20" s="812" t="s">
        <v>15</v>
      </c>
      <c r="G20" s="813" t="s">
        <v>16</v>
      </c>
      <c r="H20" s="814"/>
      <c r="I20" s="814"/>
      <c r="J20" s="814"/>
      <c r="K20" s="814">
        <v>2000</v>
      </c>
      <c r="L20" s="814"/>
      <c r="M20" s="813"/>
      <c r="N20" s="841"/>
    </row>
    <row r="21" s="787" customFormat="1" ht="15" customHeight="1" spans="1:14">
      <c r="A21" s="810">
        <v>45490</v>
      </c>
      <c r="B21" s="813" t="s">
        <v>13</v>
      </c>
      <c r="C21" s="813" t="s">
        <v>34</v>
      </c>
      <c r="D21" s="813">
        <v>77425</v>
      </c>
      <c r="E21" s="813">
        <v>5000</v>
      </c>
      <c r="F21" s="812" t="s">
        <v>18</v>
      </c>
      <c r="G21" s="813" t="s">
        <v>16</v>
      </c>
      <c r="H21" s="814"/>
      <c r="I21" s="814">
        <v>5000</v>
      </c>
      <c r="J21" s="814"/>
      <c r="K21" s="814"/>
      <c r="L21" s="814"/>
      <c r="M21" s="813"/>
      <c r="N21" s="841"/>
    </row>
    <row r="22" s="787" customFormat="1" ht="15" customHeight="1" spans="1:14">
      <c r="A22" s="806">
        <v>45559</v>
      </c>
      <c r="B22" s="805" t="s">
        <v>13</v>
      </c>
      <c r="C22" s="805" t="s">
        <v>35</v>
      </c>
      <c r="D22" s="805">
        <v>77425</v>
      </c>
      <c r="E22" s="805">
        <v>3436</v>
      </c>
      <c r="F22" s="807" t="s">
        <v>15</v>
      </c>
      <c r="G22" s="805" t="s">
        <v>16</v>
      </c>
      <c r="H22" s="808">
        <v>3436</v>
      </c>
      <c r="I22" s="808"/>
      <c r="J22" s="808"/>
      <c r="K22" s="808"/>
      <c r="L22" s="814"/>
      <c r="M22" s="813"/>
      <c r="N22" s="841"/>
    </row>
    <row r="23" s="787" customFormat="1" ht="15" customHeight="1" spans="1:14">
      <c r="A23" s="806">
        <v>45559</v>
      </c>
      <c r="B23" s="805" t="s">
        <v>13</v>
      </c>
      <c r="C23" s="805" t="s">
        <v>36</v>
      </c>
      <c r="D23" s="805">
        <v>77425</v>
      </c>
      <c r="E23" s="805">
        <v>2456</v>
      </c>
      <c r="F23" s="807" t="s">
        <v>18</v>
      </c>
      <c r="G23" s="805" t="s">
        <v>16</v>
      </c>
      <c r="H23" s="808"/>
      <c r="I23" s="808">
        <v>2456</v>
      </c>
      <c r="J23" s="808"/>
      <c r="K23" s="808"/>
      <c r="L23" s="814"/>
      <c r="M23" s="813"/>
      <c r="N23" s="841" t="s">
        <v>37</v>
      </c>
    </row>
    <row r="24" s="787" customFormat="1" ht="15" customHeight="1" spans="1:14">
      <c r="A24" s="810"/>
      <c r="B24" s="813"/>
      <c r="C24" s="813"/>
      <c r="D24" s="813"/>
      <c r="E24" s="813"/>
      <c r="F24" s="812"/>
      <c r="G24" s="812"/>
      <c r="H24" s="814"/>
      <c r="I24" s="814"/>
      <c r="J24" s="814"/>
      <c r="K24" s="814"/>
      <c r="L24" s="814"/>
      <c r="M24" s="813"/>
      <c r="N24" s="841" t="s">
        <v>37</v>
      </c>
    </row>
    <row r="25" spans="1:14">
      <c r="A25" s="850"/>
      <c r="B25" s="813"/>
      <c r="C25" s="851"/>
      <c r="D25" s="851"/>
      <c r="E25" s="851"/>
      <c r="F25" s="852"/>
      <c r="G25" s="852"/>
      <c r="H25" s="820"/>
      <c r="I25" s="820"/>
      <c r="J25" s="820"/>
      <c r="K25" s="820"/>
      <c r="L25" s="822"/>
      <c r="M25" s="823"/>
      <c r="N25" s="823"/>
    </row>
    <row r="26" spans="1:14">
      <c r="A26" s="819"/>
      <c r="B26" s="820"/>
      <c r="C26" s="820"/>
      <c r="D26" s="821"/>
      <c r="E26" s="821"/>
      <c r="F26" s="822"/>
      <c r="G26" s="821"/>
      <c r="H26" s="820"/>
      <c r="I26" s="820"/>
      <c r="J26" s="820"/>
      <c r="K26" s="820"/>
      <c r="L26" s="822"/>
      <c r="M26" s="823"/>
      <c r="N26" s="823"/>
    </row>
    <row r="27" spans="1:14">
      <c r="A27" s="824" t="s">
        <v>38</v>
      </c>
      <c r="B27" s="825"/>
      <c r="C27" s="825"/>
      <c r="D27" s="825"/>
      <c r="E27" s="825"/>
      <c r="F27" s="825"/>
      <c r="G27" s="826"/>
      <c r="H27" s="1417">
        <f>SUM(H3:H26)</f>
        <v>98436</v>
      </c>
      <c r="I27" s="1418">
        <f>SUM(I3:I26)</f>
        <v>117456</v>
      </c>
      <c r="J27" s="1418">
        <f>SUM(J3:J26)</f>
        <v>0</v>
      </c>
      <c r="K27" s="1418">
        <f>SUM(K3:K26)</f>
        <v>22000</v>
      </c>
      <c r="L27" s="1418">
        <f>SUM(L3:L26)</f>
        <v>3000</v>
      </c>
      <c r="M27" s="829"/>
      <c r="N27" s="829"/>
    </row>
    <row r="28" spans="1:14">
      <c r="A28" s="837"/>
      <c r="B28" s="838"/>
      <c r="C28" s="838"/>
      <c r="D28" s="838"/>
      <c r="E28" s="838"/>
      <c r="F28" s="838"/>
      <c r="G28" s="839"/>
      <c r="H28" s="833"/>
      <c r="I28" s="833"/>
      <c r="J28" s="833"/>
      <c r="K28" s="833"/>
      <c r="L28" s="833"/>
      <c r="M28" s="834"/>
      <c r="N28" s="834"/>
    </row>
    <row r="29" spans="1:14">
      <c r="A29" s="824" t="s">
        <v>39</v>
      </c>
      <c r="B29" s="825"/>
      <c r="C29" s="825"/>
      <c r="D29" s="825"/>
      <c r="E29" s="825"/>
      <c r="F29" s="825"/>
      <c r="G29" s="826"/>
      <c r="H29" s="828">
        <f>'77425明细 '!AK20+H32</f>
        <v>95060</v>
      </c>
      <c r="I29" s="828">
        <f>'77425明细 '!AL20+I32</f>
        <v>115160</v>
      </c>
      <c r="J29" s="828"/>
      <c r="K29" s="828">
        <f>'77425明细 '!AM20+K32</f>
        <v>22020</v>
      </c>
      <c r="L29" s="828">
        <f>'77425明细 '!AN20+L32</f>
        <v>3000</v>
      </c>
      <c r="M29" s="829"/>
      <c r="N29" s="829"/>
    </row>
    <row r="30" spans="1:14">
      <c r="A30" s="853"/>
      <c r="B30" s="853"/>
      <c r="C30" s="853"/>
      <c r="D30" s="853"/>
      <c r="E30" s="853"/>
      <c r="F30" s="854"/>
      <c r="G30" s="854"/>
      <c r="H30" s="833"/>
      <c r="I30" s="833"/>
      <c r="J30" s="833"/>
      <c r="K30" s="833"/>
      <c r="L30" s="833"/>
      <c r="M30" s="834"/>
      <c r="N30" s="834"/>
    </row>
    <row r="31" spans="1:14">
      <c r="A31" s="837" t="s">
        <v>40</v>
      </c>
      <c r="B31" s="838"/>
      <c r="C31" s="838"/>
      <c r="D31" s="838"/>
      <c r="E31" s="838"/>
      <c r="F31" s="838"/>
      <c r="G31" s="839"/>
      <c r="H31" s="840">
        <f t="shared" ref="H31:L31" si="0">H27-H29</f>
        <v>3376</v>
      </c>
      <c r="I31" s="840">
        <f t="shared" si="0"/>
        <v>2296</v>
      </c>
      <c r="J31" s="840">
        <f t="shared" si="0"/>
        <v>0</v>
      </c>
      <c r="K31" s="840">
        <f t="shared" si="0"/>
        <v>-20</v>
      </c>
      <c r="L31" s="840">
        <f t="shared" si="0"/>
        <v>0</v>
      </c>
      <c r="M31" s="814"/>
      <c r="N31" s="814"/>
    </row>
    <row r="32" spans="1:14">
      <c r="F32" s="785" t="s">
        <v>41</v>
      </c>
      <c r="H32" s="785">
        <v>93316</v>
      </c>
      <c r="I32" s="785">
        <v>113416</v>
      </c>
      <c r="J32" s="785">
        <v>0</v>
      </c>
      <c r="K32" s="785">
        <v>22020</v>
      </c>
      <c r="L32" s="785">
        <v>3000</v>
      </c>
    </row>
  </sheetData>
  <sheetProtection formatCells="0" formatColumns="0" formatRows="0" insertRows="0" insertColumns="0" insertHyperlinks="0" deleteColumns="0" deleteRows="0" sort="0" autoFilter="0" pivotTables="0"/>
  <mergeCells count="5">
    <mergeCell ref="A1:G1"/>
    <mergeCell ref="A27:G27"/>
    <mergeCell ref="A28:G28"/>
    <mergeCell ref="A29:G29"/>
    <mergeCell ref="A31:G31"/>
  </mergeCells>
  <conditionalFormatting sqref="A31:N31">
    <cfRule type="cellIs" dxfId="0" priority="1" operator="lessThan">
      <formula>0</formula>
    </cfRule>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2"/>
  <sheetViews>
    <sheetView zoomScale="80" zoomScaleNormal="80" workbookViewId="0">
      <pane xSplit="14" ySplit="1" topLeftCell="AB2" activePane="bottomRight" state="frozen"/>
      <selection/>
      <selection pane="topRight"/>
      <selection pane="bottomLeft"/>
      <selection pane="bottomRight" activeCell="AB8" sqref="AB8"/>
    </sheetView>
  </sheetViews>
  <sheetFormatPr defaultColWidth="9" defaultRowHeight="13.5"/>
  <cols>
    <col min="1" max="1" width="11.9666666666667" style="861" customWidth="1"/>
    <col min="2" max="2" width="14.1083333333333" style="860" customWidth="1"/>
    <col min="3" max="3" width="11.0583333333333" style="860" customWidth="1"/>
    <col min="4" max="4" width="14.7583333333333" style="860" customWidth="1"/>
    <col min="5" max="5" width="10.4416666666667" style="860" customWidth="1"/>
    <col min="6" max="6" width="16.8916666666667" style="860" customWidth="1"/>
    <col min="7" max="7" width="14.6833333333333" style="860" customWidth="1"/>
    <col min="8" max="8" width="15" style="860" customWidth="1"/>
    <col min="9" max="9" width="10.2583333333333" style="860" customWidth="1"/>
    <col min="10" max="10" width="7.575" style="860" customWidth="1"/>
    <col min="11" max="11" width="7.76666666666667" style="860" customWidth="1"/>
    <col min="12" max="12" width="8.75833333333333" style="860" customWidth="1"/>
    <col min="13" max="14" width="18.1083333333333" style="860" customWidth="1"/>
    <col min="15" max="15" width="11.8" style="860" customWidth="1"/>
    <col min="16" max="16" width="10" style="860" customWidth="1"/>
    <col min="17" max="17" width="12.675" style="860" customWidth="1"/>
    <col min="18" max="19" width="9.55833333333333" style="860" customWidth="1"/>
    <col min="20" max="20" width="11.5916666666667" style="860" customWidth="1"/>
    <col min="21" max="21" width="60.3416666666667" style="860" customWidth="1"/>
    <col min="22" max="22" width="12.2583333333333" style="860" customWidth="1"/>
    <col min="23" max="23" width="12.675" style="864" customWidth="1"/>
    <col min="24" max="24" width="11.4166666666667" style="865" customWidth="1"/>
    <col min="25" max="25" width="13.3916666666667" style="866" customWidth="1"/>
    <col min="26" max="26" width="14.275" style="866" customWidth="1"/>
    <col min="27" max="27" width="9.99166666666667" style="866" customWidth="1"/>
    <col min="28" max="28" width="9.65" style="866" customWidth="1"/>
    <col min="29" max="29" width="7.84166666666667" style="860" customWidth="1"/>
    <col min="30" max="30" width="10.35" style="869" customWidth="1"/>
    <col min="31" max="31" width="8.94166666666667" style="1374" customWidth="1"/>
    <col min="32" max="32" width="8.94166666666667" style="870" customWidth="1"/>
    <col min="33" max="33" width="7.85833333333333" style="871" customWidth="1"/>
    <col min="34" max="34" width="6.6" style="870" customWidth="1"/>
    <col min="35" max="45" width="9" style="860"/>
    <col min="46" max="51" width="11.8916666666667" style="860"/>
    <col min="52" max="52" width="14.3333333333333" style="860"/>
    <col min="53" max="53" width="9" style="860"/>
    <col min="54" max="57" width="10.65" style="860" customWidth="1"/>
    <col min="58" max="58" width="9" style="860"/>
    <col min="59" max="59" width="9.38333333333333" style="860"/>
    <col min="60" max="60" width="9" style="860"/>
    <col min="61" max="61" width="11.8916666666667" style="860"/>
    <col min="62" max="16384" width="9" style="860"/>
  </cols>
  <sheetData>
    <row r="1" s="1375" customFormat="1" ht="63" customHeight="1" spans="1:62">
      <c r="A1" s="1376" t="s">
        <v>42</v>
      </c>
      <c r="B1" s="1377" t="s">
        <v>43</v>
      </c>
      <c r="C1" s="1377" t="s">
        <v>44</v>
      </c>
      <c r="D1" s="1377" t="s">
        <v>45</v>
      </c>
      <c r="E1" s="1378" t="s">
        <v>46</v>
      </c>
      <c r="F1" s="1378" t="s">
        <v>47</v>
      </c>
      <c r="G1" s="1377" t="s">
        <v>48</v>
      </c>
      <c r="H1" s="1377" t="s">
        <v>49</v>
      </c>
      <c r="I1" s="1377" t="s">
        <v>50</v>
      </c>
      <c r="J1" s="1377" t="s">
        <v>51</v>
      </c>
      <c r="K1" s="1377" t="s">
        <v>52</v>
      </c>
      <c r="L1" s="1377" t="s">
        <v>53</v>
      </c>
      <c r="M1" s="1379" t="s">
        <v>54</v>
      </c>
      <c r="N1" s="1379" t="s">
        <v>55</v>
      </c>
      <c r="O1" s="1380" t="s">
        <v>56</v>
      </c>
      <c r="P1" s="1380" t="s">
        <v>57</v>
      </c>
      <c r="Q1" s="1377" t="s">
        <v>58</v>
      </c>
      <c r="R1" s="1381" t="s">
        <v>59</v>
      </c>
      <c r="S1" s="1381" t="s">
        <v>60</v>
      </c>
      <c r="T1" s="1381" t="s">
        <v>61</v>
      </c>
      <c r="U1" s="1375" t="s">
        <v>12</v>
      </c>
      <c r="V1" s="1377" t="s">
        <v>62</v>
      </c>
      <c r="W1" s="1382" t="s">
        <v>63</v>
      </c>
      <c r="X1" s="1383" t="s">
        <v>64</v>
      </c>
      <c r="Y1" s="1384" t="s">
        <v>65</v>
      </c>
      <c r="Z1" s="1380" t="s">
        <v>66</v>
      </c>
      <c r="AA1" s="1380" t="s">
        <v>67</v>
      </c>
      <c r="AB1" s="1380" t="s">
        <v>68</v>
      </c>
      <c r="AC1" s="1380" t="s">
        <v>69</v>
      </c>
      <c r="AD1" s="1385" t="s">
        <v>70</v>
      </c>
      <c r="AE1" s="1385" t="s">
        <v>40</v>
      </c>
      <c r="AF1" s="1386" t="s">
        <v>71</v>
      </c>
      <c r="AG1" s="1347" t="s">
        <v>72</v>
      </c>
      <c r="AH1" s="1386" t="s">
        <v>73</v>
      </c>
      <c r="AI1" s="1387" t="s">
        <v>74</v>
      </c>
      <c r="AJ1" s="1387" t="s">
        <v>75</v>
      </c>
      <c r="AK1" s="1387" t="s">
        <v>76</v>
      </c>
      <c r="AL1" s="1387" t="s">
        <v>77</v>
      </c>
      <c r="AM1" s="1387" t="s">
        <v>78</v>
      </c>
      <c r="AN1" s="1387" t="s">
        <v>79</v>
      </c>
      <c r="AO1" s="1387"/>
      <c r="AP1" s="1387"/>
      <c r="AQ1" s="1388"/>
      <c r="AR1" s="1388"/>
      <c r="AS1" s="1388"/>
      <c r="AT1" s="1389"/>
      <c r="AU1" s="1389"/>
      <c r="AV1" s="1389"/>
      <c r="AW1" s="1387"/>
      <c r="AX1" s="1387"/>
      <c r="AY1" s="1387"/>
      <c r="AZ1" s="1387"/>
      <c r="BA1" s="1387"/>
      <c r="BB1" s="1387"/>
      <c r="BC1" s="1387"/>
      <c r="BD1" s="1387"/>
      <c r="BE1" s="1387"/>
      <c r="BF1" s="1390"/>
      <c r="BG1" s="1387"/>
      <c r="BH1" s="1387"/>
      <c r="BI1" s="1387"/>
      <c r="BJ1" s="1387"/>
    </row>
    <row r="2" s="857" customFormat="1" ht="31" customHeight="1" spans="1:62">
      <c r="A2" s="1391">
        <v>45614</v>
      </c>
      <c r="B2" s="1392" t="s">
        <v>80</v>
      </c>
      <c r="C2" s="944" t="s">
        <v>81</v>
      </c>
      <c r="D2" s="1216">
        <v>4500151559</v>
      </c>
      <c r="E2" s="1393" t="s">
        <v>82</v>
      </c>
      <c r="F2" s="1216" t="s">
        <v>83</v>
      </c>
      <c r="G2" s="927" t="s">
        <v>84</v>
      </c>
      <c r="H2" s="928" t="s">
        <v>85</v>
      </c>
      <c r="I2" s="928">
        <v>24</v>
      </c>
      <c r="J2" s="928">
        <v>0</v>
      </c>
      <c r="K2" s="928">
        <v>4</v>
      </c>
      <c r="L2" s="929">
        <f t="shared" ref="L2:L10" si="0">I2/K2</f>
        <v>6</v>
      </c>
      <c r="M2" s="930">
        <v>45649</v>
      </c>
      <c r="N2" s="930">
        <v>45645</v>
      </c>
      <c r="O2" s="937"/>
      <c r="P2" s="1339" t="s">
        <v>86</v>
      </c>
      <c r="Q2" s="926"/>
      <c r="R2" s="1394" t="s">
        <v>87</v>
      </c>
      <c r="S2" s="1394" t="s">
        <v>88</v>
      </c>
      <c r="T2" s="1394" t="s">
        <v>89</v>
      </c>
      <c r="U2" s="942" t="s">
        <v>90</v>
      </c>
      <c r="V2" s="1227" t="s">
        <v>91</v>
      </c>
      <c r="W2" s="935">
        <v>8.2879</v>
      </c>
      <c r="X2" s="936">
        <f>I2*W2</f>
        <v>198.9096</v>
      </c>
      <c r="Y2" s="926" t="s">
        <v>92</v>
      </c>
      <c r="Z2" s="926" t="s">
        <v>84</v>
      </c>
      <c r="AA2" s="927" t="s">
        <v>93</v>
      </c>
      <c r="AB2" s="926" t="s">
        <v>94</v>
      </c>
      <c r="AC2" s="1040"/>
      <c r="AD2" s="1395">
        <v>24</v>
      </c>
      <c r="AE2" s="937">
        <f t="shared" ref="AE2:AE10" si="1">AD2-I2</f>
        <v>0</v>
      </c>
      <c r="AF2" s="924"/>
      <c r="AG2" s="1396" t="s">
        <v>95</v>
      </c>
      <c r="AH2" s="926"/>
      <c r="AI2" s="858">
        <f t="shared" ref="AI2:AI10" si="2">I2</f>
        <v>24</v>
      </c>
      <c r="AJ2" s="858"/>
      <c r="AK2" s="857">
        <f t="shared" ref="AK2:AK10" si="3">I2</f>
        <v>24</v>
      </c>
      <c r="AL2" s="858">
        <f t="shared" ref="AL2:AL10" si="4">I2</f>
        <v>24</v>
      </c>
      <c r="AM2" s="858"/>
    </row>
    <row r="3" s="857" customFormat="1" ht="31" customHeight="1" spans="1:62">
      <c r="A3" s="1391">
        <v>45631</v>
      </c>
      <c r="B3" s="1392"/>
      <c r="C3" s="944"/>
      <c r="D3" s="1216" t="s">
        <v>96</v>
      </c>
      <c r="E3" s="1393"/>
      <c r="F3" s="1216"/>
      <c r="G3" s="927" t="s">
        <v>84</v>
      </c>
      <c r="H3" s="928" t="s">
        <v>85</v>
      </c>
      <c r="I3" s="928">
        <v>60</v>
      </c>
      <c r="J3" s="928">
        <v>0</v>
      </c>
      <c r="K3" s="928">
        <v>4</v>
      </c>
      <c r="L3" s="929">
        <f t="shared" si="0"/>
        <v>15</v>
      </c>
      <c r="M3" s="930">
        <v>45649</v>
      </c>
      <c r="N3" s="930">
        <v>45645</v>
      </c>
      <c r="O3" s="937"/>
      <c r="P3" s="1339"/>
      <c r="Q3" s="926"/>
      <c r="R3" s="1394" t="s">
        <v>97</v>
      </c>
      <c r="S3" s="1394" t="s">
        <v>98</v>
      </c>
      <c r="T3" s="1394" t="s">
        <v>98</v>
      </c>
      <c r="U3" s="942" t="s">
        <v>99</v>
      </c>
      <c r="V3" s="1227" t="s">
        <v>100</v>
      </c>
      <c r="W3" s="935"/>
      <c r="X3" s="936"/>
      <c r="Y3" s="926" t="s">
        <v>101</v>
      </c>
      <c r="Z3" s="926" t="s">
        <v>84</v>
      </c>
      <c r="AA3" s="927" t="s">
        <v>93</v>
      </c>
      <c r="AB3" s="926" t="s">
        <v>94</v>
      </c>
      <c r="AC3" s="1040"/>
      <c r="AD3" s="1395">
        <v>60</v>
      </c>
      <c r="AE3" s="937">
        <f t="shared" si="1"/>
        <v>0</v>
      </c>
      <c r="AF3" s="924"/>
      <c r="AG3" s="1396"/>
      <c r="AH3" s="926"/>
      <c r="AI3" s="858">
        <f t="shared" si="2"/>
        <v>60</v>
      </c>
      <c r="AJ3" s="858"/>
      <c r="AK3" s="857">
        <f t="shared" si="3"/>
        <v>60</v>
      </c>
      <c r="AL3" s="858">
        <f t="shared" si="4"/>
        <v>60</v>
      </c>
      <c r="AM3" s="858"/>
    </row>
    <row r="4" s="857" customFormat="1" ht="31" customHeight="1" spans="1:62">
      <c r="A4" s="1391">
        <v>45702</v>
      </c>
      <c r="B4" s="1392" t="s">
        <v>102</v>
      </c>
      <c r="C4" s="944" t="s">
        <v>103</v>
      </c>
      <c r="D4" s="1216">
        <v>4500157680</v>
      </c>
      <c r="E4" s="1393" t="s">
        <v>104</v>
      </c>
      <c r="F4" s="1216" t="s">
        <v>105</v>
      </c>
      <c r="G4" s="927" t="s">
        <v>84</v>
      </c>
      <c r="H4" s="928" t="s">
        <v>85</v>
      </c>
      <c r="I4" s="928">
        <v>548</v>
      </c>
      <c r="J4" s="928">
        <v>0</v>
      </c>
      <c r="K4" s="928">
        <v>4</v>
      </c>
      <c r="L4" s="929">
        <f t="shared" si="0"/>
        <v>137</v>
      </c>
      <c r="M4" s="930">
        <v>45741</v>
      </c>
      <c r="N4" s="930">
        <v>45737</v>
      </c>
      <c r="O4" s="937"/>
      <c r="P4" s="1339" t="s">
        <v>86</v>
      </c>
      <c r="Q4" s="926"/>
      <c r="R4" s="1394">
        <v>45712</v>
      </c>
      <c r="S4" s="1394" t="s">
        <v>98</v>
      </c>
      <c r="T4" s="1394">
        <v>45707</v>
      </c>
      <c r="U4" s="942" t="s">
        <v>106</v>
      </c>
      <c r="V4" s="1227" t="s">
        <v>107</v>
      </c>
      <c r="W4" s="935">
        <v>7.6428</v>
      </c>
      <c r="X4" s="936">
        <f t="shared" ref="X4:X10" si="5">W4*I4</f>
        <v>4188.2544</v>
      </c>
      <c r="Y4" s="926" t="s">
        <v>108</v>
      </c>
      <c r="Z4" s="926" t="s">
        <v>84</v>
      </c>
      <c r="AA4" s="927" t="s">
        <v>93</v>
      </c>
      <c r="AB4" s="926" t="s">
        <v>94</v>
      </c>
      <c r="AC4" s="1040"/>
      <c r="AD4" s="1395">
        <v>548</v>
      </c>
      <c r="AE4" s="937">
        <f t="shared" si="1"/>
        <v>0</v>
      </c>
      <c r="AF4" s="924"/>
      <c r="AG4" s="1396" t="s">
        <v>98</v>
      </c>
      <c r="AH4" s="926"/>
      <c r="AI4" s="858">
        <f t="shared" si="2"/>
        <v>548</v>
      </c>
      <c r="AJ4" s="858"/>
      <c r="AK4" s="857">
        <f t="shared" si="3"/>
        <v>548</v>
      </c>
      <c r="AL4" s="858">
        <f t="shared" si="4"/>
        <v>548</v>
      </c>
      <c r="AM4" s="858"/>
    </row>
    <row r="5" s="857" customFormat="1" ht="31" customHeight="1" spans="1:62">
      <c r="A5" s="1391">
        <v>45702</v>
      </c>
      <c r="B5" s="1392" t="s">
        <v>109</v>
      </c>
      <c r="C5" s="944" t="s">
        <v>110</v>
      </c>
      <c r="D5" s="1216">
        <v>4500157675</v>
      </c>
      <c r="E5" s="1393" t="s">
        <v>111</v>
      </c>
      <c r="F5" s="1216" t="s">
        <v>112</v>
      </c>
      <c r="G5" s="927" t="s">
        <v>84</v>
      </c>
      <c r="H5" s="928" t="s">
        <v>85</v>
      </c>
      <c r="I5" s="928">
        <v>548</v>
      </c>
      <c r="J5" s="928">
        <v>0</v>
      </c>
      <c r="K5" s="928">
        <v>4</v>
      </c>
      <c r="L5" s="929">
        <f t="shared" si="0"/>
        <v>137</v>
      </c>
      <c r="M5" s="930">
        <v>45741</v>
      </c>
      <c r="N5" s="930">
        <v>45737</v>
      </c>
      <c r="O5" s="937"/>
      <c r="P5" s="1339" t="s">
        <v>86</v>
      </c>
      <c r="Q5" s="926"/>
      <c r="R5" s="1394">
        <v>45712</v>
      </c>
      <c r="S5" s="1394" t="s">
        <v>98</v>
      </c>
      <c r="T5" s="1394">
        <v>45707</v>
      </c>
      <c r="U5" s="942" t="s">
        <v>113</v>
      </c>
      <c r="V5" s="1227" t="s">
        <v>107</v>
      </c>
      <c r="W5" s="935">
        <v>7.339</v>
      </c>
      <c r="X5" s="936">
        <f t="shared" si="5"/>
        <v>4021.772</v>
      </c>
      <c r="Y5" s="926" t="s">
        <v>114</v>
      </c>
      <c r="Z5" s="926" t="s">
        <v>84</v>
      </c>
      <c r="AA5" s="927" t="s">
        <v>93</v>
      </c>
      <c r="AB5" s="926" t="s">
        <v>94</v>
      </c>
      <c r="AC5" s="1040"/>
      <c r="AD5" s="1395">
        <v>548</v>
      </c>
      <c r="AE5" s="937">
        <f t="shared" si="1"/>
        <v>0</v>
      </c>
      <c r="AF5" s="924"/>
      <c r="AG5" s="1396" t="s">
        <v>95</v>
      </c>
      <c r="AH5" s="926"/>
      <c r="AI5" s="858">
        <f t="shared" si="2"/>
        <v>548</v>
      </c>
      <c r="AJ5" s="858"/>
      <c r="AK5" s="857">
        <f t="shared" si="3"/>
        <v>548</v>
      </c>
      <c r="AL5" s="858">
        <f t="shared" si="4"/>
        <v>548</v>
      </c>
      <c r="AM5" s="858"/>
    </row>
    <row r="6" s="857" customFormat="1" ht="31" customHeight="1" spans="1:62">
      <c r="A6" s="1391">
        <v>45756</v>
      </c>
      <c r="B6" s="1392" t="s">
        <v>80</v>
      </c>
      <c r="C6" s="944" t="s">
        <v>81</v>
      </c>
      <c r="D6" s="1216">
        <v>4500163057</v>
      </c>
      <c r="E6" s="1393" t="s">
        <v>115</v>
      </c>
      <c r="F6" s="1216" t="s">
        <v>116</v>
      </c>
      <c r="G6" s="927" t="s">
        <v>84</v>
      </c>
      <c r="H6" s="928" t="s">
        <v>85</v>
      </c>
      <c r="I6" s="928">
        <v>92</v>
      </c>
      <c r="J6" s="928">
        <v>0</v>
      </c>
      <c r="K6" s="928">
        <v>4</v>
      </c>
      <c r="L6" s="929">
        <f t="shared" si="0"/>
        <v>23</v>
      </c>
      <c r="M6" s="930">
        <v>45812</v>
      </c>
      <c r="N6" s="930">
        <f>M6-4</f>
        <v>45808</v>
      </c>
      <c r="O6" s="937"/>
      <c r="P6" s="1339" t="s">
        <v>86</v>
      </c>
      <c r="Q6" s="926"/>
      <c r="R6" s="1394" t="s">
        <v>117</v>
      </c>
      <c r="S6" s="1394" t="s">
        <v>88</v>
      </c>
      <c r="T6" s="1394" t="s">
        <v>89</v>
      </c>
      <c r="U6" s="942" t="s">
        <v>118</v>
      </c>
      <c r="V6" s="1227" t="s">
        <v>119</v>
      </c>
      <c r="W6" s="935">
        <v>8.1164</v>
      </c>
      <c r="X6" s="936">
        <f t="shared" si="5"/>
        <v>746.7088</v>
      </c>
      <c r="Y6" s="926" t="s">
        <v>120</v>
      </c>
      <c r="Z6" s="926" t="s">
        <v>84</v>
      </c>
      <c r="AA6" s="927" t="s">
        <v>93</v>
      </c>
      <c r="AB6" s="926" t="s">
        <v>94</v>
      </c>
      <c r="AC6" s="1040"/>
      <c r="AD6" s="1395">
        <v>92</v>
      </c>
      <c r="AE6" s="937">
        <f t="shared" si="1"/>
        <v>0</v>
      </c>
      <c r="AF6" s="924"/>
      <c r="AG6" s="1396" t="s">
        <v>95</v>
      </c>
      <c r="AH6" s="926"/>
      <c r="AI6" s="858">
        <f t="shared" si="2"/>
        <v>92</v>
      </c>
      <c r="AJ6" s="858"/>
      <c r="AK6" s="857">
        <f t="shared" si="3"/>
        <v>92</v>
      </c>
      <c r="AL6" s="858">
        <f t="shared" si="4"/>
        <v>92</v>
      </c>
      <c r="AM6" s="858"/>
    </row>
    <row r="7" s="857" customFormat="1" ht="31" customHeight="1" spans="1:62">
      <c r="A7" s="1391">
        <v>45756</v>
      </c>
      <c r="B7" s="1392" t="s">
        <v>80</v>
      </c>
      <c r="C7" s="944" t="s">
        <v>81</v>
      </c>
      <c r="D7" s="1216">
        <v>4500163057</v>
      </c>
      <c r="E7" s="1393" t="s">
        <v>121</v>
      </c>
      <c r="F7" s="1216" t="s">
        <v>122</v>
      </c>
      <c r="G7" s="1070" t="s">
        <v>123</v>
      </c>
      <c r="H7" s="928" t="s">
        <v>85</v>
      </c>
      <c r="I7" s="928">
        <v>64</v>
      </c>
      <c r="J7" s="928">
        <v>0</v>
      </c>
      <c r="K7" s="928">
        <v>4</v>
      </c>
      <c r="L7" s="929">
        <f t="shared" si="0"/>
        <v>16</v>
      </c>
      <c r="M7" s="930">
        <v>45812</v>
      </c>
      <c r="N7" s="930">
        <f>M7-4</f>
        <v>45808</v>
      </c>
      <c r="O7" s="937"/>
      <c r="P7" s="1339" t="s">
        <v>86</v>
      </c>
      <c r="Q7" s="926"/>
      <c r="R7" s="1394" t="s">
        <v>117</v>
      </c>
      <c r="S7" s="1394" t="s">
        <v>88</v>
      </c>
      <c r="T7" s="1394" t="s">
        <v>89</v>
      </c>
      <c r="U7" s="942" t="s">
        <v>118</v>
      </c>
      <c r="V7" s="1227" t="s">
        <v>119</v>
      </c>
      <c r="W7" s="935">
        <v>8.1164</v>
      </c>
      <c r="X7" s="936">
        <f t="shared" si="5"/>
        <v>519.4496</v>
      </c>
      <c r="Y7" s="926" t="s">
        <v>120</v>
      </c>
      <c r="Z7" s="926" t="s">
        <v>84</v>
      </c>
      <c r="AA7" s="927" t="s">
        <v>93</v>
      </c>
      <c r="AB7" s="926" t="s">
        <v>94</v>
      </c>
      <c r="AC7" s="1040"/>
      <c r="AD7" s="1395">
        <v>64</v>
      </c>
      <c r="AE7" s="937">
        <f t="shared" si="1"/>
        <v>0</v>
      </c>
      <c r="AF7" s="924"/>
      <c r="AG7" s="1396" t="s">
        <v>95</v>
      </c>
      <c r="AH7" s="926"/>
      <c r="AI7" s="858">
        <f t="shared" si="2"/>
        <v>64</v>
      </c>
      <c r="AJ7" s="858"/>
      <c r="AK7" s="857">
        <f t="shared" si="3"/>
        <v>64</v>
      </c>
      <c r="AL7" s="858">
        <f t="shared" si="4"/>
        <v>64</v>
      </c>
      <c r="AM7" s="858"/>
    </row>
    <row r="8" s="859" customFormat="1" ht="31" customHeight="1" spans="1:62">
      <c r="A8" s="1397">
        <v>45818</v>
      </c>
      <c r="B8" s="1398" t="s">
        <v>124</v>
      </c>
      <c r="C8" s="1064" t="s">
        <v>125</v>
      </c>
      <c r="D8" s="1399">
        <v>4500169495</v>
      </c>
      <c r="E8" s="1400" t="s">
        <v>126</v>
      </c>
      <c r="F8" s="1399" t="s">
        <v>127</v>
      </c>
      <c r="G8" s="953" t="s">
        <v>128</v>
      </c>
      <c r="H8" s="954" t="s">
        <v>85</v>
      </c>
      <c r="I8" s="954">
        <v>212</v>
      </c>
      <c r="J8" s="954">
        <v>0</v>
      </c>
      <c r="K8" s="954">
        <v>4</v>
      </c>
      <c r="L8" s="955">
        <f t="shared" si="0"/>
        <v>53</v>
      </c>
      <c r="M8" s="956">
        <v>45855</v>
      </c>
      <c r="N8" s="956">
        <v>45852</v>
      </c>
      <c r="O8" s="980"/>
      <c r="P8" s="968" t="s">
        <v>86</v>
      </c>
      <c r="Q8" s="951"/>
      <c r="R8" s="1401">
        <v>45818</v>
      </c>
      <c r="S8" s="1401" t="s">
        <v>98</v>
      </c>
      <c r="T8" s="1401" t="s">
        <v>98</v>
      </c>
      <c r="U8" s="1061" t="s">
        <v>129</v>
      </c>
      <c r="V8" s="1402" t="s">
        <v>130</v>
      </c>
      <c r="W8" s="960">
        <v>4.4908</v>
      </c>
      <c r="X8" s="961">
        <f t="shared" si="5"/>
        <v>952.0496</v>
      </c>
      <c r="Y8" s="951" t="s">
        <v>131</v>
      </c>
      <c r="Z8" s="951" t="s">
        <v>84</v>
      </c>
      <c r="AA8" s="953" t="s">
        <v>93</v>
      </c>
      <c r="AB8" s="951" t="s">
        <v>94</v>
      </c>
      <c r="AC8" s="990"/>
      <c r="AD8" s="1403">
        <v>212</v>
      </c>
      <c r="AE8" s="980">
        <f t="shared" si="1"/>
        <v>0</v>
      </c>
      <c r="AF8" s="949"/>
      <c r="AG8" s="1404" t="s">
        <v>98</v>
      </c>
      <c r="AH8" s="951"/>
      <c r="AI8" s="962">
        <f t="shared" si="2"/>
        <v>212</v>
      </c>
      <c r="AJ8" s="962"/>
      <c r="AK8" s="859">
        <f t="shared" si="3"/>
        <v>212</v>
      </c>
      <c r="AL8" s="962">
        <f t="shared" si="4"/>
        <v>212</v>
      </c>
      <c r="AM8" s="962"/>
    </row>
    <row r="9" s="859" customFormat="1" ht="31" customHeight="1" spans="1:62">
      <c r="A9" s="1405">
        <v>45744</v>
      </c>
      <c r="B9" s="1406" t="s">
        <v>132</v>
      </c>
      <c r="C9" s="990" t="s">
        <v>133</v>
      </c>
      <c r="D9" s="1407">
        <v>4500161685</v>
      </c>
      <c r="E9" s="990"/>
      <c r="F9" s="990" t="s">
        <v>134</v>
      </c>
      <c r="G9" s="1408" t="s">
        <v>84</v>
      </c>
      <c r="H9" s="954" t="s">
        <v>85</v>
      </c>
      <c r="I9" s="954">
        <v>100</v>
      </c>
      <c r="J9" s="954">
        <v>0</v>
      </c>
      <c r="K9" s="954">
        <v>4</v>
      </c>
      <c r="L9" s="955">
        <f t="shared" si="0"/>
        <v>25</v>
      </c>
      <c r="M9" s="956">
        <v>45880</v>
      </c>
      <c r="N9" s="956">
        <v>45876</v>
      </c>
      <c r="O9" s="980"/>
      <c r="P9" s="957" t="s">
        <v>86</v>
      </c>
      <c r="Q9" s="951"/>
      <c r="R9" s="992">
        <v>45784</v>
      </c>
      <c r="S9" s="1401" t="s">
        <v>98</v>
      </c>
      <c r="T9" s="992">
        <v>45856</v>
      </c>
      <c r="U9" s="1061" t="s">
        <v>135</v>
      </c>
      <c r="V9" s="956" t="s">
        <v>136</v>
      </c>
      <c r="W9" s="960">
        <v>7.1871</v>
      </c>
      <c r="X9" s="961">
        <f t="shared" si="5"/>
        <v>718.71</v>
      </c>
      <c r="Y9" s="951" t="s">
        <v>137</v>
      </c>
      <c r="Z9" s="1408" t="s">
        <v>84</v>
      </c>
      <c r="AA9" s="951" t="s">
        <v>93</v>
      </c>
      <c r="AB9" s="1409" t="s">
        <v>94</v>
      </c>
      <c r="AC9" s="990"/>
      <c r="AD9" s="1403">
        <v>100</v>
      </c>
      <c r="AE9" s="1410">
        <f t="shared" si="1"/>
        <v>0</v>
      </c>
      <c r="AF9" s="949"/>
      <c r="AG9" s="990" t="s">
        <v>95</v>
      </c>
      <c r="AH9" s="951"/>
      <c r="AI9" s="962">
        <f t="shared" si="2"/>
        <v>100</v>
      </c>
      <c r="AK9" s="859">
        <f t="shared" si="3"/>
        <v>100</v>
      </c>
      <c r="AL9" s="962">
        <f t="shared" si="4"/>
        <v>100</v>
      </c>
    </row>
    <row r="10" s="859" customFormat="1" ht="31" customHeight="1" spans="1:62">
      <c r="A10" s="1405">
        <v>45840</v>
      </c>
      <c r="B10" s="1406" t="s">
        <v>102</v>
      </c>
      <c r="C10" s="990" t="s">
        <v>103</v>
      </c>
      <c r="D10" s="1407">
        <v>4500172515</v>
      </c>
      <c r="E10" s="990" t="s">
        <v>138</v>
      </c>
      <c r="F10" s="1407" t="s">
        <v>139</v>
      </c>
      <c r="G10" s="1408" t="s">
        <v>84</v>
      </c>
      <c r="H10" s="954" t="s">
        <v>85</v>
      </c>
      <c r="I10" s="954">
        <v>96</v>
      </c>
      <c r="J10" s="954">
        <v>0</v>
      </c>
      <c r="K10" s="954">
        <v>4</v>
      </c>
      <c r="L10" s="955">
        <f t="shared" si="0"/>
        <v>24</v>
      </c>
      <c r="M10" s="956">
        <v>45880</v>
      </c>
      <c r="N10" s="956">
        <v>45876</v>
      </c>
      <c r="O10" s="980"/>
      <c r="P10" s="957" t="s">
        <v>86</v>
      </c>
      <c r="Q10" s="951"/>
      <c r="R10" s="992">
        <v>45840</v>
      </c>
      <c r="S10" s="1401" t="s">
        <v>98</v>
      </c>
      <c r="T10" s="992">
        <v>45861</v>
      </c>
      <c r="U10" s="1061" t="s">
        <v>140</v>
      </c>
      <c r="V10" s="956" t="s">
        <v>107</v>
      </c>
      <c r="W10" s="960">
        <v>7.4847</v>
      </c>
      <c r="X10" s="961">
        <f t="shared" si="5"/>
        <v>718.5312</v>
      </c>
      <c r="Y10" s="951" t="s">
        <v>141</v>
      </c>
      <c r="Z10" s="1408" t="s">
        <v>84</v>
      </c>
      <c r="AA10" s="951" t="s">
        <v>93</v>
      </c>
      <c r="AB10" s="1409" t="s">
        <v>94</v>
      </c>
      <c r="AC10" s="990"/>
      <c r="AD10" s="1403">
        <v>96</v>
      </c>
      <c r="AE10" s="1410">
        <f t="shared" si="1"/>
        <v>0</v>
      </c>
      <c r="AF10" s="949"/>
      <c r="AG10" s="990" t="s">
        <v>95</v>
      </c>
      <c r="AH10" s="951"/>
      <c r="AI10" s="962">
        <f t="shared" si="2"/>
        <v>96</v>
      </c>
      <c r="AK10" s="859">
        <f t="shared" si="3"/>
        <v>96</v>
      </c>
      <c r="AL10" s="962">
        <f t="shared" si="4"/>
        <v>96</v>
      </c>
    </row>
    <row r="11" s="857" customFormat="1" ht="31" customHeight="1" spans="1:62">
      <c r="A11" s="923"/>
      <c r="B11" s="933"/>
      <c r="C11" s="926"/>
      <c r="E11" s="926"/>
      <c r="G11" s="1364"/>
      <c r="H11" s="926"/>
      <c r="I11" s="926"/>
      <c r="J11" s="926"/>
      <c r="K11" s="926"/>
      <c r="L11" s="1201"/>
      <c r="M11" s="930"/>
      <c r="N11" s="926"/>
      <c r="O11" s="926"/>
      <c r="P11" s="926"/>
      <c r="Q11" s="1263"/>
      <c r="R11" s="1263"/>
      <c r="S11" s="1037"/>
      <c r="T11" s="1037"/>
      <c r="U11" s="1411"/>
      <c r="V11" s="930"/>
      <c r="W11" s="1203"/>
      <c r="X11" s="1204"/>
      <c r="Y11" s="926"/>
      <c r="Z11" s="926"/>
      <c r="AA11" s="926"/>
      <c r="AB11" s="926"/>
      <c r="AC11" s="926"/>
      <c r="AD11" s="1263"/>
      <c r="AE11" s="1263"/>
      <c r="AF11" s="926"/>
      <c r="AG11" s="1205"/>
      <c r="AH11" s="926"/>
    </row>
    <row r="12" s="857" customFormat="1" ht="31" customHeight="1" spans="1:62">
      <c r="A12" s="923"/>
      <c r="B12" s="933"/>
      <c r="C12" s="926"/>
      <c r="E12" s="926"/>
      <c r="F12" s="926"/>
      <c r="G12" s="930"/>
      <c r="H12" s="926"/>
      <c r="I12" s="926"/>
      <c r="J12" s="926"/>
      <c r="K12" s="926"/>
      <c r="L12" s="1201"/>
      <c r="M12" s="930"/>
      <c r="N12" s="930"/>
      <c r="O12" s="937"/>
      <c r="P12" s="937"/>
      <c r="Q12" s="926"/>
      <c r="R12" s="1037"/>
      <c r="S12" s="1037"/>
      <c r="T12" s="1037"/>
      <c r="V12" s="930"/>
      <c r="W12" s="1203"/>
      <c r="X12" s="1204"/>
      <c r="Y12" s="926"/>
      <c r="Z12" s="926"/>
      <c r="AF12" s="926"/>
      <c r="AG12" s="1205"/>
      <c r="AH12" s="926"/>
    </row>
    <row r="13" s="857" customFormat="1" ht="31" customHeight="1" spans="1:62">
      <c r="A13" s="923"/>
      <c r="B13" s="933"/>
      <c r="C13" s="926"/>
      <c r="E13" s="926"/>
      <c r="F13" s="926"/>
      <c r="G13" s="1364"/>
      <c r="H13" s="926"/>
      <c r="I13" s="926"/>
      <c r="J13" s="926"/>
      <c r="K13" s="926"/>
      <c r="L13" s="1201"/>
      <c r="M13" s="930"/>
      <c r="N13" s="930"/>
      <c r="O13" s="937"/>
      <c r="P13" s="937"/>
      <c r="Q13" s="926"/>
      <c r="R13" s="1037"/>
      <c r="S13" s="1037"/>
      <c r="T13" s="1037"/>
      <c r="V13" s="930"/>
      <c r="W13" s="1203"/>
      <c r="X13" s="1204"/>
      <c r="Y13" s="926"/>
      <c r="Z13" s="926"/>
      <c r="AA13" s="926"/>
      <c r="AB13" s="926"/>
      <c r="AC13" s="926"/>
      <c r="AD13" s="1263"/>
      <c r="AE13" s="1263"/>
      <c r="AF13" s="926"/>
      <c r="AG13" s="1205"/>
      <c r="AH13" s="926"/>
    </row>
    <row r="14" s="857" customFormat="1" ht="31" customHeight="1" spans="1:62">
      <c r="A14" s="923"/>
      <c r="B14" s="933"/>
      <c r="C14" s="926"/>
      <c r="E14" s="926"/>
      <c r="F14" s="926"/>
      <c r="G14" s="1364"/>
      <c r="H14" s="926"/>
      <c r="I14" s="926"/>
      <c r="J14" s="926"/>
      <c r="K14" s="926"/>
      <c r="L14" s="1201"/>
      <c r="M14" s="930"/>
      <c r="N14" s="930"/>
      <c r="O14" s="937"/>
      <c r="P14" s="937"/>
      <c r="Q14" s="926"/>
      <c r="R14" s="1037"/>
      <c r="S14" s="1037"/>
      <c r="T14" s="1037"/>
      <c r="V14" s="930"/>
      <c r="W14" s="1203"/>
      <c r="X14" s="1204"/>
      <c r="Y14" s="926"/>
      <c r="Z14" s="926"/>
      <c r="AA14" s="926"/>
      <c r="AB14" s="926"/>
      <c r="AC14" s="926"/>
      <c r="AD14" s="1263"/>
      <c r="AE14" s="1263"/>
      <c r="AF14" s="926"/>
      <c r="AG14" s="1205"/>
      <c r="AH14" s="926"/>
    </row>
    <row r="15" s="857" customFormat="1" ht="31" customHeight="1" spans="1:62">
      <c r="A15" s="923"/>
      <c r="B15" s="933"/>
      <c r="C15" s="926"/>
      <c r="E15" s="926"/>
      <c r="F15" s="926"/>
      <c r="G15" s="930"/>
      <c r="H15" s="926"/>
      <c r="I15" s="926"/>
      <c r="J15" s="926"/>
      <c r="K15" s="926"/>
      <c r="L15" s="1201"/>
      <c r="M15" s="930"/>
      <c r="N15" s="930"/>
      <c r="O15" s="937"/>
      <c r="P15" s="937"/>
      <c r="Q15" s="926"/>
      <c r="R15" s="1037"/>
      <c r="S15" s="1037"/>
      <c r="T15" s="1037"/>
      <c r="V15" s="930"/>
      <c r="W15" s="1203"/>
      <c r="X15" s="1204"/>
      <c r="Y15" s="926"/>
      <c r="Z15" s="926"/>
      <c r="AA15" s="926"/>
      <c r="AB15" s="926"/>
      <c r="AC15" s="926"/>
      <c r="AD15" s="1263"/>
      <c r="AE15" s="1263"/>
      <c r="AF15" s="926"/>
      <c r="AG15" s="1205"/>
      <c r="AH15" s="926"/>
    </row>
    <row r="16" s="857" customFormat="1" ht="31" customHeight="1" spans="1:62">
      <c r="A16" s="923"/>
      <c r="B16" s="933"/>
      <c r="C16" s="926"/>
      <c r="E16" s="926"/>
      <c r="F16" s="926"/>
      <c r="G16" s="1364"/>
      <c r="H16" s="926"/>
      <c r="I16" s="926"/>
      <c r="J16" s="926"/>
      <c r="K16" s="926"/>
      <c r="L16" s="1201"/>
      <c r="M16" s="930"/>
      <c r="N16" s="930"/>
      <c r="O16" s="937"/>
      <c r="P16" s="937"/>
      <c r="Q16" s="926"/>
      <c r="R16" s="1037"/>
      <c r="S16" s="1037"/>
      <c r="T16" s="1037"/>
      <c r="V16" s="930"/>
      <c r="W16" s="1203"/>
      <c r="X16" s="1204"/>
      <c r="Y16" s="926"/>
      <c r="Z16" s="926"/>
      <c r="AA16" s="926"/>
      <c r="AB16" s="926"/>
      <c r="AC16" s="926"/>
      <c r="AD16" s="1263"/>
      <c r="AE16" s="1263"/>
      <c r="AF16" s="926"/>
      <c r="AG16" s="1205"/>
      <c r="AH16" s="926"/>
    </row>
    <row r="17" s="857" customFormat="1" ht="31" customHeight="1" spans="1:62">
      <c r="A17" s="923"/>
      <c r="B17" s="933"/>
      <c r="C17" s="926"/>
      <c r="E17" s="926"/>
      <c r="F17" s="926"/>
      <c r="G17" s="1364"/>
      <c r="H17" s="926"/>
      <c r="I17" s="926"/>
      <c r="J17" s="926"/>
      <c r="K17" s="926"/>
      <c r="L17" s="1201"/>
      <c r="M17" s="930"/>
      <c r="N17" s="930"/>
      <c r="O17" s="937"/>
      <c r="P17" s="937"/>
      <c r="Q17" s="926"/>
      <c r="R17" s="932"/>
      <c r="S17" s="1037"/>
      <c r="T17" s="932"/>
      <c r="V17" s="930"/>
      <c r="W17" s="1365"/>
      <c r="X17" s="1204"/>
      <c r="Y17" s="926"/>
      <c r="Z17" s="926"/>
      <c r="AA17" s="926"/>
      <c r="AB17" s="926"/>
      <c r="AC17" s="926"/>
      <c r="AD17" s="1263"/>
      <c r="AE17" s="1263"/>
      <c r="AF17" s="926"/>
      <c r="AG17" s="1205"/>
      <c r="AH17" s="926"/>
    </row>
    <row r="18" s="857" customFormat="1" ht="31" customHeight="1" spans="1:62">
      <c r="A18" s="923"/>
      <c r="B18" s="933"/>
      <c r="C18" s="926"/>
      <c r="E18" s="926"/>
      <c r="F18" s="926"/>
      <c r="G18" s="930"/>
      <c r="H18" s="926"/>
      <c r="I18" s="926"/>
      <c r="J18" s="926"/>
      <c r="K18" s="926"/>
      <c r="L18" s="1201"/>
      <c r="M18" s="930"/>
      <c r="N18" s="930"/>
      <c r="O18" s="937"/>
      <c r="P18" s="937"/>
      <c r="Q18" s="926"/>
      <c r="R18" s="1037"/>
      <c r="S18" s="932"/>
      <c r="T18" s="1037"/>
      <c r="V18" s="930"/>
      <c r="W18" s="1203"/>
      <c r="X18" s="1204"/>
      <c r="Y18" s="926"/>
      <c r="Z18" s="926"/>
      <c r="AA18" s="926"/>
      <c r="AB18" s="926"/>
      <c r="AC18" s="926"/>
      <c r="AD18" s="1263"/>
      <c r="AE18" s="1263"/>
      <c r="AF18" s="926"/>
      <c r="AG18" s="1205"/>
      <c r="AH18" s="926"/>
    </row>
    <row r="20" spans="1:62">
      <c r="C20" s="1367"/>
      <c r="G20" s="1368" t="s">
        <v>142</v>
      </c>
      <c r="I20" s="1368">
        <f>SUM(I2:I19)</f>
        <v>1744</v>
      </c>
      <c r="J20" s="1367"/>
      <c r="K20" s="1367"/>
      <c r="L20" s="1367"/>
      <c r="M20" s="1367"/>
      <c r="N20" s="1367"/>
      <c r="O20" s="1367"/>
      <c r="P20" s="1367"/>
      <c r="Q20" s="1367"/>
      <c r="R20" s="1367"/>
      <c r="S20" s="1367"/>
      <c r="T20" s="1367"/>
      <c r="W20" s="1369"/>
      <c r="X20" s="1370"/>
      <c r="Y20" s="868"/>
      <c r="Z20" s="868"/>
      <c r="AA20" s="868"/>
      <c r="AB20" s="868"/>
      <c r="AC20" s="1367"/>
      <c r="AE20" s="869"/>
      <c r="AF20" s="1371"/>
      <c r="AG20" s="1412"/>
      <c r="AH20" s="1371"/>
      <c r="AI20" s="1368">
        <f t="shared" ref="AI20:AX20" si="6">SUM(AI2:AI19)</f>
        <v>1744</v>
      </c>
      <c r="AJ20" s="1368">
        <f t="shared" si="6"/>
        <v>0</v>
      </c>
      <c r="AK20" s="1368">
        <f t="shared" si="6"/>
        <v>1744</v>
      </c>
      <c r="AL20" s="1368">
        <f t="shared" si="6"/>
        <v>1744</v>
      </c>
      <c r="AM20" s="1368">
        <f t="shared" si="6"/>
        <v>0</v>
      </c>
      <c r="AN20" s="1368">
        <f t="shared" si="6"/>
        <v>0</v>
      </c>
      <c r="AO20" s="1368">
        <f t="shared" si="6"/>
        <v>0</v>
      </c>
      <c r="AP20" s="1368">
        <f t="shared" si="6"/>
        <v>0</v>
      </c>
      <c r="AQ20" s="1368">
        <f t="shared" si="6"/>
        <v>0</v>
      </c>
      <c r="AR20" s="1368">
        <f t="shared" si="6"/>
        <v>0</v>
      </c>
      <c r="AS20" s="1368">
        <f t="shared" si="6"/>
        <v>0</v>
      </c>
      <c r="AT20" s="1368">
        <f t="shared" si="6"/>
        <v>0</v>
      </c>
      <c r="AU20" s="1368">
        <f t="shared" si="6"/>
        <v>0</v>
      </c>
      <c r="AV20" s="1368">
        <f t="shared" si="6"/>
        <v>0</v>
      </c>
      <c r="AW20" s="1368">
        <f t="shared" si="6"/>
        <v>0</v>
      </c>
      <c r="AX20" s="1368">
        <f t="shared" si="6"/>
        <v>0</v>
      </c>
      <c r="AY20" s="1368"/>
      <c r="AZ20" s="1413">
        <f t="shared" ref="AZ20:BJ20" si="7">SUM(AZ2:AZ19)</f>
        <v>0</v>
      </c>
      <c r="BA20" s="1368">
        <f t="shared" si="7"/>
        <v>0</v>
      </c>
      <c r="BB20" s="1368">
        <f t="shared" si="7"/>
        <v>0</v>
      </c>
      <c r="BC20" s="1368">
        <f t="shared" si="7"/>
        <v>0</v>
      </c>
      <c r="BD20" s="1368">
        <f t="shared" si="7"/>
        <v>0</v>
      </c>
      <c r="BE20" s="1368">
        <f t="shared" si="7"/>
        <v>0</v>
      </c>
      <c r="BF20" s="1368">
        <f t="shared" si="7"/>
        <v>0</v>
      </c>
      <c r="BG20" s="1368">
        <f t="shared" si="7"/>
        <v>0</v>
      </c>
      <c r="BH20" s="1368">
        <f t="shared" si="7"/>
        <v>0</v>
      </c>
      <c r="BI20" s="1368">
        <f t="shared" si="7"/>
        <v>0</v>
      </c>
      <c r="BJ20" s="1368">
        <f t="shared" si="7"/>
        <v>0</v>
      </c>
    </row>
    <row r="22" ht="14.25" spans="1:62">
      <c r="A22" s="1364"/>
    </row>
  </sheetData>
  <sheetProtection formatCells="0" formatColumns="0" formatRows="0" insertRows="0" insertColumns="0" insertHyperlinks="0" deleteColumns="0" deleteRows="0" sort="0" autoFilter="0" pivotTables="0"/>
  <protectedRanges>
    <protectedRange sqref="AC$1:AG$1048576" name="Range1"/>
    <protectedRange sqref="A$1:AB$1048576 AH$1:AN$1048576" name="Range2"/>
  </protectedRanges>
  <autoFilter xmlns:etc="http://www.wps.cn/officeDocument/2017/etCustomData" ref="A1:BJ20" etc:filterBottomFollowUsedRange="0">
    <extLst/>
  </autoFilter>
  <conditionalFormatting sqref="R1:T1">
    <cfRule type="cellIs" dxfId="0" priority="1155" operator="equal">
      <formula>"欠"</formula>
    </cfRule>
  </conditionalFormatting>
  <conditionalFormatting sqref="AA1:AB1">
    <cfRule type="cellIs" dxfId="0" priority="1122" operator="equal">
      <formula>"未完成"</formula>
    </cfRule>
  </conditionalFormatting>
  <conditionalFormatting sqref="AD1:AH1">
    <cfRule type="cellIs" dxfId="1" priority="1153" operator="equal">
      <formula>"未完成"</formula>
    </cfRule>
    <cfRule type="cellIs" dxfId="0" priority="1154" operator="equal">
      <formula>"未完成"</formula>
    </cfRule>
  </conditionalFormatting>
  <conditionalFormatting sqref="R2">
    <cfRule type="cellIs" dxfId="0" priority="96" operator="equal">
      <formula>"欠"</formula>
    </cfRule>
  </conditionalFormatting>
  <conditionalFormatting sqref="S2">
    <cfRule type="cellIs" dxfId="0" priority="97" operator="equal">
      <formula>"欠"</formula>
    </cfRule>
  </conditionalFormatting>
  <conditionalFormatting sqref="T2">
    <cfRule type="cellIs" dxfId="0" priority="95" operator="equal">
      <formula>"欠"</formula>
    </cfRule>
  </conditionalFormatting>
  <conditionalFormatting sqref="AD2">
    <cfRule type="cellIs" dxfId="1" priority="93" operator="equal">
      <formula>"未完成"</formula>
    </cfRule>
    <cfRule type="cellIs" dxfId="0" priority="94" operator="equal">
      <formula>"未完成"</formula>
    </cfRule>
  </conditionalFormatting>
  <conditionalFormatting sqref="AE2">
    <cfRule type="cellIs" dxfId="1" priority="134" operator="equal">
      <formula>"未完成"</formula>
    </cfRule>
    <cfRule type="cellIs" dxfId="0" priority="135" operator="equal">
      <formula>"未完成"</formula>
    </cfRule>
  </conditionalFormatting>
  <conditionalFormatting sqref="R3">
    <cfRule type="cellIs" dxfId="0" priority="50" operator="equal">
      <formula>"欠"</formula>
    </cfRule>
  </conditionalFormatting>
  <conditionalFormatting sqref="S3">
    <cfRule type="cellIs" dxfId="0" priority="53" operator="equal">
      <formula>"欠"</formula>
    </cfRule>
  </conditionalFormatting>
  <conditionalFormatting sqref="T3">
    <cfRule type="cellIs" dxfId="0" priority="47" operator="equal">
      <formula>"欠"</formula>
    </cfRule>
  </conditionalFormatting>
  <conditionalFormatting sqref="AD3">
    <cfRule type="cellIs" dxfId="1" priority="41" operator="equal">
      <formula>"未完成"</formula>
    </cfRule>
    <cfRule type="cellIs" dxfId="0" priority="44" operator="equal">
      <formula>"未完成"</formula>
    </cfRule>
  </conditionalFormatting>
  <conditionalFormatting sqref="AE3">
    <cfRule type="cellIs" dxfId="1" priority="62" operator="equal">
      <formula>"未完成"</formula>
    </cfRule>
    <cfRule type="cellIs" dxfId="0" priority="65" operator="equal">
      <formula>"未完成"</formula>
    </cfRule>
  </conditionalFormatting>
  <conditionalFormatting sqref="R4">
    <cfRule type="cellIs" dxfId="0" priority="49" operator="equal">
      <formula>"欠"</formula>
    </cfRule>
  </conditionalFormatting>
  <conditionalFormatting sqref="S4">
    <cfRule type="cellIs" dxfId="0" priority="52" operator="equal">
      <formula>"欠"</formula>
    </cfRule>
  </conditionalFormatting>
  <conditionalFormatting sqref="T4">
    <cfRule type="cellIs" dxfId="0" priority="46" operator="equal">
      <formula>"欠"</formula>
    </cfRule>
  </conditionalFormatting>
  <conditionalFormatting sqref="AD4">
    <cfRule type="cellIs" dxfId="1" priority="40" operator="equal">
      <formula>"未完成"</formula>
    </cfRule>
    <cfRule type="cellIs" dxfId="0" priority="43" operator="equal">
      <formula>"未完成"</formula>
    </cfRule>
  </conditionalFormatting>
  <conditionalFormatting sqref="AE4">
    <cfRule type="cellIs" dxfId="1" priority="61" operator="equal">
      <formula>"未完成"</formula>
    </cfRule>
    <cfRule type="cellIs" dxfId="0" priority="64" operator="equal">
      <formula>"未完成"</formula>
    </cfRule>
  </conditionalFormatting>
  <conditionalFormatting sqref="AE5">
    <cfRule type="cellIs" dxfId="1" priority="60" operator="equal">
      <formula>"未完成"</formula>
    </cfRule>
    <cfRule type="cellIs" dxfId="0" priority="63" operator="equal">
      <formula>"未完成"</formula>
    </cfRule>
  </conditionalFormatting>
  <conditionalFormatting sqref="R6">
    <cfRule type="cellIs" dxfId="0" priority="17" operator="equal">
      <formula>"欠"</formula>
    </cfRule>
  </conditionalFormatting>
  <conditionalFormatting sqref="S6">
    <cfRule type="cellIs" dxfId="0" priority="19" operator="equal">
      <formula>"欠"</formula>
    </cfRule>
  </conditionalFormatting>
  <conditionalFormatting sqref="T6">
    <cfRule type="cellIs" dxfId="0" priority="15" operator="equal">
      <formula>"欠"</formula>
    </cfRule>
  </conditionalFormatting>
  <conditionalFormatting sqref="AD6">
    <cfRule type="cellIs" dxfId="0" priority="13" operator="equal">
      <formula>"未完成"</formula>
    </cfRule>
    <cfRule type="cellIs" dxfId="1" priority="11" operator="equal">
      <formula>"未完成"</formula>
    </cfRule>
  </conditionalFormatting>
  <conditionalFormatting sqref="AE6">
    <cfRule type="cellIs" dxfId="0" priority="27" operator="equal">
      <formula>"未完成"</formula>
    </cfRule>
    <cfRule type="cellIs" dxfId="1" priority="25" operator="equal">
      <formula>"未完成"</formula>
    </cfRule>
  </conditionalFormatting>
  <conditionalFormatting sqref="R7">
    <cfRule type="cellIs" dxfId="0" priority="16" operator="equal">
      <formula>"欠"</formula>
    </cfRule>
  </conditionalFormatting>
  <conditionalFormatting sqref="S7">
    <cfRule type="cellIs" dxfId="0" priority="18" operator="equal">
      <formula>"欠"</formula>
    </cfRule>
  </conditionalFormatting>
  <conditionalFormatting sqref="T7">
    <cfRule type="cellIs" dxfId="0" priority="14" operator="equal">
      <formula>"欠"</formula>
    </cfRule>
  </conditionalFormatting>
  <conditionalFormatting sqref="AD7">
    <cfRule type="cellIs" dxfId="0" priority="12" operator="equal">
      <formula>"未完成"</formula>
    </cfRule>
    <cfRule type="cellIs" dxfId="1" priority="10" operator="equal">
      <formula>"未完成"</formula>
    </cfRule>
  </conditionalFormatting>
  <conditionalFormatting sqref="AE7">
    <cfRule type="cellIs" dxfId="0" priority="26" operator="equal">
      <formula>"未完成"</formula>
    </cfRule>
    <cfRule type="cellIs" dxfId="1" priority="24" operator="equal">
      <formula>"未完成"</formula>
    </cfRule>
  </conditionalFormatting>
  <conditionalFormatting sqref="R8">
    <cfRule type="cellIs" dxfId="0" priority="4" operator="equal">
      <formula>"欠"</formula>
    </cfRule>
  </conditionalFormatting>
  <conditionalFormatting sqref="S8">
    <cfRule type="cellIs" dxfId="0" priority="5" operator="equal">
      <formula>"欠"</formula>
    </cfRule>
  </conditionalFormatting>
  <conditionalFormatting sqref="T8">
    <cfRule type="cellIs" dxfId="0" priority="3" operator="equal">
      <formula>"欠"</formula>
    </cfRule>
  </conditionalFormatting>
  <conditionalFormatting sqref="AD8">
    <cfRule type="cellIs" dxfId="0" priority="2" operator="equal">
      <formula>"未完成"</formula>
    </cfRule>
    <cfRule type="cellIs" dxfId="1" priority="1" operator="equal">
      <formula>"未完成"</formula>
    </cfRule>
  </conditionalFormatting>
  <conditionalFormatting sqref="P11">
    <cfRule type="cellIs" dxfId="0" priority="1131" operator="equal">
      <formula>"未完成"</formula>
    </cfRule>
  </conditionalFormatting>
  <conditionalFormatting sqref="T11">
    <cfRule type="cellIs" dxfId="0" priority="1145" operator="equal">
      <formula>"欠"</formula>
    </cfRule>
  </conditionalFormatting>
  <conditionalFormatting sqref="AC11">
    <cfRule type="cellIs" dxfId="0" priority="1132" operator="equal">
      <formula>"未完成"</formula>
    </cfRule>
  </conditionalFormatting>
  <conditionalFormatting sqref="AC13">
    <cfRule type="cellIs" dxfId="0" priority="1130" operator="equal">
      <formula>"未完成"</formula>
    </cfRule>
  </conditionalFormatting>
  <conditionalFormatting sqref="R14:T14">
    <cfRule type="cellIs" dxfId="0" priority="1138" operator="equal">
      <formula>"欠"</formula>
    </cfRule>
  </conditionalFormatting>
  <conditionalFormatting sqref="AC14">
    <cfRule type="cellIs" dxfId="0" priority="1124" operator="equal">
      <formula>"未完成"</formula>
    </cfRule>
  </conditionalFormatting>
  <conditionalFormatting sqref="AF14:AH14">
    <cfRule type="cellIs" dxfId="1" priority="1140" operator="equal">
      <formula>"未完成"</formula>
    </cfRule>
    <cfRule type="cellIs" dxfId="0" priority="1141" operator="equal">
      <formula>"未完成"</formula>
    </cfRule>
  </conditionalFormatting>
  <conditionalFormatting sqref="AC15">
    <cfRule type="cellIs" dxfId="0" priority="1126" operator="equal">
      <formula>"未完成"</formula>
    </cfRule>
  </conditionalFormatting>
  <conditionalFormatting sqref="AC16">
    <cfRule type="cellIs" dxfId="0" priority="1125" operator="equal">
      <formula>"未完成"</formula>
    </cfRule>
  </conditionalFormatting>
  <conditionalFormatting sqref="S17">
    <cfRule type="cellIs" dxfId="0" priority="1116" operator="equal">
      <formula>"欠"</formula>
    </cfRule>
  </conditionalFormatting>
  <conditionalFormatting sqref="AC17">
    <cfRule type="cellIs" dxfId="0" priority="1123" operator="equal">
      <formula>"未完成"</formula>
    </cfRule>
  </conditionalFormatting>
  <conditionalFormatting sqref="S18">
    <cfRule type="cellIs" dxfId="0" priority="1115" operator="equal">
      <formula>"欠"</formula>
    </cfRule>
  </conditionalFormatting>
  <conditionalFormatting sqref="S11:S13">
    <cfRule type="cellIs" dxfId="0" priority="1118" operator="equal">
      <formula>"欠"</formula>
    </cfRule>
  </conditionalFormatting>
  <conditionalFormatting sqref="S15:S16">
    <cfRule type="cellIs" dxfId="0" priority="1117" operator="equal">
      <formula>"欠"</formula>
    </cfRule>
  </conditionalFormatting>
  <conditionalFormatting sqref="AE8:AE10">
    <cfRule type="cellIs" dxfId="0" priority="9" operator="equal">
      <formula>"未完成"</formula>
    </cfRule>
    <cfRule type="cellIs" dxfId="1" priority="8" operator="equal">
      <formula>"未完成"</formula>
    </cfRule>
  </conditionalFormatting>
  <conditionalFormatting sqref="AC1 AC18:AC21 AC26:AC1048576">
    <cfRule type="cellIs" dxfId="0" priority="1142" operator="equal">
      <formula>"未完成"</formula>
    </cfRule>
  </conditionalFormatting>
  <conditionalFormatting sqref="AH2 AF2">
    <cfRule type="cellIs" dxfId="1" priority="98" operator="equal">
      <formula>"未完成"</formula>
    </cfRule>
    <cfRule type="cellIs" dxfId="0" priority="99" operator="equal">
      <formula>"未完成"</formula>
    </cfRule>
  </conditionalFormatting>
  <conditionalFormatting sqref="AH3 AF3">
    <cfRule type="cellIs" dxfId="1" priority="56" operator="equal">
      <formula>"未完成"</formula>
    </cfRule>
    <cfRule type="cellIs" dxfId="0" priority="59" operator="equal">
      <formula>"未完成"</formula>
    </cfRule>
  </conditionalFormatting>
  <conditionalFormatting sqref="AH4 AF4">
    <cfRule type="cellIs" dxfId="1" priority="55" operator="equal">
      <formula>"未完成"</formula>
    </cfRule>
    <cfRule type="cellIs" dxfId="0" priority="58" operator="equal">
      <formula>"未完成"</formula>
    </cfRule>
  </conditionalFormatting>
  <conditionalFormatting sqref="R5 R9:R10">
    <cfRule type="cellIs" dxfId="0" priority="48" operator="equal">
      <formula>"欠"</formula>
    </cfRule>
  </conditionalFormatting>
  <conditionalFormatting sqref="S5 S9:S10">
    <cfRule type="cellIs" dxfId="0" priority="51" operator="equal">
      <formula>"欠"</formula>
    </cfRule>
  </conditionalFormatting>
  <conditionalFormatting sqref="T5 T9:T10">
    <cfRule type="cellIs" dxfId="0" priority="45" operator="equal">
      <formula>"欠"</formula>
    </cfRule>
  </conditionalFormatting>
  <conditionalFormatting sqref="AD5 AD9:AD10">
    <cfRule type="cellIs" dxfId="1" priority="37" operator="equal">
      <formula>"未完成"</formula>
    </cfRule>
    <cfRule type="cellIs" dxfId="0" priority="38" operator="equal">
      <formula>"未完成"</formula>
    </cfRule>
  </conditionalFormatting>
  <conditionalFormatting sqref="AH5 AH9:AH10 AF5 AF9:AF10">
    <cfRule type="cellIs" dxfId="1" priority="54" operator="equal">
      <formula>"未完成"</formula>
    </cfRule>
    <cfRule type="cellIs" dxfId="0" priority="57" operator="equal">
      <formula>"未完成"</formula>
    </cfRule>
  </conditionalFormatting>
  <conditionalFormatting sqref="AH6 AF6">
    <cfRule type="cellIs" dxfId="0" priority="23" operator="equal">
      <formula>"未完成"</formula>
    </cfRule>
    <cfRule type="cellIs" dxfId="1" priority="21" operator="equal">
      <formula>"未完成"</formula>
    </cfRule>
  </conditionalFormatting>
  <conditionalFormatting sqref="AH7 AF7">
    <cfRule type="cellIs" dxfId="0" priority="22" operator="equal">
      <formula>"未完成"</formula>
    </cfRule>
    <cfRule type="cellIs" dxfId="1" priority="20" operator="equal">
      <formula>"未完成"</formula>
    </cfRule>
  </conditionalFormatting>
  <conditionalFormatting sqref="AH8 AF8">
    <cfRule type="cellIs" dxfId="0" priority="7" operator="equal">
      <formula>"未完成"</formula>
    </cfRule>
    <cfRule type="cellIs" dxfId="1" priority="6" operator="equal">
      <formula>"未完成"</formula>
    </cfRule>
  </conditionalFormatting>
  <conditionalFormatting sqref="AD11 AD13:AD18 Q11">
    <cfRule type="cellIs" dxfId="1" priority="617" operator="equal">
      <formula>"未完成"</formula>
    </cfRule>
    <cfRule type="cellIs" dxfId="0" priority="618" operator="equal">
      <formula>"未完成"</formula>
    </cfRule>
  </conditionalFormatting>
  <conditionalFormatting sqref="AE11 AE13:AE18 R11">
    <cfRule type="cellIs" dxfId="1" priority="262" operator="equal">
      <formula>"未完成"</formula>
    </cfRule>
    <cfRule type="cellIs" dxfId="0" priority="267" operator="equal">
      <formula>"未完成"</formula>
    </cfRule>
  </conditionalFormatting>
  <conditionalFormatting sqref="AG11:AH13 AG15:AH18 AF17:AF18 AF12 AF15">
    <cfRule type="cellIs" dxfId="1" priority="1150" operator="equal">
      <formula>"未完成"</formula>
    </cfRule>
    <cfRule type="cellIs" dxfId="0" priority="1151" operator="equal">
      <formula>"未完成"</formula>
    </cfRule>
  </conditionalFormatting>
  <conditionalFormatting sqref="T12:T13 T15:T17 R12:R13 R15:R17">
    <cfRule type="cellIs" dxfId="0" priority="1146" operator="equal">
      <formula>"欠"</formula>
    </cfRule>
  </conditionalFormatting>
  <conditionalFormatting sqref="R18 T18">
    <cfRule type="cellIs" dxfId="0" priority="1149" operator="equal">
      <formula>"欠"</formula>
    </cfRule>
  </conditionalFormatting>
  <dataValidations count="1">
    <dataValidation type="list" allowBlank="1" showInputMessage="1" showErrorMessage="1" sqref="P11 AC2:AC11 AC13:AC21 AC26:AC1048576">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H456"/>
  <sheetViews>
    <sheetView zoomScale="70" zoomScaleNormal="70" workbookViewId="0">
      <pane xSplit="14" ySplit="1" topLeftCell="AF357" activePane="bottomRight" state="frozen"/>
      <selection/>
      <selection pane="topRight"/>
      <selection pane="bottomLeft"/>
      <selection pane="bottomRight" activeCell="A380" sqref="$A380:$XFD380"/>
    </sheetView>
  </sheetViews>
  <sheetFormatPr defaultColWidth="9" defaultRowHeight="13.5"/>
  <cols>
    <col min="1" max="1" width="14.9166666666667" style="861" customWidth="1"/>
    <col min="2" max="2" width="14.1083333333333" style="860" customWidth="1"/>
    <col min="3" max="3" width="11.0583333333333" style="860" customWidth="1"/>
    <col min="4" max="4" width="14.7583333333333" style="860" customWidth="1"/>
    <col min="5" max="5" width="15.175" style="862" customWidth="1"/>
    <col min="6" max="6" width="16.8916666666667" style="860" customWidth="1"/>
    <col min="7" max="7" width="14.6833333333333" style="860" customWidth="1"/>
    <col min="8" max="8" width="19.4666666666667" style="860" customWidth="1"/>
    <col min="9" max="9" width="13.5583333333333" style="860" customWidth="1"/>
    <col min="10" max="10" width="10.1416666666667" style="860" customWidth="1"/>
    <col min="11" max="11" width="9.2" style="860" customWidth="1"/>
    <col min="12" max="12" width="8.75833333333333" style="860" customWidth="1"/>
    <col min="13" max="14" width="18.1083333333333" style="860" customWidth="1"/>
    <col min="15" max="15" width="11.8" style="860" customWidth="1"/>
    <col min="16" max="16" width="15.35" style="860" customWidth="1"/>
    <col min="17" max="17" width="14.6083333333333" style="860" customWidth="1"/>
    <col min="18" max="18" width="13.1833333333333" style="860" customWidth="1"/>
    <col min="19" max="19" width="9.55833333333333" style="860" customWidth="1"/>
    <col min="20" max="21" width="11.5916666666667" style="860" customWidth="1"/>
    <col min="22" max="22" width="37.1166666666667" style="860" customWidth="1"/>
    <col min="23" max="23" width="12.2583333333333" style="860" customWidth="1"/>
    <col min="24" max="24" width="12.675" style="864" customWidth="1"/>
    <col min="25" max="26" width="10.525" style="865" customWidth="1"/>
    <col min="27" max="27" width="16.425" style="866" customWidth="1"/>
    <col min="28" max="28" width="17.5916666666667" style="867" customWidth="1"/>
    <col min="29" max="29" width="9.99166666666667" style="868" customWidth="1"/>
    <col min="30" max="30" width="12.225" style="866" customWidth="1"/>
    <col min="31" max="31" width="11.0583333333333" style="860" customWidth="1"/>
    <col min="32" max="32" width="10.35" style="869" customWidth="1"/>
    <col min="33" max="33" width="8.96666666666667" style="869" customWidth="1"/>
    <col min="34" max="34" width="5.53333333333333" style="870" customWidth="1"/>
    <col min="35" max="35" width="7.85833333333333" style="1208" customWidth="1"/>
    <col min="36" max="36" width="6.6" style="870" customWidth="1"/>
    <col min="37" max="48" width="9" style="860" customWidth="1"/>
    <col min="49" max="50" width="11.5916666666667" style="860" customWidth="1"/>
    <col min="51" max="57" width="10.9416666666667" style="860" customWidth="1"/>
    <col min="58" max="64" width="9" style="860" customWidth="1"/>
    <col min="65" max="66" width="11.8916666666667" style="860" customWidth="1"/>
    <col min="67" max="67" width="11.8916666666667" style="860"/>
    <col min="68" max="68" width="9" style="860"/>
    <col min="69" max="72" width="11.8916666666667" style="860"/>
    <col min="73" max="73" width="11.8916666666667" style="872"/>
    <col min="74" max="74" width="14.3333333333333" style="872"/>
    <col min="75" max="75" width="11.2666666666667" style="872" customWidth="1"/>
    <col min="76" max="78" width="10.65" style="872" customWidth="1"/>
    <col min="79" max="80" width="10.65" style="860" customWidth="1"/>
    <col min="81" max="81" width="13.55" style="860"/>
    <col min="82" max="82" width="9" style="872"/>
    <col min="83" max="83" width="9.38333333333333" style="872"/>
    <col min="84" max="84" width="9" style="872"/>
    <col min="85" max="85" width="11.8916666666667" style="872"/>
    <col min="86" max="86" width="10.3833333333333" style="872"/>
    <col min="87" max="87" width="9" style="872"/>
    <col min="88" max="16384" width="9" style="860"/>
  </cols>
  <sheetData>
    <row r="1" s="855" customFormat="1" ht="63" customHeight="1" spans="1:87">
      <c r="A1" s="873" t="s">
        <v>42</v>
      </c>
      <c r="B1" s="874" t="s">
        <v>43</v>
      </c>
      <c r="C1" s="874" t="s">
        <v>44</v>
      </c>
      <c r="D1" s="874" t="s">
        <v>45</v>
      </c>
      <c r="E1" s="875" t="s">
        <v>46</v>
      </c>
      <c r="F1" s="875" t="s">
        <v>47</v>
      </c>
      <c r="G1" s="874" t="s">
        <v>48</v>
      </c>
      <c r="H1" s="874" t="s">
        <v>49</v>
      </c>
      <c r="I1" s="874" t="s">
        <v>50</v>
      </c>
      <c r="J1" s="874" t="s">
        <v>51</v>
      </c>
      <c r="K1" s="874" t="s">
        <v>52</v>
      </c>
      <c r="L1" s="874" t="s">
        <v>53</v>
      </c>
      <c r="M1" s="876" t="s">
        <v>54</v>
      </c>
      <c r="N1" s="876" t="s">
        <v>55</v>
      </c>
      <c r="O1" s="877" t="s">
        <v>56</v>
      </c>
      <c r="P1" s="877" t="s">
        <v>57</v>
      </c>
      <c r="Q1" s="874" t="s">
        <v>58</v>
      </c>
      <c r="R1" s="878" t="s">
        <v>59</v>
      </c>
      <c r="S1" s="878" t="s">
        <v>60</v>
      </c>
      <c r="T1" s="878" t="s">
        <v>61</v>
      </c>
      <c r="U1" s="879" t="s">
        <v>143</v>
      </c>
      <c r="V1" s="1209" t="s">
        <v>12</v>
      </c>
      <c r="W1" s="874" t="s">
        <v>62</v>
      </c>
      <c r="X1" s="881" t="s">
        <v>63</v>
      </c>
      <c r="Y1" s="882" t="s">
        <v>64</v>
      </c>
      <c r="Z1" s="883" t="s">
        <v>144</v>
      </c>
      <c r="AA1" s="884" t="s">
        <v>65</v>
      </c>
      <c r="AB1" s="884" t="s">
        <v>66</v>
      </c>
      <c r="AC1" s="877" t="s">
        <v>67</v>
      </c>
      <c r="AD1" s="877" t="s">
        <v>68</v>
      </c>
      <c r="AE1" s="877" t="s">
        <v>69</v>
      </c>
      <c r="AF1" s="885" t="s">
        <v>70</v>
      </c>
      <c r="AG1" s="885" t="s">
        <v>40</v>
      </c>
      <c r="AH1" s="886" t="s">
        <v>71</v>
      </c>
      <c r="AI1" s="887" t="s">
        <v>72</v>
      </c>
      <c r="AJ1" s="886" t="s">
        <v>73</v>
      </c>
      <c r="AK1" s="888" t="s">
        <v>145</v>
      </c>
      <c r="AL1" s="888" t="s">
        <v>146</v>
      </c>
      <c r="AM1" s="888" t="s">
        <v>147</v>
      </c>
      <c r="AN1" s="889" t="s">
        <v>148</v>
      </c>
      <c r="AO1" s="889" t="s">
        <v>149</v>
      </c>
      <c r="AP1" s="890" t="s">
        <v>150</v>
      </c>
      <c r="AQ1" s="890" t="s">
        <v>151</v>
      </c>
      <c r="AR1" s="888" t="s">
        <v>152</v>
      </c>
      <c r="AS1" s="1210" t="s">
        <v>153</v>
      </c>
      <c r="AT1" s="890" t="s">
        <v>154</v>
      </c>
      <c r="AU1" s="890" t="s">
        <v>155</v>
      </c>
      <c r="AV1" s="888" t="s">
        <v>156</v>
      </c>
      <c r="AW1" s="888" t="s">
        <v>157</v>
      </c>
      <c r="AX1" s="890" t="s">
        <v>158</v>
      </c>
      <c r="AY1" s="888" t="s">
        <v>159</v>
      </c>
      <c r="AZ1" s="888" t="s">
        <v>160</v>
      </c>
      <c r="BA1" s="890" t="s">
        <v>161</v>
      </c>
      <c r="BB1" s="893" t="s">
        <v>162</v>
      </c>
      <c r="BC1" s="888" t="s">
        <v>163</v>
      </c>
      <c r="BD1" s="890" t="s">
        <v>164</v>
      </c>
      <c r="BE1" s="893" t="s">
        <v>165</v>
      </c>
      <c r="BF1" s="890" t="s">
        <v>166</v>
      </c>
      <c r="BG1" s="888" t="s">
        <v>167</v>
      </c>
      <c r="BH1" s="890" t="s">
        <v>168</v>
      </c>
      <c r="BI1" s="894" t="s">
        <v>169</v>
      </c>
      <c r="BJ1" s="890" t="s">
        <v>170</v>
      </c>
      <c r="BK1" s="890" t="s">
        <v>171</v>
      </c>
      <c r="BL1" s="895" t="s">
        <v>172</v>
      </c>
      <c r="BM1" s="895" t="s">
        <v>173</v>
      </c>
      <c r="BN1" s="1211" t="s">
        <v>174</v>
      </c>
      <c r="BO1" s="1211" t="s">
        <v>175</v>
      </c>
      <c r="BP1" s="1212" t="s">
        <v>176</v>
      </c>
      <c r="BQ1" s="1211" t="s">
        <v>177</v>
      </c>
      <c r="BR1" s="890" t="s">
        <v>178</v>
      </c>
      <c r="BS1" s="890" t="s">
        <v>179</v>
      </c>
      <c r="BT1" s="890" t="s">
        <v>180</v>
      </c>
      <c r="BU1" s="896" t="s">
        <v>181</v>
      </c>
      <c r="BV1" s="896" t="s">
        <v>182</v>
      </c>
      <c r="BW1" s="896" t="s">
        <v>183</v>
      </c>
      <c r="BX1" s="896">
        <v>820000</v>
      </c>
      <c r="BY1" s="896">
        <v>300000</v>
      </c>
      <c r="BZ1" s="896">
        <v>300000</v>
      </c>
      <c r="CA1" s="888">
        <v>200000</v>
      </c>
      <c r="CB1" s="888">
        <f>400000+500000+300000</f>
        <v>1200000</v>
      </c>
      <c r="CC1" s="895" t="s">
        <v>184</v>
      </c>
      <c r="CD1" s="897" t="s">
        <v>182</v>
      </c>
      <c r="CE1" s="896" t="s">
        <v>183</v>
      </c>
      <c r="CF1" s="896">
        <v>2000</v>
      </c>
      <c r="CG1" s="896">
        <v>13970</v>
      </c>
      <c r="CH1" s="896">
        <v>11700</v>
      </c>
      <c r="CI1" s="898">
        <f>22330+10000</f>
        <v>32330</v>
      </c>
    </row>
    <row r="2" s="857" customFormat="1" ht="31" customHeight="1" spans="1:87">
      <c r="A2" s="1213">
        <v>45604</v>
      </c>
      <c r="B2" s="1214" t="s">
        <v>185</v>
      </c>
      <c r="C2" s="1215" t="s">
        <v>103</v>
      </c>
      <c r="D2" s="1216">
        <v>4500150141</v>
      </c>
      <c r="E2" s="1214" t="s">
        <v>186</v>
      </c>
      <c r="F2" s="1217" t="s">
        <v>187</v>
      </c>
      <c r="G2" s="926" t="s">
        <v>188</v>
      </c>
      <c r="H2" s="926" t="s">
        <v>189</v>
      </c>
      <c r="I2" s="926">
        <v>3120</v>
      </c>
      <c r="J2" s="926">
        <v>0</v>
      </c>
      <c r="K2" s="926">
        <v>52</v>
      </c>
      <c r="L2" s="1201">
        <f t="shared" ref="L2:L9" si="0">I2/K2</f>
        <v>60</v>
      </c>
      <c r="M2" s="930">
        <v>45657</v>
      </c>
      <c r="N2" s="930">
        <v>45653</v>
      </c>
      <c r="O2" s="937"/>
      <c r="P2" s="1218" t="s">
        <v>86</v>
      </c>
      <c r="Q2" s="926"/>
      <c r="R2" s="932">
        <v>45610</v>
      </c>
      <c r="S2" s="926" t="s">
        <v>98</v>
      </c>
      <c r="T2" s="932" t="s">
        <v>190</v>
      </c>
      <c r="U2" s="932"/>
      <c r="V2" s="933" t="s">
        <v>191</v>
      </c>
      <c r="W2" s="1219" t="s">
        <v>192</v>
      </c>
      <c r="X2" s="1220">
        <v>1.8967</v>
      </c>
      <c r="Y2" s="1204">
        <f>I2*X2</f>
        <v>5917.704</v>
      </c>
      <c r="Z2" s="1204"/>
      <c r="AA2" s="926" t="s">
        <v>193</v>
      </c>
      <c r="AB2" s="926" t="s">
        <v>188</v>
      </c>
      <c r="AC2" s="926" t="s">
        <v>93</v>
      </c>
      <c r="AD2" s="1040" t="s">
        <v>94</v>
      </c>
      <c r="AE2" s="926"/>
      <c r="AF2" s="924">
        <f>52+3068</f>
        <v>3120</v>
      </c>
      <c r="AG2" s="924">
        <f t="shared" ref="AG2:AG36" si="1">AF2-I2</f>
        <v>0</v>
      </c>
      <c r="AH2" s="1221"/>
      <c r="AI2" s="926" t="s">
        <v>95</v>
      </c>
      <c r="AJ2" s="926"/>
      <c r="AK2" s="926">
        <f>I2</f>
        <v>3120</v>
      </c>
      <c r="AL2" s="926"/>
      <c r="AM2" s="926">
        <f>I2</f>
        <v>3120</v>
      </c>
      <c r="AP2" s="926"/>
      <c r="AQ2" s="926"/>
      <c r="AS2" s="926">
        <f>I2</f>
        <v>3120</v>
      </c>
      <c r="AT2" s="926"/>
      <c r="AU2" s="926"/>
      <c r="AV2" s="926"/>
      <c r="BC2" s="857">
        <f>AK2/13</f>
        <v>240</v>
      </c>
      <c r="BU2" s="939">
        <f>AK2+AL2</f>
        <v>3120</v>
      </c>
      <c r="BV2" s="1222">
        <f>2188428+BU2</f>
        <v>2191548</v>
      </c>
      <c r="BW2" s="939"/>
      <c r="BX2" s="939"/>
      <c r="BY2" s="939"/>
      <c r="BZ2" s="939"/>
      <c r="CA2" s="856">
        <f>SUM(BX$1:CB$1)-BV2</f>
        <v>628452</v>
      </c>
      <c r="CC2" s="964">
        <f>AW2+AX2+BE2+BF2</f>
        <v>0</v>
      </c>
      <c r="CD2" s="308">
        <f>46986.5714285714+CC2</f>
        <v>46986.5714285714</v>
      </c>
      <c r="CE2" s="939"/>
      <c r="CF2" s="939"/>
      <c r="CG2" s="939"/>
      <c r="CH2" s="939">
        <f>$CF$1+$CG$1+$CH$1+$CI$1-CD2</f>
        <v>13013.4285714286</v>
      </c>
      <c r="CI2" s="939"/>
    </row>
    <row r="3" s="857" customFormat="1" ht="31" customHeight="1" spans="1:87">
      <c r="A3" s="1213">
        <v>45586</v>
      </c>
      <c r="B3" s="1214" t="s">
        <v>194</v>
      </c>
      <c r="C3" s="1215" t="s">
        <v>125</v>
      </c>
      <c r="D3" s="1216">
        <v>4500148421</v>
      </c>
      <c r="E3" s="1214">
        <v>60190475</v>
      </c>
      <c r="F3" s="1217" t="s">
        <v>195</v>
      </c>
      <c r="G3" s="926" t="s">
        <v>196</v>
      </c>
      <c r="H3" s="926" t="s">
        <v>197</v>
      </c>
      <c r="I3" s="926">
        <v>3000</v>
      </c>
      <c r="J3" s="926">
        <v>0</v>
      </c>
      <c r="K3" s="926">
        <v>12</v>
      </c>
      <c r="L3" s="1201">
        <f t="shared" si="0"/>
        <v>250</v>
      </c>
      <c r="M3" s="930">
        <v>45653</v>
      </c>
      <c r="N3" s="930">
        <v>45649</v>
      </c>
      <c r="O3" s="937"/>
      <c r="P3" s="1218" t="s">
        <v>86</v>
      </c>
      <c r="Q3" s="926"/>
      <c r="R3" s="932" t="s">
        <v>198</v>
      </c>
      <c r="S3" s="926" t="s">
        <v>98</v>
      </c>
      <c r="T3" s="932" t="s">
        <v>199</v>
      </c>
      <c r="U3" s="932"/>
      <c r="V3" s="933" t="s">
        <v>200</v>
      </c>
      <c r="W3" s="1219" t="s">
        <v>201</v>
      </c>
      <c r="X3" s="1220">
        <v>4.0635</v>
      </c>
      <c r="Y3" s="1204">
        <f>I3*X3</f>
        <v>12190.5</v>
      </c>
      <c r="Z3" s="1204"/>
      <c r="AA3" s="926" t="s">
        <v>202</v>
      </c>
      <c r="AB3" s="926" t="s">
        <v>196</v>
      </c>
      <c r="AC3" s="926" t="s">
        <v>93</v>
      </c>
      <c r="AD3" s="1040" t="s">
        <v>94</v>
      </c>
      <c r="AE3" s="926"/>
      <c r="AF3" s="924">
        <f>2988+12</f>
        <v>3000</v>
      </c>
      <c r="AG3" s="924">
        <f t="shared" si="1"/>
        <v>0</v>
      </c>
      <c r="AH3" s="1221"/>
      <c r="AI3" s="926" t="s">
        <v>95</v>
      </c>
      <c r="AJ3" s="926"/>
      <c r="AK3" s="926">
        <f>I3*2</f>
        <v>6000</v>
      </c>
      <c r="AL3" s="926"/>
      <c r="AM3" s="926">
        <f>I3*2</f>
        <v>6000</v>
      </c>
      <c r="AP3" s="926"/>
      <c r="AQ3" s="926"/>
      <c r="AS3" s="926">
        <f>I3*2</f>
        <v>6000</v>
      </c>
      <c r="AT3" s="926"/>
      <c r="AU3" s="926"/>
      <c r="AV3" s="926"/>
      <c r="BN3" s="857">
        <f>I3</f>
        <v>3000</v>
      </c>
      <c r="BO3" s="857">
        <f>I3</f>
        <v>3000</v>
      </c>
      <c r="BQ3" s="857">
        <f>I3</f>
        <v>3000</v>
      </c>
      <c r="BU3" s="939">
        <f>AK3+AL3</f>
        <v>6000</v>
      </c>
      <c r="BV3" s="1222">
        <f>BV2+BU3</f>
        <v>2197548</v>
      </c>
      <c r="BW3" s="939"/>
      <c r="BX3" s="939"/>
      <c r="BY3" s="939"/>
      <c r="BZ3" s="939"/>
      <c r="CA3" s="856">
        <f t="shared" ref="CA3:CA66" si="2">SUM(BX$1:CB$1)-BV3</f>
        <v>622452</v>
      </c>
      <c r="CC3" s="964">
        <f>AW3+AX3+BE3+BF3</f>
        <v>0</v>
      </c>
      <c r="CD3" s="939">
        <f>CD2+CC3</f>
        <v>46986.5714285714</v>
      </c>
      <c r="CE3" s="939"/>
      <c r="CF3" s="939"/>
      <c r="CG3" s="939"/>
      <c r="CH3" s="939">
        <f t="shared" ref="CH3:CH66" si="3">$CF$1+$CG$1+$CH$1+$CI$1-CD3</f>
        <v>13013.4285714286</v>
      </c>
      <c r="CI3" s="939"/>
    </row>
    <row r="4" s="857" customFormat="1" ht="31" customHeight="1" spans="1:87">
      <c r="A4" s="1213">
        <v>45615</v>
      </c>
      <c r="B4" s="1214" t="s">
        <v>203</v>
      </c>
      <c r="C4" s="1215" t="s">
        <v>81</v>
      </c>
      <c r="D4" s="1216">
        <v>4500151611</v>
      </c>
      <c r="E4" s="1214">
        <v>5251213810</v>
      </c>
      <c r="F4" s="1217" t="s">
        <v>204</v>
      </c>
      <c r="G4" s="926" t="s">
        <v>205</v>
      </c>
      <c r="H4" s="926" t="s">
        <v>189</v>
      </c>
      <c r="I4" s="926">
        <v>15700</v>
      </c>
      <c r="J4" s="926">
        <v>0</v>
      </c>
      <c r="K4" s="926">
        <v>50</v>
      </c>
      <c r="L4" s="1201">
        <f t="shared" si="0"/>
        <v>314</v>
      </c>
      <c r="M4" s="930">
        <v>45650</v>
      </c>
      <c r="N4" s="930">
        <v>45652</v>
      </c>
      <c r="O4" s="937" t="s">
        <v>206</v>
      </c>
      <c r="P4" s="1218" t="s">
        <v>86</v>
      </c>
      <c r="Q4" s="926"/>
      <c r="R4" s="932">
        <v>45631</v>
      </c>
      <c r="S4" s="926" t="s">
        <v>98</v>
      </c>
      <c r="T4" s="932" t="s">
        <v>207</v>
      </c>
      <c r="U4" s="932"/>
      <c r="V4" s="933" t="s">
        <v>208</v>
      </c>
      <c r="W4" s="1219" t="s">
        <v>119</v>
      </c>
      <c r="X4" s="1220">
        <v>1.9784</v>
      </c>
      <c r="Y4" s="1204">
        <f>X4*I4</f>
        <v>31060.88</v>
      </c>
      <c r="Z4" s="1204"/>
      <c r="AA4" s="926" t="s">
        <v>209</v>
      </c>
      <c r="AB4" s="926" t="s">
        <v>210</v>
      </c>
      <c r="AC4" s="926" t="s">
        <v>93</v>
      </c>
      <c r="AD4" s="1040" t="s">
        <v>94</v>
      </c>
      <c r="AE4" s="926"/>
      <c r="AF4" s="924">
        <f>15700</f>
        <v>15700</v>
      </c>
      <c r="AG4" s="924">
        <f t="shared" si="1"/>
        <v>0</v>
      </c>
      <c r="AH4" s="1221"/>
      <c r="AI4" s="926" t="s">
        <v>95</v>
      </c>
      <c r="AJ4" s="926"/>
      <c r="AK4" s="926">
        <f t="shared" ref="AK4:AK18" si="4">I4</f>
        <v>15700</v>
      </c>
      <c r="AL4" s="926"/>
      <c r="AM4" s="926"/>
      <c r="AP4" s="926">
        <f>I4</f>
        <v>15700</v>
      </c>
      <c r="AQ4" s="926"/>
      <c r="AS4" s="926">
        <f>I4</f>
        <v>15700</v>
      </c>
      <c r="AT4" s="926"/>
      <c r="AU4" s="926"/>
      <c r="AV4" s="926"/>
      <c r="BF4" s="857">
        <f>I4/25</f>
        <v>628</v>
      </c>
      <c r="BU4" s="939">
        <f t="shared" ref="BU4:BU67" si="5">AK4+AL4</f>
        <v>15700</v>
      </c>
      <c r="BV4" s="1222">
        <f t="shared" ref="BV4:BV67" si="6">BV3+BU4</f>
        <v>2213248</v>
      </c>
      <c r="BW4" s="939"/>
      <c r="BX4" s="939"/>
      <c r="BY4" s="939"/>
      <c r="BZ4" s="939"/>
      <c r="CA4" s="856">
        <f t="shared" si="2"/>
        <v>606752</v>
      </c>
      <c r="CC4" s="964">
        <f t="shared" ref="CC4:CC67" si="7">AW4+AX4+BE4+BF4</f>
        <v>628</v>
      </c>
      <c r="CD4" s="939">
        <f t="shared" ref="CD4:CD67" si="8">CD3+CC4</f>
        <v>47614.5714285714</v>
      </c>
      <c r="CE4" s="939"/>
      <c r="CF4" s="939"/>
      <c r="CG4" s="939"/>
      <c r="CH4" s="939">
        <f t="shared" si="3"/>
        <v>12385.4285714286</v>
      </c>
      <c r="CI4" s="939"/>
    </row>
    <row r="5" s="857" customFormat="1" ht="31" customHeight="1" spans="1:87">
      <c r="A5" s="1213">
        <v>45644</v>
      </c>
      <c r="B5" s="1214" t="s">
        <v>211</v>
      </c>
      <c r="C5" s="1215" t="s">
        <v>125</v>
      </c>
      <c r="D5" s="1216" t="s">
        <v>212</v>
      </c>
      <c r="E5" s="1214"/>
      <c r="F5" s="1217"/>
      <c r="G5" s="926" t="s">
        <v>213</v>
      </c>
      <c r="H5" s="926" t="s">
        <v>189</v>
      </c>
      <c r="I5" s="926">
        <v>42616</v>
      </c>
      <c r="J5" s="926">
        <v>0</v>
      </c>
      <c r="K5" s="926">
        <v>24</v>
      </c>
      <c r="L5" s="1201">
        <f t="shared" si="0"/>
        <v>1775.66666666667</v>
      </c>
      <c r="M5" s="930">
        <v>45667</v>
      </c>
      <c r="N5" s="930">
        <v>45663</v>
      </c>
      <c r="O5" s="937" t="s">
        <v>214</v>
      </c>
      <c r="P5" s="1218" t="s">
        <v>86</v>
      </c>
      <c r="Q5" s="926"/>
      <c r="R5" s="932" t="s">
        <v>97</v>
      </c>
      <c r="S5" s="926" t="s">
        <v>98</v>
      </c>
      <c r="T5" s="932" t="s">
        <v>215</v>
      </c>
      <c r="U5" s="932"/>
      <c r="V5" s="933" t="s">
        <v>216</v>
      </c>
      <c r="W5" s="1219" t="s">
        <v>217</v>
      </c>
      <c r="X5" s="1220">
        <v>1.8043</v>
      </c>
      <c r="Y5" s="1204">
        <f>X5*I5</f>
        <v>76892.0488</v>
      </c>
      <c r="Z5" s="1204"/>
      <c r="AA5" s="926" t="s">
        <v>218</v>
      </c>
      <c r="AB5" s="926" t="s">
        <v>213</v>
      </c>
      <c r="AC5" s="926" t="s">
        <v>93</v>
      </c>
      <c r="AD5" s="1040" t="s">
        <v>219</v>
      </c>
      <c r="AE5" s="926"/>
      <c r="AF5" s="924">
        <f>34112+8520</f>
        <v>42632</v>
      </c>
      <c r="AG5" s="924">
        <f t="shared" si="1"/>
        <v>16</v>
      </c>
      <c r="AH5" s="1221"/>
      <c r="AI5" s="926" t="s">
        <v>95</v>
      </c>
      <c r="AJ5" s="926"/>
      <c r="AK5" s="926">
        <f t="shared" si="4"/>
        <v>42616</v>
      </c>
      <c r="AL5" s="926"/>
      <c r="AM5" s="926">
        <f>I5</f>
        <v>42616</v>
      </c>
      <c r="AP5" s="926"/>
      <c r="AQ5" s="926"/>
      <c r="AS5" s="926">
        <f>I5</f>
        <v>42616</v>
      </c>
      <c r="AT5" s="926"/>
      <c r="AU5" s="926"/>
      <c r="AV5" s="926"/>
      <c r="BU5" s="939">
        <f t="shared" si="5"/>
        <v>42616</v>
      </c>
      <c r="BV5" s="1222">
        <f t="shared" si="6"/>
        <v>2255864</v>
      </c>
      <c r="BW5" s="939"/>
      <c r="BX5" s="939"/>
      <c r="BY5" s="939"/>
      <c r="BZ5" s="939"/>
      <c r="CA5" s="856">
        <f t="shared" si="2"/>
        <v>564136</v>
      </c>
      <c r="CC5" s="964">
        <f t="shared" si="7"/>
        <v>0</v>
      </c>
      <c r="CD5" s="939">
        <f t="shared" si="8"/>
        <v>47614.5714285714</v>
      </c>
      <c r="CE5" s="939"/>
      <c r="CF5" s="939"/>
      <c r="CG5" s="939"/>
      <c r="CH5" s="939">
        <f t="shared" si="3"/>
        <v>12385.4285714286</v>
      </c>
      <c r="CI5" s="939"/>
    </row>
    <row r="6" s="857" customFormat="1" ht="31" customHeight="1" spans="1:87">
      <c r="A6" s="1213">
        <v>45573</v>
      </c>
      <c r="B6" s="1214" t="s">
        <v>220</v>
      </c>
      <c r="C6" s="1215" t="s">
        <v>221</v>
      </c>
      <c r="D6" s="1216">
        <v>4500146540</v>
      </c>
      <c r="E6" s="1214"/>
      <c r="F6" s="1217" t="s">
        <v>222</v>
      </c>
      <c r="G6" s="926" t="s">
        <v>205</v>
      </c>
      <c r="H6" s="926" t="s">
        <v>189</v>
      </c>
      <c r="I6" s="926">
        <v>3200</v>
      </c>
      <c r="J6" s="926">
        <v>0</v>
      </c>
      <c r="K6" s="926">
        <v>50</v>
      </c>
      <c r="L6" s="1201">
        <f t="shared" si="0"/>
        <v>64</v>
      </c>
      <c r="M6" s="930">
        <v>45659</v>
      </c>
      <c r="N6" s="930">
        <v>45654</v>
      </c>
      <c r="O6" s="937"/>
      <c r="P6" s="1218" t="s">
        <v>86</v>
      </c>
      <c r="Q6" s="926"/>
      <c r="R6" s="932">
        <v>45580</v>
      </c>
      <c r="S6" s="926" t="s">
        <v>98</v>
      </c>
      <c r="T6" s="932" t="s">
        <v>223</v>
      </c>
      <c r="U6" s="932"/>
      <c r="V6" s="933" t="s">
        <v>224</v>
      </c>
      <c r="W6" s="1219" t="s">
        <v>225</v>
      </c>
      <c r="X6" s="1220">
        <v>1.9961</v>
      </c>
      <c r="Y6" s="1204">
        <f>X6*I6</f>
        <v>6387.52</v>
      </c>
      <c r="Z6" s="1204"/>
      <c r="AA6" s="926" t="s">
        <v>226</v>
      </c>
      <c r="AB6" s="926" t="s">
        <v>205</v>
      </c>
      <c r="AC6" s="926" t="s">
        <v>93</v>
      </c>
      <c r="AD6" s="1040" t="s">
        <v>94</v>
      </c>
      <c r="AE6" s="926"/>
      <c r="AF6" s="924">
        <v>3200</v>
      </c>
      <c r="AG6" s="924">
        <f t="shared" si="1"/>
        <v>0</v>
      </c>
      <c r="AH6" s="1221"/>
      <c r="AI6" s="926" t="s">
        <v>95</v>
      </c>
      <c r="AJ6" s="926"/>
      <c r="AK6" s="926">
        <f t="shared" si="4"/>
        <v>3200</v>
      </c>
      <c r="AL6" s="926"/>
      <c r="AM6" s="926">
        <f>I6</f>
        <v>3200</v>
      </c>
      <c r="AP6" s="926"/>
      <c r="AQ6" s="926"/>
      <c r="AS6" s="926">
        <f>I6</f>
        <v>3200</v>
      </c>
      <c r="AT6" s="926"/>
      <c r="AU6" s="926"/>
      <c r="AV6" s="926"/>
      <c r="BE6" s="857">
        <f>I6/25</f>
        <v>128</v>
      </c>
      <c r="BU6" s="939">
        <f t="shared" si="5"/>
        <v>3200</v>
      </c>
      <c r="BV6" s="1222">
        <f t="shared" si="6"/>
        <v>2259064</v>
      </c>
      <c r="BW6" s="939"/>
      <c r="BX6" s="939"/>
      <c r="BY6" s="939"/>
      <c r="BZ6" s="939"/>
      <c r="CA6" s="856">
        <f t="shared" si="2"/>
        <v>560936</v>
      </c>
      <c r="CC6" s="964">
        <f t="shared" si="7"/>
        <v>128</v>
      </c>
      <c r="CD6" s="939">
        <f t="shared" si="8"/>
        <v>47742.5714285714</v>
      </c>
      <c r="CE6" s="939"/>
      <c r="CF6" s="939"/>
      <c r="CG6" s="939"/>
      <c r="CH6" s="939">
        <f t="shared" si="3"/>
        <v>12257.4285714286</v>
      </c>
      <c r="CI6" s="939"/>
    </row>
    <row r="7" s="857" customFormat="1" ht="31" customHeight="1" spans="1:87">
      <c r="A7" s="1213">
        <v>45621</v>
      </c>
      <c r="B7" s="1214" t="s">
        <v>227</v>
      </c>
      <c r="C7" s="1215" t="s">
        <v>228</v>
      </c>
      <c r="D7" s="1216">
        <v>4500152280</v>
      </c>
      <c r="E7" s="1214"/>
      <c r="F7" s="1217" t="s">
        <v>229</v>
      </c>
      <c r="G7" s="926" t="s">
        <v>205</v>
      </c>
      <c r="H7" s="926" t="s">
        <v>189</v>
      </c>
      <c r="I7" s="926">
        <v>250</v>
      </c>
      <c r="J7" s="926">
        <v>0</v>
      </c>
      <c r="K7" s="926">
        <v>50</v>
      </c>
      <c r="L7" s="1201">
        <f t="shared" si="0"/>
        <v>5</v>
      </c>
      <c r="M7" s="930">
        <v>45660</v>
      </c>
      <c r="N7" s="930">
        <v>45656</v>
      </c>
      <c r="O7" s="937"/>
      <c r="P7" s="1218" t="s">
        <v>86</v>
      </c>
      <c r="Q7" s="926"/>
      <c r="R7" s="932">
        <v>45623</v>
      </c>
      <c r="S7" s="926" t="s">
        <v>98</v>
      </c>
      <c r="T7" s="932" t="s">
        <v>98</v>
      </c>
      <c r="U7" s="932"/>
      <c r="V7" s="933" t="s">
        <v>230</v>
      </c>
      <c r="W7" s="1219" t="s">
        <v>225</v>
      </c>
      <c r="X7" s="1220">
        <v>2.0019</v>
      </c>
      <c r="Y7" s="1204">
        <f>X7*I7</f>
        <v>500.475</v>
      </c>
      <c r="Z7" s="1204"/>
      <c r="AA7" s="926" t="s">
        <v>231</v>
      </c>
      <c r="AB7" s="926" t="s">
        <v>205</v>
      </c>
      <c r="AC7" s="926" t="s">
        <v>93</v>
      </c>
      <c r="AD7" s="1040" t="s">
        <v>94</v>
      </c>
      <c r="AE7" s="926"/>
      <c r="AF7" s="924">
        <v>250</v>
      </c>
      <c r="AG7" s="924">
        <f t="shared" si="1"/>
        <v>0</v>
      </c>
      <c r="AH7" s="1221"/>
      <c r="AI7" s="926" t="s">
        <v>98</v>
      </c>
      <c r="AJ7" s="926"/>
      <c r="AK7" s="926">
        <f t="shared" si="4"/>
        <v>250</v>
      </c>
      <c r="AL7" s="926"/>
      <c r="AM7" s="926">
        <f>I7</f>
        <v>250</v>
      </c>
      <c r="AP7" s="926"/>
      <c r="AQ7" s="926"/>
      <c r="AS7" s="926">
        <f>I7</f>
        <v>250</v>
      </c>
      <c r="AT7" s="926"/>
      <c r="AU7" s="926"/>
      <c r="AV7" s="926"/>
      <c r="BE7" s="857">
        <f>I7/25</f>
        <v>10</v>
      </c>
      <c r="BU7" s="939">
        <f t="shared" si="5"/>
        <v>250</v>
      </c>
      <c r="BV7" s="1222">
        <f t="shared" si="6"/>
        <v>2259314</v>
      </c>
      <c r="BW7" s="939"/>
      <c r="BX7" s="939"/>
      <c r="BY7" s="939"/>
      <c r="BZ7" s="939"/>
      <c r="CA7" s="856">
        <f t="shared" si="2"/>
        <v>560686</v>
      </c>
      <c r="CC7" s="964">
        <f t="shared" si="7"/>
        <v>10</v>
      </c>
      <c r="CD7" s="939">
        <f t="shared" si="8"/>
        <v>47752.5714285714</v>
      </c>
      <c r="CE7" s="939"/>
      <c r="CF7" s="939"/>
      <c r="CG7" s="939"/>
      <c r="CH7" s="939">
        <f t="shared" si="3"/>
        <v>12247.4285714286</v>
      </c>
      <c r="CI7" s="939"/>
    </row>
    <row r="8" s="857" customFormat="1" ht="31" customHeight="1" spans="1:87">
      <c r="A8" s="1213">
        <v>45615</v>
      </c>
      <c r="B8" s="1214" t="s">
        <v>232</v>
      </c>
      <c r="C8" s="1215" t="s">
        <v>125</v>
      </c>
      <c r="D8" s="1216">
        <v>4500151779</v>
      </c>
      <c r="E8" s="1214"/>
      <c r="F8" s="1217" t="s">
        <v>233</v>
      </c>
      <c r="G8" s="926" t="s">
        <v>234</v>
      </c>
      <c r="H8" s="926" t="s">
        <v>189</v>
      </c>
      <c r="I8" s="926">
        <v>1092</v>
      </c>
      <c r="J8" s="926">
        <v>0</v>
      </c>
      <c r="K8" s="926">
        <v>13</v>
      </c>
      <c r="L8" s="1201">
        <f t="shared" si="0"/>
        <v>84</v>
      </c>
      <c r="M8" s="930">
        <v>45666</v>
      </c>
      <c r="N8" s="930">
        <v>45296</v>
      </c>
      <c r="O8" s="937" t="s">
        <v>235</v>
      </c>
      <c r="P8" s="1218" t="s">
        <v>86</v>
      </c>
      <c r="Q8" s="926" t="s">
        <v>236</v>
      </c>
      <c r="R8" s="932">
        <v>45638</v>
      </c>
      <c r="S8" s="926" t="s">
        <v>98</v>
      </c>
      <c r="T8" s="932" t="s">
        <v>98</v>
      </c>
      <c r="U8" s="932"/>
      <c r="V8" s="933" t="s">
        <v>237</v>
      </c>
      <c r="W8" s="1219" t="s">
        <v>238</v>
      </c>
      <c r="X8" s="1220">
        <v>1.9068</v>
      </c>
      <c r="Y8" s="1204">
        <f>I8*X8</f>
        <v>2082.2256</v>
      </c>
      <c r="Z8" s="1204"/>
      <c r="AA8" s="926" t="s">
        <v>239</v>
      </c>
      <c r="AB8" s="926" t="s">
        <v>234</v>
      </c>
      <c r="AC8" s="926" t="s">
        <v>93</v>
      </c>
      <c r="AD8" s="1040" t="s">
        <v>94</v>
      </c>
      <c r="AE8" s="926"/>
      <c r="AF8" s="924">
        <v>1092</v>
      </c>
      <c r="AG8" s="924">
        <f t="shared" si="1"/>
        <v>0</v>
      </c>
      <c r="AH8" s="1221"/>
      <c r="AI8" s="926" t="s">
        <v>98</v>
      </c>
      <c r="AJ8" s="926"/>
      <c r="AK8" s="926">
        <f t="shared" si="4"/>
        <v>1092</v>
      </c>
      <c r="AL8" s="926"/>
      <c r="AM8" s="926">
        <f>I8</f>
        <v>1092</v>
      </c>
      <c r="AP8" s="926"/>
      <c r="AQ8" s="926"/>
      <c r="AS8" s="926">
        <f>I8</f>
        <v>1092</v>
      </c>
      <c r="AT8" s="926"/>
      <c r="AU8" s="926"/>
      <c r="AV8" s="926"/>
      <c r="BC8" s="857">
        <f>I8/13</f>
        <v>84</v>
      </c>
      <c r="BU8" s="939">
        <f t="shared" si="5"/>
        <v>1092</v>
      </c>
      <c r="BV8" s="1222">
        <f t="shared" si="6"/>
        <v>2260406</v>
      </c>
      <c r="BW8" s="939"/>
      <c r="BX8" s="939"/>
      <c r="BY8" s="939"/>
      <c r="BZ8" s="939"/>
      <c r="CA8" s="856">
        <f t="shared" si="2"/>
        <v>559594</v>
      </c>
      <c r="CC8" s="964">
        <f t="shared" si="7"/>
        <v>0</v>
      </c>
      <c r="CD8" s="939">
        <f t="shared" si="8"/>
        <v>47752.5714285714</v>
      </c>
      <c r="CE8" s="939"/>
      <c r="CF8" s="939"/>
      <c r="CG8" s="939"/>
      <c r="CH8" s="939">
        <f t="shared" si="3"/>
        <v>12247.4285714286</v>
      </c>
      <c r="CI8" s="939"/>
    </row>
    <row r="9" s="857" customFormat="1" ht="31" customHeight="1" spans="1:87">
      <c r="A9" s="1213">
        <v>45621</v>
      </c>
      <c r="B9" s="1214" t="s">
        <v>240</v>
      </c>
      <c r="C9" s="1215" t="s">
        <v>125</v>
      </c>
      <c r="D9" s="1216">
        <v>4500152202</v>
      </c>
      <c r="E9" s="1214" t="s">
        <v>241</v>
      </c>
      <c r="F9" s="1217" t="s">
        <v>242</v>
      </c>
      <c r="G9" s="926" t="s">
        <v>243</v>
      </c>
      <c r="H9" s="926" t="s">
        <v>189</v>
      </c>
      <c r="I9" s="926">
        <v>3456</v>
      </c>
      <c r="J9" s="926">
        <v>0</v>
      </c>
      <c r="K9" s="926">
        <v>1152</v>
      </c>
      <c r="L9" s="1201">
        <f t="shared" ref="L9:L72" si="9">I9/K9</f>
        <v>3</v>
      </c>
      <c r="M9" s="930">
        <v>45300</v>
      </c>
      <c r="N9" s="930">
        <v>45296</v>
      </c>
      <c r="O9" s="937" t="s">
        <v>244</v>
      </c>
      <c r="P9" s="1218" t="s">
        <v>86</v>
      </c>
      <c r="Q9" s="926"/>
      <c r="R9" s="932">
        <v>45621</v>
      </c>
      <c r="S9" s="926" t="s">
        <v>98</v>
      </c>
      <c r="T9" s="932" t="s">
        <v>245</v>
      </c>
      <c r="U9" s="932"/>
      <c r="V9" s="933" t="s">
        <v>246</v>
      </c>
      <c r="W9" s="1219" t="s">
        <v>247</v>
      </c>
      <c r="X9" s="1220">
        <v>2182.1336</v>
      </c>
      <c r="Y9" s="1204">
        <v>6546.4008</v>
      </c>
      <c r="Z9" s="1204"/>
      <c r="AA9" s="926" t="s">
        <v>248</v>
      </c>
      <c r="AB9" s="926" t="s">
        <v>243</v>
      </c>
      <c r="AC9" s="926" t="s">
        <v>93</v>
      </c>
      <c r="AD9" s="1040" t="s">
        <v>94</v>
      </c>
      <c r="AE9" s="926"/>
      <c r="AF9" s="924">
        <v>3456</v>
      </c>
      <c r="AG9" s="924">
        <f t="shared" si="1"/>
        <v>0</v>
      </c>
      <c r="AH9" s="1221"/>
      <c r="AI9" s="926"/>
      <c r="AJ9" s="926"/>
      <c r="AK9" s="926">
        <f t="shared" si="4"/>
        <v>3456</v>
      </c>
      <c r="AL9" s="926"/>
      <c r="AM9" s="926">
        <f t="shared" ref="AM9:AM18" si="10">I9</f>
        <v>3456</v>
      </c>
      <c r="AP9" s="926"/>
      <c r="AQ9" s="926"/>
      <c r="AS9" s="926"/>
      <c r="AT9" s="926"/>
      <c r="AU9" s="926">
        <v>3456</v>
      </c>
      <c r="AV9" s="926"/>
      <c r="AZ9" s="857">
        <f t="shared" ref="AZ9:AZ15" si="11">I9/12</f>
        <v>288</v>
      </c>
      <c r="BU9" s="939">
        <f t="shared" si="5"/>
        <v>3456</v>
      </c>
      <c r="BV9" s="1222">
        <f t="shared" si="6"/>
        <v>2263862</v>
      </c>
      <c r="BW9" s="939"/>
      <c r="BX9" s="939"/>
      <c r="BY9" s="939"/>
      <c r="BZ9" s="939"/>
      <c r="CA9" s="856">
        <f t="shared" si="2"/>
        <v>556138</v>
      </c>
      <c r="CC9" s="964">
        <f t="shared" si="7"/>
        <v>0</v>
      </c>
      <c r="CD9" s="939">
        <f t="shared" si="8"/>
        <v>47752.5714285714</v>
      </c>
      <c r="CE9" s="939"/>
      <c r="CF9" s="939"/>
      <c r="CG9" s="939"/>
      <c r="CH9" s="939">
        <f t="shared" si="3"/>
        <v>12247.4285714286</v>
      </c>
      <c r="CI9" s="939"/>
    </row>
    <row r="10" s="857" customFormat="1" ht="31" customHeight="1" spans="1:87">
      <c r="A10" s="1213">
        <v>45621</v>
      </c>
      <c r="B10" s="1214" t="s">
        <v>240</v>
      </c>
      <c r="C10" s="1215" t="s">
        <v>125</v>
      </c>
      <c r="D10" s="1216">
        <v>4500152202</v>
      </c>
      <c r="E10" s="1214" t="s">
        <v>249</v>
      </c>
      <c r="F10" s="1217" t="s">
        <v>250</v>
      </c>
      <c r="G10" s="926" t="s">
        <v>243</v>
      </c>
      <c r="H10" s="926" t="s">
        <v>189</v>
      </c>
      <c r="I10" s="926">
        <v>3456</v>
      </c>
      <c r="J10" s="926">
        <v>0</v>
      </c>
      <c r="K10" s="926">
        <v>1152</v>
      </c>
      <c r="L10" s="1201">
        <f t="shared" si="9"/>
        <v>3</v>
      </c>
      <c r="M10" s="930">
        <v>45300</v>
      </c>
      <c r="N10" s="930">
        <v>45296</v>
      </c>
      <c r="O10" s="937" t="s">
        <v>244</v>
      </c>
      <c r="P10" s="1218" t="s">
        <v>86</v>
      </c>
      <c r="Q10" s="926"/>
      <c r="R10" s="932">
        <v>45621</v>
      </c>
      <c r="S10" s="926" t="s">
        <v>98</v>
      </c>
      <c r="T10" s="932" t="s">
        <v>245</v>
      </c>
      <c r="U10" s="932"/>
      <c r="V10" s="933" t="s">
        <v>246</v>
      </c>
      <c r="W10" s="1219" t="s">
        <v>247</v>
      </c>
      <c r="X10" s="1220">
        <v>2182.1336</v>
      </c>
      <c r="Y10" s="1204">
        <v>6546.4008</v>
      </c>
      <c r="Z10" s="1204"/>
      <c r="AA10" s="926" t="s">
        <v>248</v>
      </c>
      <c r="AB10" s="926" t="s">
        <v>243</v>
      </c>
      <c r="AC10" s="926" t="s">
        <v>93</v>
      </c>
      <c r="AD10" s="1040" t="s">
        <v>94</v>
      </c>
      <c r="AE10" s="926"/>
      <c r="AF10" s="1039"/>
      <c r="AG10" s="924">
        <f t="shared" si="1"/>
        <v>-3456</v>
      </c>
      <c r="AH10" s="1221"/>
      <c r="AI10" s="926"/>
      <c r="AJ10" s="926"/>
      <c r="AK10" s="926">
        <f t="shared" si="4"/>
        <v>3456</v>
      </c>
      <c r="AL10" s="926"/>
      <c r="AM10" s="926">
        <f t="shared" si="10"/>
        <v>3456</v>
      </c>
      <c r="AP10" s="926"/>
      <c r="AQ10" s="926"/>
      <c r="AS10" s="926"/>
      <c r="AT10" s="926"/>
      <c r="AU10" s="926">
        <v>3456</v>
      </c>
      <c r="AV10" s="926"/>
      <c r="AZ10" s="857">
        <f t="shared" si="11"/>
        <v>288</v>
      </c>
      <c r="BU10" s="939">
        <f t="shared" si="5"/>
        <v>3456</v>
      </c>
      <c r="BV10" s="1222">
        <f t="shared" si="6"/>
        <v>2267318</v>
      </c>
      <c r="BW10" s="939"/>
      <c r="BX10" s="939"/>
      <c r="BY10" s="939"/>
      <c r="BZ10" s="939"/>
      <c r="CA10" s="856">
        <f t="shared" si="2"/>
        <v>552682</v>
      </c>
      <c r="CC10" s="964">
        <f t="shared" si="7"/>
        <v>0</v>
      </c>
      <c r="CD10" s="939">
        <f t="shared" si="8"/>
        <v>47752.5714285714</v>
      </c>
      <c r="CE10" s="939"/>
      <c r="CF10" s="939"/>
      <c r="CG10" s="939"/>
      <c r="CH10" s="939">
        <f t="shared" si="3"/>
        <v>12247.4285714286</v>
      </c>
      <c r="CI10" s="939"/>
    </row>
    <row r="11" s="857" customFormat="1" ht="31" customHeight="1" spans="1:87">
      <c r="A11" s="1213">
        <v>45621</v>
      </c>
      <c r="B11" s="1214" t="s">
        <v>240</v>
      </c>
      <c r="C11" s="1215" t="s">
        <v>125</v>
      </c>
      <c r="D11" s="1216">
        <v>4500152202</v>
      </c>
      <c r="E11" s="1214" t="s">
        <v>251</v>
      </c>
      <c r="F11" s="1217" t="s">
        <v>252</v>
      </c>
      <c r="G11" s="926" t="s">
        <v>243</v>
      </c>
      <c r="H11" s="926" t="s">
        <v>189</v>
      </c>
      <c r="I11" s="926">
        <v>5760</v>
      </c>
      <c r="J11" s="926">
        <v>0</v>
      </c>
      <c r="K11" s="926">
        <v>1152</v>
      </c>
      <c r="L11" s="1201">
        <f t="shared" si="9"/>
        <v>5</v>
      </c>
      <c r="M11" s="930">
        <v>45300</v>
      </c>
      <c r="N11" s="930">
        <v>45296</v>
      </c>
      <c r="O11" s="937" t="s">
        <v>244</v>
      </c>
      <c r="P11" s="1218" t="s">
        <v>86</v>
      </c>
      <c r="Q11" s="926"/>
      <c r="R11" s="932">
        <v>45621</v>
      </c>
      <c r="S11" s="926" t="s">
        <v>98</v>
      </c>
      <c r="T11" s="932" t="s">
        <v>245</v>
      </c>
      <c r="U11" s="932"/>
      <c r="V11" s="933" t="s">
        <v>246</v>
      </c>
      <c r="W11" s="1219" t="s">
        <v>247</v>
      </c>
      <c r="X11" s="1220">
        <v>2182.1336</v>
      </c>
      <c r="Y11" s="1204">
        <v>10910.668</v>
      </c>
      <c r="Z11" s="1204"/>
      <c r="AA11" s="926" t="s">
        <v>253</v>
      </c>
      <c r="AB11" s="926" t="s">
        <v>243</v>
      </c>
      <c r="AC11" s="926" t="s">
        <v>93</v>
      </c>
      <c r="AD11" s="1040" t="s">
        <v>94</v>
      </c>
      <c r="AE11" s="926"/>
      <c r="AF11" s="924">
        <v>5760</v>
      </c>
      <c r="AG11" s="924">
        <f t="shared" si="1"/>
        <v>0</v>
      </c>
      <c r="AH11" s="1221"/>
      <c r="AI11" s="926"/>
      <c r="AJ11" s="926"/>
      <c r="AK11" s="926">
        <f t="shared" si="4"/>
        <v>5760</v>
      </c>
      <c r="AL11" s="926"/>
      <c r="AM11" s="926">
        <f t="shared" si="10"/>
        <v>5760</v>
      </c>
      <c r="AP11" s="926"/>
      <c r="AQ11" s="926"/>
      <c r="AS11" s="926"/>
      <c r="AT11" s="926"/>
      <c r="AU11" s="926">
        <v>5760</v>
      </c>
      <c r="AV11" s="926"/>
      <c r="AZ11" s="857">
        <f t="shared" si="11"/>
        <v>480</v>
      </c>
      <c r="BU11" s="939">
        <f t="shared" si="5"/>
        <v>5760</v>
      </c>
      <c r="BV11" s="1222">
        <f t="shared" si="6"/>
        <v>2273078</v>
      </c>
      <c r="BW11" s="939"/>
      <c r="BX11" s="939"/>
      <c r="BY11" s="939"/>
      <c r="BZ11" s="939"/>
      <c r="CA11" s="856">
        <f t="shared" si="2"/>
        <v>546922</v>
      </c>
      <c r="CC11" s="964">
        <f t="shared" si="7"/>
        <v>0</v>
      </c>
      <c r="CD11" s="939">
        <f t="shared" si="8"/>
        <v>47752.5714285714</v>
      </c>
      <c r="CE11" s="939"/>
      <c r="CF11" s="939"/>
      <c r="CG11" s="939"/>
      <c r="CH11" s="939">
        <f t="shared" si="3"/>
        <v>12247.4285714286</v>
      </c>
      <c r="CI11" s="939"/>
    </row>
    <row r="12" s="857" customFormat="1" ht="31" customHeight="1" spans="1:87">
      <c r="A12" s="1213">
        <v>45621</v>
      </c>
      <c r="B12" s="1214" t="s">
        <v>240</v>
      </c>
      <c r="C12" s="1215" t="s">
        <v>125</v>
      </c>
      <c r="D12" s="1216">
        <v>4500152202</v>
      </c>
      <c r="E12" s="1214" t="s">
        <v>254</v>
      </c>
      <c r="F12" s="1217" t="s">
        <v>255</v>
      </c>
      <c r="G12" s="926" t="s">
        <v>243</v>
      </c>
      <c r="H12" s="926" t="s">
        <v>189</v>
      </c>
      <c r="I12" s="926">
        <v>1152</v>
      </c>
      <c r="J12" s="926">
        <v>0</v>
      </c>
      <c r="K12" s="926">
        <v>1152</v>
      </c>
      <c r="L12" s="1201">
        <f t="shared" si="9"/>
        <v>1</v>
      </c>
      <c r="M12" s="930">
        <v>45300</v>
      </c>
      <c r="N12" s="930">
        <v>45296</v>
      </c>
      <c r="O12" s="937" t="s">
        <v>244</v>
      </c>
      <c r="P12" s="1218" t="s">
        <v>86</v>
      </c>
      <c r="Q12" s="926"/>
      <c r="R12" s="932">
        <v>45621</v>
      </c>
      <c r="S12" s="926" t="s">
        <v>98</v>
      </c>
      <c r="T12" s="932" t="s">
        <v>245</v>
      </c>
      <c r="U12" s="932"/>
      <c r="V12" s="933" t="s">
        <v>246</v>
      </c>
      <c r="W12" s="1219" t="s">
        <v>247</v>
      </c>
      <c r="X12" s="1220">
        <v>2182.1336</v>
      </c>
      <c r="Y12" s="1204">
        <v>2182.1336</v>
      </c>
      <c r="Z12" s="1204"/>
      <c r="AA12" s="926" t="s">
        <v>253</v>
      </c>
      <c r="AB12" s="926" t="s">
        <v>243</v>
      </c>
      <c r="AC12" s="926" t="s">
        <v>93</v>
      </c>
      <c r="AD12" s="1040" t="s">
        <v>94</v>
      </c>
      <c r="AE12" s="926"/>
      <c r="AF12" s="924">
        <v>1152</v>
      </c>
      <c r="AG12" s="924">
        <f t="shared" si="1"/>
        <v>0</v>
      </c>
      <c r="AH12" s="1221"/>
      <c r="AI12" s="926"/>
      <c r="AJ12" s="926"/>
      <c r="AK12" s="926">
        <f t="shared" si="4"/>
        <v>1152</v>
      </c>
      <c r="AL12" s="926"/>
      <c r="AM12" s="926">
        <f t="shared" si="10"/>
        <v>1152</v>
      </c>
      <c r="AP12" s="926"/>
      <c r="AQ12" s="926"/>
      <c r="AS12" s="926"/>
      <c r="AT12" s="926"/>
      <c r="AU12" s="926">
        <v>1152</v>
      </c>
      <c r="AV12" s="926"/>
      <c r="AZ12" s="857">
        <f t="shared" si="11"/>
        <v>96</v>
      </c>
      <c r="BU12" s="939">
        <f t="shared" si="5"/>
        <v>1152</v>
      </c>
      <c r="BV12" s="1222">
        <f t="shared" si="6"/>
        <v>2274230</v>
      </c>
      <c r="BW12" s="939"/>
      <c r="BX12" s="939"/>
      <c r="BY12" s="939"/>
      <c r="BZ12" s="939"/>
      <c r="CA12" s="856">
        <f t="shared" si="2"/>
        <v>545770</v>
      </c>
      <c r="CC12" s="964">
        <f t="shared" si="7"/>
        <v>0</v>
      </c>
      <c r="CD12" s="939">
        <f t="shared" si="8"/>
        <v>47752.5714285714</v>
      </c>
      <c r="CE12" s="939"/>
      <c r="CF12" s="939"/>
      <c r="CG12" s="939"/>
      <c r="CH12" s="939">
        <f t="shared" si="3"/>
        <v>12247.4285714286</v>
      </c>
      <c r="CI12" s="939"/>
    </row>
    <row r="13" s="857" customFormat="1" ht="31" customHeight="1" spans="1:87">
      <c r="A13" s="1213">
        <v>45621</v>
      </c>
      <c r="B13" s="1214" t="s">
        <v>240</v>
      </c>
      <c r="C13" s="1215" t="s">
        <v>125</v>
      </c>
      <c r="D13" s="1216">
        <v>4500152202</v>
      </c>
      <c r="E13" s="1214" t="s">
        <v>256</v>
      </c>
      <c r="F13" s="1217" t="s">
        <v>257</v>
      </c>
      <c r="G13" s="926" t="s">
        <v>243</v>
      </c>
      <c r="H13" s="926" t="s">
        <v>189</v>
      </c>
      <c r="I13" s="926">
        <v>4608</v>
      </c>
      <c r="J13" s="926">
        <v>0</v>
      </c>
      <c r="K13" s="926">
        <v>1152</v>
      </c>
      <c r="L13" s="1201">
        <f t="shared" si="9"/>
        <v>4</v>
      </c>
      <c r="M13" s="930">
        <v>45300</v>
      </c>
      <c r="N13" s="930">
        <v>45296</v>
      </c>
      <c r="O13" s="937" t="s">
        <v>244</v>
      </c>
      <c r="P13" s="1218" t="s">
        <v>86</v>
      </c>
      <c r="Q13" s="926"/>
      <c r="R13" s="932">
        <v>45621</v>
      </c>
      <c r="S13" s="926" t="s">
        <v>98</v>
      </c>
      <c r="T13" s="932" t="s">
        <v>245</v>
      </c>
      <c r="U13" s="932"/>
      <c r="V13" s="933" t="s">
        <v>246</v>
      </c>
      <c r="W13" s="1219" t="s">
        <v>247</v>
      </c>
      <c r="X13" s="1220">
        <v>2182.1336</v>
      </c>
      <c r="Y13" s="1204">
        <v>8728.5344</v>
      </c>
      <c r="Z13" s="1204"/>
      <c r="AA13" s="926" t="s">
        <v>258</v>
      </c>
      <c r="AB13" s="926" t="s">
        <v>243</v>
      </c>
      <c r="AC13" s="926" t="s">
        <v>93</v>
      </c>
      <c r="AD13" s="1040" t="s">
        <v>94</v>
      </c>
      <c r="AE13" s="926"/>
      <c r="AF13" s="924">
        <v>4608</v>
      </c>
      <c r="AG13" s="924">
        <f t="shared" si="1"/>
        <v>0</v>
      </c>
      <c r="AH13" s="1221"/>
      <c r="AI13" s="926"/>
      <c r="AJ13" s="926"/>
      <c r="AK13" s="926">
        <f t="shared" si="4"/>
        <v>4608</v>
      </c>
      <c r="AL13" s="926"/>
      <c r="AM13" s="926">
        <f t="shared" si="10"/>
        <v>4608</v>
      </c>
      <c r="AP13" s="926"/>
      <c r="AQ13" s="926"/>
      <c r="AS13" s="926"/>
      <c r="AT13" s="926"/>
      <c r="AU13" s="926">
        <v>4608</v>
      </c>
      <c r="AV13" s="926"/>
      <c r="AZ13" s="857">
        <f t="shared" si="11"/>
        <v>384</v>
      </c>
      <c r="BU13" s="939">
        <f t="shared" si="5"/>
        <v>4608</v>
      </c>
      <c r="BV13" s="1222">
        <f t="shared" si="6"/>
        <v>2278838</v>
      </c>
      <c r="BW13" s="939"/>
      <c r="BX13" s="939"/>
      <c r="BY13" s="939"/>
      <c r="BZ13" s="939"/>
      <c r="CA13" s="856">
        <f t="shared" si="2"/>
        <v>541162</v>
      </c>
      <c r="CC13" s="964">
        <f t="shared" si="7"/>
        <v>0</v>
      </c>
      <c r="CD13" s="939">
        <f t="shared" si="8"/>
        <v>47752.5714285714</v>
      </c>
      <c r="CE13" s="939"/>
      <c r="CF13" s="939"/>
      <c r="CG13" s="939"/>
      <c r="CH13" s="939">
        <f t="shared" si="3"/>
        <v>12247.4285714286</v>
      </c>
      <c r="CI13" s="939"/>
    </row>
    <row r="14" s="857" customFormat="1" ht="31" customHeight="1" spans="1:87">
      <c r="A14" s="1213">
        <v>45621</v>
      </c>
      <c r="B14" s="1214" t="s">
        <v>240</v>
      </c>
      <c r="C14" s="1215" t="s">
        <v>125</v>
      </c>
      <c r="D14" s="1216">
        <v>4500152202</v>
      </c>
      <c r="E14" s="1214" t="s">
        <v>259</v>
      </c>
      <c r="F14" s="1217" t="s">
        <v>260</v>
      </c>
      <c r="G14" s="926" t="s">
        <v>243</v>
      </c>
      <c r="H14" s="926" t="s">
        <v>189</v>
      </c>
      <c r="I14" s="926">
        <v>5760</v>
      </c>
      <c r="J14" s="926">
        <v>0</v>
      </c>
      <c r="K14" s="926">
        <v>1152</v>
      </c>
      <c r="L14" s="1201">
        <f t="shared" si="9"/>
        <v>5</v>
      </c>
      <c r="M14" s="930">
        <v>45300</v>
      </c>
      <c r="N14" s="930">
        <v>45296</v>
      </c>
      <c r="O14" s="937" t="s">
        <v>244</v>
      </c>
      <c r="P14" s="1218" t="s">
        <v>86</v>
      </c>
      <c r="Q14" s="926"/>
      <c r="R14" s="932">
        <v>45621</v>
      </c>
      <c r="S14" s="926" t="s">
        <v>98</v>
      </c>
      <c r="T14" s="932" t="s">
        <v>245</v>
      </c>
      <c r="U14" s="932"/>
      <c r="V14" s="933" t="s">
        <v>246</v>
      </c>
      <c r="W14" s="1219" t="s">
        <v>247</v>
      </c>
      <c r="X14" s="1220">
        <v>2182.1336</v>
      </c>
      <c r="Y14" s="1204">
        <v>10910.668</v>
      </c>
      <c r="Z14" s="1204"/>
      <c r="AA14" s="926" t="s">
        <v>248</v>
      </c>
      <c r="AB14" s="926" t="s">
        <v>243</v>
      </c>
      <c r="AC14" s="926" t="s">
        <v>93</v>
      </c>
      <c r="AD14" s="1040" t="s">
        <v>94</v>
      </c>
      <c r="AE14" s="926"/>
      <c r="AF14" s="924">
        <v>5760</v>
      </c>
      <c r="AG14" s="924">
        <f t="shared" si="1"/>
        <v>0</v>
      </c>
      <c r="AH14" s="1221"/>
      <c r="AI14" s="926"/>
      <c r="AJ14" s="926"/>
      <c r="AK14" s="926">
        <f t="shared" si="4"/>
        <v>5760</v>
      </c>
      <c r="AL14" s="926"/>
      <c r="AM14" s="926">
        <f t="shared" si="10"/>
        <v>5760</v>
      </c>
      <c r="AP14" s="926"/>
      <c r="AQ14" s="926"/>
      <c r="AS14" s="926"/>
      <c r="AT14" s="926"/>
      <c r="AU14" s="926">
        <v>5760</v>
      </c>
      <c r="AV14" s="926"/>
      <c r="AZ14" s="857">
        <f t="shared" si="11"/>
        <v>480</v>
      </c>
      <c r="BU14" s="939">
        <f t="shared" si="5"/>
        <v>5760</v>
      </c>
      <c r="BV14" s="1222">
        <f t="shared" si="6"/>
        <v>2284598</v>
      </c>
      <c r="BW14" s="939"/>
      <c r="BX14" s="939"/>
      <c r="BY14" s="939"/>
      <c r="BZ14" s="939"/>
      <c r="CA14" s="856">
        <f t="shared" si="2"/>
        <v>535402</v>
      </c>
      <c r="CC14" s="964">
        <f t="shared" si="7"/>
        <v>0</v>
      </c>
      <c r="CD14" s="939">
        <f t="shared" si="8"/>
        <v>47752.5714285714</v>
      </c>
      <c r="CE14" s="939"/>
      <c r="CF14" s="939"/>
      <c r="CG14" s="939"/>
      <c r="CH14" s="939">
        <f t="shared" si="3"/>
        <v>12247.4285714286</v>
      </c>
      <c r="CI14" s="939"/>
    </row>
    <row r="15" s="857" customFormat="1" ht="31" customHeight="1" spans="1:87">
      <c r="A15" s="1213">
        <v>45621</v>
      </c>
      <c r="B15" s="1214" t="s">
        <v>240</v>
      </c>
      <c r="C15" s="1215" t="s">
        <v>125</v>
      </c>
      <c r="D15" s="1216">
        <v>4500152202</v>
      </c>
      <c r="E15" s="1214" t="s">
        <v>261</v>
      </c>
      <c r="F15" s="1217" t="s">
        <v>262</v>
      </c>
      <c r="G15" s="926" t="s">
        <v>243</v>
      </c>
      <c r="H15" s="926" t="s">
        <v>189</v>
      </c>
      <c r="I15" s="926">
        <v>2304</v>
      </c>
      <c r="J15" s="926">
        <v>0</v>
      </c>
      <c r="K15" s="926">
        <v>1152</v>
      </c>
      <c r="L15" s="1201">
        <f t="shared" si="9"/>
        <v>2</v>
      </c>
      <c r="M15" s="930">
        <v>45300</v>
      </c>
      <c r="N15" s="930">
        <v>45296</v>
      </c>
      <c r="O15" s="937" t="s">
        <v>244</v>
      </c>
      <c r="P15" s="1218" t="s">
        <v>86</v>
      </c>
      <c r="Q15" s="926"/>
      <c r="R15" s="932">
        <v>45621</v>
      </c>
      <c r="S15" s="926" t="s">
        <v>98</v>
      </c>
      <c r="T15" s="932" t="s">
        <v>245</v>
      </c>
      <c r="U15" s="932"/>
      <c r="V15" s="933" t="s">
        <v>246</v>
      </c>
      <c r="W15" s="1219" t="s">
        <v>247</v>
      </c>
      <c r="X15" s="1220">
        <v>2182.1336</v>
      </c>
      <c r="Y15" s="1204">
        <v>4364.2672</v>
      </c>
      <c r="Z15" s="1204"/>
      <c r="AA15" s="926" t="s">
        <v>253</v>
      </c>
      <c r="AB15" s="926" t="s">
        <v>243</v>
      </c>
      <c r="AC15" s="926" t="s">
        <v>93</v>
      </c>
      <c r="AD15" s="1040" t="s">
        <v>94</v>
      </c>
      <c r="AE15" s="926"/>
      <c r="AF15" s="924">
        <v>2304</v>
      </c>
      <c r="AG15" s="924">
        <f t="shared" si="1"/>
        <v>0</v>
      </c>
      <c r="AH15" s="1221"/>
      <c r="AI15" s="926"/>
      <c r="AJ15" s="926"/>
      <c r="AK15" s="926">
        <f t="shared" si="4"/>
        <v>2304</v>
      </c>
      <c r="AL15" s="926"/>
      <c r="AM15" s="926">
        <f t="shared" si="10"/>
        <v>2304</v>
      </c>
      <c r="AP15" s="926"/>
      <c r="AQ15" s="926"/>
      <c r="AS15" s="926"/>
      <c r="AT15" s="926"/>
      <c r="AU15" s="926">
        <v>2304</v>
      </c>
      <c r="AV15" s="926"/>
      <c r="AZ15" s="857">
        <f t="shared" si="11"/>
        <v>192</v>
      </c>
      <c r="BU15" s="939">
        <f t="shared" si="5"/>
        <v>2304</v>
      </c>
      <c r="BV15" s="1222">
        <f t="shared" si="6"/>
        <v>2286902</v>
      </c>
      <c r="BW15" s="939"/>
      <c r="BX15" s="939"/>
      <c r="BY15" s="939"/>
      <c r="BZ15" s="939"/>
      <c r="CA15" s="856">
        <f t="shared" si="2"/>
        <v>533098</v>
      </c>
      <c r="CC15" s="964">
        <f t="shared" si="7"/>
        <v>0</v>
      </c>
      <c r="CD15" s="939">
        <f t="shared" si="8"/>
        <v>47752.5714285714</v>
      </c>
      <c r="CE15" s="939"/>
      <c r="CF15" s="939"/>
      <c r="CG15" s="939"/>
      <c r="CH15" s="939">
        <f t="shared" si="3"/>
        <v>12247.4285714286</v>
      </c>
      <c r="CI15" s="939"/>
    </row>
    <row r="16" s="857" customFormat="1" ht="31" customHeight="1" spans="1:87">
      <c r="A16" s="1213">
        <v>45618</v>
      </c>
      <c r="B16" s="1214" t="s">
        <v>263</v>
      </c>
      <c r="C16" s="1215" t="s">
        <v>264</v>
      </c>
      <c r="D16" s="1216">
        <v>4500152087</v>
      </c>
      <c r="E16" s="1214" t="s">
        <v>265</v>
      </c>
      <c r="F16" s="1217" t="s">
        <v>266</v>
      </c>
      <c r="G16" s="926" t="s">
        <v>205</v>
      </c>
      <c r="H16" s="926" t="s">
        <v>189</v>
      </c>
      <c r="I16" s="926">
        <v>2000</v>
      </c>
      <c r="J16" s="926">
        <v>0</v>
      </c>
      <c r="K16" s="926">
        <v>50</v>
      </c>
      <c r="L16" s="1201">
        <f t="shared" si="9"/>
        <v>40</v>
      </c>
      <c r="M16" s="930">
        <v>45660</v>
      </c>
      <c r="N16" s="930">
        <v>45656</v>
      </c>
      <c r="O16" s="937"/>
      <c r="P16" s="1218" t="s">
        <v>86</v>
      </c>
      <c r="Q16" s="926"/>
      <c r="R16" s="932">
        <v>45623</v>
      </c>
      <c r="S16" s="926" t="s">
        <v>98</v>
      </c>
      <c r="T16" s="932">
        <v>45636</v>
      </c>
      <c r="U16" s="932"/>
      <c r="V16" s="933" t="s">
        <v>267</v>
      </c>
      <c r="W16" s="1219" t="s">
        <v>225</v>
      </c>
      <c r="X16" s="1220">
        <v>2.0019</v>
      </c>
      <c r="Y16" s="1204">
        <f>X16*I16</f>
        <v>4003.8</v>
      </c>
      <c r="Z16" s="1204"/>
      <c r="AA16" s="926" t="s">
        <v>268</v>
      </c>
      <c r="AB16" s="926" t="s">
        <v>205</v>
      </c>
      <c r="AC16" s="926" t="s">
        <v>93</v>
      </c>
      <c r="AD16" s="1040" t="s">
        <v>94</v>
      </c>
      <c r="AE16" s="926"/>
      <c r="AF16" s="924">
        <v>2000</v>
      </c>
      <c r="AG16" s="924">
        <f t="shared" si="1"/>
        <v>0</v>
      </c>
      <c r="AH16" s="1221"/>
      <c r="AI16" s="926" t="s">
        <v>95</v>
      </c>
      <c r="AJ16" s="926"/>
      <c r="AK16" s="926">
        <f t="shared" si="4"/>
        <v>2000</v>
      </c>
      <c r="AL16" s="926"/>
      <c r="AM16" s="926">
        <f t="shared" si="10"/>
        <v>2000</v>
      </c>
      <c r="AP16" s="926"/>
      <c r="AQ16" s="926"/>
      <c r="AS16" s="926">
        <f>I16</f>
        <v>2000</v>
      </c>
      <c r="AT16" s="926"/>
      <c r="AU16" s="926"/>
      <c r="AV16" s="926"/>
      <c r="BE16" s="857">
        <f>I16/25</f>
        <v>80</v>
      </c>
      <c r="BU16" s="939">
        <f t="shared" si="5"/>
        <v>2000</v>
      </c>
      <c r="BV16" s="1222">
        <f t="shared" si="6"/>
        <v>2288902</v>
      </c>
      <c r="BW16" s="939"/>
      <c r="BX16" s="939"/>
      <c r="BY16" s="939"/>
      <c r="BZ16" s="939"/>
      <c r="CA16" s="856">
        <f t="shared" si="2"/>
        <v>531098</v>
      </c>
      <c r="CC16" s="964">
        <f t="shared" si="7"/>
        <v>80</v>
      </c>
      <c r="CD16" s="939">
        <f t="shared" si="8"/>
        <v>47832.5714285714</v>
      </c>
      <c r="CE16" s="939"/>
      <c r="CF16" s="939"/>
      <c r="CG16" s="939"/>
      <c r="CH16" s="939">
        <f t="shared" si="3"/>
        <v>12167.4285714286</v>
      </c>
      <c r="CI16" s="939"/>
    </row>
    <row r="17" s="857" customFormat="1" ht="31" customHeight="1" spans="1:87">
      <c r="A17" s="1213">
        <v>45587</v>
      </c>
      <c r="B17" s="1214" t="s">
        <v>211</v>
      </c>
      <c r="C17" s="1215" t="s">
        <v>125</v>
      </c>
      <c r="D17" s="1216" t="s">
        <v>269</v>
      </c>
      <c r="E17" s="1214"/>
      <c r="F17" s="1217"/>
      <c r="G17" s="926" t="s">
        <v>213</v>
      </c>
      <c r="H17" s="926" t="s">
        <v>189</v>
      </c>
      <c r="I17" s="926">
        <v>0</v>
      </c>
      <c r="J17" s="926">
        <v>0</v>
      </c>
      <c r="K17" s="926">
        <v>24</v>
      </c>
      <c r="L17" s="1201">
        <f t="shared" si="9"/>
        <v>0</v>
      </c>
      <c r="M17" s="930">
        <v>45656</v>
      </c>
      <c r="N17" s="930">
        <v>45652</v>
      </c>
      <c r="O17" s="937"/>
      <c r="P17" s="1218"/>
      <c r="Q17" s="926"/>
      <c r="R17" s="932" t="s">
        <v>97</v>
      </c>
      <c r="S17" s="926" t="s">
        <v>98</v>
      </c>
      <c r="T17" s="932" t="s">
        <v>215</v>
      </c>
      <c r="U17" s="932"/>
      <c r="V17" s="933" t="s">
        <v>270</v>
      </c>
      <c r="W17" s="1219" t="s">
        <v>217</v>
      </c>
      <c r="X17" s="1220">
        <v>1.7942</v>
      </c>
      <c r="Y17" s="1204">
        <f>X17*I17</f>
        <v>0</v>
      </c>
      <c r="Z17" s="1204"/>
      <c r="AA17" s="926"/>
      <c r="AB17" s="926" t="s">
        <v>213</v>
      </c>
      <c r="AC17" s="926" t="s">
        <v>93</v>
      </c>
      <c r="AD17" s="1040" t="s">
        <v>94</v>
      </c>
      <c r="AE17" s="926"/>
      <c r="AF17" s="924"/>
      <c r="AG17" s="924">
        <f t="shared" si="1"/>
        <v>0</v>
      </c>
      <c r="AH17" s="1221"/>
      <c r="AI17" s="926" t="s">
        <v>95</v>
      </c>
      <c r="AJ17" s="926"/>
      <c r="AK17" s="926">
        <f t="shared" si="4"/>
        <v>0</v>
      </c>
      <c r="AL17" s="926"/>
      <c r="AM17" s="926">
        <f t="shared" si="10"/>
        <v>0</v>
      </c>
      <c r="AP17" s="926"/>
      <c r="AQ17" s="926"/>
      <c r="AS17" s="926">
        <f>I17</f>
        <v>0</v>
      </c>
      <c r="AT17" s="926"/>
      <c r="AU17" s="926"/>
      <c r="AV17" s="926"/>
      <c r="BU17" s="939">
        <f t="shared" si="5"/>
        <v>0</v>
      </c>
      <c r="BV17" s="1222">
        <f t="shared" si="6"/>
        <v>2288902</v>
      </c>
      <c r="BW17" s="939"/>
      <c r="BX17" s="939"/>
      <c r="BY17" s="939"/>
      <c r="BZ17" s="939"/>
      <c r="CA17" s="856">
        <f t="shared" si="2"/>
        <v>531098</v>
      </c>
      <c r="CC17" s="964">
        <f t="shared" si="7"/>
        <v>0</v>
      </c>
      <c r="CD17" s="939">
        <f t="shared" si="8"/>
        <v>47832.5714285714</v>
      </c>
      <c r="CE17" s="939"/>
      <c r="CF17" s="939"/>
      <c r="CG17" s="939"/>
      <c r="CH17" s="939">
        <f t="shared" si="3"/>
        <v>12167.4285714286</v>
      </c>
      <c r="CI17" s="939"/>
    </row>
    <row r="18" s="857" customFormat="1" ht="31" customHeight="1" spans="1:87">
      <c r="A18" s="1213">
        <v>45604</v>
      </c>
      <c r="B18" s="1214" t="s">
        <v>271</v>
      </c>
      <c r="C18" s="1215" t="s">
        <v>272</v>
      </c>
      <c r="D18" s="1216">
        <v>4500150836</v>
      </c>
      <c r="E18" s="1214"/>
      <c r="F18" s="1217" t="s">
        <v>273</v>
      </c>
      <c r="G18" s="926" t="s">
        <v>188</v>
      </c>
      <c r="H18" s="926" t="s">
        <v>189</v>
      </c>
      <c r="I18" s="926">
        <v>2028</v>
      </c>
      <c r="J18" s="926">
        <v>0</v>
      </c>
      <c r="K18" s="926">
        <v>52</v>
      </c>
      <c r="L18" s="1201">
        <f t="shared" si="9"/>
        <v>39</v>
      </c>
      <c r="M18" s="930">
        <v>45657</v>
      </c>
      <c r="N18" s="930">
        <v>45653</v>
      </c>
      <c r="O18" s="937" t="s">
        <v>274</v>
      </c>
      <c r="P18" s="1218" t="s">
        <v>86</v>
      </c>
      <c r="Q18" s="926"/>
      <c r="R18" s="932">
        <v>45622</v>
      </c>
      <c r="S18" s="926" t="s">
        <v>98</v>
      </c>
      <c r="T18" s="932" t="s">
        <v>275</v>
      </c>
      <c r="U18" s="932"/>
      <c r="V18" s="933" t="s">
        <v>276</v>
      </c>
      <c r="W18" s="1219" t="s">
        <v>277</v>
      </c>
      <c r="X18" s="1220">
        <v>1.9026</v>
      </c>
      <c r="Y18" s="1204">
        <f>I18*X18</f>
        <v>3858.4728</v>
      </c>
      <c r="Z18" s="1204"/>
      <c r="AA18" s="926" t="s">
        <v>278</v>
      </c>
      <c r="AB18" s="926" t="s">
        <v>188</v>
      </c>
      <c r="AC18" s="926" t="s">
        <v>93</v>
      </c>
      <c r="AD18" s="1040" t="s">
        <v>94</v>
      </c>
      <c r="AE18" s="926"/>
      <c r="AF18" s="924">
        <f>1976+52</f>
        <v>2028</v>
      </c>
      <c r="AG18" s="924">
        <f t="shared" si="1"/>
        <v>0</v>
      </c>
      <c r="AH18" s="1221"/>
      <c r="AI18" s="926" t="s">
        <v>95</v>
      </c>
      <c r="AJ18" s="926"/>
      <c r="AK18" s="926">
        <f t="shared" si="4"/>
        <v>2028</v>
      </c>
      <c r="AL18" s="926"/>
      <c r="AM18" s="926">
        <f t="shared" si="10"/>
        <v>2028</v>
      </c>
      <c r="AP18" s="926"/>
      <c r="AQ18" s="926"/>
      <c r="AS18" s="926">
        <f>I18</f>
        <v>2028</v>
      </c>
      <c r="AT18" s="926"/>
      <c r="AU18" s="926"/>
      <c r="AV18" s="926"/>
      <c r="BC18" s="857">
        <f>AK18/13</f>
        <v>156</v>
      </c>
      <c r="BU18" s="939">
        <f t="shared" si="5"/>
        <v>2028</v>
      </c>
      <c r="BV18" s="1222">
        <f t="shared" si="6"/>
        <v>2290930</v>
      </c>
      <c r="BW18" s="939"/>
      <c r="BX18" s="939"/>
      <c r="BY18" s="939"/>
      <c r="BZ18" s="939"/>
      <c r="CA18" s="856">
        <f t="shared" si="2"/>
        <v>529070</v>
      </c>
      <c r="CC18" s="964">
        <f t="shared" si="7"/>
        <v>0</v>
      </c>
      <c r="CD18" s="939">
        <f t="shared" si="8"/>
        <v>47832.5714285714</v>
      </c>
      <c r="CE18" s="939"/>
      <c r="CF18" s="939"/>
      <c r="CG18" s="939"/>
      <c r="CH18" s="939">
        <f t="shared" si="3"/>
        <v>12167.4285714286</v>
      </c>
      <c r="CI18" s="939"/>
    </row>
    <row r="19" s="857" customFormat="1" ht="31" customHeight="1" spans="1:87">
      <c r="A19" s="1213">
        <v>45614</v>
      </c>
      <c r="B19" s="1214" t="s">
        <v>279</v>
      </c>
      <c r="C19" s="1215" t="s">
        <v>125</v>
      </c>
      <c r="D19" s="1216">
        <v>4500151472</v>
      </c>
      <c r="E19" s="1214" t="s">
        <v>280</v>
      </c>
      <c r="F19" s="1217" t="s">
        <v>281</v>
      </c>
      <c r="G19" s="926" t="s">
        <v>196</v>
      </c>
      <c r="H19" s="926" t="s">
        <v>197</v>
      </c>
      <c r="I19" s="926">
        <v>1800</v>
      </c>
      <c r="J19" s="926">
        <v>0</v>
      </c>
      <c r="K19" s="926">
        <v>12</v>
      </c>
      <c r="L19" s="1201">
        <f t="shared" si="9"/>
        <v>150</v>
      </c>
      <c r="M19" s="930">
        <v>45663</v>
      </c>
      <c r="N19" s="930">
        <v>45659</v>
      </c>
      <c r="O19" s="937"/>
      <c r="P19" s="1218" t="s">
        <v>86</v>
      </c>
      <c r="Q19" s="926"/>
      <c r="R19" s="932">
        <v>45614</v>
      </c>
      <c r="S19" s="926" t="s">
        <v>88</v>
      </c>
      <c r="T19" s="932">
        <v>45638</v>
      </c>
      <c r="U19" s="932"/>
      <c r="V19" s="933" t="s">
        <v>282</v>
      </c>
      <c r="W19" s="1219" t="s">
        <v>283</v>
      </c>
      <c r="X19" s="1220">
        <v>4.1259</v>
      </c>
      <c r="Y19" s="1204">
        <f>I19*X19</f>
        <v>7426.62</v>
      </c>
      <c r="Z19" s="1204"/>
      <c r="AA19" s="926" t="s">
        <v>284</v>
      </c>
      <c r="AB19" s="926" t="s">
        <v>196</v>
      </c>
      <c r="AC19" s="926" t="s">
        <v>93</v>
      </c>
      <c r="AD19" s="1040" t="s">
        <v>94</v>
      </c>
      <c r="AE19" s="926"/>
      <c r="AF19" s="924">
        <v>1800</v>
      </c>
      <c r="AG19" s="924">
        <f t="shared" si="1"/>
        <v>0</v>
      </c>
      <c r="AH19" s="1221"/>
      <c r="AI19" s="926" t="s">
        <v>95</v>
      </c>
      <c r="AJ19" s="926"/>
      <c r="AK19" s="926">
        <f>I19*2</f>
        <v>3600</v>
      </c>
      <c r="AL19" s="926"/>
      <c r="AM19" s="926">
        <f>I19*2</f>
        <v>3600</v>
      </c>
      <c r="AP19" s="926"/>
      <c r="AQ19" s="926"/>
      <c r="AS19" s="926">
        <f>I19*2</f>
        <v>3600</v>
      </c>
      <c r="AT19" s="926"/>
      <c r="AU19" s="926"/>
      <c r="AV19" s="926"/>
      <c r="BN19" s="857">
        <f>I19</f>
        <v>1800</v>
      </c>
      <c r="BO19" s="857">
        <f>I19</f>
        <v>1800</v>
      </c>
      <c r="BQ19" s="857">
        <f>I19</f>
        <v>1800</v>
      </c>
      <c r="BU19" s="939">
        <f t="shared" si="5"/>
        <v>3600</v>
      </c>
      <c r="BV19" s="1222">
        <f t="shared" si="6"/>
        <v>2294530</v>
      </c>
      <c r="BW19" s="939"/>
      <c r="BX19" s="939"/>
      <c r="BY19" s="939"/>
      <c r="BZ19" s="939"/>
      <c r="CA19" s="856">
        <f t="shared" si="2"/>
        <v>525470</v>
      </c>
      <c r="CC19" s="964">
        <f t="shared" si="7"/>
        <v>0</v>
      </c>
      <c r="CD19" s="939">
        <f t="shared" si="8"/>
        <v>47832.5714285714</v>
      </c>
      <c r="CE19" s="939"/>
      <c r="CF19" s="939"/>
      <c r="CG19" s="939"/>
      <c r="CH19" s="939">
        <f t="shared" si="3"/>
        <v>12167.4285714286</v>
      </c>
      <c r="CI19" s="939"/>
    </row>
    <row r="20" s="857" customFormat="1" ht="31" customHeight="1" spans="1:87">
      <c r="A20" s="1213">
        <v>45614</v>
      </c>
      <c r="B20" s="1214" t="s">
        <v>279</v>
      </c>
      <c r="C20" s="1215" t="s">
        <v>125</v>
      </c>
      <c r="D20" s="1216">
        <v>4500151472</v>
      </c>
      <c r="E20" s="1214" t="s">
        <v>285</v>
      </c>
      <c r="F20" s="1217" t="s">
        <v>286</v>
      </c>
      <c r="G20" s="926" t="s">
        <v>196</v>
      </c>
      <c r="H20" s="926" t="s">
        <v>197</v>
      </c>
      <c r="I20" s="926">
        <v>3600</v>
      </c>
      <c r="J20" s="926">
        <v>0</v>
      </c>
      <c r="K20" s="926">
        <v>12</v>
      </c>
      <c r="L20" s="1201">
        <f t="shared" si="9"/>
        <v>300</v>
      </c>
      <c r="M20" s="930">
        <v>45663</v>
      </c>
      <c r="N20" s="930">
        <v>45659</v>
      </c>
      <c r="O20" s="937"/>
      <c r="P20" s="1218" t="s">
        <v>86</v>
      </c>
      <c r="Q20" s="926"/>
      <c r="R20" s="932">
        <v>45614</v>
      </c>
      <c r="S20" s="926" t="s">
        <v>88</v>
      </c>
      <c r="T20" s="932">
        <v>45638</v>
      </c>
      <c r="U20" s="932"/>
      <c r="V20" s="933" t="s">
        <v>282</v>
      </c>
      <c r="W20" s="1219" t="s">
        <v>283</v>
      </c>
      <c r="X20" s="1220">
        <v>4.1024</v>
      </c>
      <c r="Y20" s="1204">
        <f>I20*X20</f>
        <v>14768.64</v>
      </c>
      <c r="Z20" s="1204"/>
      <c r="AA20" s="926" t="s">
        <v>287</v>
      </c>
      <c r="AB20" s="926" t="s">
        <v>196</v>
      </c>
      <c r="AC20" s="926" t="s">
        <v>93</v>
      </c>
      <c r="AD20" s="1040" t="s">
        <v>94</v>
      </c>
      <c r="AE20" s="926"/>
      <c r="AF20" s="924">
        <v>3600</v>
      </c>
      <c r="AG20" s="924">
        <f t="shared" si="1"/>
        <v>0</v>
      </c>
      <c r="AH20" s="1221"/>
      <c r="AI20" s="926" t="s">
        <v>95</v>
      </c>
      <c r="AJ20" s="926"/>
      <c r="AK20" s="926">
        <f>I20*2</f>
        <v>7200</v>
      </c>
      <c r="AL20" s="926"/>
      <c r="AM20" s="926">
        <f>I20*2</f>
        <v>7200</v>
      </c>
      <c r="AP20" s="926"/>
      <c r="AQ20" s="926"/>
      <c r="AS20" s="926">
        <f>I20*2</f>
        <v>7200</v>
      </c>
      <c r="AT20" s="926"/>
      <c r="AU20" s="926"/>
      <c r="AV20" s="926"/>
      <c r="BN20" s="857">
        <f>I20</f>
        <v>3600</v>
      </c>
      <c r="BO20" s="857">
        <f>I20</f>
        <v>3600</v>
      </c>
      <c r="BQ20" s="857">
        <f>I20</f>
        <v>3600</v>
      </c>
      <c r="BU20" s="939">
        <f t="shared" si="5"/>
        <v>7200</v>
      </c>
      <c r="BV20" s="1222">
        <f t="shared" si="6"/>
        <v>2301730</v>
      </c>
      <c r="BW20" s="939"/>
      <c r="BX20" s="939"/>
      <c r="BY20" s="939"/>
      <c r="BZ20" s="939"/>
      <c r="CA20" s="856">
        <f t="shared" si="2"/>
        <v>518270</v>
      </c>
      <c r="CC20" s="964">
        <f t="shared" si="7"/>
        <v>0</v>
      </c>
      <c r="CD20" s="939">
        <f t="shared" si="8"/>
        <v>47832.5714285714</v>
      </c>
      <c r="CE20" s="939"/>
      <c r="CF20" s="939"/>
      <c r="CG20" s="939"/>
      <c r="CH20" s="939">
        <f t="shared" si="3"/>
        <v>12167.4285714286</v>
      </c>
      <c r="CI20" s="939"/>
    </row>
    <row r="21" s="857" customFormat="1" ht="31" customHeight="1" spans="1:87">
      <c r="A21" s="1213">
        <v>45603</v>
      </c>
      <c r="B21" s="1214" t="s">
        <v>288</v>
      </c>
      <c r="C21" s="1215" t="s">
        <v>125</v>
      </c>
      <c r="D21" s="1216">
        <v>4500150308</v>
      </c>
      <c r="E21" s="1214">
        <v>70054030</v>
      </c>
      <c r="F21" s="1217" t="s">
        <v>289</v>
      </c>
      <c r="G21" s="926" t="s">
        <v>196</v>
      </c>
      <c r="H21" s="926" t="s">
        <v>197</v>
      </c>
      <c r="I21" s="926">
        <v>600</v>
      </c>
      <c r="J21" s="926">
        <v>0</v>
      </c>
      <c r="K21" s="926">
        <v>12</v>
      </c>
      <c r="L21" s="1201">
        <f t="shared" si="9"/>
        <v>50</v>
      </c>
      <c r="M21" s="930">
        <v>45670</v>
      </c>
      <c r="N21" s="930">
        <v>45666</v>
      </c>
      <c r="O21" s="937"/>
      <c r="P21" s="1218" t="s">
        <v>86</v>
      </c>
      <c r="Q21" s="926"/>
      <c r="R21" s="932">
        <v>45610</v>
      </c>
      <c r="S21" s="926" t="s">
        <v>98</v>
      </c>
      <c r="T21" s="932" t="s">
        <v>199</v>
      </c>
      <c r="U21" s="932"/>
      <c r="V21" s="933" t="s">
        <v>290</v>
      </c>
      <c r="W21" s="1219" t="s">
        <v>291</v>
      </c>
      <c r="X21" s="1220">
        <v>4.1259</v>
      </c>
      <c r="Y21" s="1204">
        <f>I21*X21</f>
        <v>2475.54</v>
      </c>
      <c r="Z21" s="1204"/>
      <c r="AA21" s="926" t="s">
        <v>292</v>
      </c>
      <c r="AB21" s="926" t="s">
        <v>196</v>
      </c>
      <c r="AC21" s="926" t="s">
        <v>93</v>
      </c>
      <c r="AD21" s="1040" t="s">
        <v>94</v>
      </c>
      <c r="AE21" s="926"/>
      <c r="AF21" s="924">
        <v>600</v>
      </c>
      <c r="AG21" s="924">
        <f t="shared" si="1"/>
        <v>0</v>
      </c>
      <c r="AH21" s="1221"/>
      <c r="AI21" s="926" t="s">
        <v>95</v>
      </c>
      <c r="AJ21" s="926"/>
      <c r="AK21" s="926">
        <f>I21*2</f>
        <v>1200</v>
      </c>
      <c r="AL21" s="926"/>
      <c r="AM21" s="926">
        <f>I21*2</f>
        <v>1200</v>
      </c>
      <c r="AP21" s="926"/>
      <c r="AQ21" s="926"/>
      <c r="AS21" s="926">
        <f>I21*2</f>
        <v>1200</v>
      </c>
      <c r="AT21" s="926"/>
      <c r="AU21" s="926"/>
      <c r="AV21" s="926"/>
      <c r="BN21" s="857">
        <f>I21</f>
        <v>600</v>
      </c>
      <c r="BO21" s="857">
        <f>I21</f>
        <v>600</v>
      </c>
      <c r="BQ21" s="857">
        <f>I21</f>
        <v>600</v>
      </c>
      <c r="BU21" s="939">
        <f t="shared" si="5"/>
        <v>1200</v>
      </c>
      <c r="BV21" s="1222">
        <f t="shared" si="6"/>
        <v>2302930</v>
      </c>
      <c r="BW21" s="939"/>
      <c r="BX21" s="939"/>
      <c r="BY21" s="939"/>
      <c r="BZ21" s="939"/>
      <c r="CA21" s="856">
        <f t="shared" si="2"/>
        <v>517070</v>
      </c>
      <c r="CC21" s="964">
        <f t="shared" si="7"/>
        <v>0</v>
      </c>
      <c r="CD21" s="939">
        <f t="shared" si="8"/>
        <v>47832.5714285714</v>
      </c>
      <c r="CE21" s="939"/>
      <c r="CF21" s="939"/>
      <c r="CG21" s="939"/>
      <c r="CH21" s="939">
        <f t="shared" si="3"/>
        <v>12167.4285714286</v>
      </c>
      <c r="CI21" s="939"/>
    </row>
    <row r="22" s="857" customFormat="1" ht="31" customHeight="1" spans="1:87">
      <c r="A22" s="1213">
        <v>45637</v>
      </c>
      <c r="B22" s="1214" t="s">
        <v>240</v>
      </c>
      <c r="C22" s="1215" t="s">
        <v>125</v>
      </c>
      <c r="D22" s="1216">
        <v>4500153681</v>
      </c>
      <c r="E22" s="1214" t="s">
        <v>293</v>
      </c>
      <c r="F22" s="1217" t="s">
        <v>294</v>
      </c>
      <c r="G22" s="926" t="s">
        <v>243</v>
      </c>
      <c r="H22" s="926" t="s">
        <v>189</v>
      </c>
      <c r="I22" s="926">
        <v>1152</v>
      </c>
      <c r="J22" s="926">
        <v>0</v>
      </c>
      <c r="K22" s="926">
        <v>1152</v>
      </c>
      <c r="L22" s="1201">
        <f t="shared" si="9"/>
        <v>1</v>
      </c>
      <c r="M22" s="930">
        <v>45671</v>
      </c>
      <c r="N22" s="930">
        <v>45667</v>
      </c>
      <c r="O22" s="937" t="s">
        <v>295</v>
      </c>
      <c r="P22" s="1218" t="s">
        <v>86</v>
      </c>
      <c r="Q22" s="926"/>
      <c r="R22" s="932" t="s">
        <v>296</v>
      </c>
      <c r="S22" s="926" t="s">
        <v>98</v>
      </c>
      <c r="T22" s="932" t="s">
        <v>297</v>
      </c>
      <c r="U22" s="932"/>
      <c r="V22" s="933" t="s">
        <v>298</v>
      </c>
      <c r="W22" s="1219" t="s">
        <v>247</v>
      </c>
      <c r="X22" s="1220">
        <v>2206.6131</v>
      </c>
      <c r="Y22" s="1204">
        <v>4364.2672</v>
      </c>
      <c r="Z22" s="1204"/>
      <c r="AA22" s="926" t="s">
        <v>299</v>
      </c>
      <c r="AB22" s="926" t="s">
        <v>243</v>
      </c>
      <c r="AC22" s="926" t="s">
        <v>93</v>
      </c>
      <c r="AD22" s="1040" t="s">
        <v>94</v>
      </c>
      <c r="AE22" s="926"/>
      <c r="AF22" s="924">
        <v>1152</v>
      </c>
      <c r="AG22" s="924">
        <f t="shared" si="1"/>
        <v>0</v>
      </c>
      <c r="AH22" s="1221"/>
      <c r="AI22" s="926"/>
      <c r="AJ22" s="926"/>
      <c r="AK22" s="926">
        <f>I22</f>
        <v>1152</v>
      </c>
      <c r="AL22" s="926"/>
      <c r="AM22" s="926">
        <f>I22</f>
        <v>1152</v>
      </c>
      <c r="AP22" s="926"/>
      <c r="AQ22" s="926"/>
      <c r="AS22" s="926"/>
      <c r="AT22" s="926"/>
      <c r="AU22" s="926">
        <f>I22</f>
        <v>1152</v>
      </c>
      <c r="AV22" s="926"/>
      <c r="AZ22" s="857">
        <f t="shared" ref="AZ22:AZ28" si="12">I22/12</f>
        <v>96</v>
      </c>
      <c r="BU22" s="939">
        <f t="shared" si="5"/>
        <v>1152</v>
      </c>
      <c r="BV22" s="1222">
        <f t="shared" si="6"/>
        <v>2304082</v>
      </c>
      <c r="BW22" s="939"/>
      <c r="BX22" s="939"/>
      <c r="BY22" s="939"/>
      <c r="BZ22" s="939"/>
      <c r="CA22" s="856">
        <f t="shared" si="2"/>
        <v>515918</v>
      </c>
      <c r="CC22" s="964">
        <f t="shared" si="7"/>
        <v>0</v>
      </c>
      <c r="CD22" s="939">
        <f t="shared" si="8"/>
        <v>47832.5714285714</v>
      </c>
      <c r="CE22" s="939"/>
      <c r="CF22" s="939"/>
      <c r="CG22" s="939"/>
      <c r="CH22" s="939">
        <f t="shared" si="3"/>
        <v>12167.4285714286</v>
      </c>
      <c r="CI22" s="939"/>
    </row>
    <row r="23" s="857" customFormat="1" ht="31" customHeight="1" spans="1:87">
      <c r="A23" s="1213">
        <v>45637</v>
      </c>
      <c r="B23" s="1214" t="s">
        <v>240</v>
      </c>
      <c r="C23" s="1215" t="s">
        <v>125</v>
      </c>
      <c r="D23" s="1216">
        <v>4500153681</v>
      </c>
      <c r="E23" s="1214" t="s">
        <v>300</v>
      </c>
      <c r="F23" s="1217" t="s">
        <v>301</v>
      </c>
      <c r="G23" s="926" t="s">
        <v>243</v>
      </c>
      <c r="H23" s="926" t="s">
        <v>189</v>
      </c>
      <c r="I23" s="926">
        <v>3456</v>
      </c>
      <c r="J23" s="926">
        <v>0</v>
      </c>
      <c r="K23" s="926">
        <v>1152</v>
      </c>
      <c r="L23" s="1201">
        <f t="shared" si="9"/>
        <v>3</v>
      </c>
      <c r="M23" s="930">
        <v>45671</v>
      </c>
      <c r="N23" s="930">
        <v>45667</v>
      </c>
      <c r="O23" s="937" t="s">
        <v>295</v>
      </c>
      <c r="P23" s="1218" t="s">
        <v>86</v>
      </c>
      <c r="Q23" s="926"/>
      <c r="R23" s="932" t="s">
        <v>296</v>
      </c>
      <c r="S23" s="926" t="s">
        <v>98</v>
      </c>
      <c r="T23" s="932" t="s">
        <v>297</v>
      </c>
      <c r="U23" s="932"/>
      <c r="V23" s="933" t="s">
        <v>298</v>
      </c>
      <c r="W23" s="1219" t="s">
        <v>247</v>
      </c>
      <c r="X23" s="1220">
        <v>2206.6131</v>
      </c>
      <c r="Y23" s="1204">
        <v>4364.2672</v>
      </c>
      <c r="Z23" s="1204"/>
      <c r="AA23" s="926" t="s">
        <v>302</v>
      </c>
      <c r="AB23" s="926" t="s">
        <v>243</v>
      </c>
      <c r="AC23" s="926" t="s">
        <v>93</v>
      </c>
      <c r="AD23" s="1040" t="s">
        <v>94</v>
      </c>
      <c r="AE23" s="926"/>
      <c r="AF23" s="924">
        <v>3456</v>
      </c>
      <c r="AG23" s="924">
        <f t="shared" si="1"/>
        <v>0</v>
      </c>
      <c r="AH23" s="1221"/>
      <c r="AI23" s="926"/>
      <c r="AJ23" s="926"/>
      <c r="AK23" s="926">
        <f t="shared" ref="AK23:AK28" si="13">I23</f>
        <v>3456</v>
      </c>
      <c r="AL23" s="926"/>
      <c r="AM23" s="926">
        <f t="shared" ref="AM23:AM28" si="14">I23</f>
        <v>3456</v>
      </c>
      <c r="AP23" s="926"/>
      <c r="AQ23" s="926"/>
      <c r="AS23" s="926"/>
      <c r="AT23" s="926"/>
      <c r="AU23" s="926">
        <f t="shared" ref="AU23:AU28" si="15">I23</f>
        <v>3456</v>
      </c>
      <c r="AV23" s="926"/>
      <c r="AZ23" s="857">
        <f t="shared" si="12"/>
        <v>288</v>
      </c>
      <c r="BU23" s="939">
        <f t="shared" si="5"/>
        <v>3456</v>
      </c>
      <c r="BV23" s="1222">
        <f t="shared" si="6"/>
        <v>2307538</v>
      </c>
      <c r="BW23" s="939"/>
      <c r="BX23" s="939"/>
      <c r="BY23" s="939"/>
      <c r="BZ23" s="939"/>
      <c r="CA23" s="856">
        <f t="shared" si="2"/>
        <v>512462</v>
      </c>
      <c r="CC23" s="964">
        <f t="shared" si="7"/>
        <v>0</v>
      </c>
      <c r="CD23" s="939">
        <f t="shared" si="8"/>
        <v>47832.5714285714</v>
      </c>
      <c r="CE23" s="939"/>
      <c r="CF23" s="939"/>
      <c r="CG23" s="939"/>
      <c r="CH23" s="939">
        <f t="shared" si="3"/>
        <v>12167.4285714286</v>
      </c>
      <c r="CI23" s="939"/>
    </row>
    <row r="24" s="857" customFormat="1" ht="31" customHeight="1" spans="1:87">
      <c r="A24" s="1213">
        <v>45637</v>
      </c>
      <c r="B24" s="1214" t="s">
        <v>240</v>
      </c>
      <c r="C24" s="1215" t="s">
        <v>125</v>
      </c>
      <c r="D24" s="1216">
        <v>4500153681</v>
      </c>
      <c r="E24" s="1214" t="s">
        <v>303</v>
      </c>
      <c r="F24" s="1217" t="s">
        <v>304</v>
      </c>
      <c r="G24" s="926" t="s">
        <v>243</v>
      </c>
      <c r="H24" s="926" t="s">
        <v>189</v>
      </c>
      <c r="I24" s="926">
        <v>1152</v>
      </c>
      <c r="J24" s="926">
        <v>0</v>
      </c>
      <c r="K24" s="926">
        <v>1152</v>
      </c>
      <c r="L24" s="1201">
        <f t="shared" si="9"/>
        <v>1</v>
      </c>
      <c r="M24" s="930">
        <v>45671</v>
      </c>
      <c r="N24" s="930">
        <v>45667</v>
      </c>
      <c r="O24" s="937" t="s">
        <v>295</v>
      </c>
      <c r="P24" s="1218" t="s">
        <v>86</v>
      </c>
      <c r="Q24" s="926"/>
      <c r="R24" s="932" t="s">
        <v>296</v>
      </c>
      <c r="S24" s="926" t="s">
        <v>98</v>
      </c>
      <c r="T24" s="932" t="s">
        <v>297</v>
      </c>
      <c r="U24" s="932"/>
      <c r="V24" s="933" t="s">
        <v>298</v>
      </c>
      <c r="W24" s="1219" t="s">
        <v>247</v>
      </c>
      <c r="X24" s="1220">
        <v>2206.6131</v>
      </c>
      <c r="Y24" s="1204">
        <v>4364.2672</v>
      </c>
      <c r="Z24" s="1204"/>
      <c r="AA24" s="926" t="s">
        <v>299</v>
      </c>
      <c r="AB24" s="926" t="s">
        <v>243</v>
      </c>
      <c r="AC24" s="926" t="s">
        <v>93</v>
      </c>
      <c r="AD24" s="1040" t="s">
        <v>94</v>
      </c>
      <c r="AE24" s="926"/>
      <c r="AF24" s="924">
        <v>1152</v>
      </c>
      <c r="AG24" s="924">
        <f t="shared" si="1"/>
        <v>0</v>
      </c>
      <c r="AH24" s="1221"/>
      <c r="AI24" s="926"/>
      <c r="AJ24" s="926"/>
      <c r="AK24" s="926">
        <f t="shared" si="13"/>
        <v>1152</v>
      </c>
      <c r="AL24" s="926"/>
      <c r="AM24" s="926">
        <f t="shared" si="14"/>
        <v>1152</v>
      </c>
      <c r="AP24" s="926"/>
      <c r="AQ24" s="926"/>
      <c r="AS24" s="926"/>
      <c r="AT24" s="926"/>
      <c r="AU24" s="926">
        <f t="shared" si="15"/>
        <v>1152</v>
      </c>
      <c r="AV24" s="926"/>
      <c r="AZ24" s="857">
        <f t="shared" si="12"/>
        <v>96</v>
      </c>
      <c r="BU24" s="939">
        <f t="shared" si="5"/>
        <v>1152</v>
      </c>
      <c r="BV24" s="1222">
        <f t="shared" si="6"/>
        <v>2308690</v>
      </c>
      <c r="BW24" s="939"/>
      <c r="BX24" s="939"/>
      <c r="BY24" s="939"/>
      <c r="BZ24" s="939"/>
      <c r="CA24" s="856">
        <f t="shared" si="2"/>
        <v>511310</v>
      </c>
      <c r="CC24" s="964">
        <f t="shared" si="7"/>
        <v>0</v>
      </c>
      <c r="CD24" s="939">
        <f t="shared" si="8"/>
        <v>47832.5714285714</v>
      </c>
      <c r="CE24" s="939"/>
      <c r="CF24" s="939"/>
      <c r="CG24" s="939"/>
      <c r="CH24" s="939">
        <f t="shared" si="3"/>
        <v>12167.4285714286</v>
      </c>
      <c r="CI24" s="939"/>
    </row>
    <row r="25" s="857" customFormat="1" ht="31" customHeight="1" spans="1:87">
      <c r="A25" s="1213">
        <v>45637</v>
      </c>
      <c r="B25" s="1214" t="s">
        <v>240</v>
      </c>
      <c r="C25" s="1215" t="s">
        <v>125</v>
      </c>
      <c r="D25" s="1216">
        <v>4500153681</v>
      </c>
      <c r="E25" s="1214" t="s">
        <v>305</v>
      </c>
      <c r="F25" s="1217" t="s">
        <v>306</v>
      </c>
      <c r="G25" s="926" t="s">
        <v>243</v>
      </c>
      <c r="H25" s="926" t="s">
        <v>189</v>
      </c>
      <c r="I25" s="926">
        <v>2304</v>
      </c>
      <c r="J25" s="926">
        <v>0</v>
      </c>
      <c r="K25" s="926">
        <v>1152</v>
      </c>
      <c r="L25" s="1201">
        <f t="shared" si="9"/>
        <v>2</v>
      </c>
      <c r="M25" s="930">
        <v>45671</v>
      </c>
      <c r="N25" s="930">
        <v>45667</v>
      </c>
      <c r="O25" s="937" t="s">
        <v>295</v>
      </c>
      <c r="P25" s="1218" t="s">
        <v>86</v>
      </c>
      <c r="Q25" s="926"/>
      <c r="R25" s="932" t="s">
        <v>296</v>
      </c>
      <c r="S25" s="926" t="s">
        <v>98</v>
      </c>
      <c r="T25" s="932" t="s">
        <v>297</v>
      </c>
      <c r="U25" s="932"/>
      <c r="V25" s="933" t="s">
        <v>298</v>
      </c>
      <c r="W25" s="1219" t="s">
        <v>247</v>
      </c>
      <c r="X25" s="1220">
        <v>2206.6131</v>
      </c>
      <c r="Y25" s="1204">
        <v>4364.2672</v>
      </c>
      <c r="Z25" s="1204"/>
      <c r="AA25" s="926" t="s">
        <v>299</v>
      </c>
      <c r="AB25" s="926" t="s">
        <v>243</v>
      </c>
      <c r="AC25" s="926" t="s">
        <v>93</v>
      </c>
      <c r="AD25" s="1040" t="s">
        <v>94</v>
      </c>
      <c r="AE25" s="926"/>
      <c r="AF25" s="924">
        <v>2304</v>
      </c>
      <c r="AG25" s="924">
        <f t="shared" si="1"/>
        <v>0</v>
      </c>
      <c r="AH25" s="1221"/>
      <c r="AI25" s="926"/>
      <c r="AJ25" s="926"/>
      <c r="AK25" s="926">
        <f t="shared" si="13"/>
        <v>2304</v>
      </c>
      <c r="AL25" s="926"/>
      <c r="AM25" s="926">
        <f t="shared" si="14"/>
        <v>2304</v>
      </c>
      <c r="AP25" s="926"/>
      <c r="AQ25" s="926"/>
      <c r="AS25" s="926"/>
      <c r="AT25" s="926"/>
      <c r="AU25" s="926">
        <f t="shared" si="15"/>
        <v>2304</v>
      </c>
      <c r="AV25" s="926"/>
      <c r="AZ25" s="857">
        <f t="shared" si="12"/>
        <v>192</v>
      </c>
      <c r="BU25" s="939">
        <f t="shared" si="5"/>
        <v>2304</v>
      </c>
      <c r="BV25" s="1222">
        <f t="shared" si="6"/>
        <v>2310994</v>
      </c>
      <c r="BW25" s="939"/>
      <c r="BX25" s="939"/>
      <c r="BY25" s="939"/>
      <c r="BZ25" s="939"/>
      <c r="CA25" s="856">
        <f t="shared" si="2"/>
        <v>509006</v>
      </c>
      <c r="CC25" s="964">
        <f t="shared" si="7"/>
        <v>0</v>
      </c>
      <c r="CD25" s="939">
        <f t="shared" si="8"/>
        <v>47832.5714285714</v>
      </c>
      <c r="CE25" s="939"/>
      <c r="CF25" s="939"/>
      <c r="CG25" s="939"/>
      <c r="CH25" s="939">
        <f t="shared" si="3"/>
        <v>12167.4285714286</v>
      </c>
      <c r="CI25" s="939"/>
    </row>
    <row r="26" s="857" customFormat="1" ht="31" customHeight="1" spans="1:87">
      <c r="A26" s="1213">
        <v>45637</v>
      </c>
      <c r="B26" s="1214" t="s">
        <v>240</v>
      </c>
      <c r="C26" s="1215" t="s">
        <v>125</v>
      </c>
      <c r="D26" s="1216">
        <v>4500153681</v>
      </c>
      <c r="E26" s="1214" t="s">
        <v>307</v>
      </c>
      <c r="F26" s="1217" t="s">
        <v>308</v>
      </c>
      <c r="G26" s="926" t="s">
        <v>243</v>
      </c>
      <c r="H26" s="926" t="s">
        <v>189</v>
      </c>
      <c r="I26" s="926">
        <v>2304</v>
      </c>
      <c r="J26" s="926">
        <v>0</v>
      </c>
      <c r="K26" s="926">
        <v>1152</v>
      </c>
      <c r="L26" s="1201">
        <f t="shared" si="9"/>
        <v>2</v>
      </c>
      <c r="M26" s="930">
        <v>45671</v>
      </c>
      <c r="N26" s="930">
        <v>45667</v>
      </c>
      <c r="O26" s="937" t="s">
        <v>295</v>
      </c>
      <c r="P26" s="1218" t="s">
        <v>86</v>
      </c>
      <c r="Q26" s="926"/>
      <c r="R26" s="932" t="s">
        <v>296</v>
      </c>
      <c r="S26" s="926" t="s">
        <v>98</v>
      </c>
      <c r="T26" s="932" t="s">
        <v>297</v>
      </c>
      <c r="U26" s="932"/>
      <c r="V26" s="933" t="s">
        <v>298</v>
      </c>
      <c r="W26" s="1219" t="s">
        <v>247</v>
      </c>
      <c r="X26" s="1220">
        <v>2206.6131</v>
      </c>
      <c r="Y26" s="1204">
        <v>4364.2672</v>
      </c>
      <c r="Z26" s="1204"/>
      <c r="AA26" s="926" t="s">
        <v>299</v>
      </c>
      <c r="AB26" s="926" t="s">
        <v>243</v>
      </c>
      <c r="AC26" s="926" t="s">
        <v>93</v>
      </c>
      <c r="AD26" s="1040" t="s">
        <v>94</v>
      </c>
      <c r="AE26" s="926"/>
      <c r="AF26" s="1039"/>
      <c r="AG26" s="924">
        <f t="shared" si="1"/>
        <v>-2304</v>
      </c>
      <c r="AH26" s="1221"/>
      <c r="AI26" s="926"/>
      <c r="AJ26" s="926"/>
      <c r="AK26" s="926">
        <f t="shared" si="13"/>
        <v>2304</v>
      </c>
      <c r="AL26" s="926"/>
      <c r="AM26" s="926">
        <f t="shared" si="14"/>
        <v>2304</v>
      </c>
      <c r="AP26" s="926"/>
      <c r="AQ26" s="926"/>
      <c r="AS26" s="926"/>
      <c r="AT26" s="926"/>
      <c r="AU26" s="926">
        <f t="shared" si="15"/>
        <v>2304</v>
      </c>
      <c r="AV26" s="926"/>
      <c r="AZ26" s="857">
        <f t="shared" si="12"/>
        <v>192</v>
      </c>
      <c r="BU26" s="939">
        <f t="shared" si="5"/>
        <v>2304</v>
      </c>
      <c r="BV26" s="1222">
        <f t="shared" si="6"/>
        <v>2313298</v>
      </c>
      <c r="BW26" s="939"/>
      <c r="BX26" s="939"/>
      <c r="BY26" s="939"/>
      <c r="BZ26" s="939"/>
      <c r="CA26" s="856">
        <f t="shared" si="2"/>
        <v>506702</v>
      </c>
      <c r="CC26" s="964">
        <f t="shared" si="7"/>
        <v>0</v>
      </c>
      <c r="CD26" s="939">
        <f t="shared" si="8"/>
        <v>47832.5714285714</v>
      </c>
      <c r="CE26" s="939"/>
      <c r="CF26" s="939"/>
      <c r="CG26" s="939"/>
      <c r="CH26" s="939">
        <f t="shared" si="3"/>
        <v>12167.4285714286</v>
      </c>
      <c r="CI26" s="939"/>
    </row>
    <row r="27" s="857" customFormat="1" ht="31" customHeight="1" spans="1:87">
      <c r="A27" s="1213">
        <v>45637</v>
      </c>
      <c r="B27" s="1214" t="s">
        <v>240</v>
      </c>
      <c r="C27" s="1215" t="s">
        <v>125</v>
      </c>
      <c r="D27" s="1216">
        <v>4500153681</v>
      </c>
      <c r="E27" s="1214" t="s">
        <v>309</v>
      </c>
      <c r="F27" s="1217" t="s">
        <v>310</v>
      </c>
      <c r="G27" s="926" t="s">
        <v>243</v>
      </c>
      <c r="H27" s="926" t="s">
        <v>189</v>
      </c>
      <c r="I27" s="926">
        <v>3456</v>
      </c>
      <c r="J27" s="926">
        <v>0</v>
      </c>
      <c r="K27" s="926">
        <v>1152</v>
      </c>
      <c r="L27" s="1201">
        <f t="shared" si="9"/>
        <v>3</v>
      </c>
      <c r="M27" s="930">
        <v>45671</v>
      </c>
      <c r="N27" s="930">
        <v>45667</v>
      </c>
      <c r="O27" s="937" t="s">
        <v>295</v>
      </c>
      <c r="P27" s="1218" t="s">
        <v>86</v>
      </c>
      <c r="Q27" s="926"/>
      <c r="R27" s="932" t="s">
        <v>296</v>
      </c>
      <c r="S27" s="926" t="s">
        <v>98</v>
      </c>
      <c r="T27" s="932" t="s">
        <v>297</v>
      </c>
      <c r="U27" s="932"/>
      <c r="V27" s="933" t="s">
        <v>298</v>
      </c>
      <c r="W27" s="1219" t="s">
        <v>247</v>
      </c>
      <c r="X27" s="1220">
        <v>2206.6131</v>
      </c>
      <c r="Y27" s="1204">
        <v>4364.2672</v>
      </c>
      <c r="Z27" s="1204"/>
      <c r="AA27" s="926" t="s">
        <v>311</v>
      </c>
      <c r="AB27" s="926" t="s">
        <v>243</v>
      </c>
      <c r="AC27" s="926" t="s">
        <v>93</v>
      </c>
      <c r="AD27" s="1040" t="s">
        <v>94</v>
      </c>
      <c r="AE27" s="926"/>
      <c r="AF27" s="924">
        <v>3456</v>
      </c>
      <c r="AG27" s="924">
        <f t="shared" si="1"/>
        <v>0</v>
      </c>
      <c r="AH27" s="1221"/>
      <c r="AI27" s="926"/>
      <c r="AJ27" s="926"/>
      <c r="AK27" s="926">
        <f t="shared" si="13"/>
        <v>3456</v>
      </c>
      <c r="AL27" s="926"/>
      <c r="AM27" s="926">
        <f t="shared" si="14"/>
        <v>3456</v>
      </c>
      <c r="AP27" s="926"/>
      <c r="AQ27" s="926"/>
      <c r="AS27" s="926"/>
      <c r="AT27" s="926"/>
      <c r="AU27" s="926">
        <f t="shared" si="15"/>
        <v>3456</v>
      </c>
      <c r="AV27" s="926"/>
      <c r="AZ27" s="857">
        <f t="shared" si="12"/>
        <v>288</v>
      </c>
      <c r="BU27" s="939">
        <f t="shared" si="5"/>
        <v>3456</v>
      </c>
      <c r="BV27" s="1222">
        <f t="shared" si="6"/>
        <v>2316754</v>
      </c>
      <c r="BW27" s="939"/>
      <c r="BX27" s="939"/>
      <c r="BY27" s="939"/>
      <c r="BZ27" s="939"/>
      <c r="CA27" s="856">
        <f t="shared" si="2"/>
        <v>503246</v>
      </c>
      <c r="CC27" s="964">
        <f t="shared" si="7"/>
        <v>0</v>
      </c>
      <c r="CD27" s="939">
        <f t="shared" si="8"/>
        <v>47832.5714285714</v>
      </c>
      <c r="CE27" s="939"/>
      <c r="CF27" s="939"/>
      <c r="CG27" s="939"/>
      <c r="CH27" s="939">
        <f t="shared" si="3"/>
        <v>12167.4285714286</v>
      </c>
      <c r="CI27" s="939"/>
    </row>
    <row r="28" s="857" customFormat="1" ht="31" customHeight="1" spans="1:87">
      <c r="A28" s="1213">
        <v>45637</v>
      </c>
      <c r="B28" s="1214" t="s">
        <v>240</v>
      </c>
      <c r="C28" s="1215" t="s">
        <v>125</v>
      </c>
      <c r="D28" s="1216">
        <v>4500153681</v>
      </c>
      <c r="E28" s="1214" t="s">
        <v>312</v>
      </c>
      <c r="F28" s="1217" t="s">
        <v>313</v>
      </c>
      <c r="G28" s="926" t="s">
        <v>243</v>
      </c>
      <c r="H28" s="926" t="s">
        <v>189</v>
      </c>
      <c r="I28" s="926">
        <v>1152</v>
      </c>
      <c r="J28" s="926">
        <v>0</v>
      </c>
      <c r="K28" s="926">
        <v>1152</v>
      </c>
      <c r="L28" s="1201">
        <f t="shared" si="9"/>
        <v>1</v>
      </c>
      <c r="M28" s="930">
        <v>45671</v>
      </c>
      <c r="N28" s="930">
        <v>45667</v>
      </c>
      <c r="O28" s="937"/>
      <c r="P28" s="1218" t="s">
        <v>86</v>
      </c>
      <c r="Q28" s="926"/>
      <c r="R28" s="932" t="s">
        <v>296</v>
      </c>
      <c r="S28" s="926" t="s">
        <v>98</v>
      </c>
      <c r="T28" s="932" t="s">
        <v>297</v>
      </c>
      <c r="U28" s="932"/>
      <c r="V28" s="933" t="s">
        <v>298</v>
      </c>
      <c r="W28" s="1219" t="s">
        <v>247</v>
      </c>
      <c r="X28" s="1220">
        <v>2206.6131</v>
      </c>
      <c r="Y28" s="1204">
        <v>4364.2672</v>
      </c>
      <c r="Z28" s="1204"/>
      <c r="AA28" s="926" t="s">
        <v>299</v>
      </c>
      <c r="AB28" s="926" t="s">
        <v>243</v>
      </c>
      <c r="AC28" s="926" t="s">
        <v>93</v>
      </c>
      <c r="AD28" s="1040" t="s">
        <v>94</v>
      </c>
      <c r="AE28" s="926"/>
      <c r="AF28" s="924">
        <v>1152</v>
      </c>
      <c r="AG28" s="924">
        <f t="shared" si="1"/>
        <v>0</v>
      </c>
      <c r="AH28" s="1221"/>
      <c r="AI28" s="926"/>
      <c r="AJ28" s="926"/>
      <c r="AK28" s="926">
        <f t="shared" si="13"/>
        <v>1152</v>
      </c>
      <c r="AL28" s="926"/>
      <c r="AM28" s="926">
        <f t="shared" si="14"/>
        <v>1152</v>
      </c>
      <c r="AP28" s="926"/>
      <c r="AQ28" s="926"/>
      <c r="AS28" s="926"/>
      <c r="AT28" s="926"/>
      <c r="AU28" s="926">
        <f t="shared" si="15"/>
        <v>1152</v>
      </c>
      <c r="AV28" s="926"/>
      <c r="AZ28" s="857">
        <f t="shared" si="12"/>
        <v>96</v>
      </c>
      <c r="BU28" s="939">
        <f t="shared" si="5"/>
        <v>1152</v>
      </c>
      <c r="BV28" s="1222">
        <f t="shared" si="6"/>
        <v>2317906</v>
      </c>
      <c r="BW28" s="939"/>
      <c r="BX28" s="939"/>
      <c r="BY28" s="939"/>
      <c r="BZ28" s="939"/>
      <c r="CA28" s="856">
        <f t="shared" si="2"/>
        <v>502094</v>
      </c>
      <c r="CC28" s="964">
        <f t="shared" si="7"/>
        <v>0</v>
      </c>
      <c r="CD28" s="939">
        <f t="shared" si="8"/>
        <v>47832.5714285714</v>
      </c>
      <c r="CE28" s="939"/>
      <c r="CF28" s="939"/>
      <c r="CG28" s="939"/>
      <c r="CH28" s="939">
        <f t="shared" si="3"/>
        <v>12167.4285714286</v>
      </c>
      <c r="CI28" s="939"/>
    </row>
    <row r="29" s="857" customFormat="1" ht="31" customHeight="1" spans="1:87">
      <c r="A29" s="1213">
        <v>45586</v>
      </c>
      <c r="B29" s="1214" t="s">
        <v>314</v>
      </c>
      <c r="C29" s="1215" t="s">
        <v>125</v>
      </c>
      <c r="D29" s="1216">
        <v>4500147801</v>
      </c>
      <c r="E29" s="1214" t="s">
        <v>315</v>
      </c>
      <c r="F29" s="1217" t="s">
        <v>316</v>
      </c>
      <c r="G29" s="926" t="s">
        <v>196</v>
      </c>
      <c r="H29" s="926" t="s">
        <v>197</v>
      </c>
      <c r="I29" s="926">
        <v>600</v>
      </c>
      <c r="J29" s="926">
        <v>0</v>
      </c>
      <c r="K29" s="926">
        <v>12</v>
      </c>
      <c r="L29" s="1201">
        <f t="shared" si="9"/>
        <v>50</v>
      </c>
      <c r="M29" s="930">
        <v>45677</v>
      </c>
      <c r="N29" s="930">
        <v>45673</v>
      </c>
      <c r="O29" s="937"/>
      <c r="P29" s="1218" t="s">
        <v>86</v>
      </c>
      <c r="Q29" s="926"/>
      <c r="R29" s="932">
        <v>45600</v>
      </c>
      <c r="S29" s="926" t="s">
        <v>98</v>
      </c>
      <c r="T29" s="932" t="s">
        <v>317</v>
      </c>
      <c r="U29" s="932"/>
      <c r="V29" s="933" t="s">
        <v>318</v>
      </c>
      <c r="W29" s="1219" t="s">
        <v>319</v>
      </c>
      <c r="X29" s="1220">
        <v>4.1259</v>
      </c>
      <c r="Y29" s="1204">
        <f>I29*X29</f>
        <v>2475.54</v>
      </c>
      <c r="Z29" s="1204"/>
      <c r="AA29" s="926" t="s">
        <v>320</v>
      </c>
      <c r="AB29" s="926" t="s">
        <v>196</v>
      </c>
      <c r="AC29" s="926" t="s">
        <v>93</v>
      </c>
      <c r="AD29" s="1040" t="s">
        <v>94</v>
      </c>
      <c r="AE29" s="926"/>
      <c r="AF29" s="924">
        <v>600</v>
      </c>
      <c r="AG29" s="924">
        <f t="shared" si="1"/>
        <v>0</v>
      </c>
      <c r="AH29" s="1221"/>
      <c r="AI29" s="926" t="s">
        <v>95</v>
      </c>
      <c r="AJ29" s="926"/>
      <c r="AK29" s="926">
        <f>I29*2</f>
        <v>1200</v>
      </c>
      <c r="AL29" s="926"/>
      <c r="AM29" s="926">
        <f>I29*2</f>
        <v>1200</v>
      </c>
      <c r="AP29" s="926"/>
      <c r="AQ29" s="926"/>
      <c r="AS29" s="926">
        <f>I29*2</f>
        <v>1200</v>
      </c>
      <c r="AT29" s="926"/>
      <c r="AU29" s="926"/>
      <c r="AV29" s="926"/>
      <c r="BN29" s="857">
        <f>I29</f>
        <v>600</v>
      </c>
      <c r="BO29" s="857">
        <f>I29</f>
        <v>600</v>
      </c>
      <c r="BQ29" s="857">
        <f>I29</f>
        <v>600</v>
      </c>
      <c r="BU29" s="939">
        <f t="shared" si="5"/>
        <v>1200</v>
      </c>
      <c r="BV29" s="1222">
        <f t="shared" si="6"/>
        <v>2319106</v>
      </c>
      <c r="BW29" s="939"/>
      <c r="BX29" s="939"/>
      <c r="BY29" s="939"/>
      <c r="BZ29" s="939"/>
      <c r="CA29" s="856">
        <f t="shared" si="2"/>
        <v>500894</v>
      </c>
      <c r="CC29" s="964">
        <f t="shared" si="7"/>
        <v>0</v>
      </c>
      <c r="CD29" s="939">
        <f t="shared" si="8"/>
        <v>47832.5714285714</v>
      </c>
      <c r="CE29" s="939"/>
      <c r="CF29" s="939"/>
      <c r="CG29" s="939"/>
      <c r="CH29" s="939">
        <f t="shared" si="3"/>
        <v>12167.4285714286</v>
      </c>
      <c r="CI29" s="939"/>
    </row>
    <row r="30" s="857" customFormat="1" ht="31" customHeight="1" spans="1:87">
      <c r="A30" s="1213">
        <v>45586</v>
      </c>
      <c r="B30" s="1214" t="s">
        <v>314</v>
      </c>
      <c r="C30" s="1215" t="s">
        <v>125</v>
      </c>
      <c r="D30" s="1216">
        <v>4500147799</v>
      </c>
      <c r="E30" s="1214" t="s">
        <v>321</v>
      </c>
      <c r="F30" s="1217" t="s">
        <v>322</v>
      </c>
      <c r="G30" s="926" t="s">
        <v>196</v>
      </c>
      <c r="H30" s="926" t="s">
        <v>197</v>
      </c>
      <c r="I30" s="926">
        <v>600</v>
      </c>
      <c r="J30" s="926">
        <v>0</v>
      </c>
      <c r="K30" s="926">
        <v>12</v>
      </c>
      <c r="L30" s="1201">
        <f t="shared" si="9"/>
        <v>50</v>
      </c>
      <c r="M30" s="930">
        <v>45677</v>
      </c>
      <c r="N30" s="930">
        <v>45673</v>
      </c>
      <c r="O30" s="937"/>
      <c r="P30" s="1218" t="s">
        <v>86</v>
      </c>
      <c r="Q30" s="926"/>
      <c r="R30" s="932">
        <v>45600</v>
      </c>
      <c r="S30" s="926" t="s">
        <v>98</v>
      </c>
      <c r="T30" s="932" t="s">
        <v>317</v>
      </c>
      <c r="U30" s="932"/>
      <c r="V30" s="933" t="s">
        <v>318</v>
      </c>
      <c r="W30" s="1219" t="s">
        <v>319</v>
      </c>
      <c r="X30" s="1220">
        <v>4.087</v>
      </c>
      <c r="Y30" s="1204">
        <f>I30*X30</f>
        <v>2452.2</v>
      </c>
      <c r="Z30" s="1204"/>
      <c r="AA30" s="926" t="s">
        <v>323</v>
      </c>
      <c r="AB30" s="926" t="s">
        <v>196</v>
      </c>
      <c r="AC30" s="926" t="s">
        <v>93</v>
      </c>
      <c r="AD30" s="1040" t="s">
        <v>94</v>
      </c>
      <c r="AE30" s="926"/>
      <c r="AF30" s="1039"/>
      <c r="AG30" s="924">
        <f t="shared" si="1"/>
        <v>-600</v>
      </c>
      <c r="AH30" s="1221"/>
      <c r="AI30" s="926" t="s">
        <v>95</v>
      </c>
      <c r="AJ30" s="926"/>
      <c r="AK30" s="926">
        <f>I30*2</f>
        <v>1200</v>
      </c>
      <c r="AL30" s="926"/>
      <c r="AM30" s="926">
        <f>I30*2</f>
        <v>1200</v>
      </c>
      <c r="AP30" s="926"/>
      <c r="AQ30" s="926"/>
      <c r="AS30" s="926">
        <f>I30*2</f>
        <v>1200</v>
      </c>
      <c r="AT30" s="926"/>
      <c r="AU30" s="926"/>
      <c r="AV30" s="926"/>
      <c r="BN30" s="857">
        <f>I30</f>
        <v>600</v>
      </c>
      <c r="BO30" s="857">
        <f>I30</f>
        <v>600</v>
      </c>
      <c r="BQ30" s="857">
        <f>I30</f>
        <v>600</v>
      </c>
      <c r="BU30" s="939">
        <f t="shared" si="5"/>
        <v>1200</v>
      </c>
      <c r="BV30" s="1222">
        <f t="shared" si="6"/>
        <v>2320306</v>
      </c>
      <c r="BW30" s="939"/>
      <c r="BX30" s="939"/>
      <c r="BY30" s="939"/>
      <c r="BZ30" s="939"/>
      <c r="CA30" s="856">
        <f t="shared" si="2"/>
        <v>499694</v>
      </c>
      <c r="CC30" s="964">
        <f t="shared" si="7"/>
        <v>0</v>
      </c>
      <c r="CD30" s="939">
        <f t="shared" si="8"/>
        <v>47832.5714285714</v>
      </c>
      <c r="CE30" s="939"/>
      <c r="CF30" s="939"/>
      <c r="CG30" s="939"/>
      <c r="CH30" s="939">
        <f t="shared" si="3"/>
        <v>12167.4285714286</v>
      </c>
      <c r="CI30" s="939"/>
    </row>
    <row r="31" s="857" customFormat="1" ht="31" customHeight="1" spans="1:87">
      <c r="A31" s="1213">
        <v>45603</v>
      </c>
      <c r="B31" s="1214" t="s">
        <v>194</v>
      </c>
      <c r="C31" s="1215" t="s">
        <v>125</v>
      </c>
      <c r="D31" s="1216">
        <v>4500150464</v>
      </c>
      <c r="E31" s="1214">
        <v>60190494</v>
      </c>
      <c r="F31" s="1217" t="s">
        <v>324</v>
      </c>
      <c r="G31" s="926" t="s">
        <v>196</v>
      </c>
      <c r="H31" s="926" t="s">
        <v>197</v>
      </c>
      <c r="I31" s="926">
        <v>2400</v>
      </c>
      <c r="J31" s="926">
        <v>0</v>
      </c>
      <c r="K31" s="926">
        <v>12</v>
      </c>
      <c r="L31" s="1201">
        <f t="shared" si="9"/>
        <v>200</v>
      </c>
      <c r="M31" s="930">
        <v>45672</v>
      </c>
      <c r="N31" s="930">
        <v>45668</v>
      </c>
      <c r="O31" s="937"/>
      <c r="P31" s="1218" t="s">
        <v>325</v>
      </c>
      <c r="Q31" s="926"/>
      <c r="R31" s="932">
        <v>45610</v>
      </c>
      <c r="S31" s="926" t="s">
        <v>98</v>
      </c>
      <c r="T31" s="932" t="s">
        <v>199</v>
      </c>
      <c r="U31" s="932"/>
      <c r="V31" s="933" t="s">
        <v>326</v>
      </c>
      <c r="W31" s="1219" t="s">
        <v>201</v>
      </c>
      <c r="X31" s="1220">
        <v>4.1142</v>
      </c>
      <c r="Y31" s="1204">
        <f>I31*X31</f>
        <v>9874.08</v>
      </c>
      <c r="Z31" s="1204"/>
      <c r="AA31" s="926" t="s">
        <v>327</v>
      </c>
      <c r="AB31" s="926" t="s">
        <v>196</v>
      </c>
      <c r="AC31" s="926" t="s">
        <v>93</v>
      </c>
      <c r="AD31" s="1040" t="s">
        <v>94</v>
      </c>
      <c r="AE31" s="926"/>
      <c r="AF31" s="924">
        <f>2388+12</f>
        <v>2400</v>
      </c>
      <c r="AG31" s="924">
        <f t="shared" si="1"/>
        <v>0</v>
      </c>
      <c r="AH31" s="1221"/>
      <c r="AI31" s="926" t="s">
        <v>95</v>
      </c>
      <c r="AJ31" s="926"/>
      <c r="AK31" s="926">
        <f>I31*2</f>
        <v>4800</v>
      </c>
      <c r="AL31" s="926"/>
      <c r="AM31" s="926">
        <f>I31*2</f>
        <v>4800</v>
      </c>
      <c r="AP31" s="926"/>
      <c r="AQ31" s="926"/>
      <c r="AS31" s="926">
        <f>I31*2</f>
        <v>4800</v>
      </c>
      <c r="AT31" s="926"/>
      <c r="AU31" s="926"/>
      <c r="AV31" s="926"/>
      <c r="BN31" s="857">
        <f>I31</f>
        <v>2400</v>
      </c>
      <c r="BO31" s="857">
        <f>I31</f>
        <v>2400</v>
      </c>
      <c r="BQ31" s="857">
        <f>I31</f>
        <v>2400</v>
      </c>
      <c r="BU31" s="939">
        <f t="shared" si="5"/>
        <v>4800</v>
      </c>
      <c r="BV31" s="1222">
        <f t="shared" si="6"/>
        <v>2325106</v>
      </c>
      <c r="BW31" s="939"/>
      <c r="BX31" s="939"/>
      <c r="BY31" s="939"/>
      <c r="BZ31" s="939"/>
      <c r="CA31" s="856">
        <f t="shared" si="2"/>
        <v>494894</v>
      </c>
      <c r="CC31" s="964">
        <f t="shared" si="7"/>
        <v>0</v>
      </c>
      <c r="CD31" s="939">
        <f t="shared" si="8"/>
        <v>47832.5714285714</v>
      </c>
      <c r="CE31" s="939"/>
      <c r="CF31" s="939"/>
      <c r="CG31" s="939"/>
      <c r="CH31" s="939">
        <f t="shared" si="3"/>
        <v>12167.4285714286</v>
      </c>
      <c r="CI31" s="939"/>
    </row>
    <row r="32" s="857" customFormat="1" ht="31" customHeight="1" spans="1:87">
      <c r="A32" s="1213">
        <v>45632</v>
      </c>
      <c r="B32" s="1214" t="s">
        <v>328</v>
      </c>
      <c r="C32" s="1215" t="s">
        <v>329</v>
      </c>
      <c r="D32" s="1216">
        <v>4500153372</v>
      </c>
      <c r="E32" s="1214"/>
      <c r="F32" s="1217" t="s">
        <v>330</v>
      </c>
      <c r="G32" s="926" t="s">
        <v>205</v>
      </c>
      <c r="H32" s="926" t="s">
        <v>189</v>
      </c>
      <c r="I32" s="926">
        <v>1000</v>
      </c>
      <c r="J32" s="926">
        <v>0</v>
      </c>
      <c r="K32" s="926">
        <v>50</v>
      </c>
      <c r="L32" s="1201">
        <f t="shared" si="9"/>
        <v>20</v>
      </c>
      <c r="M32" s="930">
        <v>45672</v>
      </c>
      <c r="N32" s="930">
        <v>45668</v>
      </c>
      <c r="O32" s="937"/>
      <c r="P32" s="1218" t="s">
        <v>325</v>
      </c>
      <c r="Q32" s="926" t="s">
        <v>331</v>
      </c>
      <c r="R32" s="932">
        <v>45638</v>
      </c>
      <c r="S32" s="926" t="s">
        <v>98</v>
      </c>
      <c r="T32" s="932">
        <v>45638</v>
      </c>
      <c r="U32" s="932"/>
      <c r="V32" s="933" t="s">
        <v>332</v>
      </c>
      <c r="W32" s="1219" t="s">
        <v>333</v>
      </c>
      <c r="X32" s="1220">
        <v>2.0019</v>
      </c>
      <c r="Y32" s="1204">
        <f>I32*X32</f>
        <v>2001.9</v>
      </c>
      <c r="Z32" s="1204"/>
      <c r="AA32" s="926" t="s">
        <v>334</v>
      </c>
      <c r="AB32" s="926" t="s">
        <v>210</v>
      </c>
      <c r="AC32" s="926" t="s">
        <v>93</v>
      </c>
      <c r="AD32" s="1040" t="s">
        <v>94</v>
      </c>
      <c r="AE32" s="926"/>
      <c r="AF32" s="924">
        <v>1000</v>
      </c>
      <c r="AG32" s="924">
        <f t="shared" si="1"/>
        <v>0</v>
      </c>
      <c r="AH32" s="1221"/>
      <c r="AI32" s="926" t="s">
        <v>95</v>
      </c>
      <c r="AJ32" s="926"/>
      <c r="AK32" s="926">
        <f>I32</f>
        <v>1000</v>
      </c>
      <c r="AL32" s="926"/>
      <c r="AM32" s="926"/>
      <c r="AP32" s="926">
        <f>I32</f>
        <v>1000</v>
      </c>
      <c r="AQ32" s="926"/>
      <c r="AS32" s="926">
        <f>I32</f>
        <v>1000</v>
      </c>
      <c r="AT32" s="926"/>
      <c r="AU32" s="926"/>
      <c r="AV32" s="926"/>
      <c r="BF32" s="857">
        <f>I32/25</f>
        <v>40</v>
      </c>
      <c r="BU32" s="939">
        <f t="shared" si="5"/>
        <v>1000</v>
      </c>
      <c r="BV32" s="1222">
        <f t="shared" si="6"/>
        <v>2326106</v>
      </c>
      <c r="BW32" s="939"/>
      <c r="BX32" s="939"/>
      <c r="BY32" s="939"/>
      <c r="BZ32" s="939"/>
      <c r="CA32" s="856">
        <f t="shared" si="2"/>
        <v>493894</v>
      </c>
      <c r="CC32" s="964">
        <f t="shared" si="7"/>
        <v>40</v>
      </c>
      <c r="CD32" s="939">
        <f t="shared" si="8"/>
        <v>47872.5714285714</v>
      </c>
      <c r="CE32" s="939"/>
      <c r="CF32" s="939"/>
      <c r="CG32" s="939"/>
      <c r="CH32" s="939">
        <f t="shared" si="3"/>
        <v>12127.4285714286</v>
      </c>
      <c r="CI32" s="939"/>
    </row>
    <row r="33" s="857" customFormat="1" ht="31" customHeight="1" spans="1:87">
      <c r="A33" s="1213">
        <v>45632</v>
      </c>
      <c r="B33" s="1214" t="s">
        <v>335</v>
      </c>
      <c r="C33" s="1215" t="s">
        <v>125</v>
      </c>
      <c r="D33" s="1216" t="s">
        <v>336</v>
      </c>
      <c r="E33" s="1214"/>
      <c r="F33" s="1217"/>
      <c r="G33" s="926" t="s">
        <v>213</v>
      </c>
      <c r="H33" s="926" t="s">
        <v>189</v>
      </c>
      <c r="I33" s="926">
        <v>640</v>
      </c>
      <c r="J33" s="926">
        <v>0</v>
      </c>
      <c r="K33" s="926">
        <v>24</v>
      </c>
      <c r="L33" s="1201">
        <f t="shared" si="9"/>
        <v>26.6666666666667</v>
      </c>
      <c r="M33" s="930">
        <v>45674</v>
      </c>
      <c r="N33" s="930">
        <v>45670</v>
      </c>
      <c r="O33" s="937"/>
      <c r="P33" s="1218" t="s">
        <v>325</v>
      </c>
      <c r="Q33" s="926" t="s">
        <v>337</v>
      </c>
      <c r="R33" s="932" t="s">
        <v>97</v>
      </c>
      <c r="S33" s="926" t="s">
        <v>98</v>
      </c>
      <c r="T33" s="932" t="s">
        <v>98</v>
      </c>
      <c r="U33" s="932"/>
      <c r="V33" s="933" t="s">
        <v>338</v>
      </c>
      <c r="W33" s="1219" t="s">
        <v>339</v>
      </c>
      <c r="X33" s="1220">
        <v>1.8342</v>
      </c>
      <c r="Y33" s="1204">
        <f>X33*I33</f>
        <v>1173.888</v>
      </c>
      <c r="Z33" s="1204"/>
      <c r="AA33" s="926" t="s">
        <v>340</v>
      </c>
      <c r="AB33" s="926" t="s">
        <v>213</v>
      </c>
      <c r="AC33" s="926" t="s">
        <v>93</v>
      </c>
      <c r="AD33" s="1040" t="s">
        <v>94</v>
      </c>
      <c r="AE33" s="926"/>
      <c r="AF33" s="924">
        <v>640</v>
      </c>
      <c r="AG33" s="924">
        <f t="shared" si="1"/>
        <v>0</v>
      </c>
      <c r="AH33" s="1221"/>
      <c r="AI33" s="926" t="s">
        <v>98</v>
      </c>
      <c r="AJ33" s="926"/>
      <c r="AK33" s="926">
        <f t="shared" ref="AK33:AK44" si="16">I33</f>
        <v>640</v>
      </c>
      <c r="AL33" s="926"/>
      <c r="AM33" s="926">
        <f>I33</f>
        <v>640</v>
      </c>
      <c r="AP33" s="926"/>
      <c r="AQ33" s="926"/>
      <c r="AS33" s="926">
        <f>I33</f>
        <v>640</v>
      </c>
      <c r="AT33" s="926"/>
      <c r="AU33" s="926"/>
      <c r="AV33" s="926"/>
      <c r="BU33" s="939">
        <f t="shared" si="5"/>
        <v>640</v>
      </c>
      <c r="BV33" s="1222">
        <f t="shared" si="6"/>
        <v>2326746</v>
      </c>
      <c r="BW33" s="939"/>
      <c r="BX33" s="939"/>
      <c r="BY33" s="939"/>
      <c r="BZ33" s="939"/>
      <c r="CA33" s="856">
        <f t="shared" si="2"/>
        <v>493254</v>
      </c>
      <c r="CC33" s="964">
        <f t="shared" si="7"/>
        <v>0</v>
      </c>
      <c r="CD33" s="939">
        <f t="shared" si="8"/>
        <v>47872.5714285714</v>
      </c>
      <c r="CE33" s="939"/>
      <c r="CF33" s="939"/>
      <c r="CG33" s="939"/>
      <c r="CH33" s="939">
        <f t="shared" si="3"/>
        <v>12127.4285714286</v>
      </c>
      <c r="CI33" s="939"/>
    </row>
    <row r="34" s="857" customFormat="1" ht="31" customHeight="1" spans="1:87">
      <c r="A34" s="1213">
        <v>45639</v>
      </c>
      <c r="B34" s="1214" t="s">
        <v>341</v>
      </c>
      <c r="C34" s="1215" t="s">
        <v>342</v>
      </c>
      <c r="D34" s="1216">
        <v>4500153836</v>
      </c>
      <c r="E34" s="1214" t="s">
        <v>343</v>
      </c>
      <c r="F34" s="1217" t="s">
        <v>344</v>
      </c>
      <c r="G34" s="926" t="s">
        <v>205</v>
      </c>
      <c r="H34" s="926" t="s">
        <v>189</v>
      </c>
      <c r="I34" s="926">
        <v>4600</v>
      </c>
      <c r="J34" s="926">
        <v>0</v>
      </c>
      <c r="K34" s="926">
        <v>50</v>
      </c>
      <c r="L34" s="1201">
        <f t="shared" si="9"/>
        <v>92</v>
      </c>
      <c r="M34" s="930">
        <v>45677</v>
      </c>
      <c r="N34" s="930">
        <v>45673</v>
      </c>
      <c r="O34" s="937"/>
      <c r="P34" s="1218" t="s">
        <v>325</v>
      </c>
      <c r="Q34" s="926"/>
      <c r="R34" s="932">
        <v>45639</v>
      </c>
      <c r="S34" s="926" t="s">
        <v>98</v>
      </c>
      <c r="T34" s="932">
        <v>45643</v>
      </c>
      <c r="U34" s="932"/>
      <c r="V34" s="933" t="s">
        <v>345</v>
      </c>
      <c r="W34" s="1219" t="s">
        <v>91</v>
      </c>
      <c r="X34" s="1220">
        <v>1.9961</v>
      </c>
      <c r="Y34" s="1204">
        <f>I34*X34</f>
        <v>9182.06</v>
      </c>
      <c r="Z34" s="1204"/>
      <c r="AA34" s="926" t="s">
        <v>346</v>
      </c>
      <c r="AB34" s="926" t="s">
        <v>210</v>
      </c>
      <c r="AC34" s="926" t="s">
        <v>93</v>
      </c>
      <c r="AD34" s="1040" t="s">
        <v>94</v>
      </c>
      <c r="AE34" s="926"/>
      <c r="AF34" s="924">
        <f>2100+2500</f>
        <v>4600</v>
      </c>
      <c r="AG34" s="924">
        <f t="shared" ref="AG32:AG76" si="17">AF34-I34</f>
        <v>0</v>
      </c>
      <c r="AH34" s="1221"/>
      <c r="AI34" s="926" t="s">
        <v>95</v>
      </c>
      <c r="AJ34" s="926"/>
      <c r="AK34" s="926">
        <f t="shared" si="16"/>
        <v>4600</v>
      </c>
      <c r="AL34" s="926"/>
      <c r="AM34" s="926"/>
      <c r="AP34" s="926">
        <f>I34</f>
        <v>4600</v>
      </c>
      <c r="AQ34" s="926"/>
      <c r="AS34" s="926">
        <f>I34</f>
        <v>4600</v>
      </c>
      <c r="AT34" s="926"/>
      <c r="AU34" s="926"/>
      <c r="AV34" s="926"/>
      <c r="BF34" s="857">
        <f>I34/25</f>
        <v>184</v>
      </c>
      <c r="BU34" s="939">
        <f t="shared" si="5"/>
        <v>4600</v>
      </c>
      <c r="BV34" s="1222">
        <f t="shared" si="6"/>
        <v>2331346</v>
      </c>
      <c r="BW34" s="939"/>
      <c r="BX34" s="939"/>
      <c r="BY34" s="939"/>
      <c r="BZ34" s="939"/>
      <c r="CA34" s="856">
        <f t="shared" si="2"/>
        <v>488654</v>
      </c>
      <c r="CC34" s="964">
        <f t="shared" si="7"/>
        <v>184</v>
      </c>
      <c r="CD34" s="939">
        <f t="shared" si="8"/>
        <v>48056.5714285714</v>
      </c>
      <c r="CE34" s="939"/>
      <c r="CF34" s="939"/>
      <c r="CG34" s="939"/>
      <c r="CH34" s="939">
        <f t="shared" si="3"/>
        <v>11943.4285714286</v>
      </c>
      <c r="CI34" s="939"/>
    </row>
    <row r="35" s="857" customFormat="1" ht="31" customHeight="1" spans="1:87">
      <c r="A35" s="1213">
        <v>45639</v>
      </c>
      <c r="B35" s="1214" t="s">
        <v>347</v>
      </c>
      <c r="C35" s="1215" t="s">
        <v>348</v>
      </c>
      <c r="D35" s="1216">
        <v>4500153864</v>
      </c>
      <c r="E35" s="1214"/>
      <c r="F35" s="1217" t="s">
        <v>349</v>
      </c>
      <c r="G35" s="926" t="s">
        <v>205</v>
      </c>
      <c r="H35" s="926" t="s">
        <v>189</v>
      </c>
      <c r="I35" s="926">
        <v>750</v>
      </c>
      <c r="J35" s="926">
        <v>0</v>
      </c>
      <c r="K35" s="926">
        <v>50</v>
      </c>
      <c r="L35" s="1201">
        <f t="shared" si="9"/>
        <v>15</v>
      </c>
      <c r="M35" s="930">
        <v>45677</v>
      </c>
      <c r="N35" s="930">
        <v>45673</v>
      </c>
      <c r="O35" s="937"/>
      <c r="P35" s="1218" t="s">
        <v>325</v>
      </c>
      <c r="Q35" s="926"/>
      <c r="R35" s="932">
        <v>45639</v>
      </c>
      <c r="S35" s="926" t="s">
        <v>98</v>
      </c>
      <c r="T35" s="932">
        <v>45644</v>
      </c>
      <c r="U35" s="932"/>
      <c r="V35" s="933" t="s">
        <v>350</v>
      </c>
      <c r="W35" s="1219" t="s">
        <v>91</v>
      </c>
      <c r="X35" s="1220">
        <v>2.0019</v>
      </c>
      <c r="Y35" s="1204">
        <f>I35*X35</f>
        <v>1501.425</v>
      </c>
      <c r="Z35" s="1204"/>
      <c r="AA35" s="926" t="s">
        <v>351</v>
      </c>
      <c r="AB35" s="926" t="s">
        <v>210</v>
      </c>
      <c r="AC35" s="926" t="s">
        <v>93</v>
      </c>
      <c r="AD35" s="1040" t="s">
        <v>94</v>
      </c>
      <c r="AE35" s="926"/>
      <c r="AF35" s="924">
        <v>750</v>
      </c>
      <c r="AG35" s="924">
        <f t="shared" si="17"/>
        <v>0</v>
      </c>
      <c r="AH35" s="1221"/>
      <c r="AI35" s="926" t="s">
        <v>95</v>
      </c>
      <c r="AJ35" s="926"/>
      <c r="AK35" s="926">
        <f t="shared" si="16"/>
        <v>750</v>
      </c>
      <c r="AL35" s="926"/>
      <c r="AM35" s="926"/>
      <c r="AP35" s="926">
        <f>I35</f>
        <v>750</v>
      </c>
      <c r="AQ35" s="926"/>
      <c r="AS35" s="926">
        <f>I35</f>
        <v>750</v>
      </c>
      <c r="AT35" s="926"/>
      <c r="AU35" s="926"/>
      <c r="AV35" s="926"/>
      <c r="BF35" s="857">
        <f>I35/25</f>
        <v>30</v>
      </c>
      <c r="BU35" s="939">
        <f t="shared" si="5"/>
        <v>750</v>
      </c>
      <c r="BV35" s="1222">
        <f t="shared" si="6"/>
        <v>2332096</v>
      </c>
      <c r="BW35" s="939"/>
      <c r="BX35" s="939"/>
      <c r="BY35" s="939"/>
      <c r="BZ35" s="939"/>
      <c r="CA35" s="856">
        <f t="shared" si="2"/>
        <v>487904</v>
      </c>
      <c r="CC35" s="964">
        <f t="shared" si="7"/>
        <v>30</v>
      </c>
      <c r="CD35" s="939">
        <f t="shared" si="8"/>
        <v>48086.5714285714</v>
      </c>
      <c r="CE35" s="939"/>
      <c r="CF35" s="939"/>
      <c r="CG35" s="939"/>
      <c r="CH35" s="939">
        <f t="shared" si="3"/>
        <v>11913.4285714286</v>
      </c>
      <c r="CI35" s="939"/>
    </row>
    <row r="36" s="857" customFormat="1" ht="31" customHeight="1" spans="1:87">
      <c r="A36" s="1213">
        <v>45624</v>
      </c>
      <c r="B36" s="1223" t="s">
        <v>211</v>
      </c>
      <c r="C36" s="1224" t="s">
        <v>125</v>
      </c>
      <c r="D36" s="1225">
        <v>4500152749</v>
      </c>
      <c r="E36" s="1223">
        <v>4550103326</v>
      </c>
      <c r="F36" s="1225" t="s">
        <v>352</v>
      </c>
      <c r="G36" s="926" t="s">
        <v>353</v>
      </c>
      <c r="H36" s="926" t="s">
        <v>189</v>
      </c>
      <c r="I36" s="926">
        <v>2226</v>
      </c>
      <c r="J36" s="926">
        <v>0</v>
      </c>
      <c r="K36" s="926">
        <v>6</v>
      </c>
      <c r="L36" s="1201">
        <f t="shared" si="9"/>
        <v>371</v>
      </c>
      <c r="M36" s="930">
        <v>45695</v>
      </c>
      <c r="N36" s="930">
        <v>45691</v>
      </c>
      <c r="O36" s="1041"/>
      <c r="P36" s="937" t="s">
        <v>325</v>
      </c>
      <c r="Q36" s="926"/>
      <c r="R36" s="932">
        <v>45624</v>
      </c>
      <c r="S36" s="926" t="s">
        <v>98</v>
      </c>
      <c r="T36" s="1226" t="s">
        <v>354</v>
      </c>
      <c r="U36" s="1226"/>
      <c r="V36" s="1227" t="s">
        <v>355</v>
      </c>
      <c r="W36" s="930" t="s">
        <v>217</v>
      </c>
      <c r="X36" s="1220">
        <v>1.9361</v>
      </c>
      <c r="Y36" s="1204">
        <f>I36*X36</f>
        <v>4309.7586</v>
      </c>
      <c r="Z36" s="1204"/>
      <c r="AA36" s="926" t="s">
        <v>356</v>
      </c>
      <c r="AB36" s="926" t="s">
        <v>357</v>
      </c>
      <c r="AC36" s="926" t="s">
        <v>93</v>
      </c>
      <c r="AD36" s="1040" t="s">
        <v>94</v>
      </c>
      <c r="AE36" s="926"/>
      <c r="AF36" s="924">
        <v>2226</v>
      </c>
      <c r="AG36" s="924">
        <f t="shared" si="17"/>
        <v>0</v>
      </c>
      <c r="AH36" s="1221"/>
      <c r="AI36" s="924" t="s">
        <v>95</v>
      </c>
      <c r="AJ36" s="926"/>
      <c r="AK36" s="926">
        <f t="shared" si="16"/>
        <v>2226</v>
      </c>
      <c r="AL36" s="926"/>
      <c r="AM36" s="926">
        <f t="shared" ref="AM36:AM44" si="18">I36</f>
        <v>2226</v>
      </c>
      <c r="AP36" s="926"/>
      <c r="AQ36" s="926"/>
      <c r="AS36" s="926">
        <f t="shared" ref="AS36:AS44" si="19">I36</f>
        <v>2226</v>
      </c>
      <c r="AT36" s="926"/>
      <c r="AU36" s="926"/>
      <c r="AV36" s="926"/>
      <c r="BB36" s="857">
        <f>I36/6</f>
        <v>371</v>
      </c>
      <c r="BU36" s="939">
        <f t="shared" si="5"/>
        <v>2226</v>
      </c>
      <c r="BV36" s="1222">
        <f t="shared" si="6"/>
        <v>2334322</v>
      </c>
      <c r="BW36" s="939"/>
      <c r="BX36" s="939"/>
      <c r="BY36" s="939"/>
      <c r="BZ36" s="939"/>
      <c r="CA36" s="856">
        <f t="shared" si="2"/>
        <v>485678</v>
      </c>
      <c r="CC36" s="964">
        <f t="shared" si="7"/>
        <v>0</v>
      </c>
      <c r="CD36" s="939">
        <f t="shared" si="8"/>
        <v>48086.5714285714</v>
      </c>
      <c r="CE36" s="939"/>
      <c r="CF36" s="939"/>
      <c r="CG36" s="939"/>
      <c r="CH36" s="939">
        <f t="shared" si="3"/>
        <v>11913.4285714286</v>
      </c>
      <c r="CI36" s="939"/>
    </row>
    <row r="37" s="857" customFormat="1" ht="31" customHeight="1" spans="1:87">
      <c r="A37" s="1213">
        <v>45624</v>
      </c>
      <c r="B37" s="1223" t="s">
        <v>211</v>
      </c>
      <c r="C37" s="1224" t="s">
        <v>125</v>
      </c>
      <c r="D37" s="1225">
        <v>4500152749</v>
      </c>
      <c r="E37" s="1223">
        <v>4550102988</v>
      </c>
      <c r="F37" s="1225" t="s">
        <v>358</v>
      </c>
      <c r="G37" s="926" t="s">
        <v>353</v>
      </c>
      <c r="H37" s="926" t="s">
        <v>189</v>
      </c>
      <c r="I37" s="926">
        <v>708</v>
      </c>
      <c r="J37" s="926">
        <v>0</v>
      </c>
      <c r="K37" s="926">
        <v>6</v>
      </c>
      <c r="L37" s="1201">
        <f t="shared" si="9"/>
        <v>118</v>
      </c>
      <c r="M37" s="930">
        <v>45695</v>
      </c>
      <c r="N37" s="930">
        <v>45691</v>
      </c>
      <c r="O37" s="1041"/>
      <c r="P37" s="937" t="s">
        <v>325</v>
      </c>
      <c r="Q37" s="926"/>
      <c r="R37" s="932">
        <v>45624</v>
      </c>
      <c r="S37" s="926" t="s">
        <v>98</v>
      </c>
      <c r="T37" s="1226" t="s">
        <v>354</v>
      </c>
      <c r="U37" s="1226"/>
      <c r="V37" s="1227" t="s">
        <v>355</v>
      </c>
      <c r="W37" s="930" t="s">
        <v>217</v>
      </c>
      <c r="X37" s="1220">
        <v>1.9361</v>
      </c>
      <c r="Y37" s="1204">
        <f>I37*X37</f>
        <v>1370.7588</v>
      </c>
      <c r="Z37" s="1204"/>
      <c r="AA37" s="926" t="s">
        <v>356</v>
      </c>
      <c r="AB37" s="926" t="s">
        <v>357</v>
      </c>
      <c r="AC37" s="926" t="s">
        <v>93</v>
      </c>
      <c r="AD37" s="1040" t="s">
        <v>94</v>
      </c>
      <c r="AE37" s="926"/>
      <c r="AF37" s="924">
        <v>708</v>
      </c>
      <c r="AG37" s="924">
        <f t="shared" si="17"/>
        <v>0</v>
      </c>
      <c r="AH37" s="1221"/>
      <c r="AI37" s="1039"/>
      <c r="AJ37" s="926"/>
      <c r="AK37" s="926">
        <f t="shared" si="16"/>
        <v>708</v>
      </c>
      <c r="AL37" s="926"/>
      <c r="AM37" s="926">
        <f t="shared" si="18"/>
        <v>708</v>
      </c>
      <c r="AP37" s="926"/>
      <c r="AQ37" s="926"/>
      <c r="AS37" s="926">
        <f t="shared" si="19"/>
        <v>708</v>
      </c>
      <c r="AT37" s="926"/>
      <c r="AU37" s="926"/>
      <c r="AV37" s="926"/>
      <c r="BB37" s="857">
        <f t="shared" ref="BB37:BB42" si="20">I37/6</f>
        <v>118</v>
      </c>
      <c r="BU37" s="939">
        <f t="shared" si="5"/>
        <v>708</v>
      </c>
      <c r="BV37" s="1222">
        <f t="shared" si="6"/>
        <v>2335030</v>
      </c>
      <c r="BW37" s="939"/>
      <c r="BX37" s="939"/>
      <c r="BY37" s="939"/>
      <c r="BZ37" s="939"/>
      <c r="CA37" s="856">
        <f t="shared" si="2"/>
        <v>484970</v>
      </c>
      <c r="CC37" s="964">
        <f t="shared" si="7"/>
        <v>0</v>
      </c>
      <c r="CD37" s="939">
        <f t="shared" si="8"/>
        <v>48086.5714285714</v>
      </c>
      <c r="CE37" s="939"/>
      <c r="CF37" s="939"/>
      <c r="CG37" s="939"/>
      <c r="CH37" s="939">
        <f t="shared" si="3"/>
        <v>11913.4285714286</v>
      </c>
      <c r="CI37" s="939"/>
    </row>
    <row r="38" s="857" customFormat="1" ht="31" customHeight="1" spans="1:87">
      <c r="A38" s="1213">
        <v>45624</v>
      </c>
      <c r="B38" s="1223" t="s">
        <v>211</v>
      </c>
      <c r="C38" s="1224" t="s">
        <v>125</v>
      </c>
      <c r="D38" s="1225">
        <v>4500152749</v>
      </c>
      <c r="E38" s="1223">
        <v>4550103356</v>
      </c>
      <c r="F38" s="1225" t="s">
        <v>359</v>
      </c>
      <c r="G38" s="926" t="s">
        <v>353</v>
      </c>
      <c r="H38" s="926" t="s">
        <v>189</v>
      </c>
      <c r="I38" s="926">
        <v>942</v>
      </c>
      <c r="J38" s="926">
        <v>0</v>
      </c>
      <c r="K38" s="926">
        <v>6</v>
      </c>
      <c r="L38" s="1201">
        <f t="shared" si="9"/>
        <v>157</v>
      </c>
      <c r="M38" s="930">
        <v>45695</v>
      </c>
      <c r="N38" s="930">
        <v>45691</v>
      </c>
      <c r="O38" s="1041"/>
      <c r="P38" s="937" t="s">
        <v>325</v>
      </c>
      <c r="Q38" s="926"/>
      <c r="R38" s="932">
        <v>45624</v>
      </c>
      <c r="S38" s="926" t="s">
        <v>98</v>
      </c>
      <c r="T38" s="1226" t="s">
        <v>354</v>
      </c>
      <c r="U38" s="1226"/>
      <c r="V38" s="1227" t="s">
        <v>355</v>
      </c>
      <c r="W38" s="930" t="s">
        <v>217</v>
      </c>
      <c r="X38" s="1220">
        <v>1.9361</v>
      </c>
      <c r="Y38" s="1204">
        <f t="shared" ref="Y38:Y50" si="21">I38*X38</f>
        <v>1823.8062</v>
      </c>
      <c r="Z38" s="1204"/>
      <c r="AA38" s="926" t="s">
        <v>356</v>
      </c>
      <c r="AB38" s="926" t="s">
        <v>357</v>
      </c>
      <c r="AC38" s="926" t="s">
        <v>93</v>
      </c>
      <c r="AD38" s="1040" t="s">
        <v>94</v>
      </c>
      <c r="AE38" s="926"/>
      <c r="AF38" s="924">
        <v>942</v>
      </c>
      <c r="AG38" s="924">
        <f t="shared" si="17"/>
        <v>0</v>
      </c>
      <c r="AH38" s="1221"/>
      <c r="AI38" s="1039"/>
      <c r="AJ38" s="926"/>
      <c r="AK38" s="926">
        <f t="shared" si="16"/>
        <v>942</v>
      </c>
      <c r="AL38" s="926"/>
      <c r="AM38" s="926">
        <f t="shared" si="18"/>
        <v>942</v>
      </c>
      <c r="AP38" s="926"/>
      <c r="AQ38" s="926"/>
      <c r="AS38" s="926">
        <f t="shared" si="19"/>
        <v>942</v>
      </c>
      <c r="AT38" s="926"/>
      <c r="AU38" s="926"/>
      <c r="AV38" s="926"/>
      <c r="BB38" s="857">
        <f t="shared" si="20"/>
        <v>157</v>
      </c>
      <c r="BU38" s="939">
        <f t="shared" si="5"/>
        <v>942</v>
      </c>
      <c r="BV38" s="1222">
        <f t="shared" si="6"/>
        <v>2335972</v>
      </c>
      <c r="BW38" s="939"/>
      <c r="BX38" s="939"/>
      <c r="BY38" s="939"/>
      <c r="BZ38" s="939"/>
      <c r="CA38" s="856">
        <f t="shared" si="2"/>
        <v>484028</v>
      </c>
      <c r="CC38" s="964">
        <f t="shared" si="7"/>
        <v>0</v>
      </c>
      <c r="CD38" s="939">
        <f t="shared" si="8"/>
        <v>48086.5714285714</v>
      </c>
      <c r="CE38" s="939"/>
      <c r="CF38" s="939"/>
      <c r="CG38" s="939"/>
      <c r="CH38" s="939">
        <f t="shared" si="3"/>
        <v>11913.4285714286</v>
      </c>
      <c r="CI38" s="939"/>
    </row>
    <row r="39" s="857" customFormat="1" ht="31" customHeight="1" spans="1:87">
      <c r="A39" s="1213">
        <v>45624</v>
      </c>
      <c r="B39" s="1223" t="s">
        <v>211</v>
      </c>
      <c r="C39" s="1224" t="s">
        <v>125</v>
      </c>
      <c r="D39" s="1225">
        <v>4500152749</v>
      </c>
      <c r="E39" s="1223">
        <v>4550102986</v>
      </c>
      <c r="F39" s="1225" t="s">
        <v>360</v>
      </c>
      <c r="G39" s="926" t="s">
        <v>353</v>
      </c>
      <c r="H39" s="926" t="s">
        <v>189</v>
      </c>
      <c r="I39" s="926">
        <v>1416</v>
      </c>
      <c r="J39" s="926">
        <v>0</v>
      </c>
      <c r="K39" s="926">
        <v>6</v>
      </c>
      <c r="L39" s="1201">
        <f t="shared" si="9"/>
        <v>236</v>
      </c>
      <c r="M39" s="930">
        <v>45695</v>
      </c>
      <c r="N39" s="930">
        <v>45691</v>
      </c>
      <c r="O39" s="1041"/>
      <c r="P39" s="937" t="s">
        <v>325</v>
      </c>
      <c r="Q39" s="926"/>
      <c r="R39" s="932">
        <v>45624</v>
      </c>
      <c r="S39" s="926" t="s">
        <v>98</v>
      </c>
      <c r="T39" s="1226" t="s">
        <v>354</v>
      </c>
      <c r="U39" s="1226"/>
      <c r="V39" s="1227" t="s">
        <v>355</v>
      </c>
      <c r="W39" s="930" t="s">
        <v>217</v>
      </c>
      <c r="X39" s="1220">
        <v>1.9361</v>
      </c>
      <c r="Y39" s="1204">
        <f t="shared" si="21"/>
        <v>2741.5176</v>
      </c>
      <c r="Z39" s="1204"/>
      <c r="AA39" s="926" t="s">
        <v>356</v>
      </c>
      <c r="AB39" s="926" t="s">
        <v>357</v>
      </c>
      <c r="AC39" s="926" t="s">
        <v>93</v>
      </c>
      <c r="AD39" s="1040" t="s">
        <v>94</v>
      </c>
      <c r="AE39" s="926"/>
      <c r="AF39" s="924">
        <v>1416</v>
      </c>
      <c r="AG39" s="924">
        <f t="shared" si="17"/>
        <v>0</v>
      </c>
      <c r="AH39" s="1221"/>
      <c r="AI39" s="1039"/>
      <c r="AJ39" s="926"/>
      <c r="AK39" s="926">
        <f t="shared" si="16"/>
        <v>1416</v>
      </c>
      <c r="AL39" s="926"/>
      <c r="AM39" s="926">
        <f t="shared" si="18"/>
        <v>1416</v>
      </c>
      <c r="AP39" s="926"/>
      <c r="AQ39" s="926"/>
      <c r="AS39" s="926">
        <f t="shared" si="19"/>
        <v>1416</v>
      </c>
      <c r="AT39" s="926"/>
      <c r="AU39" s="926"/>
      <c r="AV39" s="926"/>
      <c r="BB39" s="857">
        <f t="shared" si="20"/>
        <v>236</v>
      </c>
      <c r="BU39" s="939">
        <f t="shared" si="5"/>
        <v>1416</v>
      </c>
      <c r="BV39" s="1222">
        <f t="shared" si="6"/>
        <v>2337388</v>
      </c>
      <c r="BW39" s="939"/>
      <c r="BX39" s="939"/>
      <c r="BY39" s="939"/>
      <c r="BZ39" s="939"/>
      <c r="CA39" s="856">
        <f t="shared" si="2"/>
        <v>482612</v>
      </c>
      <c r="CC39" s="964">
        <f t="shared" si="7"/>
        <v>0</v>
      </c>
      <c r="CD39" s="939">
        <f t="shared" si="8"/>
        <v>48086.5714285714</v>
      </c>
      <c r="CE39" s="939"/>
      <c r="CF39" s="939"/>
      <c r="CG39" s="939"/>
      <c r="CH39" s="939">
        <f t="shared" si="3"/>
        <v>11913.4285714286</v>
      </c>
      <c r="CI39" s="939"/>
    </row>
    <row r="40" s="857" customFormat="1" ht="31" customHeight="1" spans="1:87">
      <c r="A40" s="1213">
        <v>45624</v>
      </c>
      <c r="B40" s="1223" t="s">
        <v>211</v>
      </c>
      <c r="C40" s="1224" t="s">
        <v>125</v>
      </c>
      <c r="D40" s="1225">
        <v>4500152749</v>
      </c>
      <c r="E40" s="1223">
        <v>4550103369</v>
      </c>
      <c r="F40" s="1225" t="s">
        <v>361</v>
      </c>
      <c r="G40" s="926" t="s">
        <v>353</v>
      </c>
      <c r="H40" s="926" t="s">
        <v>189</v>
      </c>
      <c r="I40" s="926">
        <v>2010</v>
      </c>
      <c r="J40" s="926">
        <v>0</v>
      </c>
      <c r="K40" s="926">
        <v>6</v>
      </c>
      <c r="L40" s="1201">
        <f t="shared" si="9"/>
        <v>335</v>
      </c>
      <c r="M40" s="930">
        <v>45695</v>
      </c>
      <c r="N40" s="930">
        <v>45691</v>
      </c>
      <c r="O40" s="1041"/>
      <c r="P40" s="937" t="s">
        <v>325</v>
      </c>
      <c r="Q40" s="926"/>
      <c r="R40" s="932">
        <v>45624</v>
      </c>
      <c r="S40" s="926" t="s">
        <v>98</v>
      </c>
      <c r="T40" s="1226" t="s">
        <v>354</v>
      </c>
      <c r="U40" s="1226"/>
      <c r="V40" s="1227" t="s">
        <v>355</v>
      </c>
      <c r="W40" s="930" t="s">
        <v>217</v>
      </c>
      <c r="X40" s="1220">
        <v>1.9361</v>
      </c>
      <c r="Y40" s="1204">
        <f t="shared" si="21"/>
        <v>3891.561</v>
      </c>
      <c r="Z40" s="1204"/>
      <c r="AA40" s="926" t="s">
        <v>356</v>
      </c>
      <c r="AB40" s="926" t="s">
        <v>357</v>
      </c>
      <c r="AC40" s="926" t="s">
        <v>93</v>
      </c>
      <c r="AD40" s="1040" t="s">
        <v>94</v>
      </c>
      <c r="AE40" s="926"/>
      <c r="AF40" s="924">
        <v>2010</v>
      </c>
      <c r="AG40" s="924">
        <f t="shared" si="17"/>
        <v>0</v>
      </c>
      <c r="AH40" s="1221"/>
      <c r="AI40" s="1039"/>
      <c r="AJ40" s="926"/>
      <c r="AK40" s="926">
        <f t="shared" si="16"/>
        <v>2010</v>
      </c>
      <c r="AL40" s="926"/>
      <c r="AM40" s="926">
        <f t="shared" si="18"/>
        <v>2010</v>
      </c>
      <c r="AP40" s="926"/>
      <c r="AQ40" s="926"/>
      <c r="AS40" s="926">
        <f t="shared" si="19"/>
        <v>2010</v>
      </c>
      <c r="AT40" s="926"/>
      <c r="AU40" s="926"/>
      <c r="AV40" s="926"/>
      <c r="BB40" s="857">
        <f t="shared" si="20"/>
        <v>335</v>
      </c>
      <c r="BU40" s="939">
        <f t="shared" si="5"/>
        <v>2010</v>
      </c>
      <c r="BV40" s="1222">
        <f t="shared" si="6"/>
        <v>2339398</v>
      </c>
      <c r="BW40" s="939"/>
      <c r="BX40" s="939"/>
      <c r="BY40" s="939"/>
      <c r="BZ40" s="939"/>
      <c r="CA40" s="856">
        <f t="shared" si="2"/>
        <v>480602</v>
      </c>
      <c r="CC40" s="964">
        <f t="shared" si="7"/>
        <v>0</v>
      </c>
      <c r="CD40" s="939">
        <f t="shared" si="8"/>
        <v>48086.5714285714</v>
      </c>
      <c r="CE40" s="939"/>
      <c r="CF40" s="939"/>
      <c r="CG40" s="939"/>
      <c r="CH40" s="939">
        <f t="shared" si="3"/>
        <v>11913.4285714286</v>
      </c>
      <c r="CI40" s="939"/>
    </row>
    <row r="41" s="857" customFormat="1" ht="31" customHeight="1" spans="1:87">
      <c r="A41" s="1213">
        <v>45624</v>
      </c>
      <c r="B41" s="1223" t="s">
        <v>211</v>
      </c>
      <c r="C41" s="1224" t="s">
        <v>125</v>
      </c>
      <c r="D41" s="1225">
        <v>4500152749</v>
      </c>
      <c r="E41" s="1223">
        <v>4550103370</v>
      </c>
      <c r="F41" s="1225" t="s">
        <v>362</v>
      </c>
      <c r="G41" s="926" t="s">
        <v>353</v>
      </c>
      <c r="H41" s="926" t="s">
        <v>189</v>
      </c>
      <c r="I41" s="926">
        <v>768</v>
      </c>
      <c r="J41" s="926">
        <v>0</v>
      </c>
      <c r="K41" s="926">
        <v>6</v>
      </c>
      <c r="L41" s="1201">
        <f t="shared" si="9"/>
        <v>128</v>
      </c>
      <c r="M41" s="930">
        <v>45695</v>
      </c>
      <c r="N41" s="930">
        <v>45691</v>
      </c>
      <c r="O41" s="1041"/>
      <c r="P41" s="937" t="s">
        <v>325</v>
      </c>
      <c r="Q41" s="926"/>
      <c r="R41" s="932">
        <v>45624</v>
      </c>
      <c r="S41" s="926" t="s">
        <v>98</v>
      </c>
      <c r="T41" s="1226" t="s">
        <v>354</v>
      </c>
      <c r="U41" s="1226"/>
      <c r="V41" s="1227" t="s">
        <v>355</v>
      </c>
      <c r="W41" s="930" t="s">
        <v>217</v>
      </c>
      <c r="X41" s="1220">
        <v>1.9361</v>
      </c>
      <c r="Y41" s="1204">
        <f t="shared" si="21"/>
        <v>1486.9248</v>
      </c>
      <c r="Z41" s="1204"/>
      <c r="AA41" s="926" t="s">
        <v>356</v>
      </c>
      <c r="AB41" s="926" t="s">
        <v>357</v>
      </c>
      <c r="AC41" s="926" t="s">
        <v>93</v>
      </c>
      <c r="AD41" s="1040" t="s">
        <v>94</v>
      </c>
      <c r="AE41" s="926"/>
      <c r="AF41" s="924">
        <v>768</v>
      </c>
      <c r="AG41" s="924">
        <f t="shared" si="17"/>
        <v>0</v>
      </c>
      <c r="AH41" s="1221"/>
      <c r="AI41" s="1039"/>
      <c r="AJ41" s="926"/>
      <c r="AK41" s="926">
        <f t="shared" si="16"/>
        <v>768</v>
      </c>
      <c r="AL41" s="926"/>
      <c r="AM41" s="926">
        <f t="shared" si="18"/>
        <v>768</v>
      </c>
      <c r="AP41" s="926"/>
      <c r="AQ41" s="926"/>
      <c r="AS41" s="926">
        <f t="shared" si="19"/>
        <v>768</v>
      </c>
      <c r="AT41" s="926"/>
      <c r="AU41" s="926"/>
      <c r="AV41" s="926"/>
      <c r="BB41" s="857">
        <f t="shared" si="20"/>
        <v>128</v>
      </c>
      <c r="BU41" s="939">
        <f t="shared" si="5"/>
        <v>768</v>
      </c>
      <c r="BV41" s="1222">
        <f t="shared" si="6"/>
        <v>2340166</v>
      </c>
      <c r="BW41" s="939"/>
      <c r="BX41" s="939"/>
      <c r="BY41" s="939"/>
      <c r="BZ41" s="939"/>
      <c r="CA41" s="856">
        <f t="shared" si="2"/>
        <v>479834</v>
      </c>
      <c r="CC41" s="964">
        <f t="shared" si="7"/>
        <v>0</v>
      </c>
      <c r="CD41" s="939">
        <f t="shared" si="8"/>
        <v>48086.5714285714</v>
      </c>
      <c r="CE41" s="939"/>
      <c r="CF41" s="939"/>
      <c r="CG41" s="939"/>
      <c r="CH41" s="939">
        <f t="shared" si="3"/>
        <v>11913.4285714286</v>
      </c>
      <c r="CI41" s="939"/>
    </row>
    <row r="42" s="857" customFormat="1" ht="31" customHeight="1" spans="1:87">
      <c r="A42" s="1213">
        <v>45624</v>
      </c>
      <c r="B42" s="1223" t="s">
        <v>211</v>
      </c>
      <c r="C42" s="1224" t="s">
        <v>125</v>
      </c>
      <c r="D42" s="1225">
        <v>4500152749</v>
      </c>
      <c r="E42" s="1223">
        <v>4550103376</v>
      </c>
      <c r="F42" s="1225" t="s">
        <v>363</v>
      </c>
      <c r="G42" s="926" t="s">
        <v>353</v>
      </c>
      <c r="H42" s="926" t="s">
        <v>189</v>
      </c>
      <c r="I42" s="926">
        <v>1266</v>
      </c>
      <c r="J42" s="926">
        <v>0</v>
      </c>
      <c r="K42" s="926">
        <v>6</v>
      </c>
      <c r="L42" s="1201">
        <f t="shared" si="9"/>
        <v>211</v>
      </c>
      <c r="M42" s="930">
        <v>45695</v>
      </c>
      <c r="N42" s="930">
        <v>45691</v>
      </c>
      <c r="O42" s="1041"/>
      <c r="P42" s="937" t="s">
        <v>325</v>
      </c>
      <c r="Q42" s="926"/>
      <c r="R42" s="932">
        <v>45624</v>
      </c>
      <c r="S42" s="926" t="s">
        <v>98</v>
      </c>
      <c r="T42" s="1226" t="s">
        <v>354</v>
      </c>
      <c r="U42" s="1226"/>
      <c r="V42" s="1227" t="s">
        <v>355</v>
      </c>
      <c r="W42" s="930" t="s">
        <v>217</v>
      </c>
      <c r="X42" s="1220">
        <v>1.9361</v>
      </c>
      <c r="Y42" s="1204">
        <f t="shared" si="21"/>
        <v>2451.1026</v>
      </c>
      <c r="Z42" s="1204"/>
      <c r="AA42" s="926" t="s">
        <v>356</v>
      </c>
      <c r="AB42" s="926" t="s">
        <v>357</v>
      </c>
      <c r="AC42" s="926" t="s">
        <v>93</v>
      </c>
      <c r="AD42" s="1040" t="s">
        <v>94</v>
      </c>
      <c r="AE42" s="926"/>
      <c r="AF42" s="924">
        <v>1266</v>
      </c>
      <c r="AG42" s="924">
        <f t="shared" si="17"/>
        <v>0</v>
      </c>
      <c r="AH42" s="1221"/>
      <c r="AI42" s="1040"/>
      <c r="AJ42" s="926"/>
      <c r="AK42" s="926">
        <f t="shared" si="16"/>
        <v>1266</v>
      </c>
      <c r="AL42" s="926"/>
      <c r="AM42" s="926">
        <f t="shared" si="18"/>
        <v>1266</v>
      </c>
      <c r="AP42" s="926"/>
      <c r="AQ42" s="926"/>
      <c r="AS42" s="926">
        <f t="shared" si="19"/>
        <v>1266</v>
      </c>
      <c r="AT42" s="926"/>
      <c r="AU42" s="926"/>
      <c r="AV42" s="926"/>
      <c r="BB42" s="857">
        <f t="shared" si="20"/>
        <v>211</v>
      </c>
      <c r="BU42" s="939">
        <f t="shared" si="5"/>
        <v>1266</v>
      </c>
      <c r="BV42" s="1222">
        <f t="shared" si="6"/>
        <v>2341432</v>
      </c>
      <c r="BW42" s="939"/>
      <c r="BX42" s="939"/>
      <c r="BY42" s="939"/>
      <c r="BZ42" s="939"/>
      <c r="CA42" s="856">
        <f t="shared" si="2"/>
        <v>478568</v>
      </c>
      <c r="CC42" s="964">
        <f t="shared" si="7"/>
        <v>0</v>
      </c>
      <c r="CD42" s="939">
        <f t="shared" si="8"/>
        <v>48086.5714285714</v>
      </c>
      <c r="CE42" s="939"/>
      <c r="CF42" s="939"/>
      <c r="CG42" s="939"/>
      <c r="CH42" s="939">
        <f t="shared" si="3"/>
        <v>11913.4285714286</v>
      </c>
      <c r="CI42" s="939"/>
    </row>
    <row r="43" s="857" customFormat="1" ht="31" customHeight="1" spans="1:87">
      <c r="A43" s="1213">
        <v>45623</v>
      </c>
      <c r="B43" s="1223" t="s">
        <v>185</v>
      </c>
      <c r="C43" s="1224" t="s">
        <v>103</v>
      </c>
      <c r="D43" s="1225">
        <v>4500152538</v>
      </c>
      <c r="E43" s="1223" t="s">
        <v>364</v>
      </c>
      <c r="F43" s="1225" t="s">
        <v>365</v>
      </c>
      <c r="G43" s="926" t="s">
        <v>188</v>
      </c>
      <c r="H43" s="926" t="s">
        <v>189</v>
      </c>
      <c r="I43" s="926">
        <v>2600</v>
      </c>
      <c r="J43" s="926">
        <v>0</v>
      </c>
      <c r="K43" s="926">
        <v>52</v>
      </c>
      <c r="L43" s="1201">
        <f t="shared" si="9"/>
        <v>50</v>
      </c>
      <c r="M43" s="930">
        <v>45696</v>
      </c>
      <c r="N43" s="930">
        <v>45692</v>
      </c>
      <c r="O43" s="1041"/>
      <c r="P43" s="937" t="s">
        <v>325</v>
      </c>
      <c r="Q43" s="926"/>
      <c r="R43" s="932">
        <v>45624</v>
      </c>
      <c r="S43" s="926" t="s">
        <v>98</v>
      </c>
      <c r="T43" s="1226" t="s">
        <v>366</v>
      </c>
      <c r="U43" s="1226"/>
      <c r="V43" s="1227" t="s">
        <v>367</v>
      </c>
      <c r="W43" s="930" t="s">
        <v>368</v>
      </c>
      <c r="X43" s="1220">
        <v>1.9026</v>
      </c>
      <c r="Y43" s="1204">
        <f t="shared" si="21"/>
        <v>4946.76</v>
      </c>
      <c r="Z43" s="1204"/>
      <c r="AA43" s="926" t="s">
        <v>369</v>
      </c>
      <c r="AB43" s="926" t="s">
        <v>188</v>
      </c>
      <c r="AC43" s="926" t="s">
        <v>93</v>
      </c>
      <c r="AD43" s="1040" t="s">
        <v>94</v>
      </c>
      <c r="AE43" s="926"/>
      <c r="AF43" s="924">
        <v>2600</v>
      </c>
      <c r="AG43" s="924">
        <f t="shared" si="17"/>
        <v>0</v>
      </c>
      <c r="AH43" s="1221"/>
      <c r="AI43" s="924" t="s">
        <v>95</v>
      </c>
      <c r="AJ43" s="926"/>
      <c r="AK43" s="926">
        <f t="shared" si="16"/>
        <v>2600</v>
      </c>
      <c r="AL43" s="926"/>
      <c r="AM43" s="926">
        <f t="shared" si="18"/>
        <v>2600</v>
      </c>
      <c r="AP43" s="926"/>
      <c r="AQ43" s="926"/>
      <c r="AS43" s="926">
        <f t="shared" si="19"/>
        <v>2600</v>
      </c>
      <c r="AT43" s="926"/>
      <c r="AU43" s="926"/>
      <c r="AV43" s="926"/>
      <c r="BC43" s="857">
        <f>I43/13</f>
        <v>200</v>
      </c>
      <c r="BU43" s="939">
        <f t="shared" si="5"/>
        <v>2600</v>
      </c>
      <c r="BV43" s="1222">
        <f t="shared" si="6"/>
        <v>2344032</v>
      </c>
      <c r="BW43" s="939"/>
      <c r="BX43" s="939"/>
      <c r="BY43" s="939"/>
      <c r="BZ43" s="939"/>
      <c r="CA43" s="856">
        <f t="shared" si="2"/>
        <v>475968</v>
      </c>
      <c r="CC43" s="964">
        <f t="shared" si="7"/>
        <v>0</v>
      </c>
      <c r="CD43" s="939">
        <f t="shared" si="8"/>
        <v>48086.5714285714</v>
      </c>
      <c r="CE43" s="939"/>
      <c r="CF43" s="939"/>
      <c r="CG43" s="939"/>
      <c r="CH43" s="939">
        <f t="shared" si="3"/>
        <v>11913.4285714286</v>
      </c>
      <c r="CI43" s="939"/>
    </row>
    <row r="44" s="857" customFormat="1" ht="31" customHeight="1" spans="1:87">
      <c r="A44" s="1213">
        <v>45623</v>
      </c>
      <c r="B44" s="1223" t="s">
        <v>185</v>
      </c>
      <c r="C44" s="1224" t="s">
        <v>103</v>
      </c>
      <c r="D44" s="1225">
        <v>4500152538</v>
      </c>
      <c r="E44" s="1223" t="s">
        <v>370</v>
      </c>
      <c r="F44" s="1225" t="s">
        <v>371</v>
      </c>
      <c r="G44" s="926" t="s">
        <v>188</v>
      </c>
      <c r="H44" s="926" t="s">
        <v>189</v>
      </c>
      <c r="I44" s="926">
        <v>1456</v>
      </c>
      <c r="J44" s="926">
        <v>0</v>
      </c>
      <c r="K44" s="926">
        <v>52</v>
      </c>
      <c r="L44" s="1201">
        <f t="shared" si="9"/>
        <v>28</v>
      </c>
      <c r="M44" s="930">
        <v>45696</v>
      </c>
      <c r="N44" s="930">
        <v>45692</v>
      </c>
      <c r="O44" s="1041"/>
      <c r="P44" s="937" t="s">
        <v>325</v>
      </c>
      <c r="Q44" s="926"/>
      <c r="R44" s="932">
        <v>45624</v>
      </c>
      <c r="S44" s="926" t="s">
        <v>98</v>
      </c>
      <c r="T44" s="1226" t="s">
        <v>366</v>
      </c>
      <c r="U44" s="1226"/>
      <c r="V44" s="1227" t="s">
        <v>367</v>
      </c>
      <c r="W44" s="930" t="s">
        <v>368</v>
      </c>
      <c r="X44" s="1220">
        <v>1.9026</v>
      </c>
      <c r="Y44" s="1204">
        <f t="shared" si="21"/>
        <v>2770.1856</v>
      </c>
      <c r="Z44" s="1204"/>
      <c r="AA44" s="926" t="s">
        <v>369</v>
      </c>
      <c r="AB44" s="926" t="s">
        <v>188</v>
      </c>
      <c r="AC44" s="926" t="s">
        <v>93</v>
      </c>
      <c r="AD44" s="1040" t="s">
        <v>94</v>
      </c>
      <c r="AE44" s="926"/>
      <c r="AF44" s="924">
        <v>1456</v>
      </c>
      <c r="AG44" s="924">
        <f t="shared" si="17"/>
        <v>0</v>
      </c>
      <c r="AH44" s="1221"/>
      <c r="AI44" s="1040"/>
      <c r="AJ44" s="926"/>
      <c r="AK44" s="926">
        <f t="shared" si="16"/>
        <v>1456</v>
      </c>
      <c r="AL44" s="926"/>
      <c r="AM44" s="926">
        <f t="shared" si="18"/>
        <v>1456</v>
      </c>
      <c r="AP44" s="926"/>
      <c r="AQ44" s="926"/>
      <c r="AS44" s="926">
        <f t="shared" si="19"/>
        <v>1456</v>
      </c>
      <c r="AT44" s="926"/>
      <c r="AU44" s="926"/>
      <c r="AV44" s="926"/>
      <c r="BC44" s="857">
        <f>I44/13</f>
        <v>112</v>
      </c>
      <c r="BU44" s="939">
        <f t="shared" si="5"/>
        <v>1456</v>
      </c>
      <c r="BV44" s="1222">
        <f t="shared" si="6"/>
        <v>2345488</v>
      </c>
      <c r="BW44" s="939"/>
      <c r="BX44" s="939"/>
      <c r="BY44" s="939"/>
      <c r="BZ44" s="939"/>
      <c r="CA44" s="856">
        <f t="shared" si="2"/>
        <v>474512</v>
      </c>
      <c r="CC44" s="964">
        <f t="shared" si="7"/>
        <v>0</v>
      </c>
      <c r="CD44" s="939">
        <f t="shared" si="8"/>
        <v>48086.5714285714</v>
      </c>
      <c r="CE44" s="939"/>
      <c r="CF44" s="939"/>
      <c r="CG44" s="939"/>
      <c r="CH44" s="939">
        <f t="shared" si="3"/>
        <v>11913.4285714286</v>
      </c>
      <c r="CI44" s="939"/>
    </row>
    <row r="45" s="857" customFormat="1" ht="31" customHeight="1" spans="1:87">
      <c r="A45" s="1213">
        <v>45586</v>
      </c>
      <c r="B45" s="1223" t="s">
        <v>314</v>
      </c>
      <c r="C45" s="1224" t="s">
        <v>125</v>
      </c>
      <c r="D45" s="1225">
        <v>4500147804</v>
      </c>
      <c r="E45" s="1223" t="s">
        <v>321</v>
      </c>
      <c r="F45" s="1225" t="s">
        <v>372</v>
      </c>
      <c r="G45" s="926" t="s">
        <v>196</v>
      </c>
      <c r="H45" s="926" t="s">
        <v>197</v>
      </c>
      <c r="I45" s="926">
        <v>600</v>
      </c>
      <c r="J45" s="926">
        <v>0</v>
      </c>
      <c r="K45" s="926">
        <v>12</v>
      </c>
      <c r="L45" s="1201">
        <f t="shared" si="9"/>
        <v>50</v>
      </c>
      <c r="M45" s="930">
        <v>45698</v>
      </c>
      <c r="N45" s="930">
        <v>45694</v>
      </c>
      <c r="O45" s="1041"/>
      <c r="P45" s="937" t="s">
        <v>325</v>
      </c>
      <c r="Q45" s="926"/>
      <c r="R45" s="932">
        <v>45600</v>
      </c>
      <c r="S45" s="926" t="s">
        <v>98</v>
      </c>
      <c r="T45" s="1226" t="s">
        <v>317</v>
      </c>
      <c r="U45" s="1226"/>
      <c r="V45" s="1227" t="s">
        <v>318</v>
      </c>
      <c r="W45" s="930" t="s">
        <v>319</v>
      </c>
      <c r="X45" s="933">
        <v>4.1259</v>
      </c>
      <c r="Y45" s="1204">
        <f t="shared" si="21"/>
        <v>2475.54</v>
      </c>
      <c r="Z45" s="1204"/>
      <c r="AA45" s="926" t="s">
        <v>373</v>
      </c>
      <c r="AB45" s="926" t="s">
        <v>196</v>
      </c>
      <c r="AC45" s="926" t="s">
        <v>93</v>
      </c>
      <c r="AD45" s="1040" t="s">
        <v>94</v>
      </c>
      <c r="AE45" s="926"/>
      <c r="AF45" s="924">
        <v>600</v>
      </c>
      <c r="AG45" s="924">
        <f t="shared" si="17"/>
        <v>0</v>
      </c>
      <c r="AH45" s="1221"/>
      <c r="AI45" s="926" t="s">
        <v>95</v>
      </c>
      <c r="AJ45" s="926"/>
      <c r="AK45" s="926">
        <f t="shared" ref="AK45:AK50" si="22">I45*2</f>
        <v>1200</v>
      </c>
      <c r="AL45" s="926"/>
      <c r="AM45" s="926">
        <f>I45*2</f>
        <v>1200</v>
      </c>
      <c r="AP45" s="926"/>
      <c r="AQ45" s="926"/>
      <c r="AS45" s="926">
        <f t="shared" ref="AS45:AS50" si="23">I45*2</f>
        <v>1200</v>
      </c>
      <c r="AT45" s="926"/>
      <c r="AU45" s="926"/>
      <c r="AV45" s="926"/>
      <c r="BN45" s="857">
        <f t="shared" ref="BN45:BN50" si="24">I45</f>
        <v>600</v>
      </c>
      <c r="BO45" s="857">
        <f t="shared" ref="BO45:BO50" si="25">I45</f>
        <v>600</v>
      </c>
      <c r="BQ45" s="857">
        <f t="shared" ref="BQ45:BQ50" si="26">I45</f>
        <v>600</v>
      </c>
      <c r="BU45" s="939">
        <f t="shared" si="5"/>
        <v>1200</v>
      </c>
      <c r="BV45" s="1222">
        <f t="shared" si="6"/>
        <v>2346688</v>
      </c>
      <c r="BW45" s="939"/>
      <c r="BX45" s="939"/>
      <c r="BY45" s="939"/>
      <c r="BZ45" s="939"/>
      <c r="CA45" s="856">
        <f t="shared" si="2"/>
        <v>473312</v>
      </c>
      <c r="CC45" s="964">
        <f t="shared" si="7"/>
        <v>0</v>
      </c>
      <c r="CD45" s="939">
        <f t="shared" si="8"/>
        <v>48086.5714285714</v>
      </c>
      <c r="CE45" s="939"/>
      <c r="CF45" s="939"/>
      <c r="CG45" s="939"/>
      <c r="CH45" s="939">
        <f t="shared" si="3"/>
        <v>11913.4285714286</v>
      </c>
      <c r="CI45" s="939"/>
    </row>
    <row r="46" s="857" customFormat="1" ht="31" customHeight="1" spans="1:87">
      <c r="A46" s="1213">
        <v>45586</v>
      </c>
      <c r="B46" s="1223" t="s">
        <v>314</v>
      </c>
      <c r="C46" s="1224" t="s">
        <v>125</v>
      </c>
      <c r="D46" s="1225">
        <v>4500147806</v>
      </c>
      <c r="E46" s="1223" t="s">
        <v>315</v>
      </c>
      <c r="F46" s="1225" t="s">
        <v>374</v>
      </c>
      <c r="G46" s="926" t="s">
        <v>196</v>
      </c>
      <c r="H46" s="926" t="s">
        <v>197</v>
      </c>
      <c r="I46" s="926">
        <v>600</v>
      </c>
      <c r="J46" s="926">
        <v>0</v>
      </c>
      <c r="K46" s="926">
        <v>12</v>
      </c>
      <c r="L46" s="1201">
        <f t="shared" si="9"/>
        <v>50</v>
      </c>
      <c r="M46" s="930">
        <v>45698</v>
      </c>
      <c r="N46" s="930">
        <v>45694</v>
      </c>
      <c r="O46" s="1041"/>
      <c r="P46" s="937" t="s">
        <v>325</v>
      </c>
      <c r="Q46" s="926"/>
      <c r="R46" s="932">
        <v>45600</v>
      </c>
      <c r="S46" s="926" t="s">
        <v>98</v>
      </c>
      <c r="T46" s="1226" t="s">
        <v>317</v>
      </c>
      <c r="U46" s="1226"/>
      <c r="V46" s="1227" t="s">
        <v>318</v>
      </c>
      <c r="W46" s="930" t="s">
        <v>319</v>
      </c>
      <c r="X46" s="933">
        <v>4.1259</v>
      </c>
      <c r="Y46" s="1204">
        <f t="shared" si="21"/>
        <v>2475.54</v>
      </c>
      <c r="Z46" s="1204"/>
      <c r="AA46" s="926" t="s">
        <v>375</v>
      </c>
      <c r="AB46" s="926" t="s">
        <v>196</v>
      </c>
      <c r="AC46" s="926" t="s">
        <v>93</v>
      </c>
      <c r="AD46" s="1040" t="s">
        <v>94</v>
      </c>
      <c r="AE46" s="926"/>
      <c r="AF46" s="1039"/>
      <c r="AG46" s="924">
        <f t="shared" si="17"/>
        <v>-600</v>
      </c>
      <c r="AH46" s="1221"/>
      <c r="AI46" s="926"/>
      <c r="AJ46" s="926"/>
      <c r="AK46" s="926">
        <f t="shared" si="22"/>
        <v>1200</v>
      </c>
      <c r="AL46" s="926"/>
      <c r="AM46" s="926">
        <f>I46*2</f>
        <v>1200</v>
      </c>
      <c r="AP46" s="926"/>
      <c r="AQ46" s="926"/>
      <c r="AS46" s="926">
        <f t="shared" si="23"/>
        <v>1200</v>
      </c>
      <c r="AT46" s="926"/>
      <c r="AU46" s="926"/>
      <c r="AV46" s="926"/>
      <c r="BN46" s="857">
        <f t="shared" si="24"/>
        <v>600</v>
      </c>
      <c r="BO46" s="857">
        <f t="shared" si="25"/>
        <v>600</v>
      </c>
      <c r="BQ46" s="857">
        <f t="shared" si="26"/>
        <v>600</v>
      </c>
      <c r="BU46" s="939">
        <f t="shared" si="5"/>
        <v>1200</v>
      </c>
      <c r="BV46" s="1222">
        <f t="shared" si="6"/>
        <v>2347888</v>
      </c>
      <c r="BW46" s="939"/>
      <c r="BX46" s="939"/>
      <c r="BY46" s="939"/>
      <c r="BZ46" s="939"/>
      <c r="CA46" s="856">
        <f t="shared" si="2"/>
        <v>472112</v>
      </c>
      <c r="CC46" s="964">
        <f t="shared" si="7"/>
        <v>0</v>
      </c>
      <c r="CD46" s="939">
        <f t="shared" si="8"/>
        <v>48086.5714285714</v>
      </c>
      <c r="CE46" s="939"/>
      <c r="CF46" s="939"/>
      <c r="CG46" s="939"/>
      <c r="CH46" s="939">
        <f t="shared" si="3"/>
        <v>11913.4285714286</v>
      </c>
      <c r="CI46" s="939"/>
    </row>
    <row r="47" s="857" customFormat="1" ht="31" customHeight="1" spans="1:87">
      <c r="A47" s="1213">
        <v>45644</v>
      </c>
      <c r="B47" s="1223" t="s">
        <v>376</v>
      </c>
      <c r="C47" s="1224" t="s">
        <v>377</v>
      </c>
      <c r="D47" s="1225">
        <v>4500154316</v>
      </c>
      <c r="E47" s="1223" t="s">
        <v>378</v>
      </c>
      <c r="F47" s="1225" t="s">
        <v>379</v>
      </c>
      <c r="G47" s="926" t="s">
        <v>196</v>
      </c>
      <c r="H47" s="926" t="s">
        <v>197</v>
      </c>
      <c r="I47" s="926">
        <v>336</v>
      </c>
      <c r="J47" s="926">
        <v>0</v>
      </c>
      <c r="K47" s="926">
        <v>12</v>
      </c>
      <c r="L47" s="1201">
        <f t="shared" si="9"/>
        <v>28</v>
      </c>
      <c r="M47" s="930">
        <v>45698</v>
      </c>
      <c r="N47" s="930">
        <v>45694</v>
      </c>
      <c r="O47" s="1041"/>
      <c r="P47" s="937" t="s">
        <v>325</v>
      </c>
      <c r="Q47" s="926"/>
      <c r="R47" s="932">
        <v>45655</v>
      </c>
      <c r="S47" s="926" t="s">
        <v>98</v>
      </c>
      <c r="T47" s="1226" t="s">
        <v>317</v>
      </c>
      <c r="U47" s="1226"/>
      <c r="V47" s="1227" t="s">
        <v>380</v>
      </c>
      <c r="W47" s="930" t="s">
        <v>381</v>
      </c>
      <c r="X47" s="933">
        <v>4.1259</v>
      </c>
      <c r="Y47" s="1204">
        <f t="shared" si="21"/>
        <v>1386.3024</v>
      </c>
      <c r="Z47" s="1204"/>
      <c r="AA47" s="926" t="s">
        <v>382</v>
      </c>
      <c r="AB47" s="926" t="s">
        <v>196</v>
      </c>
      <c r="AC47" s="926" t="s">
        <v>93</v>
      </c>
      <c r="AD47" s="1040" t="s">
        <v>94</v>
      </c>
      <c r="AE47" s="926"/>
      <c r="AF47" s="924">
        <v>336</v>
      </c>
      <c r="AG47" s="924">
        <f t="shared" si="17"/>
        <v>0</v>
      </c>
      <c r="AH47" s="1221"/>
      <c r="AI47" s="926"/>
      <c r="AJ47" s="926"/>
      <c r="AK47" s="926">
        <f t="shared" si="22"/>
        <v>672</v>
      </c>
      <c r="AL47" s="926"/>
      <c r="AM47" s="926">
        <f t="shared" ref="AM47:AM57" si="27">I47</f>
        <v>336</v>
      </c>
      <c r="AP47" s="926"/>
      <c r="AQ47" s="926"/>
      <c r="AS47" s="926">
        <f t="shared" si="23"/>
        <v>672</v>
      </c>
      <c r="AT47" s="926"/>
      <c r="AU47" s="926"/>
      <c r="AV47" s="926"/>
      <c r="BN47" s="857">
        <f t="shared" si="24"/>
        <v>336</v>
      </c>
      <c r="BO47" s="857">
        <f t="shared" si="25"/>
        <v>336</v>
      </c>
      <c r="BQ47" s="857">
        <f t="shared" si="26"/>
        <v>336</v>
      </c>
      <c r="BU47" s="939">
        <f t="shared" si="5"/>
        <v>672</v>
      </c>
      <c r="BV47" s="1222">
        <f t="shared" si="6"/>
        <v>2348560</v>
      </c>
      <c r="BW47" s="939"/>
      <c r="BX47" s="939"/>
      <c r="BY47" s="939"/>
      <c r="BZ47" s="939"/>
      <c r="CA47" s="856">
        <f t="shared" si="2"/>
        <v>471440</v>
      </c>
      <c r="CC47" s="964">
        <f t="shared" si="7"/>
        <v>0</v>
      </c>
      <c r="CD47" s="939">
        <f t="shared" si="8"/>
        <v>48086.5714285714</v>
      </c>
      <c r="CE47" s="939"/>
      <c r="CF47" s="939"/>
      <c r="CG47" s="939"/>
      <c r="CH47" s="939">
        <f t="shared" si="3"/>
        <v>11913.4285714286</v>
      </c>
      <c r="CI47" s="939"/>
    </row>
    <row r="48" s="857" customFormat="1" ht="31" customHeight="1" spans="1:87">
      <c r="A48" s="1213">
        <v>45644</v>
      </c>
      <c r="B48" s="1223" t="s">
        <v>376</v>
      </c>
      <c r="C48" s="1224" t="s">
        <v>377</v>
      </c>
      <c r="D48" s="1225">
        <v>4500154316</v>
      </c>
      <c r="E48" s="1223" t="s">
        <v>383</v>
      </c>
      <c r="F48" s="1225" t="s">
        <v>384</v>
      </c>
      <c r="G48" s="926" t="s">
        <v>196</v>
      </c>
      <c r="H48" s="926" t="s">
        <v>197</v>
      </c>
      <c r="I48" s="926">
        <v>336</v>
      </c>
      <c r="J48" s="926">
        <v>0</v>
      </c>
      <c r="K48" s="926">
        <v>12</v>
      </c>
      <c r="L48" s="1201">
        <f t="shared" si="9"/>
        <v>28</v>
      </c>
      <c r="M48" s="930">
        <v>45698</v>
      </c>
      <c r="N48" s="930">
        <v>45694</v>
      </c>
      <c r="O48" s="1041"/>
      <c r="P48" s="937" t="s">
        <v>325</v>
      </c>
      <c r="Q48" s="926"/>
      <c r="R48" s="932">
        <v>45655</v>
      </c>
      <c r="S48" s="926" t="s">
        <v>98</v>
      </c>
      <c r="T48" s="1226" t="s">
        <v>317</v>
      </c>
      <c r="U48" s="1226"/>
      <c r="V48" s="1227" t="s">
        <v>380</v>
      </c>
      <c r="W48" s="930" t="s">
        <v>381</v>
      </c>
      <c r="X48" s="933">
        <v>4.1259</v>
      </c>
      <c r="Y48" s="1204">
        <f t="shared" si="21"/>
        <v>1386.3024</v>
      </c>
      <c r="Z48" s="1204"/>
      <c r="AA48" s="926" t="s">
        <v>382</v>
      </c>
      <c r="AB48" s="926" t="s">
        <v>196</v>
      </c>
      <c r="AC48" s="926" t="s">
        <v>93</v>
      </c>
      <c r="AD48" s="1040" t="s">
        <v>94</v>
      </c>
      <c r="AE48" s="926"/>
      <c r="AF48" s="1039"/>
      <c r="AG48" s="924">
        <f t="shared" si="17"/>
        <v>-336</v>
      </c>
      <c r="AH48" s="1221"/>
      <c r="AI48" s="926"/>
      <c r="AJ48" s="926"/>
      <c r="AK48" s="926">
        <f t="shared" si="22"/>
        <v>672</v>
      </c>
      <c r="AL48" s="926"/>
      <c r="AM48" s="926">
        <f t="shared" si="27"/>
        <v>336</v>
      </c>
      <c r="AP48" s="926"/>
      <c r="AQ48" s="926"/>
      <c r="AS48" s="926">
        <f t="shared" si="23"/>
        <v>672</v>
      </c>
      <c r="AT48" s="926"/>
      <c r="AU48" s="926"/>
      <c r="AV48" s="926"/>
      <c r="BN48" s="857">
        <f t="shared" si="24"/>
        <v>336</v>
      </c>
      <c r="BO48" s="857">
        <f t="shared" si="25"/>
        <v>336</v>
      </c>
      <c r="BQ48" s="857">
        <f t="shared" si="26"/>
        <v>336</v>
      </c>
      <c r="BU48" s="939">
        <f t="shared" si="5"/>
        <v>672</v>
      </c>
      <c r="BV48" s="1222">
        <f t="shared" si="6"/>
        <v>2349232</v>
      </c>
      <c r="BW48" s="939"/>
      <c r="BX48" s="939"/>
      <c r="BY48" s="939"/>
      <c r="BZ48" s="939"/>
      <c r="CA48" s="856">
        <f t="shared" si="2"/>
        <v>470768</v>
      </c>
      <c r="CC48" s="964">
        <f t="shared" si="7"/>
        <v>0</v>
      </c>
      <c r="CD48" s="939">
        <f t="shared" si="8"/>
        <v>48086.5714285714</v>
      </c>
      <c r="CE48" s="939"/>
      <c r="CF48" s="939"/>
      <c r="CG48" s="939"/>
      <c r="CH48" s="939">
        <f t="shared" si="3"/>
        <v>11913.4285714286</v>
      </c>
      <c r="CI48" s="939"/>
    </row>
    <row r="49" s="857" customFormat="1" ht="31" customHeight="1" spans="1:87">
      <c r="A49" s="1213">
        <v>45644</v>
      </c>
      <c r="B49" s="1223" t="s">
        <v>376</v>
      </c>
      <c r="C49" s="1224" t="s">
        <v>377</v>
      </c>
      <c r="D49" s="1225">
        <v>4500154316</v>
      </c>
      <c r="E49" s="1223" t="s">
        <v>385</v>
      </c>
      <c r="F49" s="1225" t="s">
        <v>386</v>
      </c>
      <c r="G49" s="926" t="s">
        <v>196</v>
      </c>
      <c r="H49" s="926" t="s">
        <v>197</v>
      </c>
      <c r="I49" s="926">
        <v>336</v>
      </c>
      <c r="J49" s="926">
        <v>0</v>
      </c>
      <c r="K49" s="926">
        <v>12</v>
      </c>
      <c r="L49" s="1201">
        <f t="shared" si="9"/>
        <v>28</v>
      </c>
      <c r="M49" s="930">
        <v>45698</v>
      </c>
      <c r="N49" s="930">
        <v>45694</v>
      </c>
      <c r="O49" s="1041"/>
      <c r="P49" s="937" t="s">
        <v>325</v>
      </c>
      <c r="Q49" s="926"/>
      <c r="R49" s="932">
        <v>45655</v>
      </c>
      <c r="S49" s="926" t="s">
        <v>98</v>
      </c>
      <c r="T49" s="1226" t="s">
        <v>317</v>
      </c>
      <c r="U49" s="1226"/>
      <c r="V49" s="1227" t="s">
        <v>380</v>
      </c>
      <c r="W49" s="930" t="s">
        <v>381</v>
      </c>
      <c r="X49" s="933">
        <v>4.1259</v>
      </c>
      <c r="Y49" s="1204">
        <f t="shared" si="21"/>
        <v>1386.3024</v>
      </c>
      <c r="Z49" s="1204"/>
      <c r="AA49" s="926" t="s">
        <v>382</v>
      </c>
      <c r="AB49" s="926" t="s">
        <v>196</v>
      </c>
      <c r="AC49" s="926" t="s">
        <v>93</v>
      </c>
      <c r="AD49" s="1040" t="s">
        <v>94</v>
      </c>
      <c r="AE49" s="926"/>
      <c r="AF49" s="1039"/>
      <c r="AG49" s="924">
        <f t="shared" si="17"/>
        <v>-336</v>
      </c>
      <c r="AH49" s="1221"/>
      <c r="AI49" s="926"/>
      <c r="AJ49" s="926"/>
      <c r="AK49" s="926">
        <f t="shared" si="22"/>
        <v>672</v>
      </c>
      <c r="AL49" s="926"/>
      <c r="AM49" s="926">
        <f t="shared" si="27"/>
        <v>336</v>
      </c>
      <c r="AP49" s="926"/>
      <c r="AQ49" s="926"/>
      <c r="AS49" s="926">
        <f t="shared" si="23"/>
        <v>672</v>
      </c>
      <c r="AT49" s="926"/>
      <c r="AU49" s="926"/>
      <c r="AV49" s="926"/>
      <c r="BN49" s="857">
        <f t="shared" si="24"/>
        <v>336</v>
      </c>
      <c r="BO49" s="857">
        <f t="shared" si="25"/>
        <v>336</v>
      </c>
      <c r="BQ49" s="857">
        <f t="shared" si="26"/>
        <v>336</v>
      </c>
      <c r="BU49" s="939">
        <f t="shared" si="5"/>
        <v>672</v>
      </c>
      <c r="BV49" s="1222">
        <f t="shared" si="6"/>
        <v>2349904</v>
      </c>
      <c r="BW49" s="939"/>
      <c r="BX49" s="939"/>
      <c r="BY49" s="939"/>
      <c r="BZ49" s="939"/>
      <c r="CA49" s="856">
        <f t="shared" si="2"/>
        <v>470096</v>
      </c>
      <c r="CC49" s="964">
        <f t="shared" si="7"/>
        <v>0</v>
      </c>
      <c r="CD49" s="939">
        <f t="shared" si="8"/>
        <v>48086.5714285714</v>
      </c>
      <c r="CE49" s="939"/>
      <c r="CF49" s="939"/>
      <c r="CG49" s="939"/>
      <c r="CH49" s="939">
        <f t="shared" si="3"/>
        <v>11913.4285714286</v>
      </c>
      <c r="CI49" s="939"/>
    </row>
    <row r="50" s="857" customFormat="1" ht="31" customHeight="1" spans="1:87">
      <c r="A50" s="1213">
        <v>45615</v>
      </c>
      <c r="B50" s="1223" t="s">
        <v>288</v>
      </c>
      <c r="C50" s="1224" t="s">
        <v>125</v>
      </c>
      <c r="D50" s="1225">
        <v>4500151537</v>
      </c>
      <c r="E50" s="1223">
        <v>70054036</v>
      </c>
      <c r="F50" s="1225" t="s">
        <v>387</v>
      </c>
      <c r="G50" s="926" t="s">
        <v>196</v>
      </c>
      <c r="H50" s="926" t="s">
        <v>197</v>
      </c>
      <c r="I50" s="926">
        <v>600</v>
      </c>
      <c r="J50" s="926">
        <v>0</v>
      </c>
      <c r="K50" s="926">
        <v>12</v>
      </c>
      <c r="L50" s="1201">
        <f t="shared" si="9"/>
        <v>50</v>
      </c>
      <c r="M50" s="930">
        <v>45705</v>
      </c>
      <c r="N50" s="930">
        <v>45701</v>
      </c>
      <c r="O50" s="1041"/>
      <c r="P50" s="937" t="s">
        <v>325</v>
      </c>
      <c r="Q50" s="926"/>
      <c r="R50" s="932" t="s">
        <v>388</v>
      </c>
      <c r="S50" s="926" t="s">
        <v>98</v>
      </c>
      <c r="T50" s="1226" t="s">
        <v>389</v>
      </c>
      <c r="U50" s="1226"/>
      <c r="V50" s="1227" t="s">
        <v>390</v>
      </c>
      <c r="W50" s="930" t="s">
        <v>291</v>
      </c>
      <c r="X50" s="933">
        <v>4.1259</v>
      </c>
      <c r="Y50" s="1204">
        <f t="shared" si="21"/>
        <v>2475.54</v>
      </c>
      <c r="Z50" s="1204"/>
      <c r="AA50" s="926" t="s">
        <v>391</v>
      </c>
      <c r="AB50" s="926" t="s">
        <v>196</v>
      </c>
      <c r="AC50" s="926" t="s">
        <v>93</v>
      </c>
      <c r="AD50" s="1040" t="s">
        <v>94</v>
      </c>
      <c r="AE50" s="926"/>
      <c r="AF50" s="924">
        <v>600</v>
      </c>
      <c r="AG50" s="924">
        <f t="shared" si="17"/>
        <v>0</v>
      </c>
      <c r="AH50" s="1221"/>
      <c r="AI50" s="926"/>
      <c r="AJ50" s="926"/>
      <c r="AK50" s="926">
        <f t="shared" si="22"/>
        <v>1200</v>
      </c>
      <c r="AL50" s="926"/>
      <c r="AM50" s="926">
        <f>I50*2</f>
        <v>1200</v>
      </c>
      <c r="AP50" s="926"/>
      <c r="AQ50" s="926"/>
      <c r="AS50" s="926">
        <f t="shared" si="23"/>
        <v>1200</v>
      </c>
      <c r="AT50" s="926"/>
      <c r="AU50" s="926"/>
      <c r="AV50" s="926"/>
      <c r="BN50" s="857">
        <f t="shared" si="24"/>
        <v>600</v>
      </c>
      <c r="BO50" s="857">
        <f t="shared" si="25"/>
        <v>600</v>
      </c>
      <c r="BQ50" s="857">
        <f t="shared" si="26"/>
        <v>600</v>
      </c>
      <c r="BU50" s="939">
        <f t="shared" si="5"/>
        <v>1200</v>
      </c>
      <c r="BV50" s="1222">
        <f t="shared" si="6"/>
        <v>2351104</v>
      </c>
      <c r="BW50" s="939"/>
      <c r="BX50" s="939"/>
      <c r="BY50" s="939"/>
      <c r="BZ50" s="939"/>
      <c r="CA50" s="856">
        <f t="shared" si="2"/>
        <v>468896</v>
      </c>
      <c r="CC50" s="964">
        <f t="shared" si="7"/>
        <v>0</v>
      </c>
      <c r="CD50" s="939">
        <f t="shared" si="8"/>
        <v>48086.5714285714</v>
      </c>
      <c r="CE50" s="939"/>
      <c r="CF50" s="939"/>
      <c r="CG50" s="939"/>
      <c r="CH50" s="939">
        <f t="shared" si="3"/>
        <v>11913.4285714286</v>
      </c>
      <c r="CI50" s="939"/>
    </row>
    <row r="51" s="857" customFormat="1" ht="31" customHeight="1" spans="1:87">
      <c r="A51" s="1213">
        <v>45649</v>
      </c>
      <c r="B51" s="1223" t="s">
        <v>240</v>
      </c>
      <c r="C51" s="1224" t="s">
        <v>125</v>
      </c>
      <c r="D51" s="1225">
        <v>4500154532</v>
      </c>
      <c r="E51" s="1223" t="s">
        <v>392</v>
      </c>
      <c r="F51" s="1225" t="s">
        <v>393</v>
      </c>
      <c r="G51" s="926" t="s">
        <v>243</v>
      </c>
      <c r="H51" s="926" t="s">
        <v>189</v>
      </c>
      <c r="I51" s="926">
        <v>2304</v>
      </c>
      <c r="J51" s="926">
        <v>0</v>
      </c>
      <c r="K51" s="926">
        <v>1152</v>
      </c>
      <c r="L51" s="1201">
        <f t="shared" si="9"/>
        <v>2</v>
      </c>
      <c r="M51" s="930">
        <v>45705</v>
      </c>
      <c r="N51" s="930">
        <v>45701</v>
      </c>
      <c r="O51" s="1041"/>
      <c r="P51" s="937" t="s">
        <v>325</v>
      </c>
      <c r="Q51" s="926" t="s">
        <v>394</v>
      </c>
      <c r="R51" s="932" t="s">
        <v>395</v>
      </c>
      <c r="S51" s="926" t="s">
        <v>98</v>
      </c>
      <c r="T51" s="1226" t="s">
        <v>396</v>
      </c>
      <c r="U51" s="1226"/>
      <c r="V51" s="1227" t="s">
        <v>397</v>
      </c>
      <c r="W51" s="930" t="s">
        <v>247</v>
      </c>
      <c r="X51" s="933">
        <v>2206.6131</v>
      </c>
      <c r="Y51" s="1204">
        <f t="shared" ref="Y51:Y56" si="28">X51*L51</f>
        <v>4413.2262</v>
      </c>
      <c r="Z51" s="1204"/>
      <c r="AA51" s="926" t="s">
        <v>398</v>
      </c>
      <c r="AB51" s="926" t="s">
        <v>243</v>
      </c>
      <c r="AC51" s="926" t="s">
        <v>93</v>
      </c>
      <c r="AD51" s="1040" t="s">
        <v>94</v>
      </c>
      <c r="AE51" s="926"/>
      <c r="AF51" s="924">
        <v>2304</v>
      </c>
      <c r="AG51" s="924">
        <f t="shared" si="17"/>
        <v>0</v>
      </c>
      <c r="AH51" s="1221"/>
      <c r="AI51" s="926"/>
      <c r="AJ51" s="926"/>
      <c r="AK51" s="926">
        <f t="shared" ref="AK51:AK60" si="29">I51</f>
        <v>2304</v>
      </c>
      <c r="AL51" s="926"/>
      <c r="AM51" s="926">
        <f t="shared" si="27"/>
        <v>2304</v>
      </c>
      <c r="AP51" s="926"/>
      <c r="AQ51" s="926"/>
      <c r="AS51" s="926"/>
      <c r="AT51" s="926"/>
      <c r="AU51" s="926">
        <f t="shared" ref="AU51:AU56" si="30">I51</f>
        <v>2304</v>
      </c>
      <c r="AV51" s="926"/>
      <c r="AZ51" s="857">
        <f t="shared" ref="AZ51:AZ56" si="31">I51/12</f>
        <v>192</v>
      </c>
      <c r="BU51" s="939">
        <f t="shared" si="5"/>
        <v>2304</v>
      </c>
      <c r="BV51" s="1222">
        <f t="shared" si="6"/>
        <v>2353408</v>
      </c>
      <c r="BW51" s="939"/>
      <c r="BX51" s="939"/>
      <c r="BY51" s="939"/>
      <c r="BZ51" s="939"/>
      <c r="CA51" s="856">
        <f t="shared" si="2"/>
        <v>466592</v>
      </c>
      <c r="CC51" s="964">
        <f t="shared" si="7"/>
        <v>0</v>
      </c>
      <c r="CD51" s="939">
        <f t="shared" si="8"/>
        <v>48086.5714285714</v>
      </c>
      <c r="CE51" s="939"/>
      <c r="CF51" s="939"/>
      <c r="CG51" s="939"/>
      <c r="CH51" s="939">
        <f t="shared" si="3"/>
        <v>11913.4285714286</v>
      </c>
      <c r="CI51" s="939"/>
    </row>
    <row r="52" s="857" customFormat="1" ht="31" customHeight="1" spans="1:87">
      <c r="A52" s="1213">
        <v>45649</v>
      </c>
      <c r="B52" s="1223" t="s">
        <v>240</v>
      </c>
      <c r="C52" s="1224" t="s">
        <v>125</v>
      </c>
      <c r="D52" s="1225">
        <v>4500154532</v>
      </c>
      <c r="E52" s="1223" t="s">
        <v>399</v>
      </c>
      <c r="F52" s="1225" t="s">
        <v>400</v>
      </c>
      <c r="G52" s="926" t="s">
        <v>243</v>
      </c>
      <c r="H52" s="926" t="s">
        <v>189</v>
      </c>
      <c r="I52" s="926">
        <v>1152</v>
      </c>
      <c r="J52" s="926">
        <v>0</v>
      </c>
      <c r="K52" s="926">
        <v>1152</v>
      </c>
      <c r="L52" s="1201">
        <f t="shared" si="9"/>
        <v>1</v>
      </c>
      <c r="M52" s="930">
        <v>45705</v>
      </c>
      <c r="N52" s="930">
        <v>45701</v>
      </c>
      <c r="O52" s="1041"/>
      <c r="P52" s="937" t="s">
        <v>325</v>
      </c>
      <c r="Q52" s="926"/>
      <c r="R52" s="932" t="s">
        <v>395</v>
      </c>
      <c r="S52" s="926" t="s">
        <v>98</v>
      </c>
      <c r="T52" s="1226" t="s">
        <v>396</v>
      </c>
      <c r="U52" s="1226"/>
      <c r="V52" s="1227" t="s">
        <v>397</v>
      </c>
      <c r="W52" s="930" t="s">
        <v>247</v>
      </c>
      <c r="X52" s="933">
        <v>2206.6131</v>
      </c>
      <c r="Y52" s="1204">
        <f t="shared" si="28"/>
        <v>2206.6131</v>
      </c>
      <c r="Z52" s="1204"/>
      <c r="AA52" s="926" t="s">
        <v>401</v>
      </c>
      <c r="AB52" s="926" t="s">
        <v>243</v>
      </c>
      <c r="AC52" s="926" t="s">
        <v>93</v>
      </c>
      <c r="AD52" s="1040" t="s">
        <v>94</v>
      </c>
      <c r="AE52" s="926"/>
      <c r="AF52" s="924">
        <v>1152</v>
      </c>
      <c r="AG52" s="924">
        <f t="shared" si="17"/>
        <v>0</v>
      </c>
      <c r="AH52" s="1221"/>
      <c r="AI52" s="926"/>
      <c r="AJ52" s="926"/>
      <c r="AK52" s="926">
        <f t="shared" si="29"/>
        <v>1152</v>
      </c>
      <c r="AL52" s="926"/>
      <c r="AM52" s="926">
        <f t="shared" si="27"/>
        <v>1152</v>
      </c>
      <c r="AP52" s="926"/>
      <c r="AQ52" s="926"/>
      <c r="AS52" s="926"/>
      <c r="AT52" s="926"/>
      <c r="AU52" s="926">
        <f t="shared" si="30"/>
        <v>1152</v>
      </c>
      <c r="AV52" s="926"/>
      <c r="AZ52" s="857">
        <f t="shared" si="31"/>
        <v>96</v>
      </c>
      <c r="BU52" s="939">
        <f t="shared" si="5"/>
        <v>1152</v>
      </c>
      <c r="BV52" s="1222">
        <f t="shared" si="6"/>
        <v>2354560</v>
      </c>
      <c r="BW52" s="939"/>
      <c r="BX52" s="939"/>
      <c r="BY52" s="939"/>
      <c r="BZ52" s="939"/>
      <c r="CA52" s="856">
        <f t="shared" si="2"/>
        <v>465440</v>
      </c>
      <c r="CC52" s="964">
        <f t="shared" si="7"/>
        <v>0</v>
      </c>
      <c r="CD52" s="939">
        <f t="shared" si="8"/>
        <v>48086.5714285714</v>
      </c>
      <c r="CE52" s="939"/>
      <c r="CF52" s="939"/>
      <c r="CG52" s="939"/>
      <c r="CH52" s="939">
        <f t="shared" si="3"/>
        <v>11913.4285714286</v>
      </c>
      <c r="CI52" s="939"/>
    </row>
    <row r="53" s="857" customFormat="1" ht="31" customHeight="1" spans="1:87">
      <c r="A53" s="1213">
        <v>45649</v>
      </c>
      <c r="B53" s="1223" t="s">
        <v>240</v>
      </c>
      <c r="C53" s="1224" t="s">
        <v>125</v>
      </c>
      <c r="D53" s="1225">
        <v>4500154532</v>
      </c>
      <c r="E53" s="1223" t="s">
        <v>402</v>
      </c>
      <c r="F53" s="1225" t="s">
        <v>403</v>
      </c>
      <c r="G53" s="926" t="s">
        <v>243</v>
      </c>
      <c r="H53" s="926" t="s">
        <v>189</v>
      </c>
      <c r="I53" s="926">
        <v>3456</v>
      </c>
      <c r="J53" s="926">
        <v>0</v>
      </c>
      <c r="K53" s="926">
        <v>1152</v>
      </c>
      <c r="L53" s="1201">
        <f t="shared" si="9"/>
        <v>3</v>
      </c>
      <c r="M53" s="930">
        <v>45705</v>
      </c>
      <c r="N53" s="930">
        <v>45701</v>
      </c>
      <c r="O53" s="1041"/>
      <c r="P53" s="937" t="s">
        <v>325</v>
      </c>
      <c r="Q53" s="926"/>
      <c r="R53" s="932" t="s">
        <v>395</v>
      </c>
      <c r="S53" s="926" t="s">
        <v>98</v>
      </c>
      <c r="T53" s="1226" t="s">
        <v>396</v>
      </c>
      <c r="U53" s="1226"/>
      <c r="V53" s="1227" t="s">
        <v>397</v>
      </c>
      <c r="W53" s="930" t="s">
        <v>247</v>
      </c>
      <c r="X53" s="933">
        <v>2206.6131</v>
      </c>
      <c r="Y53" s="1204">
        <f t="shared" si="28"/>
        <v>6619.8393</v>
      </c>
      <c r="Z53" s="1204"/>
      <c r="AA53" s="926" t="s">
        <v>404</v>
      </c>
      <c r="AB53" s="926" t="s">
        <v>243</v>
      </c>
      <c r="AC53" s="926" t="s">
        <v>93</v>
      </c>
      <c r="AD53" s="1040" t="s">
        <v>94</v>
      </c>
      <c r="AE53" s="926"/>
      <c r="AF53" s="924">
        <v>3456</v>
      </c>
      <c r="AG53" s="924">
        <f t="shared" si="17"/>
        <v>0</v>
      </c>
      <c r="AH53" s="1221"/>
      <c r="AI53" s="926"/>
      <c r="AJ53" s="926"/>
      <c r="AK53" s="926">
        <f t="shared" si="29"/>
        <v>3456</v>
      </c>
      <c r="AL53" s="926"/>
      <c r="AM53" s="926">
        <f t="shared" si="27"/>
        <v>3456</v>
      </c>
      <c r="AP53" s="926"/>
      <c r="AQ53" s="926"/>
      <c r="AS53" s="926"/>
      <c r="AT53" s="926"/>
      <c r="AU53" s="926">
        <f t="shared" si="30"/>
        <v>3456</v>
      </c>
      <c r="AV53" s="926"/>
      <c r="AZ53" s="857">
        <f t="shared" si="31"/>
        <v>288</v>
      </c>
      <c r="BU53" s="939">
        <f t="shared" si="5"/>
        <v>3456</v>
      </c>
      <c r="BV53" s="1222">
        <f t="shared" si="6"/>
        <v>2358016</v>
      </c>
      <c r="BW53" s="939"/>
      <c r="BX53" s="939"/>
      <c r="BY53" s="939"/>
      <c r="BZ53" s="939"/>
      <c r="CA53" s="856">
        <f t="shared" si="2"/>
        <v>461984</v>
      </c>
      <c r="CC53" s="964">
        <f t="shared" si="7"/>
        <v>0</v>
      </c>
      <c r="CD53" s="939">
        <f t="shared" si="8"/>
        <v>48086.5714285714</v>
      </c>
      <c r="CE53" s="939"/>
      <c r="CF53" s="939"/>
      <c r="CG53" s="939"/>
      <c r="CH53" s="939">
        <f t="shared" si="3"/>
        <v>11913.4285714286</v>
      </c>
      <c r="CI53" s="939"/>
    </row>
    <row r="54" s="857" customFormat="1" ht="31" customHeight="1" spans="1:87">
      <c r="A54" s="1213">
        <v>45649</v>
      </c>
      <c r="B54" s="1223" t="s">
        <v>240</v>
      </c>
      <c r="C54" s="1224" t="s">
        <v>125</v>
      </c>
      <c r="D54" s="1225">
        <v>4500154532</v>
      </c>
      <c r="E54" s="1223" t="s">
        <v>405</v>
      </c>
      <c r="F54" s="1225" t="s">
        <v>406</v>
      </c>
      <c r="G54" s="926" t="s">
        <v>243</v>
      </c>
      <c r="H54" s="926" t="s">
        <v>189</v>
      </c>
      <c r="I54" s="926">
        <v>1152</v>
      </c>
      <c r="J54" s="926">
        <v>0</v>
      </c>
      <c r="K54" s="926">
        <v>1152</v>
      </c>
      <c r="L54" s="1201">
        <f t="shared" si="9"/>
        <v>1</v>
      </c>
      <c r="M54" s="930">
        <v>45705</v>
      </c>
      <c r="N54" s="930">
        <v>45701</v>
      </c>
      <c r="O54" s="1041"/>
      <c r="P54" s="937" t="s">
        <v>325</v>
      </c>
      <c r="Q54" s="926"/>
      <c r="R54" s="932" t="s">
        <v>395</v>
      </c>
      <c r="S54" s="926" t="s">
        <v>98</v>
      </c>
      <c r="T54" s="1226" t="s">
        <v>396</v>
      </c>
      <c r="U54" s="1226"/>
      <c r="V54" s="1227" t="s">
        <v>397</v>
      </c>
      <c r="W54" s="930" t="s">
        <v>247</v>
      </c>
      <c r="X54" s="933">
        <v>2206.6131</v>
      </c>
      <c r="Y54" s="1204">
        <f t="shared" si="28"/>
        <v>2206.6131</v>
      </c>
      <c r="Z54" s="1204"/>
      <c r="AA54" s="926" t="s">
        <v>407</v>
      </c>
      <c r="AB54" s="926" t="s">
        <v>243</v>
      </c>
      <c r="AC54" s="926" t="s">
        <v>93</v>
      </c>
      <c r="AD54" s="1040" t="s">
        <v>94</v>
      </c>
      <c r="AE54" s="926"/>
      <c r="AF54" s="924">
        <v>1152</v>
      </c>
      <c r="AG54" s="924">
        <f t="shared" si="17"/>
        <v>0</v>
      </c>
      <c r="AH54" s="1221"/>
      <c r="AI54" s="926"/>
      <c r="AJ54" s="926"/>
      <c r="AK54" s="926">
        <f t="shared" si="29"/>
        <v>1152</v>
      </c>
      <c r="AL54" s="926"/>
      <c r="AM54" s="926">
        <f t="shared" si="27"/>
        <v>1152</v>
      </c>
      <c r="AP54" s="926"/>
      <c r="AQ54" s="926"/>
      <c r="AS54" s="926"/>
      <c r="AT54" s="926"/>
      <c r="AU54" s="926">
        <f t="shared" si="30"/>
        <v>1152</v>
      </c>
      <c r="AV54" s="926"/>
      <c r="AZ54" s="857">
        <f t="shared" si="31"/>
        <v>96</v>
      </c>
      <c r="BU54" s="939">
        <f t="shared" si="5"/>
        <v>1152</v>
      </c>
      <c r="BV54" s="1222">
        <f t="shared" si="6"/>
        <v>2359168</v>
      </c>
      <c r="BW54" s="939"/>
      <c r="BX54" s="939"/>
      <c r="BY54" s="939"/>
      <c r="BZ54" s="939"/>
      <c r="CA54" s="856">
        <f t="shared" si="2"/>
        <v>460832</v>
      </c>
      <c r="CC54" s="964">
        <f t="shared" si="7"/>
        <v>0</v>
      </c>
      <c r="CD54" s="939">
        <f t="shared" si="8"/>
        <v>48086.5714285714</v>
      </c>
      <c r="CE54" s="939"/>
      <c r="CF54" s="939"/>
      <c r="CG54" s="939"/>
      <c r="CH54" s="939">
        <f t="shared" si="3"/>
        <v>11913.4285714286</v>
      </c>
      <c r="CI54" s="939"/>
    </row>
    <row r="55" s="857" customFormat="1" ht="31" customHeight="1" spans="1:87">
      <c r="A55" s="1213">
        <v>45649</v>
      </c>
      <c r="B55" s="1223" t="s">
        <v>240</v>
      </c>
      <c r="C55" s="1224" t="s">
        <v>125</v>
      </c>
      <c r="D55" s="1225">
        <v>4500154532</v>
      </c>
      <c r="E55" s="1223" t="s">
        <v>408</v>
      </c>
      <c r="F55" s="1225" t="s">
        <v>409</v>
      </c>
      <c r="G55" s="926" t="s">
        <v>243</v>
      </c>
      <c r="H55" s="926" t="s">
        <v>189</v>
      </c>
      <c r="I55" s="926">
        <v>1152</v>
      </c>
      <c r="J55" s="926">
        <v>0</v>
      </c>
      <c r="K55" s="926">
        <v>1152</v>
      </c>
      <c r="L55" s="1201">
        <f t="shared" si="9"/>
        <v>1</v>
      </c>
      <c r="M55" s="930">
        <v>45705</v>
      </c>
      <c r="N55" s="930">
        <v>45701</v>
      </c>
      <c r="O55" s="1041"/>
      <c r="P55" s="937" t="s">
        <v>325</v>
      </c>
      <c r="Q55" s="926"/>
      <c r="R55" s="932" t="s">
        <v>395</v>
      </c>
      <c r="S55" s="926" t="s">
        <v>98</v>
      </c>
      <c r="T55" s="1226" t="s">
        <v>396</v>
      </c>
      <c r="U55" s="1226"/>
      <c r="V55" s="1227" t="s">
        <v>397</v>
      </c>
      <c r="W55" s="930" t="s">
        <v>247</v>
      </c>
      <c r="X55" s="933">
        <v>2206.6131</v>
      </c>
      <c r="Y55" s="1204">
        <f t="shared" si="28"/>
        <v>2206.6131</v>
      </c>
      <c r="Z55" s="1204"/>
      <c r="AA55" s="926" t="s">
        <v>410</v>
      </c>
      <c r="AB55" s="926" t="s">
        <v>243</v>
      </c>
      <c r="AC55" s="926" t="s">
        <v>93</v>
      </c>
      <c r="AD55" s="1040" t="s">
        <v>94</v>
      </c>
      <c r="AE55" s="926"/>
      <c r="AF55" s="1039"/>
      <c r="AG55" s="924">
        <f t="shared" si="17"/>
        <v>-1152</v>
      </c>
      <c r="AH55" s="1221"/>
      <c r="AI55" s="926"/>
      <c r="AJ55" s="926"/>
      <c r="AK55" s="926">
        <f t="shared" si="29"/>
        <v>1152</v>
      </c>
      <c r="AL55" s="926"/>
      <c r="AM55" s="926">
        <f t="shared" si="27"/>
        <v>1152</v>
      </c>
      <c r="AP55" s="926"/>
      <c r="AQ55" s="926"/>
      <c r="AS55" s="926"/>
      <c r="AT55" s="926"/>
      <c r="AU55" s="926">
        <f t="shared" si="30"/>
        <v>1152</v>
      </c>
      <c r="AV55" s="926"/>
      <c r="AZ55" s="857">
        <f t="shared" si="31"/>
        <v>96</v>
      </c>
      <c r="BU55" s="939">
        <f t="shared" si="5"/>
        <v>1152</v>
      </c>
      <c r="BV55" s="1222">
        <f t="shared" si="6"/>
        <v>2360320</v>
      </c>
      <c r="BW55" s="939"/>
      <c r="BX55" s="939"/>
      <c r="BY55" s="939"/>
      <c r="BZ55" s="939"/>
      <c r="CA55" s="856">
        <f t="shared" si="2"/>
        <v>459680</v>
      </c>
      <c r="CC55" s="964">
        <f t="shared" si="7"/>
        <v>0</v>
      </c>
      <c r="CD55" s="939">
        <f t="shared" si="8"/>
        <v>48086.5714285714</v>
      </c>
      <c r="CE55" s="939"/>
      <c r="CF55" s="939"/>
      <c r="CG55" s="939"/>
      <c r="CH55" s="939">
        <f t="shared" si="3"/>
        <v>11913.4285714286</v>
      </c>
      <c r="CI55" s="939"/>
    </row>
    <row r="56" s="857" customFormat="1" ht="31" customHeight="1" spans="1:87">
      <c r="A56" s="1213">
        <v>45649</v>
      </c>
      <c r="B56" s="1223" t="s">
        <v>240</v>
      </c>
      <c r="C56" s="1224" t="s">
        <v>125</v>
      </c>
      <c r="D56" s="1225">
        <v>4500154532</v>
      </c>
      <c r="E56" s="1223" t="s">
        <v>411</v>
      </c>
      <c r="F56" s="1225" t="s">
        <v>412</v>
      </c>
      <c r="G56" s="926" t="s">
        <v>243</v>
      </c>
      <c r="H56" s="926" t="s">
        <v>189</v>
      </c>
      <c r="I56" s="926">
        <v>1152</v>
      </c>
      <c r="J56" s="926">
        <v>0</v>
      </c>
      <c r="K56" s="926">
        <v>1152</v>
      </c>
      <c r="L56" s="1201">
        <f t="shared" si="9"/>
        <v>1</v>
      </c>
      <c r="M56" s="930">
        <v>45705</v>
      </c>
      <c r="N56" s="930">
        <v>45701</v>
      </c>
      <c r="O56" s="1041"/>
      <c r="P56" s="937" t="s">
        <v>325</v>
      </c>
      <c r="Q56" s="926"/>
      <c r="R56" s="932" t="s">
        <v>395</v>
      </c>
      <c r="S56" s="926" t="s">
        <v>98</v>
      </c>
      <c r="T56" s="1226" t="s">
        <v>396</v>
      </c>
      <c r="U56" s="1226"/>
      <c r="V56" s="1227" t="s">
        <v>397</v>
      </c>
      <c r="W56" s="930" t="s">
        <v>247</v>
      </c>
      <c r="X56" s="933">
        <v>2206.6131</v>
      </c>
      <c r="Y56" s="1204">
        <f t="shared" si="28"/>
        <v>2206.6131</v>
      </c>
      <c r="Z56" s="1204"/>
      <c r="AA56" s="926" t="s">
        <v>410</v>
      </c>
      <c r="AB56" s="926" t="s">
        <v>243</v>
      </c>
      <c r="AC56" s="926" t="s">
        <v>93</v>
      </c>
      <c r="AD56" s="1040" t="s">
        <v>94</v>
      </c>
      <c r="AE56" s="926"/>
      <c r="AF56" s="1039"/>
      <c r="AG56" s="924">
        <f t="shared" si="17"/>
        <v>-1152</v>
      </c>
      <c r="AH56" s="1221"/>
      <c r="AI56" s="926"/>
      <c r="AJ56" s="926"/>
      <c r="AK56" s="926">
        <f t="shared" si="29"/>
        <v>1152</v>
      </c>
      <c r="AL56" s="926"/>
      <c r="AM56" s="926">
        <f t="shared" si="27"/>
        <v>1152</v>
      </c>
      <c r="AP56" s="926"/>
      <c r="AQ56" s="926"/>
      <c r="AS56" s="926"/>
      <c r="AT56" s="926"/>
      <c r="AU56" s="926">
        <f t="shared" si="30"/>
        <v>1152</v>
      </c>
      <c r="AV56" s="926"/>
      <c r="AZ56" s="857">
        <f t="shared" si="31"/>
        <v>96</v>
      </c>
      <c r="BU56" s="939">
        <f t="shared" si="5"/>
        <v>1152</v>
      </c>
      <c r="BV56" s="1222">
        <f t="shared" si="6"/>
        <v>2361472</v>
      </c>
      <c r="BW56" s="939"/>
      <c r="BX56" s="939"/>
      <c r="BY56" s="939"/>
      <c r="BZ56" s="939"/>
      <c r="CA56" s="856">
        <f t="shared" si="2"/>
        <v>458528</v>
      </c>
      <c r="CC56" s="964">
        <f t="shared" si="7"/>
        <v>0</v>
      </c>
      <c r="CD56" s="939">
        <f t="shared" si="8"/>
        <v>48086.5714285714</v>
      </c>
      <c r="CE56" s="939"/>
      <c r="CF56" s="939"/>
      <c r="CG56" s="939"/>
      <c r="CH56" s="939">
        <f t="shared" si="3"/>
        <v>11913.4285714286</v>
      </c>
      <c r="CI56" s="939"/>
    </row>
    <row r="57" s="857" customFormat="1" ht="31" customHeight="1" spans="1:87">
      <c r="A57" s="1213">
        <v>45652</v>
      </c>
      <c r="B57" s="1223" t="s">
        <v>413</v>
      </c>
      <c r="C57" s="1224" t="s">
        <v>414</v>
      </c>
      <c r="D57" s="1225">
        <v>4500154811</v>
      </c>
      <c r="E57" s="1223"/>
      <c r="F57" s="1225" t="s">
        <v>415</v>
      </c>
      <c r="G57" s="926" t="s">
        <v>188</v>
      </c>
      <c r="H57" s="926" t="s">
        <v>189</v>
      </c>
      <c r="I57" s="926">
        <v>520</v>
      </c>
      <c r="J57" s="926">
        <v>0</v>
      </c>
      <c r="K57" s="926">
        <v>52</v>
      </c>
      <c r="L57" s="1201">
        <f t="shared" si="9"/>
        <v>10</v>
      </c>
      <c r="M57" s="930">
        <v>45705</v>
      </c>
      <c r="N57" s="930">
        <v>45701</v>
      </c>
      <c r="O57" s="1041"/>
      <c r="P57" s="937" t="s">
        <v>86</v>
      </c>
      <c r="Q57" s="926"/>
      <c r="R57" s="932">
        <v>45652</v>
      </c>
      <c r="S57" s="926" t="s">
        <v>98</v>
      </c>
      <c r="T57" s="1226" t="s">
        <v>416</v>
      </c>
      <c r="U57" s="1226"/>
      <c r="V57" s="1227" t="s">
        <v>417</v>
      </c>
      <c r="W57" s="930" t="s">
        <v>418</v>
      </c>
      <c r="X57" s="933">
        <v>1.9026</v>
      </c>
      <c r="Y57" s="1204">
        <f>I57*X57</f>
        <v>989.352</v>
      </c>
      <c r="Z57" s="1204"/>
      <c r="AA57" s="926" t="s">
        <v>419</v>
      </c>
      <c r="AB57" s="926" t="s">
        <v>188</v>
      </c>
      <c r="AC57" s="926" t="s">
        <v>93</v>
      </c>
      <c r="AD57" s="1040" t="s">
        <v>94</v>
      </c>
      <c r="AE57" s="926"/>
      <c r="AF57" s="924">
        <v>520</v>
      </c>
      <c r="AG57" s="924">
        <f t="shared" si="17"/>
        <v>0</v>
      </c>
      <c r="AH57" s="1221"/>
      <c r="AI57" s="926" t="s">
        <v>95</v>
      </c>
      <c r="AJ57" s="926"/>
      <c r="AK57" s="926">
        <f t="shared" si="29"/>
        <v>520</v>
      </c>
      <c r="AL57" s="926"/>
      <c r="AM57" s="926">
        <f t="shared" si="27"/>
        <v>520</v>
      </c>
      <c r="AP57" s="926"/>
      <c r="AQ57" s="926"/>
      <c r="AS57" s="926">
        <f>I57</f>
        <v>520</v>
      </c>
      <c r="AT57" s="926"/>
      <c r="AU57" s="926"/>
      <c r="AV57" s="926"/>
      <c r="BC57" s="857">
        <f>I57/13</f>
        <v>40</v>
      </c>
      <c r="BU57" s="939">
        <f t="shared" si="5"/>
        <v>520</v>
      </c>
      <c r="BV57" s="1222">
        <f t="shared" si="6"/>
        <v>2361992</v>
      </c>
      <c r="BW57" s="939"/>
      <c r="BX57" s="939"/>
      <c r="BY57" s="939"/>
      <c r="BZ57" s="939"/>
      <c r="CA57" s="856">
        <f t="shared" si="2"/>
        <v>458008</v>
      </c>
      <c r="CC57" s="964">
        <f t="shared" si="7"/>
        <v>0</v>
      </c>
      <c r="CD57" s="939">
        <f t="shared" si="8"/>
        <v>48086.5714285714</v>
      </c>
      <c r="CE57" s="939"/>
      <c r="CF57" s="939"/>
      <c r="CG57" s="939"/>
      <c r="CH57" s="939">
        <f t="shared" si="3"/>
        <v>11913.4285714286</v>
      </c>
      <c r="CI57" s="939"/>
    </row>
    <row r="58" s="857" customFormat="1" ht="31" customHeight="1" spans="1:87">
      <c r="A58" s="1213">
        <v>45642</v>
      </c>
      <c r="B58" s="1223" t="s">
        <v>420</v>
      </c>
      <c r="C58" s="1224" t="s">
        <v>125</v>
      </c>
      <c r="D58" s="1225">
        <v>4500153992</v>
      </c>
      <c r="E58" s="1223" t="s">
        <v>421</v>
      </c>
      <c r="F58" s="1225" t="s">
        <v>422</v>
      </c>
      <c r="G58" s="926" t="s">
        <v>196</v>
      </c>
      <c r="H58" s="926" t="s">
        <v>197</v>
      </c>
      <c r="I58" s="926">
        <v>12</v>
      </c>
      <c r="J58" s="926">
        <v>0</v>
      </c>
      <c r="K58" s="926">
        <v>12</v>
      </c>
      <c r="L58" s="1201">
        <f t="shared" si="9"/>
        <v>1</v>
      </c>
      <c r="M58" s="930">
        <v>45707</v>
      </c>
      <c r="N58" s="930">
        <v>45703</v>
      </c>
      <c r="O58" s="1041"/>
      <c r="P58" s="937" t="s">
        <v>86</v>
      </c>
      <c r="Q58" s="926"/>
      <c r="R58" s="932">
        <v>45655</v>
      </c>
      <c r="S58" s="926" t="s">
        <v>88</v>
      </c>
      <c r="T58" s="1226">
        <v>45670</v>
      </c>
      <c r="U58" s="1226"/>
      <c r="V58" s="1227" t="s">
        <v>423</v>
      </c>
      <c r="W58" s="930" t="s">
        <v>424</v>
      </c>
      <c r="X58" s="933">
        <v>4.087</v>
      </c>
      <c r="Y58" s="1204">
        <f>I58*X58</f>
        <v>49.044</v>
      </c>
      <c r="Z58" s="1204"/>
      <c r="AA58" s="926" t="s">
        <v>425</v>
      </c>
      <c r="AB58" s="926" t="s">
        <v>196</v>
      </c>
      <c r="AC58" s="926" t="s">
        <v>93</v>
      </c>
      <c r="AD58" s="1040" t="s">
        <v>94</v>
      </c>
      <c r="AE58" s="926"/>
      <c r="AF58" s="924">
        <v>12</v>
      </c>
      <c r="AG58" s="924">
        <f t="shared" si="17"/>
        <v>0</v>
      </c>
      <c r="AH58" s="1221"/>
      <c r="AI58" s="926" t="s">
        <v>95</v>
      </c>
      <c r="AJ58" s="926"/>
      <c r="AK58" s="926">
        <f>I58*2</f>
        <v>24</v>
      </c>
      <c r="AL58" s="926"/>
      <c r="AM58" s="926"/>
      <c r="AN58" s="857">
        <f>I58*2</f>
        <v>24</v>
      </c>
      <c r="AP58" s="926"/>
      <c r="AQ58" s="926"/>
      <c r="AS58" s="926">
        <f>I58*2</f>
        <v>24</v>
      </c>
      <c r="AT58" s="926"/>
      <c r="AU58" s="926"/>
      <c r="AV58" s="926"/>
      <c r="BN58" s="857">
        <f>I58</f>
        <v>12</v>
      </c>
      <c r="BO58" s="857">
        <f>I58</f>
        <v>12</v>
      </c>
      <c r="BQ58" s="857">
        <f>I58</f>
        <v>12</v>
      </c>
      <c r="BU58" s="939">
        <f t="shared" si="5"/>
        <v>24</v>
      </c>
      <c r="BV58" s="1222">
        <f t="shared" si="6"/>
        <v>2362016</v>
      </c>
      <c r="BW58" s="939"/>
      <c r="BX58" s="939"/>
      <c r="BY58" s="939"/>
      <c r="BZ58" s="939"/>
      <c r="CA58" s="856">
        <f t="shared" si="2"/>
        <v>457984</v>
      </c>
      <c r="CC58" s="964">
        <f t="shared" si="7"/>
        <v>0</v>
      </c>
      <c r="CD58" s="939">
        <f t="shared" si="8"/>
        <v>48086.5714285714</v>
      </c>
      <c r="CE58" s="939"/>
      <c r="CF58" s="939"/>
      <c r="CG58" s="939"/>
      <c r="CH58" s="939">
        <f t="shared" si="3"/>
        <v>11913.4285714286</v>
      </c>
      <c r="CI58" s="939"/>
    </row>
    <row r="59" s="857" customFormat="1" ht="31" customHeight="1" spans="1:87">
      <c r="A59" s="1213">
        <v>45642</v>
      </c>
      <c r="B59" s="1223" t="s">
        <v>420</v>
      </c>
      <c r="C59" s="1224" t="s">
        <v>125</v>
      </c>
      <c r="D59" s="1225">
        <v>4500154101</v>
      </c>
      <c r="E59" s="1223" t="s">
        <v>426</v>
      </c>
      <c r="F59" s="1225" t="s">
        <v>427</v>
      </c>
      <c r="G59" s="926" t="s">
        <v>196</v>
      </c>
      <c r="H59" s="926" t="s">
        <v>197</v>
      </c>
      <c r="I59" s="926">
        <v>144</v>
      </c>
      <c r="J59" s="926">
        <v>0</v>
      </c>
      <c r="K59" s="926">
        <v>12</v>
      </c>
      <c r="L59" s="1201">
        <f t="shared" si="9"/>
        <v>12</v>
      </c>
      <c r="M59" s="930">
        <v>45707</v>
      </c>
      <c r="N59" s="930">
        <v>45703</v>
      </c>
      <c r="O59" s="1041"/>
      <c r="P59" s="937" t="s">
        <v>86</v>
      </c>
      <c r="Q59" s="926"/>
      <c r="R59" s="932">
        <v>45655</v>
      </c>
      <c r="S59" s="926" t="s">
        <v>88</v>
      </c>
      <c r="T59" s="1226">
        <v>45670</v>
      </c>
      <c r="U59" s="1226"/>
      <c r="V59" s="1227" t="s">
        <v>428</v>
      </c>
      <c r="W59" s="930" t="s">
        <v>424</v>
      </c>
      <c r="X59" s="933">
        <v>4.1259</v>
      </c>
      <c r="Y59" s="1204">
        <f>I59*X59</f>
        <v>594.1296</v>
      </c>
      <c r="Z59" s="1204"/>
      <c r="AA59" s="926" t="s">
        <v>429</v>
      </c>
      <c r="AB59" s="926" t="s">
        <v>196</v>
      </c>
      <c r="AC59" s="926" t="s">
        <v>93</v>
      </c>
      <c r="AD59" s="1040" t="s">
        <v>94</v>
      </c>
      <c r="AE59" s="926"/>
      <c r="AF59" s="924">
        <v>144</v>
      </c>
      <c r="AG59" s="924">
        <f t="shared" si="17"/>
        <v>0</v>
      </c>
      <c r="AH59" s="1221"/>
      <c r="AI59" s="926" t="s">
        <v>95</v>
      </c>
      <c r="AJ59" s="926"/>
      <c r="AK59" s="926">
        <f>I59*2</f>
        <v>288</v>
      </c>
      <c r="AL59" s="926"/>
      <c r="AM59" s="926"/>
      <c r="AN59" s="857">
        <f>I59*2</f>
        <v>288</v>
      </c>
      <c r="AP59" s="926"/>
      <c r="AQ59" s="926"/>
      <c r="AS59" s="926">
        <f>I59*2</f>
        <v>288</v>
      </c>
      <c r="AT59" s="926"/>
      <c r="AU59" s="926"/>
      <c r="AV59" s="926"/>
      <c r="BN59" s="857">
        <f>I59</f>
        <v>144</v>
      </c>
      <c r="BO59" s="857">
        <f>I59</f>
        <v>144</v>
      </c>
      <c r="BQ59" s="857">
        <f>I59</f>
        <v>144</v>
      </c>
      <c r="BU59" s="939">
        <f t="shared" si="5"/>
        <v>288</v>
      </c>
      <c r="BV59" s="1222">
        <f t="shared" si="6"/>
        <v>2362304</v>
      </c>
      <c r="BW59" s="939"/>
      <c r="BX59" s="939"/>
      <c r="BY59" s="939"/>
      <c r="BZ59" s="939"/>
      <c r="CA59" s="856">
        <f t="shared" si="2"/>
        <v>457696</v>
      </c>
      <c r="CC59" s="964">
        <f t="shared" si="7"/>
        <v>0</v>
      </c>
      <c r="CD59" s="939">
        <f t="shared" si="8"/>
        <v>48086.5714285714</v>
      </c>
      <c r="CE59" s="939"/>
      <c r="CF59" s="939"/>
      <c r="CG59" s="939"/>
      <c r="CH59" s="939">
        <f t="shared" si="3"/>
        <v>11913.4285714286</v>
      </c>
      <c r="CI59" s="939"/>
    </row>
    <row r="60" s="974" customFormat="1" ht="31" customHeight="1" spans="1:87">
      <c r="A60" s="1228">
        <v>45594</v>
      </c>
      <c r="B60" s="1229" t="s">
        <v>430</v>
      </c>
      <c r="C60" s="1230" t="s">
        <v>81</v>
      </c>
      <c r="D60" s="1231">
        <v>4500149460</v>
      </c>
      <c r="E60" s="1229">
        <v>61900883</v>
      </c>
      <c r="F60" s="1231" t="s">
        <v>431</v>
      </c>
      <c r="G60" s="1004" t="s">
        <v>205</v>
      </c>
      <c r="H60" s="1004" t="s">
        <v>189</v>
      </c>
      <c r="I60" s="1004">
        <v>1350</v>
      </c>
      <c r="J60" s="1004">
        <v>0</v>
      </c>
      <c r="K60" s="1004">
        <v>50</v>
      </c>
      <c r="L60" s="1232">
        <f t="shared" si="9"/>
        <v>27</v>
      </c>
      <c r="M60" s="1007">
        <v>45712</v>
      </c>
      <c r="N60" s="1007">
        <f>M60-4</f>
        <v>45708</v>
      </c>
      <c r="O60" s="1020"/>
      <c r="P60" s="1024" t="s">
        <v>86</v>
      </c>
      <c r="Q60" s="1004"/>
      <c r="R60" s="1009">
        <v>45660</v>
      </c>
      <c r="S60" s="1004" t="s">
        <v>98</v>
      </c>
      <c r="T60" s="1233" t="s">
        <v>432</v>
      </c>
      <c r="U60" s="1233"/>
      <c r="V60" s="1234" t="s">
        <v>433</v>
      </c>
      <c r="W60" s="1007" t="s">
        <v>225</v>
      </c>
      <c r="X60" s="1235">
        <v>2.0019</v>
      </c>
      <c r="Y60" s="1236">
        <f>X60*I60</f>
        <v>2702.565</v>
      </c>
      <c r="Z60" s="1236"/>
      <c r="AA60" s="1004" t="s">
        <v>434</v>
      </c>
      <c r="AB60" s="1004" t="s">
        <v>210</v>
      </c>
      <c r="AC60" s="1004" t="s">
        <v>93</v>
      </c>
      <c r="AD60" s="1023" t="s">
        <v>94</v>
      </c>
      <c r="AE60" s="1004"/>
      <c r="AF60" s="1002">
        <v>1350</v>
      </c>
      <c r="AG60" s="1002">
        <f t="shared" si="17"/>
        <v>0</v>
      </c>
      <c r="AH60" s="1237"/>
      <c r="AI60" s="1004" t="s">
        <v>95</v>
      </c>
      <c r="AJ60" s="1004"/>
      <c r="AK60" s="1004">
        <f t="shared" ref="AK60:AK72" si="32">I60</f>
        <v>1350</v>
      </c>
      <c r="AL60" s="1004"/>
      <c r="AM60" s="1004"/>
      <c r="AP60" s="1004">
        <f>I60</f>
        <v>1350</v>
      </c>
      <c r="AQ60" s="1004"/>
      <c r="AS60" s="1004">
        <f>I60</f>
        <v>1350</v>
      </c>
      <c r="AT60" s="1004"/>
      <c r="AU60" s="1004"/>
      <c r="AV60" s="1004"/>
      <c r="BF60" s="974">
        <f>I60/25</f>
        <v>54</v>
      </c>
      <c r="BU60" s="939">
        <f t="shared" si="5"/>
        <v>1350</v>
      </c>
      <c r="BV60" s="1222">
        <f t="shared" si="6"/>
        <v>2363654</v>
      </c>
      <c r="BW60" s="1018"/>
      <c r="BX60" s="1018"/>
      <c r="BY60" s="1018"/>
      <c r="BZ60" s="1018"/>
      <c r="CA60" s="856">
        <f t="shared" si="2"/>
        <v>456346</v>
      </c>
      <c r="CC60" s="964">
        <f t="shared" si="7"/>
        <v>54</v>
      </c>
      <c r="CD60" s="939">
        <f t="shared" si="8"/>
        <v>48140.5714285714</v>
      </c>
      <c r="CE60" s="1018"/>
      <c r="CF60" s="1018"/>
      <c r="CG60" s="1018"/>
      <c r="CH60" s="939">
        <f t="shared" si="3"/>
        <v>11859.4285714286</v>
      </c>
      <c r="CI60" s="1018"/>
    </row>
    <row r="61" s="974" customFormat="1" ht="31" customHeight="1" spans="1:87">
      <c r="A61" s="1228">
        <v>45611</v>
      </c>
      <c r="B61" s="1229" t="s">
        <v>430</v>
      </c>
      <c r="C61" s="1238" t="s">
        <v>81</v>
      </c>
      <c r="D61" s="1231">
        <v>4500151307</v>
      </c>
      <c r="E61" s="1229"/>
      <c r="F61" s="1231" t="s">
        <v>435</v>
      </c>
      <c r="G61" s="1004" t="s">
        <v>205</v>
      </c>
      <c r="H61" s="1004" t="s">
        <v>189</v>
      </c>
      <c r="I61" s="1004">
        <v>750</v>
      </c>
      <c r="J61" s="1004">
        <v>0</v>
      </c>
      <c r="K61" s="1004">
        <v>50</v>
      </c>
      <c r="L61" s="1232">
        <f t="shared" si="9"/>
        <v>15</v>
      </c>
      <c r="M61" s="1007">
        <v>45712</v>
      </c>
      <c r="N61" s="1007">
        <v>45708</v>
      </c>
      <c r="O61" s="1020"/>
      <c r="P61" s="1024" t="s">
        <v>86</v>
      </c>
      <c r="Q61" s="1004"/>
      <c r="R61" s="1009">
        <v>45666</v>
      </c>
      <c r="S61" s="1004" t="s">
        <v>98</v>
      </c>
      <c r="T61" s="1233" t="s">
        <v>436</v>
      </c>
      <c r="U61" s="1233"/>
      <c r="V61" s="1234" t="s">
        <v>437</v>
      </c>
      <c r="W61" s="1007" t="s">
        <v>225</v>
      </c>
      <c r="X61" s="1235">
        <v>2.0019</v>
      </c>
      <c r="Y61" s="1236">
        <f>X61*I61</f>
        <v>1501.425</v>
      </c>
      <c r="Z61" s="1236"/>
      <c r="AA61" s="1004" t="s">
        <v>438</v>
      </c>
      <c r="AB61" s="1004" t="s">
        <v>210</v>
      </c>
      <c r="AC61" s="1004" t="s">
        <v>93</v>
      </c>
      <c r="AD61" s="1023" t="s">
        <v>94</v>
      </c>
      <c r="AE61" s="1004"/>
      <c r="AF61" s="1002">
        <v>750</v>
      </c>
      <c r="AG61" s="1002">
        <f t="shared" si="17"/>
        <v>0</v>
      </c>
      <c r="AH61" s="1237"/>
      <c r="AI61" s="1004" t="s">
        <v>95</v>
      </c>
      <c r="AJ61" s="1004"/>
      <c r="AK61" s="1004">
        <f t="shared" si="32"/>
        <v>750</v>
      </c>
      <c r="AL61" s="1004"/>
      <c r="AM61" s="1004"/>
      <c r="AP61" s="1004">
        <f>I61</f>
        <v>750</v>
      </c>
      <c r="AQ61" s="1004"/>
      <c r="AS61" s="1004">
        <f>I61</f>
        <v>750</v>
      </c>
      <c r="AT61" s="1004"/>
      <c r="AU61" s="1004"/>
      <c r="AV61" s="1004"/>
      <c r="BF61" s="974">
        <f>I61/25</f>
        <v>30</v>
      </c>
      <c r="BU61" s="939">
        <f t="shared" si="5"/>
        <v>750</v>
      </c>
      <c r="BV61" s="1222">
        <f t="shared" si="6"/>
        <v>2364404</v>
      </c>
      <c r="BW61" s="1018"/>
      <c r="BX61" s="1018"/>
      <c r="BY61" s="1018"/>
      <c r="BZ61" s="1018"/>
      <c r="CA61" s="856">
        <f t="shared" si="2"/>
        <v>455596</v>
      </c>
      <c r="CC61" s="964">
        <f t="shared" si="7"/>
        <v>30</v>
      </c>
      <c r="CD61" s="939">
        <f t="shared" si="8"/>
        <v>48170.5714285714</v>
      </c>
      <c r="CE61" s="1018"/>
      <c r="CF61" s="1018"/>
      <c r="CG61" s="1018"/>
      <c r="CH61" s="939">
        <f t="shared" si="3"/>
        <v>11829.4285714286</v>
      </c>
      <c r="CI61" s="1018"/>
    </row>
    <row r="62" s="974" customFormat="1" ht="31" customHeight="1" spans="1:87">
      <c r="A62" s="1228">
        <v>45651</v>
      </c>
      <c r="B62" s="1229" t="s">
        <v>439</v>
      </c>
      <c r="C62" s="1238" t="s">
        <v>440</v>
      </c>
      <c r="D62" s="1231">
        <v>4500154694</v>
      </c>
      <c r="E62" s="1229" t="s">
        <v>441</v>
      </c>
      <c r="F62" s="1231" t="s">
        <v>442</v>
      </c>
      <c r="G62" s="1004" t="s">
        <v>188</v>
      </c>
      <c r="H62" s="1004" t="s">
        <v>189</v>
      </c>
      <c r="I62" s="1004">
        <v>416</v>
      </c>
      <c r="J62" s="1004">
        <v>0</v>
      </c>
      <c r="K62" s="1004">
        <v>52</v>
      </c>
      <c r="L62" s="1232">
        <f t="shared" si="9"/>
        <v>8</v>
      </c>
      <c r="M62" s="1007">
        <v>45713</v>
      </c>
      <c r="N62" s="1007">
        <f>M62-4</f>
        <v>45709</v>
      </c>
      <c r="O62" s="1020"/>
      <c r="P62" s="1024" t="s">
        <v>86</v>
      </c>
      <c r="Q62" s="1004"/>
      <c r="R62" s="1009">
        <v>45651</v>
      </c>
      <c r="S62" s="1004" t="s">
        <v>98</v>
      </c>
      <c r="T62" s="1233">
        <v>45659</v>
      </c>
      <c r="U62" s="1233"/>
      <c r="V62" s="1234" t="s">
        <v>443</v>
      </c>
      <c r="W62" s="1007" t="s">
        <v>444</v>
      </c>
      <c r="X62" s="1235">
        <v>1.8868</v>
      </c>
      <c r="Y62" s="1236">
        <f>I62*X62</f>
        <v>784.9088</v>
      </c>
      <c r="Z62" s="1236"/>
      <c r="AA62" s="1004" t="s">
        <v>445</v>
      </c>
      <c r="AB62" s="1004" t="s">
        <v>188</v>
      </c>
      <c r="AC62" s="1004" t="s">
        <v>93</v>
      </c>
      <c r="AD62" s="1023" t="s">
        <v>94</v>
      </c>
      <c r="AE62" s="1004"/>
      <c r="AF62" s="1002">
        <v>416</v>
      </c>
      <c r="AG62" s="1002">
        <f t="shared" si="17"/>
        <v>0</v>
      </c>
      <c r="AH62" s="1237"/>
      <c r="AI62" s="1004" t="s">
        <v>95</v>
      </c>
      <c r="AJ62" s="1004"/>
      <c r="AK62" s="1004">
        <f t="shared" si="32"/>
        <v>416</v>
      </c>
      <c r="AL62" s="1004"/>
      <c r="AM62" s="1004">
        <f>I62</f>
        <v>416</v>
      </c>
      <c r="AP62" s="1004"/>
      <c r="AQ62" s="1004"/>
      <c r="AS62" s="1004">
        <f>I62</f>
        <v>416</v>
      </c>
      <c r="AT62" s="1004"/>
      <c r="AU62" s="1004"/>
      <c r="AV62" s="1004"/>
      <c r="BC62" s="974">
        <f>I62/13</f>
        <v>32</v>
      </c>
      <c r="BU62" s="939">
        <f t="shared" si="5"/>
        <v>416</v>
      </c>
      <c r="BV62" s="1222">
        <f t="shared" si="6"/>
        <v>2364820</v>
      </c>
      <c r="BW62" s="1018"/>
      <c r="BX62" s="1018"/>
      <c r="BY62" s="1018"/>
      <c r="BZ62" s="1018"/>
      <c r="CA62" s="856">
        <f t="shared" si="2"/>
        <v>455180</v>
      </c>
      <c r="CC62" s="964">
        <f t="shared" si="7"/>
        <v>0</v>
      </c>
      <c r="CD62" s="939">
        <f t="shared" si="8"/>
        <v>48170.5714285714</v>
      </c>
      <c r="CE62" s="1018"/>
      <c r="CF62" s="1018"/>
      <c r="CG62" s="1018"/>
      <c r="CH62" s="939">
        <f t="shared" si="3"/>
        <v>11829.4285714286</v>
      </c>
      <c r="CI62" s="1018"/>
    </row>
    <row r="63" s="974" customFormat="1" ht="31" customHeight="1" spans="1:87">
      <c r="A63" s="1228">
        <v>45651</v>
      </c>
      <c r="B63" s="1229" t="s">
        <v>446</v>
      </c>
      <c r="C63" s="1238" t="s">
        <v>447</v>
      </c>
      <c r="D63" s="1231">
        <v>4500154656</v>
      </c>
      <c r="E63" s="1229" t="s">
        <v>448</v>
      </c>
      <c r="F63" s="1231" t="s">
        <v>449</v>
      </c>
      <c r="G63" s="1004" t="s">
        <v>205</v>
      </c>
      <c r="H63" s="1004" t="s">
        <v>189</v>
      </c>
      <c r="I63" s="1004">
        <v>5000</v>
      </c>
      <c r="J63" s="1004">
        <v>0</v>
      </c>
      <c r="K63" s="1004">
        <v>50</v>
      </c>
      <c r="L63" s="1232">
        <f t="shared" si="9"/>
        <v>100</v>
      </c>
      <c r="M63" s="1007">
        <v>45716</v>
      </c>
      <c r="N63" s="1007">
        <v>45712</v>
      </c>
      <c r="O63" s="1020"/>
      <c r="P63" s="1024" t="s">
        <v>86</v>
      </c>
      <c r="Q63" s="1004"/>
      <c r="R63" s="1009">
        <v>45651</v>
      </c>
      <c r="S63" s="1004" t="s">
        <v>98</v>
      </c>
      <c r="T63" s="1233">
        <v>45677</v>
      </c>
      <c r="U63" s="1233"/>
      <c r="V63" s="1234" t="s">
        <v>450</v>
      </c>
      <c r="W63" s="1007" t="s">
        <v>444</v>
      </c>
      <c r="X63" s="1235">
        <v>1.9731</v>
      </c>
      <c r="Y63" s="1236">
        <f>I63*X63</f>
        <v>9865.5</v>
      </c>
      <c r="Z63" s="1236"/>
      <c r="AA63" s="1004" t="s">
        <v>451</v>
      </c>
      <c r="AB63" s="1004" t="s">
        <v>205</v>
      </c>
      <c r="AC63" s="1004" t="s">
        <v>93</v>
      </c>
      <c r="AD63" s="1023" t="s">
        <v>94</v>
      </c>
      <c r="AE63" s="1004"/>
      <c r="AF63" s="1002">
        <v>5000</v>
      </c>
      <c r="AG63" s="1002">
        <f t="shared" si="17"/>
        <v>0</v>
      </c>
      <c r="AH63" s="1237"/>
      <c r="AI63" s="1004" t="s">
        <v>95</v>
      </c>
      <c r="AJ63" s="1004"/>
      <c r="AK63" s="1004">
        <f t="shared" si="32"/>
        <v>5000</v>
      </c>
      <c r="AL63" s="1004"/>
      <c r="AM63" s="1004">
        <f>I63</f>
        <v>5000</v>
      </c>
      <c r="AP63" s="1004"/>
      <c r="AQ63" s="1004"/>
      <c r="AS63" s="1004">
        <f>I63</f>
        <v>5000</v>
      </c>
      <c r="AT63" s="1004"/>
      <c r="AU63" s="1004"/>
      <c r="AV63" s="1004"/>
      <c r="BE63" s="974">
        <f>I63/25</f>
        <v>200</v>
      </c>
      <c r="BU63" s="939">
        <f t="shared" si="5"/>
        <v>5000</v>
      </c>
      <c r="BV63" s="1222">
        <f t="shared" si="6"/>
        <v>2369820</v>
      </c>
      <c r="BW63" s="1018"/>
      <c r="BX63" s="1018"/>
      <c r="BY63" s="1018"/>
      <c r="BZ63" s="1018"/>
      <c r="CA63" s="856">
        <f t="shared" si="2"/>
        <v>450180</v>
      </c>
      <c r="CC63" s="964">
        <f t="shared" si="7"/>
        <v>200</v>
      </c>
      <c r="CD63" s="939">
        <f t="shared" si="8"/>
        <v>48370.5714285714</v>
      </c>
      <c r="CE63" s="1018"/>
      <c r="CF63" s="1018"/>
      <c r="CG63" s="1018"/>
      <c r="CH63" s="939">
        <f t="shared" si="3"/>
        <v>11629.4285714286</v>
      </c>
      <c r="CI63" s="1018"/>
    </row>
    <row r="64" s="974" customFormat="1" ht="31" customHeight="1" spans="1:87">
      <c r="A64" s="1228">
        <v>45660</v>
      </c>
      <c r="B64" s="1229" t="s">
        <v>185</v>
      </c>
      <c r="C64" s="1238" t="s">
        <v>103</v>
      </c>
      <c r="D64" s="1231">
        <v>4500154847</v>
      </c>
      <c r="E64" s="1229" t="s">
        <v>452</v>
      </c>
      <c r="F64" s="1231" t="s">
        <v>453</v>
      </c>
      <c r="G64" s="1004" t="s">
        <v>188</v>
      </c>
      <c r="H64" s="1004" t="s">
        <v>189</v>
      </c>
      <c r="I64" s="1004">
        <v>3224</v>
      </c>
      <c r="J64" s="1004">
        <v>0</v>
      </c>
      <c r="K64" s="1004">
        <v>52</v>
      </c>
      <c r="L64" s="1232">
        <f t="shared" si="9"/>
        <v>62</v>
      </c>
      <c r="M64" s="1007">
        <v>45716</v>
      </c>
      <c r="N64" s="1007">
        <v>45712</v>
      </c>
      <c r="O64" s="1020"/>
      <c r="P64" s="1024" t="s">
        <v>86</v>
      </c>
      <c r="Q64" s="1004"/>
      <c r="R64" s="1009">
        <v>45663</v>
      </c>
      <c r="S64" s="1004" t="s">
        <v>98</v>
      </c>
      <c r="T64" s="1233" t="s">
        <v>454</v>
      </c>
      <c r="U64" s="1233"/>
      <c r="V64" s="1234" t="s">
        <v>455</v>
      </c>
      <c r="W64" s="1007" t="s">
        <v>107</v>
      </c>
      <c r="X64" s="1235">
        <v>1.8809</v>
      </c>
      <c r="Y64" s="1236">
        <f>I64*X64</f>
        <v>6064.0216</v>
      </c>
      <c r="Z64" s="1236"/>
      <c r="AA64" s="1004" t="s">
        <v>456</v>
      </c>
      <c r="AB64" s="1004" t="s">
        <v>188</v>
      </c>
      <c r="AC64" s="1004" t="s">
        <v>93</v>
      </c>
      <c r="AD64" s="1023" t="s">
        <v>94</v>
      </c>
      <c r="AE64" s="1004"/>
      <c r="AF64" s="1002">
        <v>3224</v>
      </c>
      <c r="AG64" s="1002">
        <f t="shared" si="17"/>
        <v>0</v>
      </c>
      <c r="AH64" s="1237"/>
      <c r="AI64" s="1004" t="s">
        <v>95</v>
      </c>
      <c r="AJ64" s="1004"/>
      <c r="AK64" s="1004">
        <f t="shared" si="32"/>
        <v>3224</v>
      </c>
      <c r="AL64" s="1004"/>
      <c r="AM64" s="1004">
        <f>I64</f>
        <v>3224</v>
      </c>
      <c r="AP64" s="1004"/>
      <c r="AQ64" s="1004"/>
      <c r="AS64" s="1004">
        <f>I64</f>
        <v>3224</v>
      </c>
      <c r="AT64" s="1004"/>
      <c r="AU64" s="1004"/>
      <c r="AV64" s="1004"/>
      <c r="BC64" s="974">
        <f>I64/13</f>
        <v>248</v>
      </c>
      <c r="BU64" s="939">
        <f t="shared" si="5"/>
        <v>3224</v>
      </c>
      <c r="BV64" s="1222">
        <f t="shared" si="6"/>
        <v>2373044</v>
      </c>
      <c r="BW64" s="1018"/>
      <c r="BX64" s="1018"/>
      <c r="BY64" s="1018"/>
      <c r="BZ64" s="1018"/>
      <c r="CA64" s="856">
        <f t="shared" si="2"/>
        <v>446956</v>
      </c>
      <c r="CC64" s="964">
        <f t="shared" si="7"/>
        <v>0</v>
      </c>
      <c r="CD64" s="939">
        <f t="shared" si="8"/>
        <v>48370.5714285714</v>
      </c>
      <c r="CE64" s="1018"/>
      <c r="CF64" s="1018"/>
      <c r="CG64" s="1018"/>
      <c r="CH64" s="939">
        <f t="shared" si="3"/>
        <v>11629.4285714286</v>
      </c>
      <c r="CI64" s="1018"/>
    </row>
    <row r="65" s="974" customFormat="1" ht="31" customHeight="1" spans="1:87">
      <c r="A65" s="1228">
        <v>45649</v>
      </c>
      <c r="B65" s="1229" t="s">
        <v>240</v>
      </c>
      <c r="C65" s="1238" t="s">
        <v>125</v>
      </c>
      <c r="D65" s="1231">
        <v>4500154533</v>
      </c>
      <c r="E65" s="1229" t="s">
        <v>457</v>
      </c>
      <c r="F65" s="1231" t="s">
        <v>458</v>
      </c>
      <c r="G65" s="1004" t="s">
        <v>243</v>
      </c>
      <c r="H65" s="1004" t="s">
        <v>189</v>
      </c>
      <c r="I65" s="1004">
        <v>2304</v>
      </c>
      <c r="J65" s="1004">
        <v>0</v>
      </c>
      <c r="K65" s="1004">
        <v>1152</v>
      </c>
      <c r="L65" s="1232">
        <f t="shared" si="9"/>
        <v>2</v>
      </c>
      <c r="M65" s="1007">
        <v>45719</v>
      </c>
      <c r="N65" s="1007">
        <v>45715</v>
      </c>
      <c r="O65" s="1020"/>
      <c r="P65" s="1024" t="s">
        <v>86</v>
      </c>
      <c r="Q65" s="1004"/>
      <c r="R65" s="1009" t="s">
        <v>395</v>
      </c>
      <c r="S65" s="1004" t="s">
        <v>98</v>
      </c>
      <c r="T65" s="1233" t="s">
        <v>396</v>
      </c>
      <c r="U65" s="1233"/>
      <c r="V65" s="1234" t="s">
        <v>459</v>
      </c>
      <c r="W65" s="1007" t="s">
        <v>247</v>
      </c>
      <c r="X65" s="1235">
        <v>2220.2067</v>
      </c>
      <c r="Y65" s="1236">
        <f t="shared" ref="Y65:Y70" si="33">X65*L65</f>
        <v>4440.4134</v>
      </c>
      <c r="Z65" s="1236"/>
      <c r="AA65" s="1004" t="s">
        <v>460</v>
      </c>
      <c r="AB65" s="1004" t="s">
        <v>243</v>
      </c>
      <c r="AC65" s="1004" t="s">
        <v>93</v>
      </c>
      <c r="AD65" s="1023" t="s">
        <v>94</v>
      </c>
      <c r="AE65" s="1004"/>
      <c r="AF65" s="1184">
        <v>2304</v>
      </c>
      <c r="AG65" s="1002">
        <f t="shared" si="17"/>
        <v>0</v>
      </c>
      <c r="AH65" s="1237"/>
      <c r="AI65" s="1004"/>
      <c r="AJ65" s="1004"/>
      <c r="AK65" s="1004">
        <f t="shared" si="32"/>
        <v>2304</v>
      </c>
      <c r="AL65" s="1004"/>
      <c r="AM65" s="1004">
        <f t="shared" ref="AM65:AM71" si="34">I65</f>
        <v>2304</v>
      </c>
      <c r="AP65" s="1004"/>
      <c r="AQ65" s="1004"/>
      <c r="AS65" s="1004"/>
      <c r="AT65" s="1004"/>
      <c r="AU65" s="1004">
        <f t="shared" ref="AU65:AU70" si="35">I65</f>
        <v>2304</v>
      </c>
      <c r="AV65" s="1004"/>
      <c r="AZ65" s="974">
        <f t="shared" ref="AZ65:AZ70" si="36">I65/12</f>
        <v>192</v>
      </c>
      <c r="BU65" s="939">
        <f t="shared" si="5"/>
        <v>2304</v>
      </c>
      <c r="BV65" s="1222">
        <f t="shared" si="6"/>
        <v>2375348</v>
      </c>
      <c r="BW65" s="1018"/>
      <c r="BX65" s="1018"/>
      <c r="BY65" s="1018"/>
      <c r="BZ65" s="1018"/>
      <c r="CA65" s="856">
        <f t="shared" si="2"/>
        <v>444652</v>
      </c>
      <c r="CC65" s="964">
        <f t="shared" si="7"/>
        <v>0</v>
      </c>
      <c r="CD65" s="939">
        <f t="shared" si="8"/>
        <v>48370.5714285714</v>
      </c>
      <c r="CE65" s="1018"/>
      <c r="CF65" s="1018"/>
      <c r="CG65" s="1018"/>
      <c r="CH65" s="939">
        <f t="shared" si="3"/>
        <v>11629.4285714286</v>
      </c>
      <c r="CI65" s="1018"/>
    </row>
    <row r="66" s="974" customFormat="1" ht="31" customHeight="1" spans="1:87">
      <c r="A66" s="1228">
        <v>45649</v>
      </c>
      <c r="B66" s="1229" t="s">
        <v>240</v>
      </c>
      <c r="C66" s="1238" t="s">
        <v>125</v>
      </c>
      <c r="D66" s="1231">
        <v>4500154533</v>
      </c>
      <c r="E66" s="1229" t="s">
        <v>461</v>
      </c>
      <c r="F66" s="1231" t="s">
        <v>462</v>
      </c>
      <c r="G66" s="1004" t="s">
        <v>243</v>
      </c>
      <c r="H66" s="1004" t="s">
        <v>189</v>
      </c>
      <c r="I66" s="1004">
        <v>1152</v>
      </c>
      <c r="J66" s="1004">
        <v>0</v>
      </c>
      <c r="K66" s="1004">
        <v>1152</v>
      </c>
      <c r="L66" s="1232">
        <f t="shared" si="9"/>
        <v>1</v>
      </c>
      <c r="M66" s="1007">
        <v>45719</v>
      </c>
      <c r="N66" s="1007">
        <v>45715</v>
      </c>
      <c r="O66" s="1020"/>
      <c r="P66" s="1024" t="s">
        <v>86</v>
      </c>
      <c r="Q66" s="1004"/>
      <c r="R66" s="1009" t="s">
        <v>395</v>
      </c>
      <c r="S66" s="1004" t="s">
        <v>98</v>
      </c>
      <c r="T66" s="1233" t="s">
        <v>396</v>
      </c>
      <c r="U66" s="1233"/>
      <c r="V66" s="1234" t="s">
        <v>459</v>
      </c>
      <c r="W66" s="1007" t="s">
        <v>247</v>
      </c>
      <c r="X66" s="1235">
        <v>2220.2067</v>
      </c>
      <c r="Y66" s="1236">
        <f t="shared" si="33"/>
        <v>2220.2067</v>
      </c>
      <c r="Z66" s="1236"/>
      <c r="AA66" s="1004" t="s">
        <v>463</v>
      </c>
      <c r="AB66" s="1004" t="s">
        <v>243</v>
      </c>
      <c r="AC66" s="1004" t="s">
        <v>93</v>
      </c>
      <c r="AD66" s="1023" t="s">
        <v>94</v>
      </c>
      <c r="AE66" s="1004"/>
      <c r="AF66" s="1184">
        <v>1152</v>
      </c>
      <c r="AG66" s="1002">
        <f t="shared" si="17"/>
        <v>0</v>
      </c>
      <c r="AH66" s="1237"/>
      <c r="AI66" s="1004"/>
      <c r="AJ66" s="1004"/>
      <c r="AK66" s="1004">
        <f t="shared" si="32"/>
        <v>1152</v>
      </c>
      <c r="AL66" s="1004"/>
      <c r="AM66" s="1004">
        <f t="shared" si="34"/>
        <v>1152</v>
      </c>
      <c r="AP66" s="1004"/>
      <c r="AQ66" s="1004"/>
      <c r="AS66" s="1004"/>
      <c r="AT66" s="1004"/>
      <c r="AU66" s="1004">
        <f t="shared" si="35"/>
        <v>1152</v>
      </c>
      <c r="AV66" s="1004"/>
      <c r="AZ66" s="974">
        <f t="shared" si="36"/>
        <v>96</v>
      </c>
      <c r="BU66" s="939">
        <f t="shared" si="5"/>
        <v>1152</v>
      </c>
      <c r="BV66" s="1222">
        <f t="shared" si="6"/>
        <v>2376500</v>
      </c>
      <c r="BW66" s="1018"/>
      <c r="BX66" s="1018"/>
      <c r="BY66" s="1018"/>
      <c r="BZ66" s="1018"/>
      <c r="CA66" s="856">
        <f t="shared" si="2"/>
        <v>443500</v>
      </c>
      <c r="CC66" s="964">
        <f t="shared" si="7"/>
        <v>0</v>
      </c>
      <c r="CD66" s="939">
        <f t="shared" si="8"/>
        <v>48370.5714285714</v>
      </c>
      <c r="CE66" s="1018"/>
      <c r="CF66" s="1018"/>
      <c r="CG66" s="1018"/>
      <c r="CH66" s="939">
        <f t="shared" si="3"/>
        <v>11629.4285714286</v>
      </c>
      <c r="CI66" s="1018"/>
    </row>
    <row r="67" s="974" customFormat="1" ht="31" customHeight="1" spans="1:87">
      <c r="A67" s="1228">
        <v>45649</v>
      </c>
      <c r="B67" s="1229" t="s">
        <v>240</v>
      </c>
      <c r="C67" s="1238" t="s">
        <v>125</v>
      </c>
      <c r="D67" s="1231">
        <v>4500154533</v>
      </c>
      <c r="E67" s="1229" t="s">
        <v>464</v>
      </c>
      <c r="F67" s="1231" t="s">
        <v>465</v>
      </c>
      <c r="G67" s="1004" t="s">
        <v>243</v>
      </c>
      <c r="H67" s="1004" t="s">
        <v>189</v>
      </c>
      <c r="I67" s="1004">
        <v>1152</v>
      </c>
      <c r="J67" s="1004">
        <v>0</v>
      </c>
      <c r="K67" s="1004">
        <v>1152</v>
      </c>
      <c r="L67" s="1232">
        <f t="shared" si="9"/>
        <v>1</v>
      </c>
      <c r="M67" s="1007">
        <v>45719</v>
      </c>
      <c r="N67" s="1007">
        <v>45715</v>
      </c>
      <c r="O67" s="1020"/>
      <c r="P67" s="1024" t="s">
        <v>86</v>
      </c>
      <c r="Q67" s="1004"/>
      <c r="R67" s="1009" t="s">
        <v>395</v>
      </c>
      <c r="S67" s="1004" t="s">
        <v>98</v>
      </c>
      <c r="T67" s="1233" t="s">
        <v>396</v>
      </c>
      <c r="U67" s="1233"/>
      <c r="V67" s="1234" t="s">
        <v>459</v>
      </c>
      <c r="W67" s="1007" t="s">
        <v>247</v>
      </c>
      <c r="X67" s="1235">
        <v>2220.2067</v>
      </c>
      <c r="Y67" s="1236">
        <f t="shared" si="33"/>
        <v>2220.2067</v>
      </c>
      <c r="Z67" s="1236"/>
      <c r="AA67" s="1004" t="s">
        <v>466</v>
      </c>
      <c r="AB67" s="1004" t="s">
        <v>243</v>
      </c>
      <c r="AC67" s="1004" t="s">
        <v>93</v>
      </c>
      <c r="AD67" s="1023" t="s">
        <v>94</v>
      </c>
      <c r="AE67" s="1004"/>
      <c r="AF67" s="1239"/>
      <c r="AG67" s="1002">
        <f t="shared" si="17"/>
        <v>-1152</v>
      </c>
      <c r="AH67" s="1237"/>
      <c r="AI67" s="1004"/>
      <c r="AJ67" s="1004"/>
      <c r="AK67" s="1004">
        <f t="shared" si="32"/>
        <v>1152</v>
      </c>
      <c r="AL67" s="1004"/>
      <c r="AM67" s="1004">
        <f t="shared" si="34"/>
        <v>1152</v>
      </c>
      <c r="AP67" s="1004"/>
      <c r="AQ67" s="1004"/>
      <c r="AS67" s="1004"/>
      <c r="AT67" s="1004"/>
      <c r="AU67" s="1004">
        <f t="shared" si="35"/>
        <v>1152</v>
      </c>
      <c r="AV67" s="1004"/>
      <c r="AZ67" s="974">
        <f t="shared" si="36"/>
        <v>96</v>
      </c>
      <c r="BU67" s="939">
        <f t="shared" si="5"/>
        <v>1152</v>
      </c>
      <c r="BV67" s="1222">
        <f t="shared" si="6"/>
        <v>2377652</v>
      </c>
      <c r="BW67" s="1018"/>
      <c r="BX67" s="1018"/>
      <c r="BY67" s="1018"/>
      <c r="BZ67" s="1018"/>
      <c r="CA67" s="856">
        <f t="shared" ref="CA67:CA130" si="37">SUM(BX$1:CB$1)-BV67</f>
        <v>442348</v>
      </c>
      <c r="CC67" s="964">
        <f t="shared" si="7"/>
        <v>0</v>
      </c>
      <c r="CD67" s="939">
        <f t="shared" si="8"/>
        <v>48370.5714285714</v>
      </c>
      <c r="CE67" s="1018"/>
      <c r="CF67" s="1018"/>
      <c r="CG67" s="1018"/>
      <c r="CH67" s="939">
        <f t="shared" ref="CH67:CH130" si="38">$CF$1+$CG$1+$CH$1+$CI$1-CD67</f>
        <v>11629.4285714286</v>
      </c>
      <c r="CI67" s="1018"/>
    </row>
    <row r="68" s="974" customFormat="1" ht="31" customHeight="1" spans="1:87">
      <c r="A68" s="1228">
        <v>45649</v>
      </c>
      <c r="B68" s="1229" t="s">
        <v>240</v>
      </c>
      <c r="C68" s="1238" t="s">
        <v>125</v>
      </c>
      <c r="D68" s="1231">
        <v>4500154533</v>
      </c>
      <c r="E68" s="1229" t="s">
        <v>467</v>
      </c>
      <c r="F68" s="1231" t="s">
        <v>468</v>
      </c>
      <c r="G68" s="1004" t="s">
        <v>243</v>
      </c>
      <c r="H68" s="1004" t="s">
        <v>189</v>
      </c>
      <c r="I68" s="1004">
        <v>1152</v>
      </c>
      <c r="J68" s="1004">
        <v>0</v>
      </c>
      <c r="K68" s="1004">
        <v>1152</v>
      </c>
      <c r="L68" s="1232">
        <f t="shared" si="9"/>
        <v>1</v>
      </c>
      <c r="M68" s="1007">
        <v>45719</v>
      </c>
      <c r="N68" s="1007">
        <v>45715</v>
      </c>
      <c r="O68" s="1020"/>
      <c r="P68" s="1024" t="s">
        <v>86</v>
      </c>
      <c r="Q68" s="1004"/>
      <c r="R68" s="1009" t="s">
        <v>395</v>
      </c>
      <c r="S68" s="1004" t="s">
        <v>98</v>
      </c>
      <c r="T68" s="1233" t="s">
        <v>396</v>
      </c>
      <c r="U68" s="1233"/>
      <c r="V68" s="1234" t="s">
        <v>459</v>
      </c>
      <c r="W68" s="1007" t="s">
        <v>247</v>
      </c>
      <c r="X68" s="1235">
        <v>2220.2067</v>
      </c>
      <c r="Y68" s="1236">
        <f t="shared" si="33"/>
        <v>2220.2067</v>
      </c>
      <c r="Z68" s="1236"/>
      <c r="AA68" s="1004" t="s">
        <v>460</v>
      </c>
      <c r="AB68" s="1004" t="s">
        <v>243</v>
      </c>
      <c r="AC68" s="1004" t="s">
        <v>93</v>
      </c>
      <c r="AD68" s="1023" t="s">
        <v>94</v>
      </c>
      <c r="AE68" s="1004"/>
      <c r="AF68" s="1239"/>
      <c r="AG68" s="1002">
        <f t="shared" si="17"/>
        <v>-1152</v>
      </c>
      <c r="AH68" s="1237"/>
      <c r="AI68" s="1004"/>
      <c r="AJ68" s="1004"/>
      <c r="AK68" s="1004">
        <f t="shared" si="32"/>
        <v>1152</v>
      </c>
      <c r="AL68" s="1004"/>
      <c r="AM68" s="1004">
        <f t="shared" si="34"/>
        <v>1152</v>
      </c>
      <c r="AP68" s="1004"/>
      <c r="AQ68" s="1004"/>
      <c r="AS68" s="1004"/>
      <c r="AT68" s="1004"/>
      <c r="AU68" s="1004">
        <f t="shared" si="35"/>
        <v>1152</v>
      </c>
      <c r="AV68" s="1004"/>
      <c r="AZ68" s="974">
        <f t="shared" si="36"/>
        <v>96</v>
      </c>
      <c r="BU68" s="939">
        <f t="shared" ref="BU68:BU131" si="39">AK68+AL68</f>
        <v>1152</v>
      </c>
      <c r="BV68" s="1222">
        <f t="shared" ref="BV68:BV131" si="40">BV67+BU68</f>
        <v>2378804</v>
      </c>
      <c r="BW68" s="1018"/>
      <c r="BX68" s="1018"/>
      <c r="BY68" s="1018"/>
      <c r="BZ68" s="1018"/>
      <c r="CA68" s="856">
        <f t="shared" si="37"/>
        <v>441196</v>
      </c>
      <c r="CC68" s="964">
        <f t="shared" ref="CC68:CC131" si="41">AW68+AX68+BE68+BF68</f>
        <v>0</v>
      </c>
      <c r="CD68" s="939">
        <f t="shared" ref="CD68:CD131" si="42">CD67+CC68</f>
        <v>48370.5714285714</v>
      </c>
      <c r="CE68" s="1018"/>
      <c r="CF68" s="1018"/>
      <c r="CG68" s="1018"/>
      <c r="CH68" s="939">
        <f t="shared" si="38"/>
        <v>11629.4285714286</v>
      </c>
      <c r="CI68" s="1018"/>
    </row>
    <row r="69" s="974" customFormat="1" ht="31" customHeight="1" spans="1:87">
      <c r="A69" s="1228">
        <v>45649</v>
      </c>
      <c r="B69" s="1229" t="s">
        <v>240</v>
      </c>
      <c r="C69" s="1238" t="s">
        <v>125</v>
      </c>
      <c r="D69" s="1231">
        <v>4500154533</v>
      </c>
      <c r="E69" s="1229" t="s">
        <v>469</v>
      </c>
      <c r="F69" s="1231" t="s">
        <v>470</v>
      </c>
      <c r="G69" s="1004" t="s">
        <v>243</v>
      </c>
      <c r="H69" s="1004" t="s">
        <v>189</v>
      </c>
      <c r="I69" s="1004">
        <v>1152</v>
      </c>
      <c r="J69" s="1004">
        <v>0</v>
      </c>
      <c r="K69" s="1004">
        <v>1152</v>
      </c>
      <c r="L69" s="1232">
        <f t="shared" si="9"/>
        <v>1</v>
      </c>
      <c r="M69" s="1007">
        <v>45719</v>
      </c>
      <c r="N69" s="1007">
        <v>45715</v>
      </c>
      <c r="O69" s="1020"/>
      <c r="P69" s="1024" t="s">
        <v>86</v>
      </c>
      <c r="Q69" s="1004"/>
      <c r="R69" s="1009" t="s">
        <v>395</v>
      </c>
      <c r="S69" s="1004" t="s">
        <v>98</v>
      </c>
      <c r="T69" s="1233" t="s">
        <v>396</v>
      </c>
      <c r="U69" s="1233"/>
      <c r="V69" s="1234" t="s">
        <v>459</v>
      </c>
      <c r="W69" s="1007" t="s">
        <v>247</v>
      </c>
      <c r="X69" s="1235">
        <v>2220.2067</v>
      </c>
      <c r="Y69" s="1236">
        <f t="shared" si="33"/>
        <v>2220.2067</v>
      </c>
      <c r="Z69" s="1236"/>
      <c r="AA69" s="1004" t="s">
        <v>471</v>
      </c>
      <c r="AB69" s="1004" t="s">
        <v>243</v>
      </c>
      <c r="AC69" s="1004" t="s">
        <v>93</v>
      </c>
      <c r="AD69" s="1023" t="s">
        <v>94</v>
      </c>
      <c r="AE69" s="1004"/>
      <c r="AF69" s="1239"/>
      <c r="AG69" s="1002">
        <f t="shared" si="17"/>
        <v>-1152</v>
      </c>
      <c r="AH69" s="1237"/>
      <c r="AI69" s="1004"/>
      <c r="AJ69" s="1004"/>
      <c r="AK69" s="1004">
        <f t="shared" si="32"/>
        <v>1152</v>
      </c>
      <c r="AL69" s="1004"/>
      <c r="AM69" s="1004">
        <f t="shared" si="34"/>
        <v>1152</v>
      </c>
      <c r="AP69" s="1004"/>
      <c r="AQ69" s="1004"/>
      <c r="AS69" s="1004"/>
      <c r="AT69" s="1004"/>
      <c r="AU69" s="1004">
        <f t="shared" si="35"/>
        <v>1152</v>
      </c>
      <c r="AV69" s="1004"/>
      <c r="AZ69" s="974">
        <f t="shared" si="36"/>
        <v>96</v>
      </c>
      <c r="BU69" s="939">
        <f t="shared" si="39"/>
        <v>1152</v>
      </c>
      <c r="BV69" s="1222">
        <f t="shared" si="40"/>
        <v>2379956</v>
      </c>
      <c r="BW69" s="1018"/>
      <c r="BX69" s="1018"/>
      <c r="BY69" s="1018"/>
      <c r="BZ69" s="1018"/>
      <c r="CA69" s="856">
        <f t="shared" si="37"/>
        <v>440044</v>
      </c>
      <c r="CC69" s="964">
        <f t="shared" si="41"/>
        <v>0</v>
      </c>
      <c r="CD69" s="939">
        <f t="shared" si="42"/>
        <v>48370.5714285714</v>
      </c>
      <c r="CE69" s="1018"/>
      <c r="CF69" s="1018"/>
      <c r="CG69" s="1018"/>
      <c r="CH69" s="939">
        <f t="shared" si="38"/>
        <v>11629.4285714286</v>
      </c>
      <c r="CI69" s="1018"/>
    </row>
    <row r="70" s="974" customFormat="1" ht="31" customHeight="1" spans="1:87">
      <c r="A70" s="1228">
        <v>45649</v>
      </c>
      <c r="B70" s="1229" t="s">
        <v>240</v>
      </c>
      <c r="C70" s="1238" t="s">
        <v>125</v>
      </c>
      <c r="D70" s="1231">
        <v>4500154533</v>
      </c>
      <c r="E70" s="1229" t="s">
        <v>472</v>
      </c>
      <c r="F70" s="1231" t="s">
        <v>473</v>
      </c>
      <c r="G70" s="1004" t="s">
        <v>243</v>
      </c>
      <c r="H70" s="1004" t="s">
        <v>189</v>
      </c>
      <c r="I70" s="1004">
        <v>1152</v>
      </c>
      <c r="J70" s="1004">
        <v>0</v>
      </c>
      <c r="K70" s="1004">
        <v>1152</v>
      </c>
      <c r="L70" s="1232">
        <f t="shared" si="9"/>
        <v>1</v>
      </c>
      <c r="M70" s="1007">
        <v>45719</v>
      </c>
      <c r="N70" s="1007">
        <v>45715</v>
      </c>
      <c r="O70" s="1020"/>
      <c r="P70" s="1024" t="s">
        <v>86</v>
      </c>
      <c r="Q70" s="1004"/>
      <c r="R70" s="1009" t="s">
        <v>395</v>
      </c>
      <c r="S70" s="1004" t="s">
        <v>98</v>
      </c>
      <c r="T70" s="1233" t="s">
        <v>396</v>
      </c>
      <c r="U70" s="1233"/>
      <c r="V70" s="1234" t="s">
        <v>459</v>
      </c>
      <c r="W70" s="1007" t="s">
        <v>247</v>
      </c>
      <c r="X70" s="1235">
        <v>2220.2067</v>
      </c>
      <c r="Y70" s="1236">
        <f t="shared" si="33"/>
        <v>2220.2067</v>
      </c>
      <c r="Z70" s="1236"/>
      <c r="AA70" s="1004" t="s">
        <v>474</v>
      </c>
      <c r="AB70" s="1004" t="s">
        <v>243</v>
      </c>
      <c r="AC70" s="1004" t="s">
        <v>93</v>
      </c>
      <c r="AD70" s="1023" t="s">
        <v>94</v>
      </c>
      <c r="AE70" s="1004"/>
      <c r="AF70" s="1239"/>
      <c r="AG70" s="1002">
        <f t="shared" si="17"/>
        <v>-1152</v>
      </c>
      <c r="AH70" s="1237"/>
      <c r="AI70" s="1004"/>
      <c r="AJ70" s="1004"/>
      <c r="AK70" s="1004">
        <f t="shared" si="32"/>
        <v>1152</v>
      </c>
      <c r="AL70" s="1004"/>
      <c r="AM70" s="1004">
        <f t="shared" si="34"/>
        <v>1152</v>
      </c>
      <c r="AP70" s="1004"/>
      <c r="AQ70" s="1004"/>
      <c r="AS70" s="1004"/>
      <c r="AT70" s="1004"/>
      <c r="AU70" s="1004">
        <f t="shared" si="35"/>
        <v>1152</v>
      </c>
      <c r="AV70" s="1004"/>
      <c r="AZ70" s="974">
        <f t="shared" si="36"/>
        <v>96</v>
      </c>
      <c r="BU70" s="939">
        <f t="shared" si="39"/>
        <v>1152</v>
      </c>
      <c r="BV70" s="1222">
        <f t="shared" si="40"/>
        <v>2381108</v>
      </c>
      <c r="BW70" s="1018"/>
      <c r="BX70" s="1018"/>
      <c r="BY70" s="1018"/>
      <c r="BZ70" s="1018"/>
      <c r="CA70" s="856">
        <f t="shared" si="37"/>
        <v>438892</v>
      </c>
      <c r="CC70" s="964">
        <f t="shared" si="41"/>
        <v>0</v>
      </c>
      <c r="CD70" s="939">
        <f t="shared" si="42"/>
        <v>48370.5714285714</v>
      </c>
      <c r="CE70" s="1018"/>
      <c r="CF70" s="1018"/>
      <c r="CG70" s="1018"/>
      <c r="CH70" s="939">
        <f t="shared" si="38"/>
        <v>11629.4285714286</v>
      </c>
      <c r="CI70" s="1018"/>
    </row>
    <row r="71" s="974" customFormat="1" ht="31" customHeight="1" spans="1:87">
      <c r="A71" s="1228">
        <v>45649</v>
      </c>
      <c r="B71" s="1229" t="s">
        <v>475</v>
      </c>
      <c r="C71" s="1238" t="s">
        <v>476</v>
      </c>
      <c r="D71" s="1231">
        <v>4500154572</v>
      </c>
      <c r="E71" s="1229" t="s">
        <v>477</v>
      </c>
      <c r="F71" s="1231" t="s">
        <v>478</v>
      </c>
      <c r="G71" s="1004" t="s">
        <v>188</v>
      </c>
      <c r="H71" s="1004" t="s">
        <v>189</v>
      </c>
      <c r="I71" s="1004">
        <v>2080</v>
      </c>
      <c r="J71" s="1004">
        <v>0</v>
      </c>
      <c r="K71" s="1004">
        <v>52</v>
      </c>
      <c r="L71" s="1232">
        <f t="shared" si="9"/>
        <v>40</v>
      </c>
      <c r="M71" s="1007">
        <v>45723</v>
      </c>
      <c r="N71" s="1007">
        <v>45719</v>
      </c>
      <c r="O71" s="1020"/>
      <c r="P71" s="1024" t="s">
        <v>86</v>
      </c>
      <c r="Q71" s="1004"/>
      <c r="R71" s="1009">
        <v>45663</v>
      </c>
      <c r="S71" s="1004" t="s">
        <v>98</v>
      </c>
      <c r="T71" s="1233" t="s">
        <v>479</v>
      </c>
      <c r="U71" s="1233"/>
      <c r="V71" s="1234" t="s">
        <v>480</v>
      </c>
      <c r="W71" s="1007" t="s">
        <v>481</v>
      </c>
      <c r="X71" s="1235">
        <v>1.8868</v>
      </c>
      <c r="Y71" s="1236">
        <f>I71*X71</f>
        <v>3924.544</v>
      </c>
      <c r="Z71" s="1236"/>
      <c r="AA71" s="1004" t="s">
        <v>482</v>
      </c>
      <c r="AB71" s="1004" t="s">
        <v>188</v>
      </c>
      <c r="AC71" s="1004" t="s">
        <v>93</v>
      </c>
      <c r="AD71" s="1023" t="s">
        <v>94</v>
      </c>
      <c r="AE71" s="1004"/>
      <c r="AF71" s="1002">
        <f>2028+52</f>
        <v>2080</v>
      </c>
      <c r="AG71" s="1002">
        <f t="shared" si="17"/>
        <v>0</v>
      </c>
      <c r="AH71" s="1237"/>
      <c r="AI71" s="1004" t="s">
        <v>95</v>
      </c>
      <c r="AJ71" s="1004"/>
      <c r="AK71" s="1004">
        <f t="shared" si="32"/>
        <v>2080</v>
      </c>
      <c r="AL71" s="1004"/>
      <c r="AM71" s="1004">
        <f t="shared" si="34"/>
        <v>2080</v>
      </c>
      <c r="AP71" s="1004"/>
      <c r="AQ71" s="1004"/>
      <c r="AS71" s="1004">
        <f>I71</f>
        <v>2080</v>
      </c>
      <c r="AT71" s="1004"/>
      <c r="AU71" s="1004"/>
      <c r="AV71" s="1004"/>
      <c r="BC71" s="974">
        <f>I71/13</f>
        <v>160</v>
      </c>
      <c r="BU71" s="939">
        <f t="shared" si="39"/>
        <v>2080</v>
      </c>
      <c r="BV71" s="1222">
        <f t="shared" si="40"/>
        <v>2383188</v>
      </c>
      <c r="BW71" s="1018"/>
      <c r="BX71" s="1018"/>
      <c r="BY71" s="1018"/>
      <c r="BZ71" s="1018"/>
      <c r="CA71" s="856">
        <f t="shared" si="37"/>
        <v>436812</v>
      </c>
      <c r="CC71" s="964">
        <f t="shared" si="41"/>
        <v>0</v>
      </c>
      <c r="CD71" s="939">
        <f t="shared" si="42"/>
        <v>48370.5714285714</v>
      </c>
      <c r="CE71" s="1018"/>
      <c r="CF71" s="1018"/>
      <c r="CG71" s="1018"/>
      <c r="CH71" s="939">
        <f t="shared" si="38"/>
        <v>11629.4285714286</v>
      </c>
      <c r="CI71" s="1018"/>
    </row>
    <row r="72" s="974" customFormat="1" ht="31" customHeight="1" spans="1:87">
      <c r="A72" s="1228">
        <v>45651</v>
      </c>
      <c r="B72" s="1229" t="s">
        <v>430</v>
      </c>
      <c r="C72" s="1238" t="s">
        <v>81</v>
      </c>
      <c r="D72" s="1231">
        <v>4500154604</v>
      </c>
      <c r="E72" s="1229">
        <v>61900884</v>
      </c>
      <c r="F72" s="1231" t="s">
        <v>483</v>
      </c>
      <c r="G72" s="1004" t="s">
        <v>205</v>
      </c>
      <c r="H72" s="1004" t="s">
        <v>189</v>
      </c>
      <c r="I72" s="1004">
        <v>1350</v>
      </c>
      <c r="J72" s="1004">
        <v>0</v>
      </c>
      <c r="K72" s="1004">
        <v>50</v>
      </c>
      <c r="L72" s="1232">
        <f t="shared" si="9"/>
        <v>27</v>
      </c>
      <c r="M72" s="1007">
        <v>45721</v>
      </c>
      <c r="N72" s="1007">
        <v>45717</v>
      </c>
      <c r="O72" s="1020"/>
      <c r="P72" s="1024" t="s">
        <v>86</v>
      </c>
      <c r="Q72" s="1004"/>
      <c r="R72" s="1009">
        <v>45695</v>
      </c>
      <c r="S72" s="1004" t="s">
        <v>98</v>
      </c>
      <c r="T72" s="1233" t="s">
        <v>484</v>
      </c>
      <c r="U72" s="1233"/>
      <c r="V72" s="1234" t="s">
        <v>485</v>
      </c>
      <c r="W72" s="1007" t="s">
        <v>225</v>
      </c>
      <c r="X72" s="1235">
        <v>2.0019</v>
      </c>
      <c r="Y72" s="1236">
        <f>I72*X72</f>
        <v>2702.565</v>
      </c>
      <c r="Z72" s="1236"/>
      <c r="AA72" s="1004" t="s">
        <v>486</v>
      </c>
      <c r="AB72" s="1004" t="s">
        <v>210</v>
      </c>
      <c r="AC72" s="1004" t="s">
        <v>93</v>
      </c>
      <c r="AD72" s="1023" t="s">
        <v>94</v>
      </c>
      <c r="AE72" s="1004"/>
      <c r="AF72" s="1002">
        <v>1350</v>
      </c>
      <c r="AG72" s="1002">
        <f t="shared" si="17"/>
        <v>0</v>
      </c>
      <c r="AH72" s="1237"/>
      <c r="AI72" s="1004" t="s">
        <v>95</v>
      </c>
      <c r="AJ72" s="1004"/>
      <c r="AK72" s="1004">
        <f t="shared" si="32"/>
        <v>1350</v>
      </c>
      <c r="AL72" s="1004"/>
      <c r="AM72" s="1004"/>
      <c r="AP72" s="1004">
        <f>I72</f>
        <v>1350</v>
      </c>
      <c r="AQ72" s="1004"/>
      <c r="AS72" s="1004">
        <f>I72</f>
        <v>1350</v>
      </c>
      <c r="AT72" s="1004"/>
      <c r="AU72" s="1004"/>
      <c r="AV72" s="1004"/>
      <c r="BF72" s="974">
        <f>I72/25</f>
        <v>54</v>
      </c>
      <c r="BU72" s="939">
        <f t="shared" si="39"/>
        <v>1350</v>
      </c>
      <c r="BV72" s="1222">
        <f t="shared" si="40"/>
        <v>2384538</v>
      </c>
      <c r="BW72" s="1018"/>
      <c r="BX72" s="1018"/>
      <c r="BY72" s="1018"/>
      <c r="BZ72" s="1018"/>
      <c r="CA72" s="856">
        <f t="shared" si="37"/>
        <v>435462</v>
      </c>
      <c r="CC72" s="964">
        <f t="shared" si="41"/>
        <v>54</v>
      </c>
      <c r="CD72" s="939">
        <f t="shared" si="42"/>
        <v>48424.5714285714</v>
      </c>
      <c r="CE72" s="1018"/>
      <c r="CF72" s="1018"/>
      <c r="CG72" s="1018"/>
      <c r="CH72" s="939">
        <f t="shared" si="38"/>
        <v>11575.4285714286</v>
      </c>
      <c r="CI72" s="1018"/>
    </row>
    <row r="73" s="974" customFormat="1" ht="31" customHeight="1" spans="1:87">
      <c r="A73" s="1228">
        <v>45672</v>
      </c>
      <c r="B73" s="1229" t="s">
        <v>487</v>
      </c>
      <c r="C73" s="1238" t="s">
        <v>440</v>
      </c>
      <c r="D73" s="1231">
        <v>4500155828</v>
      </c>
      <c r="E73" s="1229"/>
      <c r="F73" s="1231" t="s">
        <v>488</v>
      </c>
      <c r="G73" s="1004" t="s">
        <v>489</v>
      </c>
      <c r="H73" s="1240" t="s">
        <v>490</v>
      </c>
      <c r="I73" s="1004">
        <v>360</v>
      </c>
      <c r="J73" s="1004">
        <v>0</v>
      </c>
      <c r="K73" s="1004">
        <v>30</v>
      </c>
      <c r="L73" s="1232">
        <f t="shared" ref="L73:L136" si="43">I73/K73</f>
        <v>12</v>
      </c>
      <c r="M73" s="1007">
        <v>45723</v>
      </c>
      <c r="N73" s="1007">
        <v>45719</v>
      </c>
      <c r="O73" s="1020"/>
      <c r="P73" s="1024" t="s">
        <v>86</v>
      </c>
      <c r="Q73" s="1004"/>
      <c r="R73" s="1009">
        <v>45672</v>
      </c>
      <c r="S73" s="1004" t="s">
        <v>98</v>
      </c>
      <c r="T73" s="1233" t="s">
        <v>98</v>
      </c>
      <c r="U73" s="1233"/>
      <c r="V73" s="1234" t="s">
        <v>491</v>
      </c>
      <c r="W73" s="1007" t="s">
        <v>444</v>
      </c>
      <c r="X73" s="1235">
        <v>73.6896</v>
      </c>
      <c r="Y73" s="1236">
        <f>X73*L73</f>
        <v>884.2752</v>
      </c>
      <c r="Z73" s="1236"/>
      <c r="AA73" s="1004" t="s">
        <v>492</v>
      </c>
      <c r="AB73" s="1004" t="s">
        <v>489</v>
      </c>
      <c r="AC73" s="1004" t="s">
        <v>93</v>
      </c>
      <c r="AD73" s="1023" t="s">
        <v>94</v>
      </c>
      <c r="AE73" s="1004"/>
      <c r="AF73" s="1002">
        <v>360</v>
      </c>
      <c r="AG73" s="1002">
        <f t="shared" si="17"/>
        <v>0</v>
      </c>
      <c r="AH73" s="1237"/>
      <c r="AI73" s="1004" t="s">
        <v>98</v>
      </c>
      <c r="AJ73" s="1004"/>
      <c r="AK73" s="1004">
        <f t="shared" ref="AK66:AK96" si="44">I73</f>
        <v>360</v>
      </c>
      <c r="AL73" s="1004"/>
      <c r="AM73" s="1004">
        <f>I73</f>
        <v>360</v>
      </c>
      <c r="AP73" s="1004"/>
      <c r="AQ73" s="1004"/>
      <c r="AS73" s="1004">
        <f>I73</f>
        <v>360</v>
      </c>
      <c r="AT73" s="1004"/>
      <c r="AU73" s="1004"/>
      <c r="AV73" s="1004"/>
      <c r="BJ73" s="974">
        <f>I73/30</f>
        <v>12</v>
      </c>
      <c r="BU73" s="939">
        <f t="shared" si="39"/>
        <v>360</v>
      </c>
      <c r="BV73" s="1222">
        <f t="shared" si="40"/>
        <v>2384898</v>
      </c>
      <c r="BW73" s="1018"/>
      <c r="BX73" s="1018"/>
      <c r="BY73" s="1018"/>
      <c r="BZ73" s="1018"/>
      <c r="CA73" s="856">
        <f t="shared" si="37"/>
        <v>435102</v>
      </c>
      <c r="CC73" s="964">
        <f t="shared" si="41"/>
        <v>0</v>
      </c>
      <c r="CD73" s="939">
        <f t="shared" si="42"/>
        <v>48424.5714285714</v>
      </c>
      <c r="CE73" s="1018"/>
      <c r="CF73" s="1018"/>
      <c r="CG73" s="1018"/>
      <c r="CH73" s="939">
        <f t="shared" si="38"/>
        <v>11575.4285714286</v>
      </c>
      <c r="CI73" s="1018"/>
    </row>
    <row r="74" s="974" customFormat="1" ht="31" customHeight="1" spans="1:87">
      <c r="A74" s="1228">
        <v>45630</v>
      </c>
      <c r="B74" s="1229" t="s">
        <v>493</v>
      </c>
      <c r="C74" s="1238" t="s">
        <v>81</v>
      </c>
      <c r="D74" s="1231">
        <v>4500153293</v>
      </c>
      <c r="E74" s="1229"/>
      <c r="F74" s="1231" t="s">
        <v>494</v>
      </c>
      <c r="G74" s="1004" t="s">
        <v>205</v>
      </c>
      <c r="H74" s="1004" t="s">
        <v>189</v>
      </c>
      <c r="I74" s="1004">
        <v>1600</v>
      </c>
      <c r="J74" s="1004">
        <v>0</v>
      </c>
      <c r="K74" s="1004">
        <v>50</v>
      </c>
      <c r="L74" s="1232">
        <f t="shared" si="43"/>
        <v>32</v>
      </c>
      <c r="M74" s="1007">
        <v>45723</v>
      </c>
      <c r="N74" s="1007">
        <v>45719</v>
      </c>
      <c r="O74" s="1020"/>
      <c r="P74" s="1024" t="s">
        <v>86</v>
      </c>
      <c r="Q74" s="1004"/>
      <c r="R74" s="1009">
        <v>45651</v>
      </c>
      <c r="S74" s="1004" t="s">
        <v>98</v>
      </c>
      <c r="T74" s="1233">
        <v>45678</v>
      </c>
      <c r="U74" s="1233"/>
      <c r="V74" s="1234" t="s">
        <v>495</v>
      </c>
      <c r="W74" s="1007" t="s">
        <v>91</v>
      </c>
      <c r="X74" s="1235">
        <v>1.9849</v>
      </c>
      <c r="Y74" s="1236">
        <f>X74*I74</f>
        <v>3175.84</v>
      </c>
      <c r="Z74" s="1236"/>
      <c r="AA74" s="1004" t="s">
        <v>496</v>
      </c>
      <c r="AB74" s="1004" t="s">
        <v>210</v>
      </c>
      <c r="AC74" s="1004" t="s">
        <v>93</v>
      </c>
      <c r="AD74" s="1023" t="s">
        <v>94</v>
      </c>
      <c r="AE74" s="1004"/>
      <c r="AF74" s="1002">
        <f>1550+50</f>
        <v>1600</v>
      </c>
      <c r="AG74" s="1002">
        <f t="shared" si="17"/>
        <v>0</v>
      </c>
      <c r="AH74" s="1237"/>
      <c r="AI74" s="1004" t="s">
        <v>95</v>
      </c>
      <c r="AJ74" s="1004"/>
      <c r="AK74" s="1004">
        <f t="shared" si="44"/>
        <v>1600</v>
      </c>
      <c r="AL74" s="1004"/>
      <c r="AM74" s="1004"/>
      <c r="AP74" s="1004">
        <f>I74</f>
        <v>1600</v>
      </c>
      <c r="AQ74" s="1004"/>
      <c r="AS74" s="1004">
        <f>I74</f>
        <v>1600</v>
      </c>
      <c r="AT74" s="1004"/>
      <c r="AU74" s="1004"/>
      <c r="AV74" s="1004"/>
      <c r="BF74" s="974">
        <f>I74/25</f>
        <v>64</v>
      </c>
      <c r="BU74" s="939">
        <f t="shared" si="39"/>
        <v>1600</v>
      </c>
      <c r="BV74" s="1222">
        <f t="shared" si="40"/>
        <v>2386498</v>
      </c>
      <c r="BW74" s="1018"/>
      <c r="BX74" s="1018"/>
      <c r="BY74" s="1018"/>
      <c r="BZ74" s="1018"/>
      <c r="CA74" s="856">
        <f t="shared" si="37"/>
        <v>433502</v>
      </c>
      <c r="CC74" s="964">
        <f t="shared" si="41"/>
        <v>64</v>
      </c>
      <c r="CD74" s="939">
        <f t="shared" si="42"/>
        <v>48488.5714285714</v>
      </c>
      <c r="CE74" s="1018"/>
      <c r="CF74" s="1018"/>
      <c r="CG74" s="1018"/>
      <c r="CH74" s="939">
        <f t="shared" si="38"/>
        <v>11511.4285714286</v>
      </c>
      <c r="CI74" s="1018"/>
    </row>
    <row r="75" s="974" customFormat="1" ht="31" customHeight="1" spans="1:87">
      <c r="A75" s="1228">
        <v>45694</v>
      </c>
      <c r="B75" s="1229" t="s">
        <v>240</v>
      </c>
      <c r="C75" s="1238" t="s">
        <v>125</v>
      </c>
      <c r="D75" s="1231">
        <v>4500156777</v>
      </c>
      <c r="E75" s="1229">
        <v>893502858</v>
      </c>
      <c r="F75" s="1231" t="s">
        <v>497</v>
      </c>
      <c r="G75" s="1004" t="s">
        <v>243</v>
      </c>
      <c r="H75" s="1004" t="s">
        <v>189</v>
      </c>
      <c r="I75" s="1004">
        <v>1152</v>
      </c>
      <c r="J75" s="1004">
        <v>0</v>
      </c>
      <c r="K75" s="1004">
        <v>1152</v>
      </c>
      <c r="L75" s="1232">
        <f t="shared" si="43"/>
        <v>1</v>
      </c>
      <c r="M75" s="1007">
        <v>45723</v>
      </c>
      <c r="N75" s="1007">
        <v>45719</v>
      </c>
      <c r="O75" s="1020"/>
      <c r="P75" s="1024" t="s">
        <v>86</v>
      </c>
      <c r="Q75" s="1004"/>
      <c r="R75" s="1009" t="s">
        <v>395</v>
      </c>
      <c r="S75" s="1004" t="s">
        <v>98</v>
      </c>
      <c r="T75" s="1233" t="s">
        <v>396</v>
      </c>
      <c r="U75" s="1233"/>
      <c r="V75" s="1234" t="s">
        <v>298</v>
      </c>
      <c r="W75" s="1007" t="s">
        <v>247</v>
      </c>
      <c r="X75" s="1235">
        <v>2211.8489</v>
      </c>
      <c r="Y75" s="1236">
        <f>X75*L75</f>
        <v>2211.8489</v>
      </c>
      <c r="Z75" s="1236"/>
      <c r="AA75" s="1004" t="s">
        <v>498</v>
      </c>
      <c r="AB75" s="1004" t="s">
        <v>243</v>
      </c>
      <c r="AC75" s="1004" t="s">
        <v>93</v>
      </c>
      <c r="AD75" s="1023" t="s">
        <v>94</v>
      </c>
      <c r="AE75" s="1004"/>
      <c r="AF75" s="1002">
        <f>1140+12</f>
        <v>1152</v>
      </c>
      <c r="AG75" s="1002">
        <f t="shared" si="17"/>
        <v>0</v>
      </c>
      <c r="AH75" s="1237"/>
      <c r="AI75" s="1004"/>
      <c r="AJ75" s="1004"/>
      <c r="AK75" s="1004">
        <f t="shared" si="44"/>
        <v>1152</v>
      </c>
      <c r="AL75" s="1004"/>
      <c r="AM75" s="1004">
        <f>I75</f>
        <v>1152</v>
      </c>
      <c r="AP75" s="1004"/>
      <c r="AQ75" s="1004"/>
      <c r="AS75" s="1004"/>
      <c r="AT75" s="1004"/>
      <c r="AU75" s="1004">
        <f>I75</f>
        <v>1152</v>
      </c>
      <c r="AV75" s="1004"/>
      <c r="AZ75" s="974">
        <f>I75/12</f>
        <v>96</v>
      </c>
      <c r="BU75" s="939">
        <f t="shared" si="39"/>
        <v>1152</v>
      </c>
      <c r="BV75" s="1222">
        <f t="shared" si="40"/>
        <v>2387650</v>
      </c>
      <c r="BW75" s="1018"/>
      <c r="BX75" s="1018"/>
      <c r="BY75" s="1018"/>
      <c r="BZ75" s="1018"/>
      <c r="CA75" s="856">
        <f t="shared" si="37"/>
        <v>432350</v>
      </c>
      <c r="CC75" s="964">
        <f t="shared" si="41"/>
        <v>0</v>
      </c>
      <c r="CD75" s="939">
        <f t="shared" si="42"/>
        <v>48488.5714285714</v>
      </c>
      <c r="CE75" s="1018"/>
      <c r="CF75" s="1018"/>
      <c r="CG75" s="1018"/>
      <c r="CH75" s="939">
        <f t="shared" si="38"/>
        <v>11511.4285714286</v>
      </c>
      <c r="CI75" s="1018"/>
    </row>
    <row r="76" s="974" customFormat="1" ht="31" customHeight="1" spans="1:87">
      <c r="A76" s="1228">
        <v>45678</v>
      </c>
      <c r="B76" s="1229" t="s">
        <v>499</v>
      </c>
      <c r="C76" s="1238" t="s">
        <v>81</v>
      </c>
      <c r="D76" s="1231">
        <v>4500156374</v>
      </c>
      <c r="E76" s="1229"/>
      <c r="F76" s="1231" t="s">
        <v>500</v>
      </c>
      <c r="G76" s="1004" t="s">
        <v>205</v>
      </c>
      <c r="H76" s="1004" t="s">
        <v>189</v>
      </c>
      <c r="I76" s="1004">
        <v>2500</v>
      </c>
      <c r="J76" s="1004">
        <v>0</v>
      </c>
      <c r="K76" s="1004">
        <v>50</v>
      </c>
      <c r="L76" s="1232">
        <f t="shared" si="43"/>
        <v>50</v>
      </c>
      <c r="M76" s="1007">
        <v>45726</v>
      </c>
      <c r="N76" s="1007">
        <v>45729</v>
      </c>
      <c r="O76" s="1020" t="s">
        <v>501</v>
      </c>
      <c r="P76" s="1024" t="s">
        <v>86</v>
      </c>
      <c r="Q76" s="1004"/>
      <c r="R76" s="1009">
        <v>45678</v>
      </c>
      <c r="S76" s="1004" t="s">
        <v>88</v>
      </c>
      <c r="T76" s="1233">
        <v>45713</v>
      </c>
      <c r="U76" s="1233"/>
      <c r="V76" s="1234" t="s">
        <v>502</v>
      </c>
      <c r="W76" s="1007" t="s">
        <v>225</v>
      </c>
      <c r="X76" s="1235">
        <v>2.0019</v>
      </c>
      <c r="Y76" s="1236">
        <f>X76*I76</f>
        <v>5004.75</v>
      </c>
      <c r="Z76" s="1236"/>
      <c r="AA76" s="1004" t="s">
        <v>503</v>
      </c>
      <c r="AB76" s="1004" t="s">
        <v>210</v>
      </c>
      <c r="AC76" s="1004" t="s">
        <v>93</v>
      </c>
      <c r="AD76" s="1023" t="s">
        <v>94</v>
      </c>
      <c r="AE76" s="1004"/>
      <c r="AF76" s="1002">
        <v>2500</v>
      </c>
      <c r="AG76" s="1002">
        <f t="shared" si="17"/>
        <v>0</v>
      </c>
      <c r="AH76" s="1237"/>
      <c r="AI76" s="1004" t="s">
        <v>95</v>
      </c>
      <c r="AJ76" s="1004"/>
      <c r="AK76" s="1004">
        <f t="shared" si="44"/>
        <v>2500</v>
      </c>
      <c r="AL76" s="1004"/>
      <c r="AM76" s="1004"/>
      <c r="AP76" s="1004">
        <f>I76</f>
        <v>2500</v>
      </c>
      <c r="AQ76" s="1004"/>
      <c r="AS76" s="1004">
        <f>I76</f>
        <v>2500</v>
      </c>
      <c r="AT76" s="1004"/>
      <c r="AU76" s="1004"/>
      <c r="AV76" s="1004"/>
      <c r="BF76" s="974">
        <f>I76/25</f>
        <v>100</v>
      </c>
      <c r="BU76" s="939">
        <f t="shared" si="39"/>
        <v>2500</v>
      </c>
      <c r="BV76" s="1222">
        <f t="shared" si="40"/>
        <v>2390150</v>
      </c>
      <c r="BW76" s="1018"/>
      <c r="BX76" s="1018"/>
      <c r="BY76" s="1018"/>
      <c r="BZ76" s="1018"/>
      <c r="CA76" s="856">
        <f t="shared" si="37"/>
        <v>429850</v>
      </c>
      <c r="CC76" s="964">
        <f t="shared" si="41"/>
        <v>100</v>
      </c>
      <c r="CD76" s="939">
        <f t="shared" si="42"/>
        <v>48588.5714285714</v>
      </c>
      <c r="CE76" s="1018"/>
      <c r="CF76" s="1018"/>
      <c r="CG76" s="1018"/>
      <c r="CH76" s="939">
        <f t="shared" si="38"/>
        <v>11411.4285714286</v>
      </c>
      <c r="CI76" s="1018"/>
    </row>
    <row r="77" s="974" customFormat="1" ht="31" customHeight="1" spans="1:87">
      <c r="A77" s="1228">
        <v>45651</v>
      </c>
      <c r="B77" s="1229" t="s">
        <v>430</v>
      </c>
      <c r="C77" s="1238" t="s">
        <v>81</v>
      </c>
      <c r="D77" s="1231">
        <v>4500154624</v>
      </c>
      <c r="E77" s="1229">
        <v>61900885</v>
      </c>
      <c r="F77" s="1231" t="s">
        <v>504</v>
      </c>
      <c r="G77" s="1004" t="s">
        <v>205</v>
      </c>
      <c r="H77" s="1004" t="s">
        <v>189</v>
      </c>
      <c r="I77" s="1004">
        <v>1300</v>
      </c>
      <c r="J77" s="1004">
        <v>0</v>
      </c>
      <c r="K77" s="1004">
        <v>50</v>
      </c>
      <c r="L77" s="1232">
        <f t="shared" si="43"/>
        <v>26</v>
      </c>
      <c r="M77" s="1007">
        <v>45730</v>
      </c>
      <c r="N77" s="1007">
        <v>45726</v>
      </c>
      <c r="O77" s="1020"/>
      <c r="P77" s="1024" t="s">
        <v>86</v>
      </c>
      <c r="Q77" s="1004"/>
      <c r="R77" s="1009">
        <v>45698</v>
      </c>
      <c r="S77" s="1004" t="s">
        <v>98</v>
      </c>
      <c r="T77" s="1233" t="s">
        <v>484</v>
      </c>
      <c r="U77" s="1233"/>
      <c r="V77" s="1234" t="s">
        <v>505</v>
      </c>
      <c r="W77" s="1007" t="s">
        <v>225</v>
      </c>
      <c r="X77" s="1235">
        <v>2.0019</v>
      </c>
      <c r="Y77" s="1236">
        <f>I77*X77</f>
        <v>2602.47</v>
      </c>
      <c r="Z77" s="1236"/>
      <c r="AA77" s="1004" t="s">
        <v>506</v>
      </c>
      <c r="AB77" s="1004" t="s">
        <v>210</v>
      </c>
      <c r="AC77" s="1004" t="s">
        <v>93</v>
      </c>
      <c r="AD77" s="1023" t="s">
        <v>94</v>
      </c>
      <c r="AE77" s="1004"/>
      <c r="AF77" s="1002">
        <f>1250+50</f>
        <v>1300</v>
      </c>
      <c r="AG77" s="1002">
        <f t="shared" ref="AG77:AG86" si="45">AF77-I77</f>
        <v>0</v>
      </c>
      <c r="AH77" s="1237"/>
      <c r="AI77" s="1004" t="s">
        <v>95</v>
      </c>
      <c r="AJ77" s="1004"/>
      <c r="AK77" s="1004">
        <f t="shared" si="44"/>
        <v>1300</v>
      </c>
      <c r="AL77" s="1004"/>
      <c r="AM77" s="1004"/>
      <c r="AP77" s="1004">
        <f>I77</f>
        <v>1300</v>
      </c>
      <c r="AQ77" s="1004"/>
      <c r="AS77" s="1004">
        <f>I77</f>
        <v>1300</v>
      </c>
      <c r="AT77" s="1004"/>
      <c r="AU77" s="1004"/>
      <c r="AV77" s="1004"/>
      <c r="BF77" s="974">
        <f>I77/25</f>
        <v>52</v>
      </c>
      <c r="BU77" s="939">
        <f t="shared" si="39"/>
        <v>1300</v>
      </c>
      <c r="BV77" s="1222">
        <f t="shared" si="40"/>
        <v>2391450</v>
      </c>
      <c r="BW77" s="1018"/>
      <c r="BX77" s="1018"/>
      <c r="BY77" s="1018"/>
      <c r="BZ77" s="1018"/>
      <c r="CA77" s="856">
        <f t="shared" si="37"/>
        <v>428550</v>
      </c>
      <c r="CC77" s="964">
        <f t="shared" si="41"/>
        <v>52</v>
      </c>
      <c r="CD77" s="939">
        <f t="shared" si="42"/>
        <v>48640.5714285714</v>
      </c>
      <c r="CE77" s="1018"/>
      <c r="CF77" s="1018"/>
      <c r="CG77" s="1018"/>
      <c r="CH77" s="939">
        <f t="shared" si="38"/>
        <v>11359.4285714286</v>
      </c>
      <c r="CI77" s="1018"/>
    </row>
    <row r="78" s="974" customFormat="1" ht="31" customHeight="1" spans="1:87">
      <c r="A78" s="1228">
        <v>45679</v>
      </c>
      <c r="B78" s="1229" t="s">
        <v>240</v>
      </c>
      <c r="C78" s="1238" t="s">
        <v>125</v>
      </c>
      <c r="D78" s="1231">
        <v>4500156438</v>
      </c>
      <c r="E78" s="1229" t="s">
        <v>507</v>
      </c>
      <c r="F78" s="1231" t="s">
        <v>508</v>
      </c>
      <c r="G78" s="1004" t="s">
        <v>243</v>
      </c>
      <c r="H78" s="1004" t="s">
        <v>189</v>
      </c>
      <c r="I78" s="1004">
        <v>1152</v>
      </c>
      <c r="J78" s="1004">
        <v>0</v>
      </c>
      <c r="K78" s="1004">
        <v>1152</v>
      </c>
      <c r="L78" s="1232">
        <f t="shared" si="43"/>
        <v>1</v>
      </c>
      <c r="M78" s="1007">
        <v>45733</v>
      </c>
      <c r="N78" s="1007">
        <v>45729</v>
      </c>
      <c r="O78" s="1020"/>
      <c r="P78" s="1024" t="s">
        <v>86</v>
      </c>
      <c r="Q78" s="1004"/>
      <c r="R78" s="1009" t="s">
        <v>395</v>
      </c>
      <c r="S78" s="1004" t="s">
        <v>98</v>
      </c>
      <c r="T78" s="1233" t="s">
        <v>396</v>
      </c>
      <c r="U78" s="1233"/>
      <c r="V78" s="1234" t="s">
        <v>298</v>
      </c>
      <c r="W78" s="1007" t="s">
        <v>247</v>
      </c>
      <c r="X78" s="1235">
        <v>2220.2067</v>
      </c>
      <c r="Y78" s="1236">
        <f t="shared" ref="Y78:Y84" si="46">X78*L78</f>
        <v>2220.2067</v>
      </c>
      <c r="Z78" s="1236"/>
      <c r="AA78" s="1004" t="s">
        <v>509</v>
      </c>
      <c r="AB78" s="1004" t="s">
        <v>243</v>
      </c>
      <c r="AC78" s="1004" t="s">
        <v>93</v>
      </c>
      <c r="AD78" s="1023" t="s">
        <v>94</v>
      </c>
      <c r="AE78" s="1004"/>
      <c r="AF78" s="1002">
        <v>1152</v>
      </c>
      <c r="AG78" s="1002">
        <f t="shared" si="45"/>
        <v>0</v>
      </c>
      <c r="AH78" s="1237"/>
      <c r="AI78" s="1004"/>
      <c r="AJ78" s="1004"/>
      <c r="AK78" s="1004">
        <f t="shared" si="44"/>
        <v>1152</v>
      </c>
      <c r="AL78" s="1004"/>
      <c r="AM78" s="1004">
        <f t="shared" ref="AM78:AM84" si="47">I78</f>
        <v>1152</v>
      </c>
      <c r="AP78" s="1004"/>
      <c r="AQ78" s="1004"/>
      <c r="AS78" s="1004"/>
      <c r="AT78" s="1004"/>
      <c r="AU78" s="1004">
        <f t="shared" ref="AU78:AU84" si="48">I78</f>
        <v>1152</v>
      </c>
      <c r="AV78" s="1004"/>
      <c r="AZ78" s="974">
        <f t="shared" ref="AZ78:AZ84" si="49">I78/12</f>
        <v>96</v>
      </c>
      <c r="BU78" s="939">
        <f t="shared" si="39"/>
        <v>1152</v>
      </c>
      <c r="BV78" s="1222">
        <f t="shared" si="40"/>
        <v>2392602</v>
      </c>
      <c r="BW78" s="1018"/>
      <c r="BX78" s="1018"/>
      <c r="BY78" s="1018"/>
      <c r="BZ78" s="1018"/>
      <c r="CA78" s="856">
        <f t="shared" si="37"/>
        <v>427398</v>
      </c>
      <c r="CC78" s="964">
        <f t="shared" si="41"/>
        <v>0</v>
      </c>
      <c r="CD78" s="939">
        <f t="shared" si="42"/>
        <v>48640.5714285714</v>
      </c>
      <c r="CE78" s="1018"/>
      <c r="CF78" s="1018"/>
      <c r="CG78" s="1018"/>
      <c r="CH78" s="939">
        <f t="shared" si="38"/>
        <v>11359.4285714286</v>
      </c>
      <c r="CI78" s="1018"/>
    </row>
    <row r="79" s="974" customFormat="1" ht="31" customHeight="1" spans="1:87">
      <c r="A79" s="1228">
        <v>45679</v>
      </c>
      <c r="B79" s="1229" t="s">
        <v>240</v>
      </c>
      <c r="C79" s="1238" t="s">
        <v>125</v>
      </c>
      <c r="D79" s="1231">
        <v>4500156438</v>
      </c>
      <c r="E79" s="1229" t="s">
        <v>510</v>
      </c>
      <c r="F79" s="1231" t="s">
        <v>511</v>
      </c>
      <c r="G79" s="1004" t="s">
        <v>243</v>
      </c>
      <c r="H79" s="1004" t="s">
        <v>189</v>
      </c>
      <c r="I79" s="1004">
        <v>1152</v>
      </c>
      <c r="J79" s="1004">
        <v>0</v>
      </c>
      <c r="K79" s="1004">
        <v>1152</v>
      </c>
      <c r="L79" s="1232">
        <f t="shared" si="43"/>
        <v>1</v>
      </c>
      <c r="M79" s="1007">
        <v>45733</v>
      </c>
      <c r="N79" s="1007">
        <v>45729</v>
      </c>
      <c r="O79" s="1020"/>
      <c r="P79" s="1024" t="s">
        <v>86</v>
      </c>
      <c r="Q79" s="1004"/>
      <c r="R79" s="1009" t="s">
        <v>395</v>
      </c>
      <c r="S79" s="1004" t="s">
        <v>98</v>
      </c>
      <c r="T79" s="1233" t="s">
        <v>396</v>
      </c>
      <c r="U79" s="1233"/>
      <c r="V79" s="1234" t="s">
        <v>298</v>
      </c>
      <c r="W79" s="1007" t="s">
        <v>247</v>
      </c>
      <c r="X79" s="1235">
        <v>2220.2067</v>
      </c>
      <c r="Y79" s="1236">
        <f t="shared" si="46"/>
        <v>2220.2067</v>
      </c>
      <c r="Z79" s="1236"/>
      <c r="AA79" s="1004" t="s">
        <v>512</v>
      </c>
      <c r="AB79" s="1004" t="s">
        <v>243</v>
      </c>
      <c r="AC79" s="1004" t="s">
        <v>93</v>
      </c>
      <c r="AD79" s="1023" t="s">
        <v>94</v>
      </c>
      <c r="AE79" s="1004"/>
      <c r="AF79" s="1022"/>
      <c r="AG79" s="1002">
        <f t="shared" si="45"/>
        <v>-1152</v>
      </c>
      <c r="AH79" s="1237"/>
      <c r="AI79" s="1004"/>
      <c r="AJ79" s="1004"/>
      <c r="AK79" s="1004">
        <f t="shared" si="44"/>
        <v>1152</v>
      </c>
      <c r="AL79" s="1004"/>
      <c r="AM79" s="1004">
        <f t="shared" si="47"/>
        <v>1152</v>
      </c>
      <c r="AP79" s="1004"/>
      <c r="AQ79" s="1004"/>
      <c r="AS79" s="1004"/>
      <c r="AT79" s="1004"/>
      <c r="AU79" s="1004">
        <f t="shared" si="48"/>
        <v>1152</v>
      </c>
      <c r="AV79" s="1004"/>
      <c r="AZ79" s="974">
        <f t="shared" si="49"/>
        <v>96</v>
      </c>
      <c r="BU79" s="939">
        <f t="shared" si="39"/>
        <v>1152</v>
      </c>
      <c r="BV79" s="1222">
        <f t="shared" si="40"/>
        <v>2393754</v>
      </c>
      <c r="BW79" s="1018"/>
      <c r="BX79" s="1018"/>
      <c r="BY79" s="1018"/>
      <c r="BZ79" s="1018"/>
      <c r="CA79" s="856">
        <f t="shared" si="37"/>
        <v>426246</v>
      </c>
      <c r="CC79" s="964">
        <f t="shared" si="41"/>
        <v>0</v>
      </c>
      <c r="CD79" s="939">
        <f t="shared" si="42"/>
        <v>48640.5714285714</v>
      </c>
      <c r="CE79" s="1018"/>
      <c r="CF79" s="1018"/>
      <c r="CG79" s="1018"/>
      <c r="CH79" s="939">
        <f t="shared" si="38"/>
        <v>11359.4285714286</v>
      </c>
      <c r="CI79" s="1018"/>
    </row>
    <row r="80" s="974" customFormat="1" ht="31" customHeight="1" spans="1:87">
      <c r="A80" s="1228">
        <v>45679</v>
      </c>
      <c r="B80" s="1229" t="s">
        <v>240</v>
      </c>
      <c r="C80" s="1238" t="s">
        <v>125</v>
      </c>
      <c r="D80" s="1231">
        <v>4500156438</v>
      </c>
      <c r="E80" s="1229" t="s">
        <v>513</v>
      </c>
      <c r="F80" s="1231" t="s">
        <v>514</v>
      </c>
      <c r="G80" s="1004" t="s">
        <v>243</v>
      </c>
      <c r="H80" s="1004" t="s">
        <v>189</v>
      </c>
      <c r="I80" s="1004">
        <v>3456</v>
      </c>
      <c r="J80" s="1004">
        <v>0</v>
      </c>
      <c r="K80" s="1004">
        <v>1152</v>
      </c>
      <c r="L80" s="1232">
        <f t="shared" si="43"/>
        <v>3</v>
      </c>
      <c r="M80" s="1007">
        <v>45733</v>
      </c>
      <c r="N80" s="1007">
        <v>45729</v>
      </c>
      <c r="O80" s="1020"/>
      <c r="P80" s="1024" t="s">
        <v>86</v>
      </c>
      <c r="Q80" s="1004"/>
      <c r="R80" s="1009" t="s">
        <v>395</v>
      </c>
      <c r="S80" s="1004" t="s">
        <v>98</v>
      </c>
      <c r="T80" s="1233" t="s">
        <v>396</v>
      </c>
      <c r="U80" s="1233"/>
      <c r="V80" s="1234" t="s">
        <v>298</v>
      </c>
      <c r="W80" s="1007" t="s">
        <v>247</v>
      </c>
      <c r="X80" s="1235">
        <v>2220.2067</v>
      </c>
      <c r="Y80" s="1236">
        <f t="shared" si="46"/>
        <v>6660.6201</v>
      </c>
      <c r="Z80" s="1236"/>
      <c r="AA80" s="1004" t="s">
        <v>515</v>
      </c>
      <c r="AB80" s="1004" t="s">
        <v>243</v>
      </c>
      <c r="AC80" s="1004" t="s">
        <v>93</v>
      </c>
      <c r="AD80" s="1023" t="s">
        <v>94</v>
      </c>
      <c r="AE80" s="1004"/>
      <c r="AF80" s="1002">
        <v>3456</v>
      </c>
      <c r="AG80" s="1002">
        <f t="shared" si="45"/>
        <v>0</v>
      </c>
      <c r="AH80" s="1237"/>
      <c r="AI80" s="1004"/>
      <c r="AJ80" s="1004"/>
      <c r="AK80" s="1004">
        <f t="shared" si="44"/>
        <v>3456</v>
      </c>
      <c r="AL80" s="1004"/>
      <c r="AM80" s="1004">
        <f t="shared" si="47"/>
        <v>3456</v>
      </c>
      <c r="AP80" s="1004"/>
      <c r="AQ80" s="1004"/>
      <c r="AS80" s="1004"/>
      <c r="AT80" s="1004"/>
      <c r="AU80" s="1004">
        <f t="shared" si="48"/>
        <v>3456</v>
      </c>
      <c r="AV80" s="1004"/>
      <c r="AZ80" s="974">
        <f t="shared" si="49"/>
        <v>288</v>
      </c>
      <c r="BU80" s="939">
        <f t="shared" si="39"/>
        <v>3456</v>
      </c>
      <c r="BV80" s="1222">
        <f t="shared" si="40"/>
        <v>2397210</v>
      </c>
      <c r="BW80" s="1018"/>
      <c r="BX80" s="1018"/>
      <c r="BY80" s="1018"/>
      <c r="BZ80" s="1018"/>
      <c r="CA80" s="856">
        <f t="shared" si="37"/>
        <v>422790</v>
      </c>
      <c r="CC80" s="964">
        <f t="shared" si="41"/>
        <v>0</v>
      </c>
      <c r="CD80" s="939">
        <f t="shared" si="42"/>
        <v>48640.5714285714</v>
      </c>
      <c r="CE80" s="1018"/>
      <c r="CF80" s="1018"/>
      <c r="CG80" s="1018"/>
      <c r="CH80" s="939">
        <f t="shared" si="38"/>
        <v>11359.4285714286</v>
      </c>
      <c r="CI80" s="1018"/>
    </row>
    <row r="81" s="974" customFormat="1" ht="31" customHeight="1" spans="1:87">
      <c r="A81" s="1228">
        <v>45679</v>
      </c>
      <c r="B81" s="1229" t="s">
        <v>240</v>
      </c>
      <c r="C81" s="1238" t="s">
        <v>125</v>
      </c>
      <c r="D81" s="1231">
        <v>4500156438</v>
      </c>
      <c r="E81" s="1229" t="s">
        <v>516</v>
      </c>
      <c r="F81" s="1231" t="s">
        <v>517</v>
      </c>
      <c r="G81" s="1004" t="s">
        <v>243</v>
      </c>
      <c r="H81" s="1004" t="s">
        <v>189</v>
      </c>
      <c r="I81" s="1004">
        <v>2304</v>
      </c>
      <c r="J81" s="1004">
        <v>0</v>
      </c>
      <c r="K81" s="1004">
        <v>1152</v>
      </c>
      <c r="L81" s="1232">
        <f t="shared" si="43"/>
        <v>2</v>
      </c>
      <c r="M81" s="1007">
        <v>45733</v>
      </c>
      <c r="N81" s="1007">
        <v>45729</v>
      </c>
      <c r="O81" s="1020"/>
      <c r="P81" s="1024" t="s">
        <v>86</v>
      </c>
      <c r="Q81" s="1004"/>
      <c r="R81" s="1009" t="s">
        <v>395</v>
      </c>
      <c r="S81" s="1004" t="s">
        <v>98</v>
      </c>
      <c r="T81" s="1233" t="s">
        <v>396</v>
      </c>
      <c r="U81" s="1233"/>
      <c r="V81" s="1234" t="s">
        <v>298</v>
      </c>
      <c r="W81" s="1007" t="s">
        <v>247</v>
      </c>
      <c r="X81" s="1235">
        <v>2220.2067</v>
      </c>
      <c r="Y81" s="1236">
        <f t="shared" si="46"/>
        <v>4440.4134</v>
      </c>
      <c r="Z81" s="1236"/>
      <c r="AA81" s="1004" t="s">
        <v>512</v>
      </c>
      <c r="AB81" s="1004" t="s">
        <v>243</v>
      </c>
      <c r="AC81" s="1004" t="s">
        <v>93</v>
      </c>
      <c r="AD81" s="1023" t="s">
        <v>94</v>
      </c>
      <c r="AE81" s="1004"/>
      <c r="AF81" s="1002">
        <v>2304</v>
      </c>
      <c r="AG81" s="1002">
        <f t="shared" si="45"/>
        <v>0</v>
      </c>
      <c r="AH81" s="1237"/>
      <c r="AI81" s="1004"/>
      <c r="AJ81" s="1004"/>
      <c r="AK81" s="1004">
        <f t="shared" si="44"/>
        <v>2304</v>
      </c>
      <c r="AL81" s="1004"/>
      <c r="AM81" s="1004">
        <f t="shared" si="47"/>
        <v>2304</v>
      </c>
      <c r="AP81" s="1004"/>
      <c r="AQ81" s="1004"/>
      <c r="AS81" s="1004"/>
      <c r="AT81" s="1004"/>
      <c r="AU81" s="1004">
        <f t="shared" si="48"/>
        <v>2304</v>
      </c>
      <c r="AV81" s="1004"/>
      <c r="AZ81" s="974">
        <f t="shared" si="49"/>
        <v>192</v>
      </c>
      <c r="BU81" s="939">
        <f t="shared" si="39"/>
        <v>2304</v>
      </c>
      <c r="BV81" s="1222">
        <f t="shared" si="40"/>
        <v>2399514</v>
      </c>
      <c r="BW81" s="1018"/>
      <c r="BX81" s="1018"/>
      <c r="BY81" s="1018"/>
      <c r="BZ81" s="1018"/>
      <c r="CA81" s="856">
        <f t="shared" si="37"/>
        <v>420486</v>
      </c>
      <c r="CC81" s="964">
        <f t="shared" si="41"/>
        <v>0</v>
      </c>
      <c r="CD81" s="939">
        <f t="shared" si="42"/>
        <v>48640.5714285714</v>
      </c>
      <c r="CE81" s="1018"/>
      <c r="CF81" s="1018"/>
      <c r="CG81" s="1018"/>
      <c r="CH81" s="939">
        <f t="shared" si="38"/>
        <v>11359.4285714286</v>
      </c>
      <c r="CI81" s="1018"/>
    </row>
    <row r="82" s="974" customFormat="1" ht="31" customHeight="1" spans="1:87">
      <c r="A82" s="1228">
        <v>45679</v>
      </c>
      <c r="B82" s="1229" t="s">
        <v>240</v>
      </c>
      <c r="C82" s="1238" t="s">
        <v>125</v>
      </c>
      <c r="D82" s="1231">
        <v>4500156438</v>
      </c>
      <c r="E82" s="1229" t="s">
        <v>518</v>
      </c>
      <c r="F82" s="1231" t="s">
        <v>519</v>
      </c>
      <c r="G82" s="1004" t="s">
        <v>243</v>
      </c>
      <c r="H82" s="1004" t="s">
        <v>189</v>
      </c>
      <c r="I82" s="1004">
        <v>1152</v>
      </c>
      <c r="J82" s="1004">
        <v>0</v>
      </c>
      <c r="K82" s="1004">
        <v>1152</v>
      </c>
      <c r="L82" s="1232">
        <f t="shared" si="43"/>
        <v>1</v>
      </c>
      <c r="M82" s="1007">
        <v>45733</v>
      </c>
      <c r="N82" s="1007">
        <v>45729</v>
      </c>
      <c r="O82" s="1020"/>
      <c r="P82" s="1024" t="s">
        <v>86</v>
      </c>
      <c r="Q82" s="1004"/>
      <c r="R82" s="1009" t="s">
        <v>395</v>
      </c>
      <c r="S82" s="1004" t="s">
        <v>98</v>
      </c>
      <c r="T82" s="1233" t="s">
        <v>396</v>
      </c>
      <c r="U82" s="1233"/>
      <c r="V82" s="1234" t="s">
        <v>298</v>
      </c>
      <c r="W82" s="1007" t="s">
        <v>247</v>
      </c>
      <c r="X82" s="1235">
        <v>2220.2067</v>
      </c>
      <c r="Y82" s="1236">
        <f t="shared" si="46"/>
        <v>2220.2067</v>
      </c>
      <c r="Z82" s="1236"/>
      <c r="AA82" s="1004" t="s">
        <v>520</v>
      </c>
      <c r="AB82" s="1004" t="s">
        <v>243</v>
      </c>
      <c r="AC82" s="1004" t="s">
        <v>93</v>
      </c>
      <c r="AD82" s="1023" t="s">
        <v>94</v>
      </c>
      <c r="AE82" s="1004"/>
      <c r="AF82" s="1002">
        <v>1152</v>
      </c>
      <c r="AG82" s="1002">
        <f t="shared" si="45"/>
        <v>0</v>
      </c>
      <c r="AH82" s="1237"/>
      <c r="AI82" s="1004"/>
      <c r="AJ82" s="1004"/>
      <c r="AK82" s="1004">
        <f t="shared" si="44"/>
        <v>1152</v>
      </c>
      <c r="AL82" s="1004"/>
      <c r="AM82" s="1004">
        <f t="shared" si="47"/>
        <v>1152</v>
      </c>
      <c r="AP82" s="1004"/>
      <c r="AQ82" s="1004"/>
      <c r="AS82" s="1004"/>
      <c r="AT82" s="1004"/>
      <c r="AU82" s="1004">
        <f t="shared" si="48"/>
        <v>1152</v>
      </c>
      <c r="AV82" s="1004"/>
      <c r="AZ82" s="974">
        <f t="shared" si="49"/>
        <v>96</v>
      </c>
      <c r="BU82" s="939">
        <f t="shared" si="39"/>
        <v>1152</v>
      </c>
      <c r="BV82" s="1222">
        <f t="shared" si="40"/>
        <v>2400666</v>
      </c>
      <c r="BW82" s="1018"/>
      <c r="BX82" s="1018"/>
      <c r="BY82" s="1018"/>
      <c r="BZ82" s="1018"/>
      <c r="CA82" s="856">
        <f t="shared" si="37"/>
        <v>419334</v>
      </c>
      <c r="CC82" s="964">
        <f t="shared" si="41"/>
        <v>0</v>
      </c>
      <c r="CD82" s="939">
        <f t="shared" si="42"/>
        <v>48640.5714285714</v>
      </c>
      <c r="CE82" s="1018"/>
      <c r="CF82" s="1018"/>
      <c r="CG82" s="1018"/>
      <c r="CH82" s="939">
        <f t="shared" si="38"/>
        <v>11359.4285714286</v>
      </c>
      <c r="CI82" s="1018"/>
    </row>
    <row r="83" s="974" customFormat="1" ht="31" customHeight="1" spans="1:87">
      <c r="A83" s="1228">
        <v>45679</v>
      </c>
      <c r="B83" s="1229" t="s">
        <v>240</v>
      </c>
      <c r="C83" s="1238" t="s">
        <v>125</v>
      </c>
      <c r="D83" s="1231">
        <v>4500156438</v>
      </c>
      <c r="E83" s="1229" t="s">
        <v>521</v>
      </c>
      <c r="F83" s="1231" t="s">
        <v>522</v>
      </c>
      <c r="G83" s="1004" t="s">
        <v>243</v>
      </c>
      <c r="H83" s="1004" t="s">
        <v>189</v>
      </c>
      <c r="I83" s="1004">
        <v>1152</v>
      </c>
      <c r="J83" s="1004">
        <v>0</v>
      </c>
      <c r="K83" s="1004">
        <v>1152</v>
      </c>
      <c r="L83" s="1232">
        <f t="shared" si="43"/>
        <v>1</v>
      </c>
      <c r="M83" s="1007">
        <v>45733</v>
      </c>
      <c r="N83" s="1007">
        <v>45729</v>
      </c>
      <c r="O83" s="1020"/>
      <c r="P83" s="1024" t="s">
        <v>86</v>
      </c>
      <c r="Q83" s="1004"/>
      <c r="R83" s="1009" t="s">
        <v>395</v>
      </c>
      <c r="S83" s="1004" t="s">
        <v>98</v>
      </c>
      <c r="T83" s="1233" t="s">
        <v>396</v>
      </c>
      <c r="U83" s="1233"/>
      <c r="V83" s="1234" t="s">
        <v>298</v>
      </c>
      <c r="W83" s="1007" t="s">
        <v>247</v>
      </c>
      <c r="X83" s="1235">
        <v>2220.2067</v>
      </c>
      <c r="Y83" s="1236">
        <f t="shared" si="46"/>
        <v>2220.2067</v>
      </c>
      <c r="Z83" s="1236"/>
      <c r="AA83" s="1004" t="s">
        <v>523</v>
      </c>
      <c r="AB83" s="1004" t="s">
        <v>243</v>
      </c>
      <c r="AC83" s="1004" t="s">
        <v>93</v>
      </c>
      <c r="AD83" s="1023" t="s">
        <v>94</v>
      </c>
      <c r="AE83" s="1004"/>
      <c r="AF83" s="1022"/>
      <c r="AG83" s="1002">
        <f t="shared" si="45"/>
        <v>-1152</v>
      </c>
      <c r="AH83" s="1237"/>
      <c r="AI83" s="1004"/>
      <c r="AJ83" s="1004"/>
      <c r="AK83" s="1004">
        <f t="shared" si="44"/>
        <v>1152</v>
      </c>
      <c r="AL83" s="1004"/>
      <c r="AM83" s="1004">
        <f t="shared" si="47"/>
        <v>1152</v>
      </c>
      <c r="AP83" s="1004"/>
      <c r="AQ83" s="1004"/>
      <c r="AS83" s="1004"/>
      <c r="AT83" s="1004"/>
      <c r="AU83" s="1004">
        <f t="shared" si="48"/>
        <v>1152</v>
      </c>
      <c r="AV83" s="1004"/>
      <c r="AZ83" s="974">
        <f t="shared" si="49"/>
        <v>96</v>
      </c>
      <c r="BU83" s="939">
        <f t="shared" si="39"/>
        <v>1152</v>
      </c>
      <c r="BV83" s="1222">
        <f t="shared" si="40"/>
        <v>2401818</v>
      </c>
      <c r="BW83" s="1018"/>
      <c r="BX83" s="1018"/>
      <c r="BY83" s="1018"/>
      <c r="BZ83" s="1018"/>
      <c r="CA83" s="856">
        <f t="shared" si="37"/>
        <v>418182</v>
      </c>
      <c r="CC83" s="964">
        <f t="shared" si="41"/>
        <v>0</v>
      </c>
      <c r="CD83" s="939">
        <f t="shared" si="42"/>
        <v>48640.5714285714</v>
      </c>
      <c r="CE83" s="1018"/>
      <c r="CF83" s="1018"/>
      <c r="CG83" s="1018"/>
      <c r="CH83" s="939">
        <f t="shared" si="38"/>
        <v>11359.4285714286</v>
      </c>
      <c r="CI83" s="1018"/>
    </row>
    <row r="84" s="974" customFormat="1" ht="31" customHeight="1" spans="1:87">
      <c r="A84" s="1228">
        <v>45700</v>
      </c>
      <c r="B84" s="1229" t="s">
        <v>240</v>
      </c>
      <c r="C84" s="1238" t="s">
        <v>125</v>
      </c>
      <c r="D84" s="1231">
        <v>4500157306</v>
      </c>
      <c r="E84" s="1419" t="s">
        <v>524</v>
      </c>
      <c r="F84" s="1231" t="s">
        <v>525</v>
      </c>
      <c r="G84" s="1004" t="s">
        <v>243</v>
      </c>
      <c r="H84" s="1004" t="s">
        <v>189</v>
      </c>
      <c r="I84" s="1004">
        <v>1152</v>
      </c>
      <c r="J84" s="1004">
        <v>0</v>
      </c>
      <c r="K84" s="1004">
        <v>1152</v>
      </c>
      <c r="L84" s="1232">
        <f t="shared" si="43"/>
        <v>1</v>
      </c>
      <c r="M84" s="1007">
        <v>45733</v>
      </c>
      <c r="N84" s="1007">
        <v>45729</v>
      </c>
      <c r="O84" s="1020"/>
      <c r="P84" s="1024" t="s">
        <v>86</v>
      </c>
      <c r="Q84" s="1004"/>
      <c r="R84" s="1009" t="s">
        <v>395</v>
      </c>
      <c r="S84" s="1004" t="s">
        <v>98</v>
      </c>
      <c r="T84" s="1233" t="s">
        <v>396</v>
      </c>
      <c r="U84" s="1233"/>
      <c r="V84" s="1234" t="s">
        <v>397</v>
      </c>
      <c r="W84" s="1007" t="s">
        <v>247</v>
      </c>
      <c r="X84" s="1235">
        <v>2233.8003</v>
      </c>
      <c r="Y84" s="1236">
        <f t="shared" si="46"/>
        <v>2233.8003</v>
      </c>
      <c r="Z84" s="1236"/>
      <c r="AA84" s="1004" t="s">
        <v>526</v>
      </c>
      <c r="AB84" s="1004" t="s">
        <v>243</v>
      </c>
      <c r="AC84" s="1004" t="s">
        <v>93</v>
      </c>
      <c r="AD84" s="1023" t="s">
        <v>94</v>
      </c>
      <c r="AE84" s="1004"/>
      <c r="AF84" s="1022"/>
      <c r="AG84" s="1002">
        <f t="shared" si="45"/>
        <v>-1152</v>
      </c>
      <c r="AH84" s="1237"/>
      <c r="AI84" s="1004"/>
      <c r="AJ84" s="1004"/>
      <c r="AK84" s="1004">
        <f t="shared" si="44"/>
        <v>1152</v>
      </c>
      <c r="AL84" s="1004"/>
      <c r="AM84" s="1004">
        <f t="shared" si="47"/>
        <v>1152</v>
      </c>
      <c r="AP84" s="1004"/>
      <c r="AQ84" s="1004"/>
      <c r="AS84" s="1004"/>
      <c r="AT84" s="1004"/>
      <c r="AU84" s="1004">
        <f t="shared" si="48"/>
        <v>1152</v>
      </c>
      <c r="AV84" s="1004"/>
      <c r="AZ84" s="974">
        <f t="shared" si="49"/>
        <v>96</v>
      </c>
      <c r="BU84" s="939">
        <f t="shared" si="39"/>
        <v>1152</v>
      </c>
      <c r="BV84" s="1222">
        <f t="shared" si="40"/>
        <v>2402970</v>
      </c>
      <c r="BW84" s="1018"/>
      <c r="BX84" s="1018"/>
      <c r="BY84" s="1018"/>
      <c r="BZ84" s="1018"/>
      <c r="CA84" s="856">
        <f t="shared" si="37"/>
        <v>417030</v>
      </c>
      <c r="CC84" s="964">
        <f t="shared" si="41"/>
        <v>0</v>
      </c>
      <c r="CD84" s="939">
        <f t="shared" si="42"/>
        <v>48640.5714285714</v>
      </c>
      <c r="CE84" s="1018"/>
      <c r="CF84" s="1018"/>
      <c r="CG84" s="1018"/>
      <c r="CH84" s="939">
        <f t="shared" si="38"/>
        <v>11359.4285714286</v>
      </c>
      <c r="CI84" s="1018"/>
    </row>
    <row r="85" s="974" customFormat="1" ht="31" customHeight="1" spans="1:87">
      <c r="A85" s="1228">
        <v>45698</v>
      </c>
      <c r="B85" s="1229" t="s">
        <v>527</v>
      </c>
      <c r="C85" s="1238" t="s">
        <v>528</v>
      </c>
      <c r="D85" s="1231">
        <v>4500156544</v>
      </c>
      <c r="E85" s="1229"/>
      <c r="F85" s="1231" t="s">
        <v>529</v>
      </c>
      <c r="G85" s="1004" t="s">
        <v>188</v>
      </c>
      <c r="H85" s="1004" t="s">
        <v>189</v>
      </c>
      <c r="I85" s="1004">
        <v>1196</v>
      </c>
      <c r="J85" s="1004">
        <v>0</v>
      </c>
      <c r="K85" s="1004">
        <v>52</v>
      </c>
      <c r="L85" s="1232">
        <f t="shared" si="43"/>
        <v>23</v>
      </c>
      <c r="M85" s="1007">
        <v>45737</v>
      </c>
      <c r="N85" s="1007">
        <v>45734</v>
      </c>
      <c r="O85" s="1020"/>
      <c r="P85" s="1024" t="s">
        <v>86</v>
      </c>
      <c r="Q85" s="1004"/>
      <c r="R85" s="1009">
        <v>45696</v>
      </c>
      <c r="S85" s="1004" t="s">
        <v>98</v>
      </c>
      <c r="T85" s="1233">
        <v>45707</v>
      </c>
      <c r="U85" s="1233"/>
      <c r="V85" s="1234" t="s">
        <v>530</v>
      </c>
      <c r="W85" s="1007" t="s">
        <v>225</v>
      </c>
      <c r="X85" s="1235">
        <v>1.9026</v>
      </c>
      <c r="Y85" s="1236">
        <f>I85*X85</f>
        <v>2275.5096</v>
      </c>
      <c r="Z85" s="1236"/>
      <c r="AA85" s="1004" t="s">
        <v>531</v>
      </c>
      <c r="AB85" s="1004" t="s">
        <v>532</v>
      </c>
      <c r="AC85" s="1004" t="s">
        <v>93</v>
      </c>
      <c r="AD85" s="1023" t="s">
        <v>94</v>
      </c>
      <c r="AE85" s="1004"/>
      <c r="AF85" s="1002">
        <f>1196</f>
        <v>1196</v>
      </c>
      <c r="AG85" s="1002">
        <f t="shared" si="45"/>
        <v>0</v>
      </c>
      <c r="AH85" s="1237"/>
      <c r="AI85" s="1004" t="s">
        <v>95</v>
      </c>
      <c r="AJ85" s="1004"/>
      <c r="AK85" s="1004">
        <f t="shared" si="44"/>
        <v>1196</v>
      </c>
      <c r="AL85" s="1004"/>
      <c r="AM85" s="1004"/>
      <c r="AP85" s="1004">
        <f>I85</f>
        <v>1196</v>
      </c>
      <c r="AQ85" s="1004"/>
      <c r="AS85" s="1004">
        <f>I85</f>
        <v>1196</v>
      </c>
      <c r="AT85" s="1004"/>
      <c r="AU85" s="1004"/>
      <c r="AV85" s="1004"/>
      <c r="BD85" s="974">
        <f>I85/13</f>
        <v>92</v>
      </c>
      <c r="BU85" s="939">
        <f t="shared" si="39"/>
        <v>1196</v>
      </c>
      <c r="BV85" s="1222">
        <f t="shared" si="40"/>
        <v>2404166</v>
      </c>
      <c r="BW85" s="1018"/>
      <c r="BX85" s="1018"/>
      <c r="BY85" s="1018"/>
      <c r="BZ85" s="1018"/>
      <c r="CA85" s="856">
        <f t="shared" si="37"/>
        <v>415834</v>
      </c>
      <c r="CC85" s="964">
        <f t="shared" si="41"/>
        <v>0</v>
      </c>
      <c r="CD85" s="939">
        <f t="shared" si="42"/>
        <v>48640.5714285714</v>
      </c>
      <c r="CE85" s="1018"/>
      <c r="CF85" s="1018"/>
      <c r="CG85" s="1018"/>
      <c r="CH85" s="939">
        <f t="shared" si="38"/>
        <v>11359.4285714286</v>
      </c>
      <c r="CI85" s="1018"/>
    </row>
    <row r="86" s="974" customFormat="1" ht="31" customHeight="1" spans="1:87">
      <c r="A86" s="1228">
        <v>45712</v>
      </c>
      <c r="B86" s="1229" t="s">
        <v>533</v>
      </c>
      <c r="C86" s="1238" t="s">
        <v>534</v>
      </c>
      <c r="D86" s="1231">
        <v>4500158356</v>
      </c>
      <c r="E86" s="1229"/>
      <c r="F86" s="1231" t="s">
        <v>535</v>
      </c>
      <c r="G86" s="1004" t="s">
        <v>205</v>
      </c>
      <c r="H86" s="1004" t="s">
        <v>189</v>
      </c>
      <c r="I86" s="1004">
        <v>750</v>
      </c>
      <c r="J86" s="1004">
        <v>0</v>
      </c>
      <c r="K86" s="1004">
        <v>50</v>
      </c>
      <c r="L86" s="1232">
        <f t="shared" si="43"/>
        <v>15</v>
      </c>
      <c r="M86" s="1007">
        <v>45744</v>
      </c>
      <c r="N86" s="1007">
        <v>45740</v>
      </c>
      <c r="O86" s="1020"/>
      <c r="P86" s="1024" t="s">
        <v>86</v>
      </c>
      <c r="Q86" s="1004"/>
      <c r="R86" s="1009">
        <v>45713</v>
      </c>
      <c r="S86" s="1004" t="s">
        <v>98</v>
      </c>
      <c r="T86" s="1233">
        <v>45712</v>
      </c>
      <c r="U86" s="1233"/>
      <c r="V86" s="1234" t="s">
        <v>536</v>
      </c>
      <c r="W86" s="1007" t="s">
        <v>225</v>
      </c>
      <c r="X86" s="1235">
        <v>2.0019</v>
      </c>
      <c r="Y86" s="1236">
        <f>I86*X86</f>
        <v>1501.425</v>
      </c>
      <c r="Z86" s="1236"/>
      <c r="AA86" s="1004" t="s">
        <v>537</v>
      </c>
      <c r="AB86" s="1004" t="s">
        <v>210</v>
      </c>
      <c r="AC86" s="1004" t="s">
        <v>93</v>
      </c>
      <c r="AD86" s="1023" t="s">
        <v>94</v>
      </c>
      <c r="AE86" s="1004"/>
      <c r="AF86" s="1002">
        <v>750</v>
      </c>
      <c r="AG86" s="1002">
        <f t="shared" si="45"/>
        <v>0</v>
      </c>
      <c r="AH86" s="1237"/>
      <c r="AI86" s="1004" t="s">
        <v>95</v>
      </c>
      <c r="AJ86" s="1004"/>
      <c r="AK86" s="1004">
        <f t="shared" si="44"/>
        <v>750</v>
      </c>
      <c r="AL86" s="1004"/>
      <c r="AM86" s="1004"/>
      <c r="AP86" s="1004">
        <f>I86</f>
        <v>750</v>
      </c>
      <c r="AQ86" s="1004"/>
      <c r="AS86" s="1004">
        <f>I86</f>
        <v>750</v>
      </c>
      <c r="AT86" s="1004"/>
      <c r="AU86" s="1004"/>
      <c r="AV86" s="1004"/>
      <c r="BF86" s="974">
        <f>I86/25</f>
        <v>30</v>
      </c>
      <c r="BU86" s="939">
        <f t="shared" si="39"/>
        <v>750</v>
      </c>
      <c r="BV86" s="1222">
        <f t="shared" si="40"/>
        <v>2404916</v>
      </c>
      <c r="BW86" s="1018"/>
      <c r="BX86" s="1018"/>
      <c r="BY86" s="1018"/>
      <c r="BZ86" s="1018"/>
      <c r="CA86" s="856">
        <f t="shared" si="37"/>
        <v>415084</v>
      </c>
      <c r="CC86" s="964">
        <f t="shared" si="41"/>
        <v>30</v>
      </c>
      <c r="CD86" s="939">
        <f t="shared" si="42"/>
        <v>48670.5714285714</v>
      </c>
      <c r="CE86" s="1018"/>
      <c r="CF86" s="1018"/>
      <c r="CG86" s="1018"/>
      <c r="CH86" s="939">
        <f t="shared" si="38"/>
        <v>11329.4285714286</v>
      </c>
      <c r="CI86" s="1018"/>
    </row>
    <row r="87" s="974" customFormat="1" ht="31" customHeight="1" spans="1:87">
      <c r="A87" s="1228">
        <v>45740</v>
      </c>
      <c r="B87" s="1229"/>
      <c r="C87" s="1238"/>
      <c r="D87" s="1231" t="s">
        <v>538</v>
      </c>
      <c r="E87" s="1229"/>
      <c r="F87" s="1231"/>
      <c r="G87" s="1004" t="s">
        <v>213</v>
      </c>
      <c r="H87" s="1004" t="s">
        <v>189</v>
      </c>
      <c r="I87" s="1004" t="s">
        <v>539</v>
      </c>
      <c r="J87" s="1004">
        <v>0</v>
      </c>
      <c r="K87" s="1004">
        <v>24</v>
      </c>
      <c r="L87" s="1232" t="e">
        <f t="shared" si="43"/>
        <v>#VALUE!</v>
      </c>
      <c r="M87" s="1007">
        <v>45749</v>
      </c>
      <c r="N87" s="1007">
        <f>M87-4</f>
        <v>45745</v>
      </c>
      <c r="O87" s="1020"/>
      <c r="P87" s="1024"/>
      <c r="Q87" s="1004"/>
      <c r="R87" s="1009">
        <v>45740</v>
      </c>
      <c r="S87" s="1004" t="s">
        <v>98</v>
      </c>
      <c r="T87" s="1233" t="s">
        <v>98</v>
      </c>
      <c r="U87" s="1233"/>
      <c r="V87" s="1234" t="s">
        <v>540</v>
      </c>
      <c r="W87" s="1007" t="s">
        <v>541</v>
      </c>
      <c r="X87" s="1235"/>
      <c r="Y87" s="1236"/>
      <c r="Z87" s="1236"/>
      <c r="AA87" s="1004">
        <v>95977</v>
      </c>
      <c r="AB87" s="1004"/>
      <c r="AC87" s="1004" t="s">
        <v>542</v>
      </c>
      <c r="AD87" s="1023"/>
      <c r="AE87" s="1004"/>
      <c r="AF87" s="1002">
        <v>142</v>
      </c>
      <c r="AG87" s="1002">
        <v>0</v>
      </c>
      <c r="AH87" s="1237"/>
      <c r="AI87" s="1004"/>
      <c r="AJ87" s="1004"/>
      <c r="AK87" s="1004"/>
      <c r="AL87" s="1004"/>
      <c r="AM87" s="1004"/>
      <c r="AP87" s="1004"/>
      <c r="AQ87" s="1004"/>
      <c r="AS87" s="1004"/>
      <c r="AT87" s="1004"/>
      <c r="AU87" s="1004"/>
      <c r="AV87" s="1004"/>
      <c r="BU87" s="939">
        <f t="shared" si="39"/>
        <v>0</v>
      </c>
      <c r="BV87" s="1222">
        <f t="shared" si="40"/>
        <v>2404916</v>
      </c>
      <c r="BW87" s="1018"/>
      <c r="BX87" s="1018"/>
      <c r="BY87" s="1018"/>
      <c r="BZ87" s="1018"/>
      <c r="CA87" s="856">
        <f t="shared" si="37"/>
        <v>415084</v>
      </c>
      <c r="CC87" s="964">
        <f t="shared" si="41"/>
        <v>0</v>
      </c>
      <c r="CD87" s="939">
        <f t="shared" si="42"/>
        <v>48670.5714285714</v>
      </c>
      <c r="CE87" s="1018"/>
      <c r="CF87" s="1018"/>
      <c r="CG87" s="1018"/>
      <c r="CH87" s="939">
        <f t="shared" si="38"/>
        <v>11329.4285714286</v>
      </c>
      <c r="CI87" s="1018"/>
    </row>
    <row r="88" s="974" customFormat="1" ht="31" customHeight="1" spans="1:87">
      <c r="A88" s="1228">
        <v>45740</v>
      </c>
      <c r="B88" s="1229"/>
      <c r="C88" s="1238"/>
      <c r="D88" s="1231" t="s">
        <v>538</v>
      </c>
      <c r="E88" s="1229"/>
      <c r="F88" s="1231"/>
      <c r="G88" s="1004" t="s">
        <v>213</v>
      </c>
      <c r="H88" s="1004" t="s">
        <v>189</v>
      </c>
      <c r="I88" s="1004" t="s">
        <v>543</v>
      </c>
      <c r="J88" s="1004">
        <v>0</v>
      </c>
      <c r="K88" s="1004">
        <v>24</v>
      </c>
      <c r="L88" s="1232" t="e">
        <f t="shared" si="43"/>
        <v>#VALUE!</v>
      </c>
      <c r="M88" s="1007">
        <v>45749</v>
      </c>
      <c r="N88" s="1007">
        <f>M88-4</f>
        <v>45745</v>
      </c>
      <c r="O88" s="1020"/>
      <c r="P88" s="1024"/>
      <c r="Q88" s="1004"/>
      <c r="R88" s="1009">
        <v>45740</v>
      </c>
      <c r="S88" s="1004" t="s">
        <v>98</v>
      </c>
      <c r="T88" s="1233" t="s">
        <v>98</v>
      </c>
      <c r="U88" s="1233"/>
      <c r="V88" s="1234" t="s">
        <v>544</v>
      </c>
      <c r="W88" s="1007" t="s">
        <v>541</v>
      </c>
      <c r="X88" s="1235"/>
      <c r="Y88" s="1236"/>
      <c r="Z88" s="1236"/>
      <c r="AA88" s="1004">
        <v>95977</v>
      </c>
      <c r="AB88" s="1004"/>
      <c r="AC88" s="1004" t="s">
        <v>542</v>
      </c>
      <c r="AD88" s="1023"/>
      <c r="AE88" s="1004"/>
      <c r="AF88" s="1002">
        <v>7</v>
      </c>
      <c r="AG88" s="1002">
        <v>0</v>
      </c>
      <c r="AH88" s="1237"/>
      <c r="AI88" s="1004"/>
      <c r="AJ88" s="1004"/>
      <c r="AK88" s="1004"/>
      <c r="AL88" s="1004"/>
      <c r="AM88" s="1004"/>
      <c r="AP88" s="1004"/>
      <c r="AQ88" s="1004"/>
      <c r="AS88" s="1004"/>
      <c r="AT88" s="1004"/>
      <c r="AU88" s="1004"/>
      <c r="AV88" s="1004"/>
      <c r="BU88" s="939">
        <f t="shared" si="39"/>
        <v>0</v>
      </c>
      <c r="BV88" s="1222">
        <f t="shared" si="40"/>
        <v>2404916</v>
      </c>
      <c r="BW88" s="1018"/>
      <c r="BX88" s="1018"/>
      <c r="BY88" s="1018"/>
      <c r="BZ88" s="1018"/>
      <c r="CA88" s="856">
        <f t="shared" si="37"/>
        <v>415084</v>
      </c>
      <c r="CC88" s="964">
        <f t="shared" si="41"/>
        <v>0</v>
      </c>
      <c r="CD88" s="939">
        <f t="shared" si="42"/>
        <v>48670.5714285714</v>
      </c>
      <c r="CE88" s="1018"/>
      <c r="CF88" s="1018"/>
      <c r="CG88" s="1018"/>
      <c r="CH88" s="939">
        <f t="shared" si="38"/>
        <v>11329.4285714286</v>
      </c>
      <c r="CI88" s="1018"/>
    </row>
    <row r="89" s="974" customFormat="1" ht="31" customHeight="1" spans="1:87">
      <c r="A89" s="1228">
        <v>45721</v>
      </c>
      <c r="B89" s="1229" t="s">
        <v>545</v>
      </c>
      <c r="C89" s="1238" t="s">
        <v>546</v>
      </c>
      <c r="D89" s="1231">
        <v>4500159239</v>
      </c>
      <c r="E89" s="1229"/>
      <c r="F89" s="1231" t="s">
        <v>547</v>
      </c>
      <c r="G89" s="1004" t="s">
        <v>188</v>
      </c>
      <c r="H89" s="1004" t="s">
        <v>189</v>
      </c>
      <c r="I89" s="1004">
        <v>416</v>
      </c>
      <c r="J89" s="1004">
        <v>0</v>
      </c>
      <c r="K89" s="1004">
        <v>52</v>
      </c>
      <c r="L89" s="1232">
        <f t="shared" si="43"/>
        <v>8</v>
      </c>
      <c r="M89" s="1007">
        <v>45758</v>
      </c>
      <c r="N89" s="1007">
        <f>M89-4</f>
        <v>45754</v>
      </c>
      <c r="O89" s="1020"/>
      <c r="P89" s="1024" t="s">
        <v>86</v>
      </c>
      <c r="Q89" s="1004"/>
      <c r="R89" s="1009">
        <v>45721</v>
      </c>
      <c r="S89" s="1004" t="s">
        <v>98</v>
      </c>
      <c r="T89" s="1233" t="s">
        <v>98</v>
      </c>
      <c r="U89" s="1233"/>
      <c r="V89" s="1234" t="s">
        <v>548</v>
      </c>
      <c r="W89" s="1007" t="s">
        <v>444</v>
      </c>
      <c r="X89" s="1235">
        <v>1.8868</v>
      </c>
      <c r="Y89" s="1236">
        <f t="shared" ref="Y89:Y100" si="50">I89*X89</f>
        <v>784.9088</v>
      </c>
      <c r="Z89" s="1236"/>
      <c r="AA89" s="1004" t="s">
        <v>549</v>
      </c>
      <c r="AB89" s="1004" t="s">
        <v>188</v>
      </c>
      <c r="AC89" s="1004" t="s">
        <v>93</v>
      </c>
      <c r="AD89" s="1023" t="s">
        <v>94</v>
      </c>
      <c r="AE89" s="1004"/>
      <c r="AF89" s="1002">
        <v>416</v>
      </c>
      <c r="AG89" s="1002">
        <f t="shared" ref="AG89:AG127" si="51">AF89-I89</f>
        <v>0</v>
      </c>
      <c r="AH89" s="1237"/>
      <c r="AI89" s="1004" t="s">
        <v>98</v>
      </c>
      <c r="AJ89" s="1004"/>
      <c r="AK89" s="1004">
        <f t="shared" ref="AK89:AK99" si="52">I89</f>
        <v>416</v>
      </c>
      <c r="AL89" s="1004"/>
      <c r="AM89" s="1004">
        <f>I89</f>
        <v>416</v>
      </c>
      <c r="AP89" s="1004"/>
      <c r="AQ89" s="1004"/>
      <c r="AS89" s="1004">
        <f t="shared" ref="AS89:AS99" si="53">I89</f>
        <v>416</v>
      </c>
      <c r="AT89" s="1004"/>
      <c r="AU89" s="1004"/>
      <c r="AV89" s="1004"/>
      <c r="BC89" s="974">
        <f>I89/13</f>
        <v>32</v>
      </c>
      <c r="BU89" s="939">
        <f t="shared" si="39"/>
        <v>416</v>
      </c>
      <c r="BV89" s="1222">
        <f t="shared" si="40"/>
        <v>2405332</v>
      </c>
      <c r="BW89" s="1018"/>
      <c r="BX89" s="1018"/>
      <c r="BY89" s="1018"/>
      <c r="BZ89" s="1018"/>
      <c r="CA89" s="856">
        <f t="shared" si="37"/>
        <v>414668</v>
      </c>
      <c r="CC89" s="964">
        <f t="shared" si="41"/>
        <v>0</v>
      </c>
      <c r="CD89" s="939">
        <f t="shared" si="42"/>
        <v>48670.5714285714</v>
      </c>
      <c r="CE89" s="1018"/>
      <c r="CF89" s="1018"/>
      <c r="CG89" s="1018"/>
      <c r="CH89" s="939">
        <f t="shared" si="38"/>
        <v>11329.4285714286</v>
      </c>
      <c r="CI89" s="1018"/>
    </row>
    <row r="90" s="974" customFormat="1" ht="31" customHeight="1" spans="1:87">
      <c r="A90" s="1228">
        <v>45712</v>
      </c>
      <c r="B90" s="1229" t="s">
        <v>550</v>
      </c>
      <c r="C90" s="1238" t="s">
        <v>551</v>
      </c>
      <c r="D90" s="1231">
        <v>4500158302</v>
      </c>
      <c r="E90" s="1229"/>
      <c r="F90" s="1231" t="s">
        <v>552</v>
      </c>
      <c r="G90" s="1004" t="s">
        <v>205</v>
      </c>
      <c r="H90" s="1004" t="s">
        <v>189</v>
      </c>
      <c r="I90" s="1004">
        <v>350</v>
      </c>
      <c r="J90" s="1004">
        <v>0</v>
      </c>
      <c r="K90" s="1004">
        <v>50</v>
      </c>
      <c r="L90" s="1232">
        <f t="shared" si="43"/>
        <v>7</v>
      </c>
      <c r="M90" s="1007">
        <v>45763</v>
      </c>
      <c r="N90" s="1007">
        <v>45759</v>
      </c>
      <c r="O90" s="1020"/>
      <c r="P90" s="1024" t="s">
        <v>86</v>
      </c>
      <c r="Q90" s="1004"/>
      <c r="R90" s="1009" t="s">
        <v>553</v>
      </c>
      <c r="S90" s="1004" t="s">
        <v>98</v>
      </c>
      <c r="T90" s="1233">
        <v>45737</v>
      </c>
      <c r="U90" s="1233"/>
      <c r="V90" s="1234" t="s">
        <v>554</v>
      </c>
      <c r="W90" s="1007" t="s">
        <v>119</v>
      </c>
      <c r="X90" s="1235">
        <v>2.0019</v>
      </c>
      <c r="Y90" s="1236">
        <f t="shared" si="50"/>
        <v>700.665</v>
      </c>
      <c r="Z90" s="1236"/>
      <c r="AA90" s="1004" t="s">
        <v>555</v>
      </c>
      <c r="AB90" s="1004" t="s">
        <v>210</v>
      </c>
      <c r="AC90" s="1004" t="s">
        <v>93</v>
      </c>
      <c r="AD90" s="1023" t="s">
        <v>94</v>
      </c>
      <c r="AE90" s="1004"/>
      <c r="AF90" s="1002">
        <v>350</v>
      </c>
      <c r="AG90" s="1002">
        <f t="shared" si="51"/>
        <v>0</v>
      </c>
      <c r="AH90" s="1237"/>
      <c r="AI90" s="1004" t="s">
        <v>95</v>
      </c>
      <c r="AJ90" s="1004"/>
      <c r="AK90" s="1004">
        <f t="shared" si="52"/>
        <v>350</v>
      </c>
      <c r="AL90" s="1004"/>
      <c r="AM90" s="1004"/>
      <c r="AP90" s="1004">
        <f>I90</f>
        <v>350</v>
      </c>
      <c r="AQ90" s="1004"/>
      <c r="AS90" s="1004">
        <f t="shared" si="53"/>
        <v>350</v>
      </c>
      <c r="AT90" s="1004"/>
      <c r="AU90" s="1004"/>
      <c r="AV90" s="1004"/>
      <c r="BF90" s="974">
        <f>I90/25</f>
        <v>14</v>
      </c>
      <c r="BU90" s="939">
        <f t="shared" si="39"/>
        <v>350</v>
      </c>
      <c r="BV90" s="1222">
        <f t="shared" si="40"/>
        <v>2405682</v>
      </c>
      <c r="BW90" s="1018"/>
      <c r="BX90" s="1018"/>
      <c r="BY90" s="1018"/>
      <c r="BZ90" s="1018"/>
      <c r="CA90" s="856">
        <f t="shared" si="37"/>
        <v>414318</v>
      </c>
      <c r="CC90" s="964">
        <f t="shared" si="41"/>
        <v>14</v>
      </c>
      <c r="CD90" s="939">
        <f t="shared" si="42"/>
        <v>48684.5714285714</v>
      </c>
      <c r="CE90" s="1018"/>
      <c r="CF90" s="1018"/>
      <c r="CG90" s="1018"/>
      <c r="CH90" s="939">
        <f t="shared" si="38"/>
        <v>11315.4285714286</v>
      </c>
      <c r="CI90" s="1018"/>
    </row>
    <row r="91" s="974" customFormat="1" ht="31" customHeight="1" spans="1:87">
      <c r="A91" s="1228">
        <v>45712</v>
      </c>
      <c r="B91" s="1229" t="s">
        <v>556</v>
      </c>
      <c r="C91" s="1238" t="s">
        <v>557</v>
      </c>
      <c r="D91" s="1231">
        <v>4500158358</v>
      </c>
      <c r="E91" s="1229"/>
      <c r="F91" s="1231" t="s">
        <v>558</v>
      </c>
      <c r="G91" s="1004" t="s">
        <v>205</v>
      </c>
      <c r="H91" s="1004" t="s">
        <v>189</v>
      </c>
      <c r="I91" s="1004">
        <v>200</v>
      </c>
      <c r="J91" s="1004">
        <v>0</v>
      </c>
      <c r="K91" s="1004">
        <v>50</v>
      </c>
      <c r="L91" s="1232">
        <f t="shared" si="43"/>
        <v>4</v>
      </c>
      <c r="M91" s="1007">
        <v>45763</v>
      </c>
      <c r="N91" s="1007">
        <v>45759</v>
      </c>
      <c r="O91" s="1020"/>
      <c r="P91" s="1024" t="s">
        <v>86</v>
      </c>
      <c r="Q91" s="1004"/>
      <c r="R91" s="1009" t="s">
        <v>553</v>
      </c>
      <c r="S91" s="1004" t="s">
        <v>98</v>
      </c>
      <c r="T91" s="1233">
        <v>45737</v>
      </c>
      <c r="U91" s="1233"/>
      <c r="V91" s="1234" t="s">
        <v>559</v>
      </c>
      <c r="W91" s="1007" t="s">
        <v>119</v>
      </c>
      <c r="X91" s="1235">
        <v>2.0019</v>
      </c>
      <c r="Y91" s="1236">
        <f t="shared" si="50"/>
        <v>400.38</v>
      </c>
      <c r="Z91" s="1236"/>
      <c r="AA91" s="1004" t="s">
        <v>560</v>
      </c>
      <c r="AB91" s="1004" t="s">
        <v>210</v>
      </c>
      <c r="AC91" s="1004" t="s">
        <v>93</v>
      </c>
      <c r="AD91" s="1023" t="s">
        <v>94</v>
      </c>
      <c r="AE91" s="1004"/>
      <c r="AF91" s="1002">
        <v>200</v>
      </c>
      <c r="AG91" s="1002">
        <f t="shared" si="51"/>
        <v>0</v>
      </c>
      <c r="AH91" s="1237"/>
      <c r="AI91" s="1004"/>
      <c r="AJ91" s="1004"/>
      <c r="AK91" s="1004">
        <f t="shared" si="52"/>
        <v>200</v>
      </c>
      <c r="AL91" s="1004"/>
      <c r="AM91" s="1004"/>
      <c r="AP91" s="1004">
        <f>I91</f>
        <v>200</v>
      </c>
      <c r="AQ91" s="1004"/>
      <c r="AS91" s="1004">
        <f t="shared" si="53"/>
        <v>200</v>
      </c>
      <c r="AT91" s="1004"/>
      <c r="AU91" s="1004"/>
      <c r="AV91" s="1004"/>
      <c r="BF91" s="974">
        <f>I91/25</f>
        <v>8</v>
      </c>
      <c r="BU91" s="939">
        <f t="shared" si="39"/>
        <v>200</v>
      </c>
      <c r="BV91" s="1222">
        <f t="shared" si="40"/>
        <v>2405882</v>
      </c>
      <c r="BW91" s="1018"/>
      <c r="BX91" s="1018"/>
      <c r="BY91" s="1018"/>
      <c r="BZ91" s="1018"/>
      <c r="CA91" s="856">
        <f t="shared" si="37"/>
        <v>414118</v>
      </c>
      <c r="CC91" s="964">
        <f t="shared" si="41"/>
        <v>8</v>
      </c>
      <c r="CD91" s="939">
        <f t="shared" si="42"/>
        <v>48692.5714285714</v>
      </c>
      <c r="CE91" s="1018"/>
      <c r="CF91" s="1018"/>
      <c r="CG91" s="1018"/>
      <c r="CH91" s="939">
        <f t="shared" si="38"/>
        <v>11307.4285714286</v>
      </c>
      <c r="CI91" s="1018"/>
    </row>
    <row r="92" s="974" customFormat="1" ht="31" customHeight="1" spans="1:87">
      <c r="A92" s="1228">
        <v>45712</v>
      </c>
      <c r="B92" s="1229" t="s">
        <v>561</v>
      </c>
      <c r="C92" s="1238" t="s">
        <v>562</v>
      </c>
      <c r="D92" s="1231">
        <v>4500158415</v>
      </c>
      <c r="E92" s="1229"/>
      <c r="F92" s="1231" t="s">
        <v>563</v>
      </c>
      <c r="G92" s="1004" t="s">
        <v>205</v>
      </c>
      <c r="H92" s="1004" t="s">
        <v>189</v>
      </c>
      <c r="I92" s="1004">
        <v>250</v>
      </c>
      <c r="J92" s="1004">
        <v>0</v>
      </c>
      <c r="K92" s="1004">
        <v>50</v>
      </c>
      <c r="L92" s="1232">
        <f t="shared" si="43"/>
        <v>5</v>
      </c>
      <c r="M92" s="1007">
        <v>45763</v>
      </c>
      <c r="N92" s="1007">
        <v>45759</v>
      </c>
      <c r="O92" s="1020"/>
      <c r="P92" s="1024" t="s">
        <v>86</v>
      </c>
      <c r="Q92" s="1004"/>
      <c r="R92" s="1009" t="s">
        <v>553</v>
      </c>
      <c r="S92" s="1004" t="s">
        <v>98</v>
      </c>
      <c r="T92" s="1233">
        <v>45737</v>
      </c>
      <c r="U92" s="1233"/>
      <c r="V92" s="1234" t="s">
        <v>564</v>
      </c>
      <c r="W92" s="1007" t="s">
        <v>119</v>
      </c>
      <c r="X92" s="1235">
        <v>2.0019</v>
      </c>
      <c r="Y92" s="1236">
        <f t="shared" si="50"/>
        <v>500.475</v>
      </c>
      <c r="Z92" s="1236"/>
      <c r="AA92" s="1004" t="s">
        <v>565</v>
      </c>
      <c r="AB92" s="1004" t="s">
        <v>210</v>
      </c>
      <c r="AC92" s="1004" t="s">
        <v>93</v>
      </c>
      <c r="AD92" s="1023" t="s">
        <v>94</v>
      </c>
      <c r="AE92" s="1004"/>
      <c r="AF92" s="1002">
        <v>250</v>
      </c>
      <c r="AG92" s="1002">
        <f t="shared" si="51"/>
        <v>0</v>
      </c>
      <c r="AH92" s="1237"/>
      <c r="AI92" s="1004"/>
      <c r="AJ92" s="1004"/>
      <c r="AK92" s="1004">
        <f t="shared" si="52"/>
        <v>250</v>
      </c>
      <c r="AL92" s="1004"/>
      <c r="AM92" s="1004"/>
      <c r="AP92" s="1004">
        <f>I92</f>
        <v>250</v>
      </c>
      <c r="AQ92" s="1004"/>
      <c r="AS92" s="1004">
        <f t="shared" si="53"/>
        <v>250</v>
      </c>
      <c r="AT92" s="1004"/>
      <c r="AU92" s="1004"/>
      <c r="AV92" s="1004"/>
      <c r="BF92" s="974">
        <f>I92/25</f>
        <v>10</v>
      </c>
      <c r="BU92" s="939">
        <f t="shared" si="39"/>
        <v>250</v>
      </c>
      <c r="BV92" s="1222">
        <f t="shared" si="40"/>
        <v>2406132</v>
      </c>
      <c r="BW92" s="1018"/>
      <c r="BX92" s="1018"/>
      <c r="BY92" s="1018"/>
      <c r="BZ92" s="1018"/>
      <c r="CA92" s="856">
        <f t="shared" si="37"/>
        <v>413868</v>
      </c>
      <c r="CC92" s="964">
        <f t="shared" si="41"/>
        <v>10</v>
      </c>
      <c r="CD92" s="939">
        <f t="shared" si="42"/>
        <v>48702.5714285714</v>
      </c>
      <c r="CE92" s="1018"/>
      <c r="CF92" s="1018"/>
      <c r="CG92" s="1018"/>
      <c r="CH92" s="939">
        <f t="shared" si="38"/>
        <v>11297.4285714286</v>
      </c>
      <c r="CI92" s="1018"/>
    </row>
    <row r="93" s="974" customFormat="1" ht="31" customHeight="1" spans="1:87">
      <c r="A93" s="1228">
        <v>45714</v>
      </c>
      <c r="B93" s="1229" t="s">
        <v>566</v>
      </c>
      <c r="C93" s="1238" t="s">
        <v>264</v>
      </c>
      <c r="D93" s="1231">
        <v>4500158535</v>
      </c>
      <c r="E93" s="1229"/>
      <c r="F93" s="1231" t="s">
        <v>567</v>
      </c>
      <c r="G93" s="1004" t="s">
        <v>205</v>
      </c>
      <c r="H93" s="1004" t="s">
        <v>189</v>
      </c>
      <c r="I93" s="1004">
        <v>900</v>
      </c>
      <c r="J93" s="1004">
        <v>0</v>
      </c>
      <c r="K93" s="1004">
        <v>50</v>
      </c>
      <c r="L93" s="1232">
        <f t="shared" si="43"/>
        <v>18</v>
      </c>
      <c r="M93" s="1007">
        <v>45763</v>
      </c>
      <c r="N93" s="1007">
        <v>45759</v>
      </c>
      <c r="O93" s="1020"/>
      <c r="P93" s="1024" t="s">
        <v>86</v>
      </c>
      <c r="Q93" s="1004"/>
      <c r="R93" s="1009" t="s">
        <v>553</v>
      </c>
      <c r="S93" s="1004" t="s">
        <v>98</v>
      </c>
      <c r="T93" s="1233">
        <v>45737</v>
      </c>
      <c r="U93" s="1233"/>
      <c r="V93" s="1234" t="s">
        <v>568</v>
      </c>
      <c r="W93" s="1007" t="s">
        <v>119</v>
      </c>
      <c r="X93" s="1235">
        <v>2.0019</v>
      </c>
      <c r="Y93" s="1236">
        <f t="shared" si="50"/>
        <v>1801.71</v>
      </c>
      <c r="Z93" s="1236"/>
      <c r="AA93" s="1004" t="s">
        <v>569</v>
      </c>
      <c r="AB93" s="1004" t="s">
        <v>210</v>
      </c>
      <c r="AC93" s="1004" t="s">
        <v>93</v>
      </c>
      <c r="AD93" s="1023" t="s">
        <v>94</v>
      </c>
      <c r="AE93" s="1004"/>
      <c r="AF93" s="1002">
        <v>900</v>
      </c>
      <c r="AG93" s="1002">
        <f t="shared" si="51"/>
        <v>0</v>
      </c>
      <c r="AH93" s="1237"/>
      <c r="AI93" s="1004"/>
      <c r="AJ93" s="1004"/>
      <c r="AK93" s="1004">
        <f t="shared" si="52"/>
        <v>900</v>
      </c>
      <c r="AL93" s="1004"/>
      <c r="AM93" s="1004"/>
      <c r="AP93" s="1004">
        <f>I93</f>
        <v>900</v>
      </c>
      <c r="AQ93" s="1004"/>
      <c r="AS93" s="1004">
        <f t="shared" si="53"/>
        <v>900</v>
      </c>
      <c r="AT93" s="1004"/>
      <c r="AU93" s="1004"/>
      <c r="AV93" s="1004"/>
      <c r="BF93" s="974">
        <f>I93/25</f>
        <v>36</v>
      </c>
      <c r="BU93" s="939">
        <f t="shared" si="39"/>
        <v>900</v>
      </c>
      <c r="BV93" s="1222">
        <f t="shared" si="40"/>
        <v>2407032</v>
      </c>
      <c r="BW93" s="1018"/>
      <c r="BX93" s="1018"/>
      <c r="BY93" s="1018"/>
      <c r="BZ93" s="1018"/>
      <c r="CA93" s="856">
        <f t="shared" si="37"/>
        <v>412968</v>
      </c>
      <c r="CC93" s="964">
        <f t="shared" si="41"/>
        <v>36</v>
      </c>
      <c r="CD93" s="939">
        <f t="shared" si="42"/>
        <v>48738.5714285714</v>
      </c>
      <c r="CE93" s="1018"/>
      <c r="CF93" s="1018"/>
      <c r="CG93" s="1018"/>
      <c r="CH93" s="939">
        <f t="shared" si="38"/>
        <v>11261.4285714286</v>
      </c>
      <c r="CI93" s="1018"/>
    </row>
    <row r="94" s="974" customFormat="1" ht="31" customHeight="1" spans="1:87">
      <c r="A94" s="1228">
        <v>45714</v>
      </c>
      <c r="B94" s="1229" t="s">
        <v>570</v>
      </c>
      <c r="C94" s="1238" t="s">
        <v>571</v>
      </c>
      <c r="D94" s="1231">
        <v>4500158447</v>
      </c>
      <c r="E94" s="1229"/>
      <c r="F94" s="1231" t="s">
        <v>572</v>
      </c>
      <c r="G94" s="1004" t="s">
        <v>205</v>
      </c>
      <c r="H94" s="1004" t="s">
        <v>189</v>
      </c>
      <c r="I94" s="1004">
        <v>1000</v>
      </c>
      <c r="J94" s="1004">
        <v>0</v>
      </c>
      <c r="K94" s="1004">
        <v>50</v>
      </c>
      <c r="L94" s="1232">
        <f t="shared" si="43"/>
        <v>20</v>
      </c>
      <c r="M94" s="1007">
        <v>45763</v>
      </c>
      <c r="N94" s="1007">
        <v>45759</v>
      </c>
      <c r="O94" s="1020"/>
      <c r="P94" s="1024" t="s">
        <v>86</v>
      </c>
      <c r="Q94" s="1004"/>
      <c r="R94" s="1009" t="s">
        <v>553</v>
      </c>
      <c r="S94" s="1004" t="s">
        <v>98</v>
      </c>
      <c r="T94" s="1233">
        <v>45737</v>
      </c>
      <c r="U94" s="1233"/>
      <c r="V94" s="1234" t="s">
        <v>564</v>
      </c>
      <c r="W94" s="1007" t="s">
        <v>119</v>
      </c>
      <c r="X94" s="1235">
        <v>2.0019</v>
      </c>
      <c r="Y94" s="1236">
        <f t="shared" si="50"/>
        <v>2001.9</v>
      </c>
      <c r="Z94" s="1236"/>
      <c r="AA94" s="1004" t="s">
        <v>573</v>
      </c>
      <c r="AB94" s="1004" t="s">
        <v>210</v>
      </c>
      <c r="AC94" s="1004" t="s">
        <v>93</v>
      </c>
      <c r="AD94" s="1023" t="s">
        <v>94</v>
      </c>
      <c r="AE94" s="1004"/>
      <c r="AF94" s="1002">
        <f>950+50</f>
        <v>1000</v>
      </c>
      <c r="AG94" s="1002">
        <f t="shared" si="51"/>
        <v>0</v>
      </c>
      <c r="AH94" s="1237"/>
      <c r="AI94" s="1004"/>
      <c r="AJ94" s="1004"/>
      <c r="AK94" s="1004">
        <f t="shared" si="52"/>
        <v>1000</v>
      </c>
      <c r="AL94" s="1004"/>
      <c r="AM94" s="1004"/>
      <c r="AP94" s="1004">
        <f>I94</f>
        <v>1000</v>
      </c>
      <c r="AQ94" s="1004"/>
      <c r="AS94" s="1004">
        <f t="shared" si="53"/>
        <v>1000</v>
      </c>
      <c r="AT94" s="1004"/>
      <c r="AU94" s="1004"/>
      <c r="AV94" s="1004"/>
      <c r="BF94" s="974">
        <f>I94/25</f>
        <v>40</v>
      </c>
      <c r="BU94" s="939">
        <f t="shared" si="39"/>
        <v>1000</v>
      </c>
      <c r="BV94" s="1222">
        <f t="shared" si="40"/>
        <v>2408032</v>
      </c>
      <c r="BW94" s="1018"/>
      <c r="BX94" s="1018"/>
      <c r="BY94" s="1018"/>
      <c r="BZ94" s="1018"/>
      <c r="CA94" s="856">
        <f t="shared" si="37"/>
        <v>411968</v>
      </c>
      <c r="CC94" s="964">
        <f t="shared" si="41"/>
        <v>40</v>
      </c>
      <c r="CD94" s="939">
        <f t="shared" si="42"/>
        <v>48778.5714285714</v>
      </c>
      <c r="CE94" s="1018"/>
      <c r="CF94" s="1018"/>
      <c r="CG94" s="1018"/>
      <c r="CH94" s="939">
        <f t="shared" si="38"/>
        <v>11221.4285714286</v>
      </c>
      <c r="CI94" s="1018"/>
    </row>
    <row r="95" s="974" customFormat="1" ht="31" customHeight="1" spans="1:87">
      <c r="A95" s="1228">
        <v>45733</v>
      </c>
      <c r="B95" s="1229" t="s">
        <v>574</v>
      </c>
      <c r="C95" s="1238" t="s">
        <v>562</v>
      </c>
      <c r="D95" s="1231">
        <v>4500160421</v>
      </c>
      <c r="E95" s="1229"/>
      <c r="F95" s="1231" t="s">
        <v>575</v>
      </c>
      <c r="G95" s="1004" t="s">
        <v>205</v>
      </c>
      <c r="H95" s="1004" t="s">
        <v>189</v>
      </c>
      <c r="I95" s="1004">
        <v>200</v>
      </c>
      <c r="J95" s="1004">
        <v>0</v>
      </c>
      <c r="K95" s="1004">
        <v>50</v>
      </c>
      <c r="L95" s="1232">
        <f t="shared" si="43"/>
        <v>4</v>
      </c>
      <c r="M95" s="1007">
        <v>45768</v>
      </c>
      <c r="N95" s="1007">
        <v>45764</v>
      </c>
      <c r="O95" s="1020"/>
      <c r="P95" s="1024" t="s">
        <v>86</v>
      </c>
      <c r="Q95" s="1004"/>
      <c r="R95" s="1009">
        <v>45736</v>
      </c>
      <c r="S95" s="1004" t="s">
        <v>98</v>
      </c>
      <c r="T95" s="1233">
        <v>45741</v>
      </c>
      <c r="U95" s="1233"/>
      <c r="V95" s="1234" t="s">
        <v>576</v>
      </c>
      <c r="W95" s="1007" t="s">
        <v>225</v>
      </c>
      <c r="X95" s="1235">
        <v>1.9605</v>
      </c>
      <c r="Y95" s="1236">
        <f t="shared" si="50"/>
        <v>392.1</v>
      </c>
      <c r="Z95" s="1236"/>
      <c r="AA95" s="1004" t="s">
        <v>577</v>
      </c>
      <c r="AB95" s="1004" t="s">
        <v>205</v>
      </c>
      <c r="AC95" s="1004" t="s">
        <v>93</v>
      </c>
      <c r="AD95" s="1023" t="s">
        <v>94</v>
      </c>
      <c r="AE95" s="1004"/>
      <c r="AF95" s="1002">
        <v>200</v>
      </c>
      <c r="AG95" s="1002">
        <f t="shared" si="51"/>
        <v>0</v>
      </c>
      <c r="AH95" s="1237"/>
      <c r="AI95" s="1004" t="s">
        <v>95</v>
      </c>
      <c r="AJ95" s="1004"/>
      <c r="AK95" s="1004">
        <f t="shared" si="52"/>
        <v>200</v>
      </c>
      <c r="AL95" s="1004"/>
      <c r="AM95" s="1004">
        <f>I95</f>
        <v>200</v>
      </c>
      <c r="AP95" s="1004"/>
      <c r="AQ95" s="1004"/>
      <c r="AS95" s="1004">
        <f t="shared" si="53"/>
        <v>200</v>
      </c>
      <c r="AT95" s="1004"/>
      <c r="AU95" s="1004"/>
      <c r="AV95" s="1004"/>
      <c r="BE95" s="974">
        <f>I95/25</f>
        <v>8</v>
      </c>
      <c r="BU95" s="939">
        <f t="shared" si="39"/>
        <v>200</v>
      </c>
      <c r="BV95" s="1222">
        <f t="shared" si="40"/>
        <v>2408232</v>
      </c>
      <c r="BW95" s="1018"/>
      <c r="BX95" s="1018"/>
      <c r="BY95" s="1018"/>
      <c r="BZ95" s="1018"/>
      <c r="CA95" s="856">
        <f t="shared" si="37"/>
        <v>411768</v>
      </c>
      <c r="CC95" s="964">
        <f t="shared" si="41"/>
        <v>8</v>
      </c>
      <c r="CD95" s="939">
        <f t="shared" si="42"/>
        <v>48786.5714285714</v>
      </c>
      <c r="CE95" s="1018"/>
      <c r="CF95" s="1018"/>
      <c r="CG95" s="1018"/>
      <c r="CH95" s="939">
        <f t="shared" si="38"/>
        <v>11213.4285714286</v>
      </c>
      <c r="CI95" s="1018"/>
    </row>
    <row r="96" s="974" customFormat="1" ht="31" customHeight="1" spans="1:87">
      <c r="A96" s="1228">
        <v>45743</v>
      </c>
      <c r="B96" s="1229" t="s">
        <v>578</v>
      </c>
      <c r="C96" s="1238" t="s">
        <v>125</v>
      </c>
      <c r="D96" s="1231">
        <v>4500161593</v>
      </c>
      <c r="E96" s="1229" t="s">
        <v>579</v>
      </c>
      <c r="F96" s="1231" t="s">
        <v>580</v>
      </c>
      <c r="G96" s="1004" t="s">
        <v>243</v>
      </c>
      <c r="H96" s="1004" t="s">
        <v>189</v>
      </c>
      <c r="I96" s="1004">
        <v>2304</v>
      </c>
      <c r="J96" s="1004">
        <v>0</v>
      </c>
      <c r="K96" s="1004">
        <v>1152</v>
      </c>
      <c r="L96" s="1232">
        <f t="shared" si="43"/>
        <v>2</v>
      </c>
      <c r="M96" s="1007">
        <v>45771</v>
      </c>
      <c r="N96" s="1007">
        <v>45768</v>
      </c>
      <c r="O96" s="1020" t="s">
        <v>581</v>
      </c>
      <c r="P96" s="1024" t="s">
        <v>86</v>
      </c>
      <c r="Q96" s="1004"/>
      <c r="R96" s="1009" t="s">
        <v>296</v>
      </c>
      <c r="S96" s="1004" t="s">
        <v>98</v>
      </c>
      <c r="T96" s="1233" t="s">
        <v>582</v>
      </c>
      <c r="U96" s="1233"/>
      <c r="V96" s="1234" t="s">
        <v>298</v>
      </c>
      <c r="W96" s="1007" t="s">
        <v>247</v>
      </c>
      <c r="X96" s="1235">
        <v>2180.9506</v>
      </c>
      <c r="Y96" s="1236">
        <f>X96*L96</f>
        <v>4361.9012</v>
      </c>
      <c r="Z96" s="1236"/>
      <c r="AA96" s="1004" t="s">
        <v>583</v>
      </c>
      <c r="AB96" s="1004" t="s">
        <v>243</v>
      </c>
      <c r="AC96" s="1004" t="s">
        <v>93</v>
      </c>
      <c r="AD96" s="1023" t="s">
        <v>94</v>
      </c>
      <c r="AE96" s="1004"/>
      <c r="AF96" s="1002">
        <v>2304</v>
      </c>
      <c r="AG96" s="1002">
        <f t="shared" si="51"/>
        <v>0</v>
      </c>
      <c r="AH96" s="1237"/>
      <c r="AI96" s="1004" t="s">
        <v>95</v>
      </c>
      <c r="AJ96" s="1004"/>
      <c r="AK96" s="1004">
        <f t="shared" si="52"/>
        <v>2304</v>
      </c>
      <c r="AL96" s="1004"/>
      <c r="AM96" s="1004">
        <f>I96</f>
        <v>2304</v>
      </c>
      <c r="AP96" s="1004"/>
      <c r="AQ96" s="1004"/>
      <c r="AS96" s="1004"/>
      <c r="AT96" s="1004"/>
      <c r="AU96" s="1004">
        <f>I96</f>
        <v>2304</v>
      </c>
      <c r="AV96" s="1004"/>
      <c r="AZ96" s="974">
        <f>I96/12</f>
        <v>192</v>
      </c>
      <c r="BU96" s="939">
        <f t="shared" si="39"/>
        <v>2304</v>
      </c>
      <c r="BV96" s="1222">
        <f t="shared" si="40"/>
        <v>2410536</v>
      </c>
      <c r="BW96" s="1018"/>
      <c r="BX96" s="1018"/>
      <c r="BY96" s="1018"/>
      <c r="BZ96" s="1018"/>
      <c r="CA96" s="856">
        <f t="shared" si="37"/>
        <v>409464</v>
      </c>
      <c r="CC96" s="964">
        <f t="shared" si="41"/>
        <v>0</v>
      </c>
      <c r="CD96" s="939">
        <f t="shared" si="42"/>
        <v>48786.5714285714</v>
      </c>
      <c r="CE96" s="1018"/>
      <c r="CF96" s="1018"/>
      <c r="CG96" s="1018"/>
      <c r="CH96" s="939">
        <f t="shared" si="38"/>
        <v>11213.4285714286</v>
      </c>
      <c r="CI96" s="1018"/>
    </row>
    <row r="97" s="974" customFormat="1" ht="31" customHeight="1" spans="1:87">
      <c r="A97" s="1228">
        <v>45743</v>
      </c>
      <c r="B97" s="1229" t="s">
        <v>578</v>
      </c>
      <c r="C97" s="1238" t="s">
        <v>125</v>
      </c>
      <c r="D97" s="1231">
        <v>4500161593</v>
      </c>
      <c r="E97" s="1229" t="s">
        <v>584</v>
      </c>
      <c r="F97" s="1231" t="s">
        <v>585</v>
      </c>
      <c r="G97" s="1004" t="s">
        <v>243</v>
      </c>
      <c r="H97" s="1004" t="s">
        <v>189</v>
      </c>
      <c r="I97" s="1004">
        <v>1152</v>
      </c>
      <c r="J97" s="1004">
        <v>0</v>
      </c>
      <c r="K97" s="1004">
        <v>1152</v>
      </c>
      <c r="L97" s="1232">
        <f t="shared" si="43"/>
        <v>1</v>
      </c>
      <c r="M97" s="1007">
        <v>45771</v>
      </c>
      <c r="N97" s="1007">
        <v>45768</v>
      </c>
      <c r="O97" s="1020" t="s">
        <v>581</v>
      </c>
      <c r="P97" s="1024" t="s">
        <v>86</v>
      </c>
      <c r="Q97" s="1004"/>
      <c r="R97" s="1009" t="s">
        <v>296</v>
      </c>
      <c r="S97" s="1004" t="s">
        <v>98</v>
      </c>
      <c r="T97" s="1233" t="s">
        <v>582</v>
      </c>
      <c r="U97" s="1233"/>
      <c r="V97" s="1234" t="s">
        <v>298</v>
      </c>
      <c r="W97" s="1007" t="s">
        <v>247</v>
      </c>
      <c r="X97" s="1235">
        <v>2180.9506</v>
      </c>
      <c r="Y97" s="1236">
        <f>X97*L97</f>
        <v>2180.9506</v>
      </c>
      <c r="Z97" s="1236"/>
      <c r="AA97" s="1004" t="s">
        <v>586</v>
      </c>
      <c r="AB97" s="1004" t="s">
        <v>243</v>
      </c>
      <c r="AC97" s="1004" t="s">
        <v>93</v>
      </c>
      <c r="AD97" s="1023" t="s">
        <v>94</v>
      </c>
      <c r="AE97" s="1004"/>
      <c r="AF97" s="1002">
        <v>1152</v>
      </c>
      <c r="AG97" s="1002">
        <f t="shared" si="51"/>
        <v>0</v>
      </c>
      <c r="AH97" s="1237"/>
      <c r="AI97" s="1004" t="s">
        <v>95</v>
      </c>
      <c r="AJ97" s="1004"/>
      <c r="AK97" s="1004">
        <f t="shared" si="52"/>
        <v>1152</v>
      </c>
      <c r="AL97" s="1004"/>
      <c r="AM97" s="1004">
        <f>I97</f>
        <v>1152</v>
      </c>
      <c r="AP97" s="1004"/>
      <c r="AQ97" s="1004"/>
      <c r="AS97" s="1004"/>
      <c r="AT97" s="1004"/>
      <c r="AU97" s="1004">
        <f>I97</f>
        <v>1152</v>
      </c>
      <c r="AV97" s="1004"/>
      <c r="AZ97" s="974">
        <f>I97/12</f>
        <v>96</v>
      </c>
      <c r="BU97" s="939">
        <f t="shared" si="39"/>
        <v>1152</v>
      </c>
      <c r="BV97" s="1222">
        <f t="shared" si="40"/>
        <v>2411688</v>
      </c>
      <c r="BW97" s="1018"/>
      <c r="BX97" s="1018"/>
      <c r="BY97" s="1018"/>
      <c r="BZ97" s="1018"/>
      <c r="CA97" s="856">
        <f t="shared" si="37"/>
        <v>408312</v>
      </c>
      <c r="CC97" s="964">
        <f t="shared" si="41"/>
        <v>0</v>
      </c>
      <c r="CD97" s="939">
        <f t="shared" si="42"/>
        <v>48786.5714285714</v>
      </c>
      <c r="CE97" s="1018"/>
      <c r="CF97" s="1018"/>
      <c r="CG97" s="1018"/>
      <c r="CH97" s="939">
        <f t="shared" si="38"/>
        <v>11213.4285714286</v>
      </c>
      <c r="CI97" s="1018"/>
    </row>
    <row r="98" s="974" customFormat="1" ht="31" customHeight="1" spans="1:87">
      <c r="A98" s="1228">
        <v>45735</v>
      </c>
      <c r="B98" s="1229" t="s">
        <v>587</v>
      </c>
      <c r="C98" s="1238" t="s">
        <v>588</v>
      </c>
      <c r="D98" s="1231">
        <v>4500160671</v>
      </c>
      <c r="E98" s="1229"/>
      <c r="F98" s="1231" t="s">
        <v>589</v>
      </c>
      <c r="G98" s="1004" t="s">
        <v>188</v>
      </c>
      <c r="H98" s="1004" t="s">
        <v>189</v>
      </c>
      <c r="I98" s="1004">
        <v>260</v>
      </c>
      <c r="J98" s="1004">
        <v>0</v>
      </c>
      <c r="K98" s="1004">
        <v>52</v>
      </c>
      <c r="L98" s="1232">
        <f t="shared" si="43"/>
        <v>5</v>
      </c>
      <c r="M98" s="1007">
        <v>45772</v>
      </c>
      <c r="N98" s="1007">
        <v>45768</v>
      </c>
      <c r="O98" s="1020"/>
      <c r="P98" s="1024" t="s">
        <v>86</v>
      </c>
      <c r="Q98" s="1004"/>
      <c r="R98" s="1009">
        <v>45735</v>
      </c>
      <c r="S98" s="1004" t="s">
        <v>98</v>
      </c>
      <c r="T98" s="1233" t="s">
        <v>590</v>
      </c>
      <c r="U98" s="1233"/>
      <c r="V98" s="1234" t="s">
        <v>591</v>
      </c>
      <c r="W98" s="1007" t="s">
        <v>592</v>
      </c>
      <c r="X98" s="1235">
        <v>1.8632</v>
      </c>
      <c r="Y98" s="1236">
        <f t="shared" ref="Y98:Y115" si="54">I98*X98</f>
        <v>484.432</v>
      </c>
      <c r="Z98" s="1236"/>
      <c r="AA98" s="1004" t="s">
        <v>593</v>
      </c>
      <c r="AB98" s="1004" t="s">
        <v>188</v>
      </c>
      <c r="AC98" s="1004" t="s">
        <v>93</v>
      </c>
      <c r="AD98" s="1023" t="s">
        <v>94</v>
      </c>
      <c r="AE98" s="1004"/>
      <c r="AF98" s="1002">
        <v>260</v>
      </c>
      <c r="AG98" s="1002">
        <f t="shared" si="51"/>
        <v>0</v>
      </c>
      <c r="AH98" s="1237"/>
      <c r="AI98" s="1004" t="s">
        <v>95</v>
      </c>
      <c r="AJ98" s="1004"/>
      <c r="AK98" s="1004">
        <f t="shared" si="52"/>
        <v>260</v>
      </c>
      <c r="AL98" s="1004"/>
      <c r="AM98" s="1004">
        <f>I98</f>
        <v>260</v>
      </c>
      <c r="AP98" s="1004"/>
      <c r="AQ98" s="1004"/>
      <c r="AS98" s="1004">
        <f t="shared" ref="AS98:AS108" si="55">I98</f>
        <v>260</v>
      </c>
      <c r="AT98" s="1004"/>
      <c r="AU98" s="1004"/>
      <c r="AV98" s="1004"/>
      <c r="BC98" s="974">
        <f>I98/13</f>
        <v>20</v>
      </c>
      <c r="BU98" s="939">
        <f t="shared" si="39"/>
        <v>260</v>
      </c>
      <c r="BV98" s="1222">
        <f t="shared" si="40"/>
        <v>2411948</v>
      </c>
      <c r="BW98" s="1018"/>
      <c r="BX98" s="1018"/>
      <c r="BY98" s="1018"/>
      <c r="BZ98" s="1018"/>
      <c r="CA98" s="856">
        <f t="shared" si="37"/>
        <v>408052</v>
      </c>
      <c r="CC98" s="964">
        <f t="shared" si="41"/>
        <v>0</v>
      </c>
      <c r="CD98" s="939">
        <f t="shared" si="42"/>
        <v>48786.5714285714</v>
      </c>
      <c r="CE98" s="1018"/>
      <c r="CF98" s="1018"/>
      <c r="CG98" s="1018"/>
      <c r="CH98" s="939">
        <f t="shared" si="38"/>
        <v>11213.4285714286</v>
      </c>
      <c r="CI98" s="1018"/>
    </row>
    <row r="99" s="974" customFormat="1" ht="31" customHeight="1" spans="1:87">
      <c r="A99" s="1228">
        <v>45735</v>
      </c>
      <c r="B99" s="1229" t="s">
        <v>594</v>
      </c>
      <c r="C99" s="1238" t="s">
        <v>103</v>
      </c>
      <c r="D99" s="1231">
        <v>4500160662</v>
      </c>
      <c r="E99" s="1229" t="s">
        <v>595</v>
      </c>
      <c r="F99" s="1231" t="s">
        <v>596</v>
      </c>
      <c r="G99" s="1004" t="s">
        <v>196</v>
      </c>
      <c r="H99" s="1004" t="s">
        <v>197</v>
      </c>
      <c r="I99" s="1004">
        <v>1008</v>
      </c>
      <c r="J99" s="1004">
        <v>0</v>
      </c>
      <c r="K99" s="1004">
        <v>12</v>
      </c>
      <c r="L99" s="1232">
        <f t="shared" si="43"/>
        <v>84</v>
      </c>
      <c r="M99" s="1007">
        <v>45777</v>
      </c>
      <c r="N99" s="1007">
        <v>45773</v>
      </c>
      <c r="O99" s="1020"/>
      <c r="P99" s="1024" t="s">
        <v>86</v>
      </c>
      <c r="Q99" s="1004"/>
      <c r="R99" s="1009" t="s">
        <v>597</v>
      </c>
      <c r="S99" s="1004" t="s">
        <v>88</v>
      </c>
      <c r="T99" s="1233">
        <v>45754</v>
      </c>
      <c r="U99" s="1233"/>
      <c r="V99" s="1234" t="s">
        <v>598</v>
      </c>
      <c r="W99" s="1007" t="s">
        <v>599</v>
      </c>
      <c r="X99" s="1235">
        <v>4.0406</v>
      </c>
      <c r="Y99" s="1236">
        <f t="shared" si="54"/>
        <v>4072.9248</v>
      </c>
      <c r="Z99" s="1236"/>
      <c r="AA99" s="1004" t="s">
        <v>600</v>
      </c>
      <c r="AB99" s="1004" t="s">
        <v>196</v>
      </c>
      <c r="AC99" s="1004" t="s">
        <v>93</v>
      </c>
      <c r="AD99" s="1023" t="s">
        <v>94</v>
      </c>
      <c r="AE99" s="1004"/>
      <c r="AF99" s="1002">
        <v>1008</v>
      </c>
      <c r="AG99" s="1002">
        <f t="shared" si="51"/>
        <v>0</v>
      </c>
      <c r="AH99" s="1237"/>
      <c r="AI99" s="1004" t="s">
        <v>95</v>
      </c>
      <c r="AJ99" s="1004"/>
      <c r="AK99" s="1004">
        <f>I99*2</f>
        <v>2016</v>
      </c>
      <c r="AL99" s="1004"/>
      <c r="AM99" s="1004"/>
      <c r="AN99" s="974">
        <f>I99</f>
        <v>1008</v>
      </c>
      <c r="AP99" s="1004"/>
      <c r="AQ99" s="1004"/>
      <c r="AS99" s="1004">
        <f t="shared" si="55"/>
        <v>1008</v>
      </c>
      <c r="AT99" s="1004"/>
      <c r="AU99" s="1004"/>
      <c r="AV99" s="1004"/>
      <c r="BN99" s="974">
        <f>I99</f>
        <v>1008</v>
      </c>
      <c r="BO99" s="974">
        <f>I99</f>
        <v>1008</v>
      </c>
      <c r="BQ99" s="974">
        <f>I99</f>
        <v>1008</v>
      </c>
      <c r="BU99" s="939">
        <f t="shared" si="39"/>
        <v>2016</v>
      </c>
      <c r="BV99" s="1222">
        <f t="shared" si="40"/>
        <v>2413964</v>
      </c>
      <c r="BW99" s="1018"/>
      <c r="BX99" s="1018"/>
      <c r="BY99" s="1018"/>
      <c r="BZ99" s="1018"/>
      <c r="CA99" s="856">
        <f t="shared" si="37"/>
        <v>406036</v>
      </c>
      <c r="CC99" s="964">
        <f t="shared" si="41"/>
        <v>0</v>
      </c>
      <c r="CD99" s="939">
        <f t="shared" si="42"/>
        <v>48786.5714285714</v>
      </c>
      <c r="CE99" s="1018"/>
      <c r="CF99" s="1018"/>
      <c r="CG99" s="1018"/>
      <c r="CH99" s="939">
        <f t="shared" si="38"/>
        <v>11213.4285714286</v>
      </c>
      <c r="CI99" s="1018"/>
    </row>
    <row r="100" s="974" customFormat="1" ht="31" customHeight="1" spans="1:87">
      <c r="A100" s="1228">
        <v>45737</v>
      </c>
      <c r="B100" s="1229" t="s">
        <v>601</v>
      </c>
      <c r="C100" s="1238" t="s">
        <v>440</v>
      </c>
      <c r="D100" s="1231">
        <v>4500161136</v>
      </c>
      <c r="E100" s="1229"/>
      <c r="F100" s="1231" t="s">
        <v>602</v>
      </c>
      <c r="G100" s="1004" t="s">
        <v>205</v>
      </c>
      <c r="H100" s="1004" t="s">
        <v>189</v>
      </c>
      <c r="I100" s="1004">
        <v>800</v>
      </c>
      <c r="J100" s="1004">
        <v>0</v>
      </c>
      <c r="K100" s="1004">
        <v>50</v>
      </c>
      <c r="L100" s="1232">
        <f t="shared" si="43"/>
        <v>16</v>
      </c>
      <c r="M100" s="1007">
        <v>45770</v>
      </c>
      <c r="N100" s="1007">
        <v>45766</v>
      </c>
      <c r="O100" s="1020"/>
      <c r="P100" s="1024" t="s">
        <v>86</v>
      </c>
      <c r="Q100" s="1004"/>
      <c r="R100" s="1009">
        <v>45737</v>
      </c>
      <c r="S100" s="1004" t="s">
        <v>98</v>
      </c>
      <c r="T100" s="1233" t="s">
        <v>98</v>
      </c>
      <c r="U100" s="1233"/>
      <c r="V100" s="1234" t="s">
        <v>603</v>
      </c>
      <c r="W100" s="1007" t="s">
        <v>444</v>
      </c>
      <c r="X100" s="1235">
        <v>1.9438</v>
      </c>
      <c r="Y100" s="1236">
        <f t="shared" si="54"/>
        <v>1555.04</v>
      </c>
      <c r="Z100" s="1236"/>
      <c r="AA100" s="1004" t="s">
        <v>604</v>
      </c>
      <c r="AB100" s="1004" t="s">
        <v>205</v>
      </c>
      <c r="AC100" s="1004" t="s">
        <v>93</v>
      </c>
      <c r="AD100" s="1023" t="s">
        <v>94</v>
      </c>
      <c r="AE100" s="1004"/>
      <c r="AF100" s="1002">
        <v>800</v>
      </c>
      <c r="AG100" s="1002">
        <f t="shared" si="51"/>
        <v>0</v>
      </c>
      <c r="AH100" s="1237"/>
      <c r="AI100" s="1004" t="s">
        <v>98</v>
      </c>
      <c r="AJ100" s="1004"/>
      <c r="AK100" s="1004">
        <f t="shared" ref="AK100:AK105" si="56">I100</f>
        <v>800</v>
      </c>
      <c r="AL100" s="1004"/>
      <c r="AM100" s="1004">
        <f>I100</f>
        <v>800</v>
      </c>
      <c r="AP100" s="1004"/>
      <c r="AQ100" s="1004"/>
      <c r="AS100" s="1004">
        <f t="shared" si="55"/>
        <v>800</v>
      </c>
      <c r="AT100" s="1004"/>
      <c r="AU100" s="1004"/>
      <c r="AV100" s="1004"/>
      <c r="BE100" s="974">
        <f>I100/25</f>
        <v>32</v>
      </c>
      <c r="BU100" s="939">
        <f t="shared" si="39"/>
        <v>800</v>
      </c>
      <c r="BV100" s="1222">
        <f t="shared" si="40"/>
        <v>2414764</v>
      </c>
      <c r="BW100" s="1018"/>
      <c r="BX100" s="1018"/>
      <c r="BY100" s="1018"/>
      <c r="BZ100" s="1018"/>
      <c r="CA100" s="856">
        <f t="shared" si="37"/>
        <v>405236</v>
      </c>
      <c r="CC100" s="964">
        <f t="shared" si="41"/>
        <v>32</v>
      </c>
      <c r="CD100" s="939">
        <f t="shared" si="42"/>
        <v>48818.5714285714</v>
      </c>
      <c r="CE100" s="1018"/>
      <c r="CF100" s="1018"/>
      <c r="CG100" s="1018"/>
      <c r="CH100" s="939">
        <f t="shared" si="38"/>
        <v>11181.4285714286</v>
      </c>
      <c r="CI100" s="1018"/>
    </row>
    <row r="101" s="974" customFormat="1" ht="31" customHeight="1" spans="1:87">
      <c r="A101" s="1228">
        <v>45750</v>
      </c>
      <c r="B101" s="1229" t="s">
        <v>605</v>
      </c>
      <c r="C101" s="1238" t="s">
        <v>125</v>
      </c>
      <c r="D101" s="1231">
        <v>4500162408</v>
      </c>
      <c r="E101" s="1229" t="s">
        <v>606</v>
      </c>
      <c r="F101" s="1231" t="s">
        <v>607</v>
      </c>
      <c r="G101" s="1004" t="s">
        <v>205</v>
      </c>
      <c r="H101" s="1004" t="s">
        <v>189</v>
      </c>
      <c r="I101" s="1004">
        <v>1800</v>
      </c>
      <c r="J101" s="1004">
        <v>0</v>
      </c>
      <c r="K101" s="1004">
        <v>50</v>
      </c>
      <c r="L101" s="1232">
        <f t="shared" si="43"/>
        <v>36</v>
      </c>
      <c r="M101" s="1007">
        <v>45791</v>
      </c>
      <c r="N101" s="1007">
        <v>45796</v>
      </c>
      <c r="O101" s="1020"/>
      <c r="P101" s="1024" t="s">
        <v>86</v>
      </c>
      <c r="Q101" s="1004" t="s">
        <v>608</v>
      </c>
      <c r="R101" s="1009">
        <v>45761</v>
      </c>
      <c r="S101" s="1004" t="s">
        <v>98</v>
      </c>
      <c r="T101" s="1233" t="s">
        <v>98</v>
      </c>
      <c r="U101" s="1233"/>
      <c r="V101" s="1234" t="s">
        <v>237</v>
      </c>
      <c r="W101" s="1007" t="s">
        <v>609</v>
      </c>
      <c r="X101" s="1235">
        <v>1.9605</v>
      </c>
      <c r="Y101" s="1236">
        <f t="shared" si="54"/>
        <v>3528.9</v>
      </c>
      <c r="Z101" s="1236"/>
      <c r="AA101" s="1004" t="s">
        <v>610</v>
      </c>
      <c r="AB101" s="1004" t="s">
        <v>205</v>
      </c>
      <c r="AC101" s="1004" t="s">
        <v>93</v>
      </c>
      <c r="AD101" s="1023" t="s">
        <v>94</v>
      </c>
      <c r="AE101" s="1004"/>
      <c r="AF101" s="1002">
        <f>1750+50</f>
        <v>1800</v>
      </c>
      <c r="AG101" s="1002">
        <f t="shared" si="51"/>
        <v>0</v>
      </c>
      <c r="AH101" s="1237"/>
      <c r="AI101" s="1004" t="s">
        <v>98</v>
      </c>
      <c r="AJ101" s="1004"/>
      <c r="AK101" s="1004">
        <f t="shared" si="56"/>
        <v>1800</v>
      </c>
      <c r="AL101" s="1004"/>
      <c r="AM101" s="1004">
        <f>I101</f>
        <v>1800</v>
      </c>
      <c r="AP101" s="1004"/>
      <c r="AQ101" s="1004"/>
      <c r="AS101" s="1004">
        <f t="shared" si="55"/>
        <v>1800</v>
      </c>
      <c r="AT101" s="1004"/>
      <c r="AU101" s="1004"/>
      <c r="AV101" s="1004"/>
      <c r="BE101" s="974">
        <f>I101/25</f>
        <v>72</v>
      </c>
      <c r="BU101" s="939">
        <f t="shared" si="39"/>
        <v>1800</v>
      </c>
      <c r="BV101" s="1222">
        <f t="shared" si="40"/>
        <v>2416564</v>
      </c>
      <c r="BW101" s="1018"/>
      <c r="BX101" s="1018"/>
      <c r="BY101" s="1018"/>
      <c r="BZ101" s="1018"/>
      <c r="CA101" s="856">
        <f t="shared" si="37"/>
        <v>403436</v>
      </c>
      <c r="CC101" s="964">
        <f t="shared" si="41"/>
        <v>72</v>
      </c>
      <c r="CD101" s="939">
        <f t="shared" si="42"/>
        <v>48890.5714285714</v>
      </c>
      <c r="CE101" s="1018"/>
      <c r="CF101" s="1018"/>
      <c r="CG101" s="1018"/>
      <c r="CH101" s="939">
        <f t="shared" si="38"/>
        <v>11109.4285714286</v>
      </c>
      <c r="CI101" s="1018"/>
    </row>
    <row r="102" s="974" customFormat="1" ht="31" customHeight="1" spans="1:87">
      <c r="A102" s="1228">
        <v>45734</v>
      </c>
      <c r="B102" s="1229" t="s">
        <v>203</v>
      </c>
      <c r="C102" s="1238" t="s">
        <v>81</v>
      </c>
      <c r="D102" s="1231">
        <v>4500160573</v>
      </c>
      <c r="E102" s="1229">
        <v>5251215518</v>
      </c>
      <c r="F102" s="1231" t="s">
        <v>611</v>
      </c>
      <c r="G102" s="1004" t="s">
        <v>205</v>
      </c>
      <c r="H102" s="1004" t="s">
        <v>189</v>
      </c>
      <c r="I102" s="1004">
        <v>16000</v>
      </c>
      <c r="J102" s="1004">
        <v>0</v>
      </c>
      <c r="K102" s="1004">
        <v>50</v>
      </c>
      <c r="L102" s="1232">
        <f t="shared" si="43"/>
        <v>320</v>
      </c>
      <c r="M102" s="1007">
        <v>45798</v>
      </c>
      <c r="N102" s="1007">
        <v>45799</v>
      </c>
      <c r="O102" s="1020" t="s">
        <v>612</v>
      </c>
      <c r="P102" s="1024" t="s">
        <v>86</v>
      </c>
      <c r="Q102" s="1004"/>
      <c r="R102" s="1009">
        <v>45768</v>
      </c>
      <c r="S102" s="1004" t="s">
        <v>98</v>
      </c>
      <c r="T102" s="1233">
        <v>45770</v>
      </c>
      <c r="U102" s="1233"/>
      <c r="V102" s="1234" t="s">
        <v>613</v>
      </c>
      <c r="W102" s="1007" t="s">
        <v>119</v>
      </c>
      <c r="X102" s="1235">
        <v>1.9375</v>
      </c>
      <c r="Y102" s="1236">
        <f t="shared" si="54"/>
        <v>31000</v>
      </c>
      <c r="Z102" s="1236"/>
      <c r="AA102" s="1004" t="s">
        <v>614</v>
      </c>
      <c r="AB102" s="1004" t="s">
        <v>210</v>
      </c>
      <c r="AC102" s="1004" t="s">
        <v>93</v>
      </c>
      <c r="AD102" s="1023" t="s">
        <v>94</v>
      </c>
      <c r="AE102" s="1004"/>
      <c r="AF102" s="1002">
        <f>16000</f>
        <v>16000</v>
      </c>
      <c r="AG102" s="1002">
        <f t="shared" si="51"/>
        <v>0</v>
      </c>
      <c r="AH102" s="1237"/>
      <c r="AI102" s="1004" t="s">
        <v>95</v>
      </c>
      <c r="AJ102" s="1004"/>
      <c r="AK102" s="1004">
        <f t="shared" si="56"/>
        <v>16000</v>
      </c>
      <c r="AL102" s="1004"/>
      <c r="AM102" s="1004"/>
      <c r="AP102" s="1004">
        <f>I102</f>
        <v>16000</v>
      </c>
      <c r="AQ102" s="1004"/>
      <c r="AS102" s="1004">
        <f t="shared" si="55"/>
        <v>16000</v>
      </c>
      <c r="AT102" s="1004"/>
      <c r="AU102" s="1004"/>
      <c r="AV102" s="1004"/>
      <c r="BF102" s="974">
        <f>I102/25</f>
        <v>640</v>
      </c>
      <c r="BU102" s="939">
        <f t="shared" si="39"/>
        <v>16000</v>
      </c>
      <c r="BV102" s="1222">
        <f t="shared" si="40"/>
        <v>2432564</v>
      </c>
      <c r="BW102" s="1018"/>
      <c r="BX102" s="1018"/>
      <c r="BY102" s="1018"/>
      <c r="BZ102" s="1018"/>
      <c r="CA102" s="856">
        <f t="shared" si="37"/>
        <v>387436</v>
      </c>
      <c r="CC102" s="964">
        <f t="shared" si="41"/>
        <v>640</v>
      </c>
      <c r="CD102" s="939">
        <f t="shared" si="42"/>
        <v>49530.5714285714</v>
      </c>
      <c r="CE102" s="1018"/>
      <c r="CF102" s="1018"/>
      <c r="CG102" s="1018"/>
      <c r="CH102" s="939">
        <f t="shared" si="38"/>
        <v>10469.4285714286</v>
      </c>
      <c r="CI102" s="1018"/>
    </row>
    <row r="103" s="974" customFormat="1" ht="31" customHeight="1" spans="1:87">
      <c r="A103" s="1228">
        <v>45755</v>
      </c>
      <c r="B103" s="1229" t="s">
        <v>615</v>
      </c>
      <c r="C103" s="1238" t="s">
        <v>571</v>
      </c>
      <c r="D103" s="1231">
        <v>4500162922</v>
      </c>
      <c r="E103" s="1229">
        <v>4504192366</v>
      </c>
      <c r="F103" s="1231" t="s">
        <v>616</v>
      </c>
      <c r="G103" s="1004" t="s">
        <v>205</v>
      </c>
      <c r="H103" s="1004" t="s">
        <v>189</v>
      </c>
      <c r="I103" s="1004">
        <v>1500</v>
      </c>
      <c r="J103" s="1004">
        <v>0</v>
      </c>
      <c r="K103" s="1004">
        <v>50</v>
      </c>
      <c r="L103" s="1232">
        <f t="shared" si="43"/>
        <v>30</v>
      </c>
      <c r="M103" s="1007">
        <v>45792</v>
      </c>
      <c r="N103" s="1007">
        <v>45789</v>
      </c>
      <c r="O103" s="1020" t="s">
        <v>617</v>
      </c>
      <c r="P103" s="1024" t="s">
        <v>86</v>
      </c>
      <c r="Q103" s="1004"/>
      <c r="R103" s="1009">
        <v>45762</v>
      </c>
      <c r="S103" s="1004" t="s">
        <v>98</v>
      </c>
      <c r="T103" s="1233">
        <v>45755</v>
      </c>
      <c r="U103" s="1233"/>
      <c r="V103" s="1234" t="s">
        <v>618</v>
      </c>
      <c r="W103" s="1007" t="s">
        <v>225</v>
      </c>
      <c r="X103" s="1235">
        <v>1.9438</v>
      </c>
      <c r="Y103" s="1236">
        <f t="shared" si="54"/>
        <v>2915.7</v>
      </c>
      <c r="Z103" s="1236"/>
      <c r="AA103" s="1004" t="s">
        <v>619</v>
      </c>
      <c r="AB103" s="1004" t="s">
        <v>210</v>
      </c>
      <c r="AC103" s="1004" t="s">
        <v>93</v>
      </c>
      <c r="AD103" s="1023" t="s">
        <v>94</v>
      </c>
      <c r="AE103" s="1004"/>
      <c r="AF103" s="1002">
        <v>1500</v>
      </c>
      <c r="AG103" s="1002">
        <f t="shared" si="51"/>
        <v>0</v>
      </c>
      <c r="AH103" s="1237"/>
      <c r="AI103" s="1004" t="s">
        <v>95</v>
      </c>
      <c r="AJ103" s="1004"/>
      <c r="AK103" s="1004">
        <f t="shared" si="56"/>
        <v>1500</v>
      </c>
      <c r="AL103" s="1004"/>
      <c r="AM103" s="1004"/>
      <c r="AP103" s="1004">
        <f>I103</f>
        <v>1500</v>
      </c>
      <c r="AQ103" s="1004"/>
      <c r="AS103" s="1004">
        <f t="shared" si="55"/>
        <v>1500</v>
      </c>
      <c r="AT103" s="1004"/>
      <c r="AU103" s="1004"/>
      <c r="AV103" s="1004"/>
      <c r="BF103" s="974">
        <f>I103/25</f>
        <v>60</v>
      </c>
      <c r="BU103" s="939">
        <f t="shared" si="39"/>
        <v>1500</v>
      </c>
      <c r="BV103" s="1222">
        <f t="shared" si="40"/>
        <v>2434064</v>
      </c>
      <c r="BW103" s="1018"/>
      <c r="BX103" s="1018"/>
      <c r="BY103" s="1018"/>
      <c r="BZ103" s="1018"/>
      <c r="CA103" s="856">
        <f t="shared" si="37"/>
        <v>385936</v>
      </c>
      <c r="CC103" s="964">
        <f t="shared" si="41"/>
        <v>60</v>
      </c>
      <c r="CD103" s="939">
        <f t="shared" si="42"/>
        <v>49590.5714285714</v>
      </c>
      <c r="CE103" s="1018"/>
      <c r="CF103" s="1018"/>
      <c r="CG103" s="1018"/>
      <c r="CH103" s="939">
        <f t="shared" si="38"/>
        <v>10409.4285714286</v>
      </c>
      <c r="CI103" s="1018"/>
    </row>
    <row r="104" s="974" customFormat="1" ht="31" customHeight="1" spans="1:87">
      <c r="A104" s="1228">
        <v>45722</v>
      </c>
      <c r="B104" s="1229" t="s">
        <v>620</v>
      </c>
      <c r="C104" s="1238" t="s">
        <v>621</v>
      </c>
      <c r="D104" s="1231">
        <v>4500159286</v>
      </c>
      <c r="E104" s="1229"/>
      <c r="F104" s="1231" t="s">
        <v>622</v>
      </c>
      <c r="G104" s="1004" t="s">
        <v>205</v>
      </c>
      <c r="H104" s="1004" t="s">
        <v>189</v>
      </c>
      <c r="I104" s="1004">
        <v>1000</v>
      </c>
      <c r="J104" s="1004">
        <v>0</v>
      </c>
      <c r="K104" s="1004">
        <v>50</v>
      </c>
      <c r="L104" s="1232">
        <f t="shared" si="43"/>
        <v>20</v>
      </c>
      <c r="M104" s="1007">
        <v>45800</v>
      </c>
      <c r="N104" s="1007">
        <v>45796</v>
      </c>
      <c r="O104" s="1020"/>
      <c r="P104" s="1024" t="s">
        <v>86</v>
      </c>
      <c r="Q104" s="1004"/>
      <c r="R104" s="1009">
        <v>45757</v>
      </c>
      <c r="S104" s="1004" t="s">
        <v>98</v>
      </c>
      <c r="T104" s="1233">
        <v>45770</v>
      </c>
      <c r="U104" s="1233"/>
      <c r="V104" s="1234" t="s">
        <v>623</v>
      </c>
      <c r="W104" s="1007" t="s">
        <v>624</v>
      </c>
      <c r="X104" s="1235">
        <v>2.0019</v>
      </c>
      <c r="Y104" s="1236">
        <f t="shared" si="54"/>
        <v>2001.9</v>
      </c>
      <c r="Z104" s="1236"/>
      <c r="AA104" s="1004" t="s">
        <v>625</v>
      </c>
      <c r="AB104" s="1004" t="s">
        <v>210</v>
      </c>
      <c r="AC104" s="1004" t="s">
        <v>93</v>
      </c>
      <c r="AD104" s="1023" t="s">
        <v>94</v>
      </c>
      <c r="AE104" s="1004"/>
      <c r="AF104" s="1002">
        <v>1000</v>
      </c>
      <c r="AG104" s="1002">
        <f t="shared" si="51"/>
        <v>0</v>
      </c>
      <c r="AH104" s="1237"/>
      <c r="AI104" s="1004" t="s">
        <v>95</v>
      </c>
      <c r="AJ104" s="1004"/>
      <c r="AK104" s="1004">
        <f t="shared" si="56"/>
        <v>1000</v>
      </c>
      <c r="AL104" s="1004"/>
      <c r="AM104" s="1004"/>
      <c r="AP104" s="1004">
        <f>I104</f>
        <v>1000</v>
      </c>
      <c r="AQ104" s="1004"/>
      <c r="AS104" s="1004">
        <f t="shared" si="55"/>
        <v>1000</v>
      </c>
      <c r="AT104" s="1004"/>
      <c r="AU104" s="1004"/>
      <c r="AV104" s="1004"/>
      <c r="BF104" s="974">
        <f>I104/25</f>
        <v>40</v>
      </c>
      <c r="BU104" s="939">
        <f t="shared" si="39"/>
        <v>1000</v>
      </c>
      <c r="BV104" s="1222">
        <f t="shared" si="40"/>
        <v>2435064</v>
      </c>
      <c r="BW104" s="1018"/>
      <c r="BX104" s="1018"/>
      <c r="BY104" s="1018"/>
      <c r="BZ104" s="1018"/>
      <c r="CA104" s="856">
        <f t="shared" si="37"/>
        <v>384936</v>
      </c>
      <c r="CC104" s="964">
        <f t="shared" si="41"/>
        <v>40</v>
      </c>
      <c r="CD104" s="939">
        <f t="shared" si="42"/>
        <v>49630.5714285714</v>
      </c>
      <c r="CE104" s="1018"/>
      <c r="CF104" s="1018"/>
      <c r="CG104" s="1018"/>
      <c r="CH104" s="939">
        <f t="shared" si="38"/>
        <v>10369.4285714286</v>
      </c>
      <c r="CI104" s="1018"/>
    </row>
    <row r="105" s="974" customFormat="1" ht="31" customHeight="1" spans="1:87">
      <c r="A105" s="1228">
        <v>45761</v>
      </c>
      <c r="B105" s="1229" t="s">
        <v>626</v>
      </c>
      <c r="C105" s="1238" t="s">
        <v>447</v>
      </c>
      <c r="D105" s="1231">
        <v>4500163667</v>
      </c>
      <c r="E105" s="1229" t="s">
        <v>627</v>
      </c>
      <c r="F105" s="1231" t="s">
        <v>628</v>
      </c>
      <c r="G105" s="1004" t="s">
        <v>188</v>
      </c>
      <c r="H105" s="1004" t="s">
        <v>189</v>
      </c>
      <c r="I105" s="1004">
        <v>1300</v>
      </c>
      <c r="J105" s="1004">
        <v>0</v>
      </c>
      <c r="K105" s="1004">
        <v>52</v>
      </c>
      <c r="L105" s="1232">
        <f t="shared" si="43"/>
        <v>25</v>
      </c>
      <c r="M105" s="1007">
        <v>45803</v>
      </c>
      <c r="N105" s="1007">
        <v>45799</v>
      </c>
      <c r="O105" s="1020"/>
      <c r="P105" s="1024" t="s">
        <v>86</v>
      </c>
      <c r="Q105" s="1004"/>
      <c r="R105" s="1009">
        <v>45761</v>
      </c>
      <c r="S105" s="1004" t="s">
        <v>98</v>
      </c>
      <c r="T105" s="1233">
        <v>45775</v>
      </c>
      <c r="U105" s="1233"/>
      <c r="V105" s="1234" t="s">
        <v>629</v>
      </c>
      <c r="W105" s="1007" t="s">
        <v>444</v>
      </c>
      <c r="X105" s="1235">
        <v>1.8753</v>
      </c>
      <c r="Y105" s="1236">
        <f t="shared" si="54"/>
        <v>2437.89</v>
      </c>
      <c r="Z105" s="1236"/>
      <c r="AA105" s="1004" t="s">
        <v>630</v>
      </c>
      <c r="AB105" s="1004" t="s">
        <v>188</v>
      </c>
      <c r="AC105" s="1004" t="s">
        <v>93</v>
      </c>
      <c r="AD105" s="1023" t="s">
        <v>94</v>
      </c>
      <c r="AE105" s="1004"/>
      <c r="AF105" s="1002">
        <v>1300</v>
      </c>
      <c r="AG105" s="1002">
        <f t="shared" si="51"/>
        <v>0</v>
      </c>
      <c r="AH105" s="1237"/>
      <c r="AI105" s="1004" t="s">
        <v>95</v>
      </c>
      <c r="AJ105" s="1004"/>
      <c r="AK105" s="1004">
        <f t="shared" si="56"/>
        <v>1300</v>
      </c>
      <c r="AL105" s="1004"/>
      <c r="AM105" s="1004">
        <f>I105</f>
        <v>1300</v>
      </c>
      <c r="AP105" s="1004"/>
      <c r="AQ105" s="1004"/>
      <c r="AS105" s="1004">
        <f t="shared" si="55"/>
        <v>1300</v>
      </c>
      <c r="AT105" s="1004"/>
      <c r="AU105" s="1004"/>
      <c r="AV105" s="1004"/>
      <c r="BC105" s="974">
        <f>I105/13</f>
        <v>100</v>
      </c>
      <c r="BU105" s="939">
        <f t="shared" si="39"/>
        <v>1300</v>
      </c>
      <c r="BV105" s="1222">
        <f t="shared" si="40"/>
        <v>2436364</v>
      </c>
      <c r="BW105" s="1018"/>
      <c r="BX105" s="1018"/>
      <c r="BY105" s="1018"/>
      <c r="BZ105" s="1018"/>
      <c r="CA105" s="856">
        <f t="shared" si="37"/>
        <v>383636</v>
      </c>
      <c r="CC105" s="964">
        <f t="shared" si="41"/>
        <v>0</v>
      </c>
      <c r="CD105" s="939">
        <f t="shared" si="42"/>
        <v>49630.5714285714</v>
      </c>
      <c r="CE105" s="1018"/>
      <c r="CF105" s="1018"/>
      <c r="CG105" s="1018"/>
      <c r="CH105" s="939">
        <f t="shared" si="38"/>
        <v>10369.4285714286</v>
      </c>
      <c r="CI105" s="1018"/>
    </row>
    <row r="106" s="974" customFormat="1" ht="31" customHeight="1" spans="1:87">
      <c r="A106" s="1228">
        <v>45763</v>
      </c>
      <c r="B106" s="1229" t="s">
        <v>631</v>
      </c>
      <c r="C106" s="1238" t="s">
        <v>632</v>
      </c>
      <c r="D106" s="1231">
        <v>4500163897</v>
      </c>
      <c r="E106" s="1229" t="s">
        <v>633</v>
      </c>
      <c r="F106" s="1231" t="s">
        <v>634</v>
      </c>
      <c r="G106" s="1004" t="s">
        <v>196</v>
      </c>
      <c r="H106" s="1004" t="s">
        <v>197</v>
      </c>
      <c r="I106" s="1004">
        <v>12</v>
      </c>
      <c r="J106" s="1004">
        <v>0</v>
      </c>
      <c r="K106" s="1004">
        <v>12</v>
      </c>
      <c r="L106" s="1232">
        <f t="shared" si="43"/>
        <v>1</v>
      </c>
      <c r="M106" s="1007">
        <v>45803</v>
      </c>
      <c r="N106" s="1007">
        <v>45799</v>
      </c>
      <c r="O106" s="1020"/>
      <c r="P106" s="1024" t="s">
        <v>86</v>
      </c>
      <c r="Q106" s="1004"/>
      <c r="R106" s="1009">
        <v>45763</v>
      </c>
      <c r="S106" s="1004" t="s">
        <v>88</v>
      </c>
      <c r="T106" s="1233">
        <v>45785</v>
      </c>
      <c r="U106" s="1233"/>
      <c r="V106" s="1234" t="s">
        <v>635</v>
      </c>
      <c r="W106" s="1007" t="s">
        <v>130</v>
      </c>
      <c r="X106" s="1235">
        <v>4.0406</v>
      </c>
      <c r="Y106" s="1236">
        <f t="shared" si="54"/>
        <v>48.4872</v>
      </c>
      <c r="Z106" s="1236"/>
      <c r="AA106" s="1004" t="s">
        <v>636</v>
      </c>
      <c r="AB106" s="1004" t="s">
        <v>637</v>
      </c>
      <c r="AC106" s="1004" t="s">
        <v>93</v>
      </c>
      <c r="AD106" s="1023" t="s">
        <v>94</v>
      </c>
      <c r="AE106" s="1004"/>
      <c r="AF106" s="1002">
        <v>12</v>
      </c>
      <c r="AG106" s="1002">
        <f t="shared" si="51"/>
        <v>0</v>
      </c>
      <c r="AH106" s="1237"/>
      <c r="AI106" s="1004" t="s">
        <v>95</v>
      </c>
      <c r="AJ106" s="1004"/>
      <c r="AK106" s="1004">
        <f>I106*2</f>
        <v>24</v>
      </c>
      <c r="AL106" s="1004"/>
      <c r="AM106" s="1004"/>
      <c r="AP106" s="1004">
        <f>I106*2</f>
        <v>24</v>
      </c>
      <c r="AQ106" s="1004"/>
      <c r="AS106" s="1004">
        <f>I106*2</f>
        <v>24</v>
      </c>
      <c r="AT106" s="1004"/>
      <c r="AU106" s="1004"/>
      <c r="AV106" s="1004"/>
      <c r="BN106" s="974">
        <f>I106</f>
        <v>12</v>
      </c>
      <c r="BO106" s="974">
        <f>I106</f>
        <v>12</v>
      </c>
      <c r="BQ106" s="974">
        <f>I106</f>
        <v>12</v>
      </c>
      <c r="BU106" s="939">
        <f t="shared" si="39"/>
        <v>24</v>
      </c>
      <c r="BV106" s="1222">
        <f t="shared" si="40"/>
        <v>2436388</v>
      </c>
      <c r="BW106" s="1018"/>
      <c r="BX106" s="1018"/>
      <c r="BY106" s="1018"/>
      <c r="BZ106" s="1018"/>
      <c r="CA106" s="856">
        <f t="shared" si="37"/>
        <v>383612</v>
      </c>
      <c r="CC106" s="964">
        <f t="shared" si="41"/>
        <v>0</v>
      </c>
      <c r="CD106" s="939">
        <f t="shared" si="42"/>
        <v>49630.5714285714</v>
      </c>
      <c r="CE106" s="1018"/>
      <c r="CF106" s="1018"/>
      <c r="CG106" s="1018"/>
      <c r="CH106" s="939">
        <f t="shared" si="38"/>
        <v>10369.4285714286</v>
      </c>
      <c r="CI106" s="1018"/>
    </row>
    <row r="107" s="974" customFormat="1" ht="31" customHeight="1" spans="1:87">
      <c r="A107" s="1228">
        <v>45763</v>
      </c>
      <c r="B107" s="1229" t="s">
        <v>631</v>
      </c>
      <c r="C107" s="1238" t="s">
        <v>632</v>
      </c>
      <c r="D107" s="1231">
        <v>4500163897</v>
      </c>
      <c r="E107" s="1229" t="s">
        <v>638</v>
      </c>
      <c r="F107" s="1231" t="s">
        <v>639</v>
      </c>
      <c r="G107" s="1004" t="s">
        <v>196</v>
      </c>
      <c r="H107" s="1004" t="s">
        <v>197</v>
      </c>
      <c r="I107" s="1004">
        <v>12</v>
      </c>
      <c r="J107" s="1004">
        <v>0</v>
      </c>
      <c r="K107" s="1004">
        <v>12</v>
      </c>
      <c r="L107" s="1232">
        <f t="shared" si="43"/>
        <v>1</v>
      </c>
      <c r="M107" s="1007">
        <v>45803</v>
      </c>
      <c r="N107" s="1007">
        <v>45799</v>
      </c>
      <c r="O107" s="1020"/>
      <c r="P107" s="1024" t="s">
        <v>86</v>
      </c>
      <c r="Q107" s="1004"/>
      <c r="R107" s="1009">
        <v>45763</v>
      </c>
      <c r="S107" s="1004" t="s">
        <v>88</v>
      </c>
      <c r="T107" s="1233">
        <v>45785</v>
      </c>
      <c r="U107" s="1233"/>
      <c r="V107" s="1234" t="s">
        <v>635</v>
      </c>
      <c r="W107" s="1007" t="s">
        <v>130</v>
      </c>
      <c r="X107" s="1235">
        <v>4.0406</v>
      </c>
      <c r="Y107" s="1236">
        <f t="shared" si="54"/>
        <v>48.4872</v>
      </c>
      <c r="Z107" s="1236"/>
      <c r="AA107" s="1004" t="s">
        <v>636</v>
      </c>
      <c r="AB107" s="1004" t="s">
        <v>637</v>
      </c>
      <c r="AC107" s="1004" t="s">
        <v>93</v>
      </c>
      <c r="AD107" s="1023" t="s">
        <v>94</v>
      </c>
      <c r="AE107" s="1004"/>
      <c r="AF107" s="1022"/>
      <c r="AG107" s="1002">
        <f t="shared" si="51"/>
        <v>-12</v>
      </c>
      <c r="AH107" s="1237"/>
      <c r="AI107" s="1004" t="s">
        <v>95</v>
      </c>
      <c r="AJ107" s="1004"/>
      <c r="AK107" s="1004">
        <f>I107*2</f>
        <v>24</v>
      </c>
      <c r="AL107" s="1004"/>
      <c r="AM107" s="1004"/>
      <c r="AP107" s="1004">
        <f>I107*2</f>
        <v>24</v>
      </c>
      <c r="AQ107" s="1004"/>
      <c r="AS107" s="1004">
        <f>I107*2</f>
        <v>24</v>
      </c>
      <c r="AT107" s="1004"/>
      <c r="AU107" s="1004"/>
      <c r="AV107" s="1004"/>
      <c r="BN107" s="974">
        <f>I107</f>
        <v>12</v>
      </c>
      <c r="BO107" s="974">
        <f>I107</f>
        <v>12</v>
      </c>
      <c r="BQ107" s="974">
        <f>I107</f>
        <v>12</v>
      </c>
      <c r="BU107" s="939">
        <f t="shared" si="39"/>
        <v>24</v>
      </c>
      <c r="BV107" s="1222">
        <f t="shared" si="40"/>
        <v>2436412</v>
      </c>
      <c r="BW107" s="1018"/>
      <c r="BX107" s="1018"/>
      <c r="BY107" s="1018"/>
      <c r="BZ107" s="1018"/>
      <c r="CA107" s="856">
        <f t="shared" si="37"/>
        <v>383588</v>
      </c>
      <c r="CC107" s="964">
        <f t="shared" si="41"/>
        <v>0</v>
      </c>
      <c r="CD107" s="939">
        <f t="shared" si="42"/>
        <v>49630.5714285714</v>
      </c>
      <c r="CE107" s="1018"/>
      <c r="CF107" s="1018"/>
      <c r="CG107" s="1018"/>
      <c r="CH107" s="939">
        <f t="shared" si="38"/>
        <v>10369.4285714286</v>
      </c>
      <c r="CI107" s="1018"/>
    </row>
    <row r="108" s="974" customFormat="1" ht="31" customHeight="1" spans="1:87">
      <c r="A108" s="1228">
        <v>45756</v>
      </c>
      <c r="B108" s="1229" t="s">
        <v>640</v>
      </c>
      <c r="C108" s="1238" t="s">
        <v>641</v>
      </c>
      <c r="D108" s="1231">
        <v>4500163069</v>
      </c>
      <c r="E108" s="1229"/>
      <c r="F108" s="1231" t="s">
        <v>642</v>
      </c>
      <c r="G108" s="1004" t="s">
        <v>205</v>
      </c>
      <c r="H108" s="1004" t="s">
        <v>189</v>
      </c>
      <c r="I108" s="1004">
        <v>500</v>
      </c>
      <c r="J108" s="1004">
        <v>0</v>
      </c>
      <c r="K108" s="1004">
        <v>50</v>
      </c>
      <c r="L108" s="1232">
        <f t="shared" si="43"/>
        <v>10</v>
      </c>
      <c r="M108" s="1007">
        <v>45807</v>
      </c>
      <c r="N108" s="1007">
        <v>45803</v>
      </c>
      <c r="O108" s="1020"/>
      <c r="P108" s="1024" t="s">
        <v>86</v>
      </c>
      <c r="Q108" s="1004"/>
      <c r="R108" s="1009">
        <v>45758</v>
      </c>
      <c r="S108" s="1004" t="s">
        <v>98</v>
      </c>
      <c r="T108" s="1233" t="s">
        <v>98</v>
      </c>
      <c r="U108" s="1233"/>
      <c r="V108" s="1234" t="s">
        <v>643</v>
      </c>
      <c r="W108" s="1007" t="s">
        <v>444</v>
      </c>
      <c r="X108" s="1235">
        <v>1.9605</v>
      </c>
      <c r="Y108" s="1236">
        <f t="shared" si="54"/>
        <v>980.25</v>
      </c>
      <c r="Z108" s="1236"/>
      <c r="AA108" s="1004" t="s">
        <v>644</v>
      </c>
      <c r="AB108" s="1004" t="s">
        <v>205</v>
      </c>
      <c r="AC108" s="1004" t="s">
        <v>93</v>
      </c>
      <c r="AD108" s="1023" t="s">
        <v>94</v>
      </c>
      <c r="AE108" s="1004"/>
      <c r="AF108" s="1002">
        <v>500</v>
      </c>
      <c r="AG108" s="1002">
        <f t="shared" si="51"/>
        <v>0</v>
      </c>
      <c r="AH108" s="1237"/>
      <c r="AI108" s="1004" t="s">
        <v>98</v>
      </c>
      <c r="AJ108" s="1004"/>
      <c r="AK108" s="1004">
        <f>I108</f>
        <v>500</v>
      </c>
      <c r="AL108" s="1004"/>
      <c r="AM108" s="1004">
        <f>I108</f>
        <v>500</v>
      </c>
      <c r="AP108" s="1004"/>
      <c r="AQ108" s="1004"/>
      <c r="AS108" s="1004">
        <f>I108</f>
        <v>500</v>
      </c>
      <c r="AT108" s="1004"/>
      <c r="AU108" s="1004"/>
      <c r="AV108" s="1004"/>
      <c r="BE108" s="974">
        <f>I108/25</f>
        <v>20</v>
      </c>
      <c r="BU108" s="939">
        <f t="shared" si="39"/>
        <v>500</v>
      </c>
      <c r="BV108" s="1222">
        <f t="shared" si="40"/>
        <v>2436912</v>
      </c>
      <c r="BW108" s="1018"/>
      <c r="BX108" s="1018"/>
      <c r="BY108" s="1018"/>
      <c r="BZ108" s="1018"/>
      <c r="CA108" s="856">
        <f t="shared" si="37"/>
        <v>383088</v>
      </c>
      <c r="CC108" s="964">
        <f t="shared" si="41"/>
        <v>20</v>
      </c>
      <c r="CD108" s="939">
        <f t="shared" si="42"/>
        <v>49650.5714285714</v>
      </c>
      <c r="CE108" s="1018"/>
      <c r="CF108" s="1018"/>
      <c r="CG108" s="1018"/>
      <c r="CH108" s="939">
        <f t="shared" si="38"/>
        <v>10349.4285714286</v>
      </c>
      <c r="CI108" s="1018"/>
    </row>
    <row r="109" s="974" customFormat="1" ht="31" customHeight="1" spans="1:87">
      <c r="A109" s="1228">
        <v>45756</v>
      </c>
      <c r="B109" s="1229" t="s">
        <v>587</v>
      </c>
      <c r="C109" s="1238" t="s">
        <v>588</v>
      </c>
      <c r="D109" s="1231">
        <v>4500162852</v>
      </c>
      <c r="E109" s="1229" t="s">
        <v>645</v>
      </c>
      <c r="F109" s="1231" t="s">
        <v>646</v>
      </c>
      <c r="G109" s="1004" t="s">
        <v>188</v>
      </c>
      <c r="H109" s="1004" t="s">
        <v>189</v>
      </c>
      <c r="I109" s="1004">
        <v>208</v>
      </c>
      <c r="J109" s="1004">
        <v>0</v>
      </c>
      <c r="K109" s="1004">
        <v>52</v>
      </c>
      <c r="L109" s="1232">
        <f t="shared" si="43"/>
        <v>4</v>
      </c>
      <c r="M109" s="1007">
        <v>45812</v>
      </c>
      <c r="N109" s="1007">
        <f>M109-4</f>
        <v>45808</v>
      </c>
      <c r="O109" s="1020"/>
      <c r="P109" s="1024" t="s">
        <v>86</v>
      </c>
      <c r="Q109" s="1004" t="s">
        <v>647</v>
      </c>
      <c r="R109" s="1009">
        <v>45756</v>
      </c>
      <c r="S109" s="1004" t="s">
        <v>98</v>
      </c>
      <c r="T109" s="1233">
        <v>45784</v>
      </c>
      <c r="U109" s="1233"/>
      <c r="V109" s="1234" t="s">
        <v>648</v>
      </c>
      <c r="W109" s="1007" t="s">
        <v>649</v>
      </c>
      <c r="X109" s="1235">
        <v>1.8478</v>
      </c>
      <c r="Y109" s="1236">
        <f t="shared" si="54"/>
        <v>384.3424</v>
      </c>
      <c r="Z109" s="1236"/>
      <c r="AA109" s="1004" t="s">
        <v>650</v>
      </c>
      <c r="AB109" s="1004" t="s">
        <v>188</v>
      </c>
      <c r="AC109" s="1004" t="s">
        <v>93</v>
      </c>
      <c r="AD109" s="1023" t="s">
        <v>94</v>
      </c>
      <c r="AE109" s="1004"/>
      <c r="AF109" s="1002">
        <v>208</v>
      </c>
      <c r="AG109" s="1002">
        <f t="shared" si="51"/>
        <v>0</v>
      </c>
      <c r="AH109" s="1237"/>
      <c r="AI109" s="1004" t="s">
        <v>95</v>
      </c>
      <c r="AJ109" s="1004"/>
      <c r="AK109" s="1004">
        <f>I109</f>
        <v>208</v>
      </c>
      <c r="AL109" s="1004"/>
      <c r="AM109" s="1004">
        <f>I109</f>
        <v>208</v>
      </c>
      <c r="AP109" s="1004"/>
      <c r="AQ109" s="1004"/>
      <c r="AS109" s="1004">
        <f>I109</f>
        <v>208</v>
      </c>
      <c r="AT109" s="1004"/>
      <c r="AU109" s="1004"/>
      <c r="AV109" s="1004"/>
      <c r="BC109" s="974">
        <f>I109/13</f>
        <v>16</v>
      </c>
      <c r="BU109" s="939">
        <f t="shared" si="39"/>
        <v>208</v>
      </c>
      <c r="BV109" s="1222">
        <f t="shared" si="40"/>
        <v>2437120</v>
      </c>
      <c r="BW109" s="1018"/>
      <c r="BX109" s="1018"/>
      <c r="BY109" s="1018"/>
      <c r="BZ109" s="1018"/>
      <c r="CA109" s="856">
        <f t="shared" si="37"/>
        <v>382880</v>
      </c>
      <c r="CC109" s="964">
        <f t="shared" si="41"/>
        <v>0</v>
      </c>
      <c r="CD109" s="939">
        <f t="shared" si="42"/>
        <v>49650.5714285714</v>
      </c>
      <c r="CE109" s="1018"/>
      <c r="CF109" s="1018"/>
      <c r="CG109" s="1018"/>
      <c r="CH109" s="939">
        <f t="shared" si="38"/>
        <v>10349.4285714286</v>
      </c>
      <c r="CI109" s="1018"/>
    </row>
    <row r="110" s="974" customFormat="1" ht="31" customHeight="1" spans="1:87">
      <c r="A110" s="1228">
        <v>45756</v>
      </c>
      <c r="B110" s="1229" t="s">
        <v>80</v>
      </c>
      <c r="C110" s="1238" t="s">
        <v>81</v>
      </c>
      <c r="D110" s="1231">
        <v>4500163057</v>
      </c>
      <c r="E110" s="1229" t="s">
        <v>115</v>
      </c>
      <c r="F110" s="1231" t="s">
        <v>651</v>
      </c>
      <c r="G110" s="1004" t="s">
        <v>196</v>
      </c>
      <c r="H110" s="1004" t="s">
        <v>197</v>
      </c>
      <c r="I110" s="1004">
        <v>120</v>
      </c>
      <c r="J110" s="1004">
        <v>0</v>
      </c>
      <c r="K110" s="1004">
        <v>12</v>
      </c>
      <c r="L110" s="1232">
        <f t="shared" si="43"/>
        <v>10</v>
      </c>
      <c r="M110" s="1007">
        <v>45812</v>
      </c>
      <c r="N110" s="1007">
        <f>M110-4</f>
        <v>45808</v>
      </c>
      <c r="O110" s="1020" t="s">
        <v>652</v>
      </c>
      <c r="P110" s="1024" t="s">
        <v>86</v>
      </c>
      <c r="Q110" s="1004" t="s">
        <v>653</v>
      </c>
      <c r="R110" s="1009" t="s">
        <v>654</v>
      </c>
      <c r="S110" s="1004" t="s">
        <v>88</v>
      </c>
      <c r="T110" s="1233">
        <v>45798</v>
      </c>
      <c r="U110" s="1233"/>
      <c r="V110" s="1234" t="s">
        <v>655</v>
      </c>
      <c r="W110" s="1007" t="s">
        <v>119</v>
      </c>
      <c r="X110" s="1235">
        <v>4.1214</v>
      </c>
      <c r="Y110" s="1236">
        <f t="shared" si="54"/>
        <v>494.568</v>
      </c>
      <c r="Z110" s="1236"/>
      <c r="AA110" s="1004" t="s">
        <v>120</v>
      </c>
      <c r="AB110" s="1004" t="s">
        <v>637</v>
      </c>
      <c r="AC110" s="1004" t="s">
        <v>93</v>
      </c>
      <c r="AD110" s="1023" t="s">
        <v>94</v>
      </c>
      <c r="AE110" s="1004"/>
      <c r="AF110" s="1002">
        <v>120</v>
      </c>
      <c r="AG110" s="1002">
        <f t="shared" si="51"/>
        <v>0</v>
      </c>
      <c r="AH110" s="1237"/>
      <c r="AI110" s="1004" t="s">
        <v>95</v>
      </c>
      <c r="AJ110" s="1004"/>
      <c r="AK110" s="1004">
        <f>I110*2</f>
        <v>240</v>
      </c>
      <c r="AL110" s="1004"/>
      <c r="AM110" s="1004"/>
      <c r="AP110" s="1004">
        <f>I110*2</f>
        <v>240</v>
      </c>
      <c r="AQ110" s="1004"/>
      <c r="AS110" s="1004">
        <f>I110*2</f>
        <v>240</v>
      </c>
      <c r="AT110" s="1004"/>
      <c r="AU110" s="1004"/>
      <c r="AV110" s="1004"/>
      <c r="BN110" s="974">
        <f>I110</f>
        <v>120</v>
      </c>
      <c r="BO110" s="974">
        <f>I110</f>
        <v>120</v>
      </c>
      <c r="BQ110" s="974">
        <f>I110</f>
        <v>120</v>
      </c>
      <c r="BU110" s="939">
        <f t="shared" si="39"/>
        <v>240</v>
      </c>
      <c r="BV110" s="1222">
        <f t="shared" si="40"/>
        <v>2437360</v>
      </c>
      <c r="BW110" s="1018"/>
      <c r="BX110" s="1018"/>
      <c r="BY110" s="1018"/>
      <c r="BZ110" s="1018"/>
      <c r="CA110" s="856">
        <f t="shared" si="37"/>
        <v>382640</v>
      </c>
      <c r="CC110" s="964">
        <f t="shared" si="41"/>
        <v>0</v>
      </c>
      <c r="CD110" s="939">
        <f t="shared" si="42"/>
        <v>49650.5714285714</v>
      </c>
      <c r="CE110" s="1018"/>
      <c r="CF110" s="1018"/>
      <c r="CG110" s="1018"/>
      <c r="CH110" s="939">
        <f t="shared" si="38"/>
        <v>10349.4285714286</v>
      </c>
      <c r="CI110" s="1018"/>
    </row>
    <row r="111" s="974" customFormat="1" ht="31" customHeight="1" spans="1:87">
      <c r="A111" s="1228">
        <v>45756</v>
      </c>
      <c r="B111" s="1229" t="s">
        <v>80</v>
      </c>
      <c r="C111" s="1238" t="s">
        <v>81</v>
      </c>
      <c r="D111" s="1231">
        <v>4500163057</v>
      </c>
      <c r="E111" s="1229" t="s">
        <v>121</v>
      </c>
      <c r="F111" s="1231" t="s">
        <v>656</v>
      </c>
      <c r="G111" s="1004" t="s">
        <v>196</v>
      </c>
      <c r="H111" s="1004" t="s">
        <v>197</v>
      </c>
      <c r="I111" s="1004">
        <v>24</v>
      </c>
      <c r="J111" s="1004">
        <v>0</v>
      </c>
      <c r="K111" s="1004">
        <v>12</v>
      </c>
      <c r="L111" s="1232">
        <f t="shared" si="43"/>
        <v>2</v>
      </c>
      <c r="M111" s="1007">
        <v>45812</v>
      </c>
      <c r="N111" s="1007">
        <f>M111-4</f>
        <v>45808</v>
      </c>
      <c r="O111" s="1020" t="s">
        <v>652</v>
      </c>
      <c r="P111" s="1024" t="s">
        <v>86</v>
      </c>
      <c r="Q111" s="1004" t="s">
        <v>653</v>
      </c>
      <c r="R111" s="1009" t="s">
        <v>654</v>
      </c>
      <c r="S111" s="1004" t="s">
        <v>88</v>
      </c>
      <c r="T111" s="1233">
        <v>45798</v>
      </c>
      <c r="U111" s="1233"/>
      <c r="V111" s="1234" t="s">
        <v>655</v>
      </c>
      <c r="W111" s="1007" t="s">
        <v>119</v>
      </c>
      <c r="X111" s="1235">
        <v>4.1214</v>
      </c>
      <c r="Y111" s="1236">
        <f t="shared" si="54"/>
        <v>98.9136</v>
      </c>
      <c r="Z111" s="1236"/>
      <c r="AA111" s="1004" t="s">
        <v>120</v>
      </c>
      <c r="AB111" s="1004" t="s">
        <v>637</v>
      </c>
      <c r="AC111" s="1004" t="s">
        <v>93</v>
      </c>
      <c r="AD111" s="1023" t="s">
        <v>94</v>
      </c>
      <c r="AE111" s="1004"/>
      <c r="AF111" s="1002">
        <v>24</v>
      </c>
      <c r="AG111" s="1002">
        <f t="shared" si="51"/>
        <v>0</v>
      </c>
      <c r="AH111" s="1237"/>
      <c r="AI111" s="1004" t="s">
        <v>95</v>
      </c>
      <c r="AJ111" s="1004"/>
      <c r="AK111" s="1004">
        <f>I111*2</f>
        <v>48</v>
      </c>
      <c r="AL111" s="1004"/>
      <c r="AM111" s="1004"/>
      <c r="AP111" s="1004">
        <f>I111*2</f>
        <v>48</v>
      </c>
      <c r="AQ111" s="1004"/>
      <c r="AS111" s="1004">
        <f>I111*2</f>
        <v>48</v>
      </c>
      <c r="AT111" s="1004"/>
      <c r="AU111" s="1004"/>
      <c r="AV111" s="1004"/>
      <c r="BN111" s="974">
        <f>I111</f>
        <v>24</v>
      </c>
      <c r="BO111" s="974">
        <f>I111</f>
        <v>24</v>
      </c>
      <c r="BQ111" s="974">
        <f>I111</f>
        <v>24</v>
      </c>
      <c r="BU111" s="939">
        <f t="shared" si="39"/>
        <v>48</v>
      </c>
      <c r="BV111" s="1222">
        <f t="shared" si="40"/>
        <v>2437408</v>
      </c>
      <c r="BW111" s="1018"/>
      <c r="BX111" s="1018"/>
      <c r="BY111" s="1018"/>
      <c r="BZ111" s="1018"/>
      <c r="CA111" s="856">
        <f t="shared" si="37"/>
        <v>382592</v>
      </c>
      <c r="CC111" s="964">
        <f t="shared" si="41"/>
        <v>0</v>
      </c>
      <c r="CD111" s="939">
        <f t="shared" si="42"/>
        <v>49650.5714285714</v>
      </c>
      <c r="CE111" s="1018"/>
      <c r="CF111" s="1018"/>
      <c r="CG111" s="1018"/>
      <c r="CH111" s="939">
        <f t="shared" si="38"/>
        <v>10349.4285714286</v>
      </c>
      <c r="CI111" s="1018"/>
    </row>
    <row r="112" s="974" customFormat="1" ht="31" customHeight="1" spans="1:87">
      <c r="A112" s="1228">
        <v>45771</v>
      </c>
      <c r="B112" s="1229" t="s">
        <v>499</v>
      </c>
      <c r="C112" s="1238" t="s">
        <v>81</v>
      </c>
      <c r="D112" s="1231">
        <v>4500164861</v>
      </c>
      <c r="E112" s="1229">
        <v>50212500921</v>
      </c>
      <c r="F112" s="1231" t="s">
        <v>657</v>
      </c>
      <c r="G112" s="1004" t="s">
        <v>205</v>
      </c>
      <c r="H112" s="1004" t="s">
        <v>189</v>
      </c>
      <c r="I112" s="1004">
        <v>2900</v>
      </c>
      <c r="J112" s="1004">
        <v>0</v>
      </c>
      <c r="K112" s="1004">
        <v>50</v>
      </c>
      <c r="L112" s="1232">
        <f t="shared" si="43"/>
        <v>58</v>
      </c>
      <c r="M112" s="1007">
        <v>45813</v>
      </c>
      <c r="N112" s="1007">
        <v>45810</v>
      </c>
      <c r="O112" s="1020" t="s">
        <v>501</v>
      </c>
      <c r="P112" s="1024" t="s">
        <v>86</v>
      </c>
      <c r="Q112" s="1004"/>
      <c r="R112" s="1009">
        <v>45792</v>
      </c>
      <c r="S112" s="1004" t="s">
        <v>98</v>
      </c>
      <c r="T112" s="1233" t="s">
        <v>658</v>
      </c>
      <c r="U112" s="1233"/>
      <c r="V112" s="1234" t="s">
        <v>659</v>
      </c>
      <c r="W112" s="1007" t="s">
        <v>225</v>
      </c>
      <c r="X112" s="1235">
        <v>1.9605</v>
      </c>
      <c r="Y112" s="1236">
        <f t="shared" si="54"/>
        <v>5685.45</v>
      </c>
      <c r="Z112" s="1236"/>
      <c r="AA112" s="1004" t="s">
        <v>660</v>
      </c>
      <c r="AB112" s="1004" t="s">
        <v>210</v>
      </c>
      <c r="AC112" s="1004" t="s">
        <v>93</v>
      </c>
      <c r="AD112" s="1023" t="s">
        <v>94</v>
      </c>
      <c r="AE112" s="1004"/>
      <c r="AF112" s="1002">
        <v>2900</v>
      </c>
      <c r="AG112" s="1002">
        <f t="shared" si="51"/>
        <v>0</v>
      </c>
      <c r="AH112" s="1237"/>
      <c r="AI112" s="1004" t="s">
        <v>95</v>
      </c>
      <c r="AJ112" s="1004"/>
      <c r="AK112" s="1004">
        <f t="shared" ref="AK112:AK126" si="57">I112</f>
        <v>2900</v>
      </c>
      <c r="AL112" s="1004"/>
      <c r="AM112" s="1004"/>
      <c r="AP112" s="1004">
        <f>I112</f>
        <v>2900</v>
      </c>
      <c r="AQ112" s="1004"/>
      <c r="AS112" s="1004">
        <f>I112</f>
        <v>2900</v>
      </c>
      <c r="AT112" s="1004"/>
      <c r="AU112" s="1004"/>
      <c r="AV112" s="1004"/>
      <c r="BF112" s="974">
        <f>I112/25</f>
        <v>116</v>
      </c>
      <c r="BU112" s="939">
        <f t="shared" si="39"/>
        <v>2900</v>
      </c>
      <c r="BV112" s="1222">
        <f t="shared" si="40"/>
        <v>2440308</v>
      </c>
      <c r="BW112" s="1018"/>
      <c r="BX112" s="1018"/>
      <c r="BY112" s="1018"/>
      <c r="BZ112" s="1018"/>
      <c r="CA112" s="856">
        <f t="shared" si="37"/>
        <v>379692</v>
      </c>
      <c r="CC112" s="964">
        <f t="shared" si="41"/>
        <v>116</v>
      </c>
      <c r="CD112" s="939">
        <f t="shared" si="42"/>
        <v>49766.5714285714</v>
      </c>
      <c r="CE112" s="1018"/>
      <c r="CF112" s="1018"/>
      <c r="CG112" s="1018"/>
      <c r="CH112" s="939">
        <f t="shared" si="38"/>
        <v>10233.4285714286</v>
      </c>
      <c r="CI112" s="1018"/>
    </row>
    <row r="113" s="974" customFormat="1" ht="31" customHeight="1" spans="1:87">
      <c r="A113" s="1228">
        <v>45790</v>
      </c>
      <c r="B113" s="1229" t="s">
        <v>661</v>
      </c>
      <c r="C113" s="1238" t="s">
        <v>125</v>
      </c>
      <c r="D113" s="1231">
        <v>4500166203</v>
      </c>
      <c r="E113" s="1419" t="s">
        <v>662</v>
      </c>
      <c r="F113" s="1231" t="s">
        <v>663</v>
      </c>
      <c r="G113" s="1004" t="s">
        <v>243</v>
      </c>
      <c r="H113" s="1004" t="s">
        <v>189</v>
      </c>
      <c r="I113" s="1004">
        <v>1152</v>
      </c>
      <c r="J113" s="1004">
        <v>0</v>
      </c>
      <c r="K113" s="1004">
        <v>1152</v>
      </c>
      <c r="L113" s="1232">
        <f t="shared" si="43"/>
        <v>1</v>
      </c>
      <c r="M113" s="1007">
        <v>45818</v>
      </c>
      <c r="N113" s="1007">
        <v>45814</v>
      </c>
      <c r="O113" s="1020" t="s">
        <v>664</v>
      </c>
      <c r="P113" s="1024" t="s">
        <v>86</v>
      </c>
      <c r="Q113" s="1004"/>
      <c r="R113" s="1009" t="s">
        <v>665</v>
      </c>
      <c r="S113" s="1004" t="s">
        <v>98</v>
      </c>
      <c r="T113" s="1233" t="s">
        <v>582</v>
      </c>
      <c r="U113" s="1233"/>
      <c r="V113" s="1234" t="s">
        <v>666</v>
      </c>
      <c r="W113" s="1007" t="s">
        <v>667</v>
      </c>
      <c r="X113" s="1235">
        <v>1308.57</v>
      </c>
      <c r="Y113" s="1236">
        <f>X113*L113</f>
        <v>1308.57</v>
      </c>
      <c r="Z113" s="1236"/>
      <c r="AA113" s="1004" t="s">
        <v>668</v>
      </c>
      <c r="AB113" s="1004" t="s">
        <v>243</v>
      </c>
      <c r="AC113" s="1004" t="s">
        <v>93</v>
      </c>
      <c r="AD113" s="1023" t="s">
        <v>94</v>
      </c>
      <c r="AE113" s="1004"/>
      <c r="AF113" s="1002">
        <f>1116+36</f>
        <v>1152</v>
      </c>
      <c r="AG113" s="1002">
        <f t="shared" si="51"/>
        <v>0</v>
      </c>
      <c r="AH113" s="1241">
        <v>45817</v>
      </c>
      <c r="AI113" s="1004"/>
      <c r="AJ113" s="1004"/>
      <c r="AK113" s="1004">
        <f t="shared" si="57"/>
        <v>1152</v>
      </c>
      <c r="AL113" s="1004"/>
      <c r="AM113" s="1004">
        <f>I113</f>
        <v>1152</v>
      </c>
      <c r="AP113" s="1004"/>
      <c r="AQ113" s="1004"/>
      <c r="AS113" s="1004"/>
      <c r="AT113" s="1004"/>
      <c r="AU113" s="1004">
        <f>I113</f>
        <v>1152</v>
      </c>
      <c r="AV113" s="1004"/>
      <c r="AZ113" s="974">
        <f>I113/12</f>
        <v>96</v>
      </c>
      <c r="BU113" s="939">
        <f t="shared" si="39"/>
        <v>1152</v>
      </c>
      <c r="BV113" s="1222">
        <f t="shared" si="40"/>
        <v>2441460</v>
      </c>
      <c r="BW113" s="1018"/>
      <c r="BX113" s="1018"/>
      <c r="BY113" s="1018"/>
      <c r="BZ113" s="1018"/>
      <c r="CA113" s="856">
        <f t="shared" si="37"/>
        <v>378540</v>
      </c>
      <c r="CC113" s="964">
        <f t="shared" si="41"/>
        <v>0</v>
      </c>
      <c r="CD113" s="939">
        <f t="shared" si="42"/>
        <v>49766.5714285714</v>
      </c>
      <c r="CE113" s="1018"/>
      <c r="CF113" s="1018"/>
      <c r="CG113" s="1018"/>
      <c r="CH113" s="939">
        <f t="shared" si="38"/>
        <v>10233.4285714286</v>
      </c>
      <c r="CI113" s="1018"/>
    </row>
    <row r="114" s="974" customFormat="1" ht="31" customHeight="1" spans="1:87">
      <c r="A114" s="1228">
        <v>45790</v>
      </c>
      <c r="B114" s="1229" t="s">
        <v>661</v>
      </c>
      <c r="C114" s="1238" t="s">
        <v>125</v>
      </c>
      <c r="D114" s="1231">
        <v>4500166203</v>
      </c>
      <c r="E114" s="1419" t="s">
        <v>669</v>
      </c>
      <c r="F114" s="1231" t="s">
        <v>670</v>
      </c>
      <c r="G114" s="1004" t="s">
        <v>243</v>
      </c>
      <c r="H114" s="1004" t="s">
        <v>189</v>
      </c>
      <c r="I114" s="1004">
        <v>1152</v>
      </c>
      <c r="J114" s="1004">
        <v>0</v>
      </c>
      <c r="K114" s="1004">
        <v>1152</v>
      </c>
      <c r="L114" s="1232">
        <f t="shared" si="43"/>
        <v>1</v>
      </c>
      <c r="M114" s="1007">
        <v>45818</v>
      </c>
      <c r="N114" s="1007">
        <v>45814</v>
      </c>
      <c r="O114" s="1020" t="s">
        <v>664</v>
      </c>
      <c r="P114" s="1024" t="s">
        <v>86</v>
      </c>
      <c r="Q114" s="1004"/>
      <c r="R114" s="1009" t="s">
        <v>665</v>
      </c>
      <c r="S114" s="1004" t="s">
        <v>98</v>
      </c>
      <c r="T114" s="1233" t="s">
        <v>582</v>
      </c>
      <c r="U114" s="1233"/>
      <c r="V114" s="1234" t="s">
        <v>666</v>
      </c>
      <c r="W114" s="1007" t="s">
        <v>667</v>
      </c>
      <c r="X114" s="1235">
        <v>1308.57</v>
      </c>
      <c r="Y114" s="1236">
        <f>X114*L114</f>
        <v>1308.57</v>
      </c>
      <c r="Z114" s="1236"/>
      <c r="AA114" s="1004" t="s">
        <v>671</v>
      </c>
      <c r="AB114" s="1004" t="s">
        <v>243</v>
      </c>
      <c r="AC114" s="1004" t="s">
        <v>93</v>
      </c>
      <c r="AD114" s="1023" t="s">
        <v>94</v>
      </c>
      <c r="AE114" s="1004"/>
      <c r="AF114" s="1022"/>
      <c r="AG114" s="1002">
        <f t="shared" si="51"/>
        <v>-1152</v>
      </c>
      <c r="AH114" s="1241">
        <v>45817</v>
      </c>
      <c r="AI114" s="1004"/>
      <c r="AJ114" s="1004"/>
      <c r="AK114" s="1004">
        <f t="shared" si="57"/>
        <v>1152</v>
      </c>
      <c r="AL114" s="1004"/>
      <c r="AM114" s="1004">
        <f>I114</f>
        <v>1152</v>
      </c>
      <c r="AP114" s="1004"/>
      <c r="AQ114" s="1004"/>
      <c r="AS114" s="1004"/>
      <c r="AT114" s="1004"/>
      <c r="AU114" s="1004">
        <f>I114</f>
        <v>1152</v>
      </c>
      <c r="AV114" s="1004"/>
      <c r="AZ114" s="974">
        <f>I114/12</f>
        <v>96</v>
      </c>
      <c r="BU114" s="939">
        <f t="shared" si="39"/>
        <v>1152</v>
      </c>
      <c r="BV114" s="1222">
        <f t="shared" si="40"/>
        <v>2442612</v>
      </c>
      <c r="BW114" s="1018"/>
      <c r="BX114" s="1018"/>
      <c r="BY114" s="1018"/>
      <c r="BZ114" s="1018"/>
      <c r="CA114" s="856">
        <f t="shared" si="37"/>
        <v>377388</v>
      </c>
      <c r="CC114" s="964">
        <f t="shared" si="41"/>
        <v>0</v>
      </c>
      <c r="CD114" s="939">
        <f t="shared" si="42"/>
        <v>49766.5714285714</v>
      </c>
      <c r="CE114" s="1018"/>
      <c r="CF114" s="1018"/>
      <c r="CG114" s="1018"/>
      <c r="CH114" s="939">
        <f t="shared" si="38"/>
        <v>10233.4285714286</v>
      </c>
      <c r="CI114" s="1018"/>
    </row>
    <row r="115" s="974" customFormat="1" ht="31" customHeight="1" spans="1:87">
      <c r="A115" s="1228">
        <v>45790</v>
      </c>
      <c r="B115" s="1229" t="s">
        <v>661</v>
      </c>
      <c r="C115" s="1238" t="s">
        <v>125</v>
      </c>
      <c r="D115" s="1231">
        <v>4500166203</v>
      </c>
      <c r="E115" s="1419" t="s">
        <v>672</v>
      </c>
      <c r="F115" s="1231" t="s">
        <v>673</v>
      </c>
      <c r="G115" s="1004" t="s">
        <v>243</v>
      </c>
      <c r="H115" s="1004" t="s">
        <v>189</v>
      </c>
      <c r="I115" s="1004">
        <v>1152</v>
      </c>
      <c r="J115" s="1004">
        <v>0</v>
      </c>
      <c r="K115" s="1004">
        <v>1152</v>
      </c>
      <c r="L115" s="1232">
        <f t="shared" si="43"/>
        <v>1</v>
      </c>
      <c r="M115" s="1007">
        <v>45818</v>
      </c>
      <c r="N115" s="1007">
        <v>45814</v>
      </c>
      <c r="O115" s="1020" t="s">
        <v>664</v>
      </c>
      <c r="P115" s="1024" t="s">
        <v>86</v>
      </c>
      <c r="Q115" s="1004"/>
      <c r="R115" s="1009" t="s">
        <v>665</v>
      </c>
      <c r="S115" s="1004" t="s">
        <v>98</v>
      </c>
      <c r="T115" s="1233" t="s">
        <v>582</v>
      </c>
      <c r="U115" s="1233"/>
      <c r="V115" s="1234" t="s">
        <v>666</v>
      </c>
      <c r="W115" s="1007" t="s">
        <v>667</v>
      </c>
      <c r="X115" s="1235">
        <v>1308.57</v>
      </c>
      <c r="Y115" s="1236">
        <f>X115*L115</f>
        <v>1308.57</v>
      </c>
      <c r="Z115" s="1236"/>
      <c r="AA115" s="1004" t="s">
        <v>674</v>
      </c>
      <c r="AB115" s="1004" t="s">
        <v>243</v>
      </c>
      <c r="AC115" s="1004" t="s">
        <v>93</v>
      </c>
      <c r="AD115" s="1023" t="s">
        <v>94</v>
      </c>
      <c r="AE115" s="1004"/>
      <c r="AF115" s="1022"/>
      <c r="AG115" s="1002">
        <f t="shared" si="51"/>
        <v>-1152</v>
      </c>
      <c r="AH115" s="1241">
        <v>45817</v>
      </c>
      <c r="AI115" s="1004"/>
      <c r="AJ115" s="1004"/>
      <c r="AK115" s="1004">
        <f t="shared" si="57"/>
        <v>1152</v>
      </c>
      <c r="AL115" s="1004"/>
      <c r="AM115" s="1004">
        <f>I115</f>
        <v>1152</v>
      </c>
      <c r="AP115" s="1004"/>
      <c r="AQ115" s="1004"/>
      <c r="AS115" s="1004"/>
      <c r="AT115" s="1004"/>
      <c r="AU115" s="1004">
        <f>I115</f>
        <v>1152</v>
      </c>
      <c r="AV115" s="1004"/>
      <c r="AZ115" s="974">
        <f>I115/12</f>
        <v>96</v>
      </c>
      <c r="BU115" s="939">
        <f t="shared" si="39"/>
        <v>1152</v>
      </c>
      <c r="BV115" s="1222">
        <f t="shared" si="40"/>
        <v>2443764</v>
      </c>
      <c r="BW115" s="1018"/>
      <c r="BX115" s="1018"/>
      <c r="BY115" s="1018"/>
      <c r="BZ115" s="1018"/>
      <c r="CA115" s="856">
        <f t="shared" si="37"/>
        <v>376236</v>
      </c>
      <c r="CC115" s="964">
        <f t="shared" si="41"/>
        <v>0</v>
      </c>
      <c r="CD115" s="939">
        <f t="shared" si="42"/>
        <v>49766.5714285714</v>
      </c>
      <c r="CE115" s="1018"/>
      <c r="CF115" s="1018"/>
      <c r="CG115" s="1018"/>
      <c r="CH115" s="939">
        <f t="shared" si="38"/>
        <v>10233.4285714286</v>
      </c>
      <c r="CI115" s="1018"/>
    </row>
    <row r="116" s="974" customFormat="1" ht="31" customHeight="1" spans="1:87">
      <c r="A116" s="1228">
        <v>45784</v>
      </c>
      <c r="B116" s="1229" t="s">
        <v>675</v>
      </c>
      <c r="C116" s="1238" t="s">
        <v>676</v>
      </c>
      <c r="D116" s="1231">
        <v>4500165702</v>
      </c>
      <c r="E116" s="1229"/>
      <c r="F116" s="1231" t="s">
        <v>677</v>
      </c>
      <c r="G116" s="1004" t="s">
        <v>205</v>
      </c>
      <c r="H116" s="1004" t="s">
        <v>189</v>
      </c>
      <c r="I116" s="1004">
        <v>600</v>
      </c>
      <c r="J116" s="1004">
        <v>0</v>
      </c>
      <c r="K116" s="1004">
        <v>50</v>
      </c>
      <c r="L116" s="1232">
        <f t="shared" si="43"/>
        <v>12</v>
      </c>
      <c r="M116" s="1007">
        <v>45826</v>
      </c>
      <c r="N116" s="1007">
        <v>45822</v>
      </c>
      <c r="O116" s="1020"/>
      <c r="P116" s="1024" t="s">
        <v>86</v>
      </c>
      <c r="Q116" s="1004"/>
      <c r="R116" s="1009">
        <v>45784</v>
      </c>
      <c r="S116" s="1004" t="s">
        <v>98</v>
      </c>
      <c r="T116" s="1233">
        <v>45784</v>
      </c>
      <c r="U116" s="1233"/>
      <c r="V116" s="1234" t="s">
        <v>678</v>
      </c>
      <c r="W116" s="1007" t="s">
        <v>679</v>
      </c>
      <c r="X116" s="1235">
        <v>1.9605</v>
      </c>
      <c r="Y116" s="1236">
        <f>I116*X116</f>
        <v>1176.3</v>
      </c>
      <c r="Z116" s="1236"/>
      <c r="AA116" s="1004" t="s">
        <v>680</v>
      </c>
      <c r="AB116" s="1004" t="s">
        <v>205</v>
      </c>
      <c r="AC116" s="1004" t="s">
        <v>93</v>
      </c>
      <c r="AD116" s="1023" t="s">
        <v>94</v>
      </c>
      <c r="AE116" s="1004"/>
      <c r="AF116" s="1002">
        <f>550+50</f>
        <v>600</v>
      </c>
      <c r="AG116" s="1002">
        <f t="shared" si="51"/>
        <v>0</v>
      </c>
      <c r="AH116" s="1237"/>
      <c r="AI116" s="1004" t="s">
        <v>95</v>
      </c>
      <c r="AJ116" s="1004"/>
      <c r="AK116" s="1004">
        <f t="shared" si="57"/>
        <v>600</v>
      </c>
      <c r="AL116" s="1004"/>
      <c r="AM116" s="1004">
        <f>I116</f>
        <v>600</v>
      </c>
      <c r="AP116" s="1004"/>
      <c r="AQ116" s="1004"/>
      <c r="AS116" s="1004">
        <f>I116</f>
        <v>600</v>
      </c>
      <c r="AT116" s="1004"/>
      <c r="AU116" s="1004"/>
      <c r="AV116" s="1004"/>
      <c r="BE116" s="974">
        <f>I116/25</f>
        <v>24</v>
      </c>
      <c r="BU116" s="939">
        <f t="shared" si="39"/>
        <v>600</v>
      </c>
      <c r="BV116" s="1222">
        <f t="shared" si="40"/>
        <v>2444364</v>
      </c>
      <c r="BW116" s="1018"/>
      <c r="BX116" s="1018"/>
      <c r="BY116" s="1018"/>
      <c r="BZ116" s="1018"/>
      <c r="CA116" s="856">
        <f t="shared" si="37"/>
        <v>375636</v>
      </c>
      <c r="CC116" s="964">
        <f t="shared" si="41"/>
        <v>24</v>
      </c>
      <c r="CD116" s="939">
        <f t="shared" si="42"/>
        <v>49790.5714285714</v>
      </c>
      <c r="CE116" s="1018"/>
      <c r="CF116" s="1018"/>
      <c r="CG116" s="1018"/>
      <c r="CH116" s="939">
        <f t="shared" si="38"/>
        <v>10209.4285714286</v>
      </c>
      <c r="CI116" s="1018"/>
    </row>
    <row r="117" s="974" customFormat="1" ht="31" customHeight="1" spans="1:87">
      <c r="A117" s="1228">
        <v>45789</v>
      </c>
      <c r="B117" s="1229" t="s">
        <v>681</v>
      </c>
      <c r="C117" s="1238" t="s">
        <v>440</v>
      </c>
      <c r="D117" s="1231">
        <v>4500165851</v>
      </c>
      <c r="E117" s="1229" t="s">
        <v>682</v>
      </c>
      <c r="F117" s="1231" t="s">
        <v>683</v>
      </c>
      <c r="G117" s="1004" t="s">
        <v>188</v>
      </c>
      <c r="H117" s="1004" t="s">
        <v>189</v>
      </c>
      <c r="I117" s="1004">
        <v>1820</v>
      </c>
      <c r="J117" s="1004">
        <v>0</v>
      </c>
      <c r="K117" s="1004">
        <v>52</v>
      </c>
      <c r="L117" s="1232">
        <f t="shared" si="43"/>
        <v>35</v>
      </c>
      <c r="M117" s="1007">
        <v>45828</v>
      </c>
      <c r="N117" s="1007">
        <v>45824</v>
      </c>
      <c r="O117" s="1020"/>
      <c r="P117" s="1024" t="s">
        <v>86</v>
      </c>
      <c r="Q117" s="1004"/>
      <c r="R117" s="1009">
        <v>45792</v>
      </c>
      <c r="S117" s="1004" t="s">
        <v>98</v>
      </c>
      <c r="T117" s="1233">
        <v>45789</v>
      </c>
      <c r="U117" s="1233"/>
      <c r="V117" s="1234" t="s">
        <v>684</v>
      </c>
      <c r="W117" s="1007" t="s">
        <v>685</v>
      </c>
      <c r="X117" s="1235">
        <v>1.8632</v>
      </c>
      <c r="Y117" s="1236">
        <f>I117*X117</f>
        <v>3391.024</v>
      </c>
      <c r="Z117" s="1236"/>
      <c r="AA117" s="1004" t="s">
        <v>686</v>
      </c>
      <c r="AB117" s="1004" t="s">
        <v>188</v>
      </c>
      <c r="AC117" s="1004" t="s">
        <v>93</v>
      </c>
      <c r="AD117" s="1023" t="s">
        <v>94</v>
      </c>
      <c r="AE117" s="1004"/>
      <c r="AF117" s="1002">
        <f>1768+52</f>
        <v>1820</v>
      </c>
      <c r="AG117" s="1002">
        <f t="shared" si="51"/>
        <v>0</v>
      </c>
      <c r="AH117" s="1237"/>
      <c r="AI117" s="1004" t="s">
        <v>95</v>
      </c>
      <c r="AJ117" s="1004"/>
      <c r="AK117" s="1004">
        <f t="shared" si="57"/>
        <v>1820</v>
      </c>
      <c r="AL117" s="1004"/>
      <c r="AM117" s="1004">
        <f>I117</f>
        <v>1820</v>
      </c>
      <c r="AP117" s="1004"/>
      <c r="AQ117" s="1004"/>
      <c r="AS117" s="1004">
        <f>I117</f>
        <v>1820</v>
      </c>
      <c r="AT117" s="1004"/>
      <c r="AU117" s="1004"/>
      <c r="AV117" s="1004"/>
      <c r="BC117" s="974">
        <f>I117/13</f>
        <v>140</v>
      </c>
      <c r="BU117" s="939">
        <f t="shared" si="39"/>
        <v>1820</v>
      </c>
      <c r="BV117" s="1222">
        <f t="shared" si="40"/>
        <v>2446184</v>
      </c>
      <c r="BW117" s="1018"/>
      <c r="BX117" s="1018"/>
      <c r="BY117" s="1018"/>
      <c r="BZ117" s="1018"/>
      <c r="CA117" s="856">
        <f t="shared" si="37"/>
        <v>373816</v>
      </c>
      <c r="CC117" s="964">
        <f t="shared" si="41"/>
        <v>0</v>
      </c>
      <c r="CD117" s="939">
        <f t="shared" si="42"/>
        <v>49790.5714285714</v>
      </c>
      <c r="CE117" s="1018"/>
      <c r="CF117" s="1018"/>
      <c r="CG117" s="1018"/>
      <c r="CH117" s="939">
        <f t="shared" si="38"/>
        <v>10209.4285714286</v>
      </c>
      <c r="CI117" s="1018"/>
    </row>
    <row r="118" s="974" customFormat="1" ht="31" customHeight="1" spans="1:87">
      <c r="A118" s="1228">
        <v>45763</v>
      </c>
      <c r="B118" s="1229" t="s">
        <v>687</v>
      </c>
      <c r="C118" s="1238" t="s">
        <v>688</v>
      </c>
      <c r="D118" s="1231">
        <v>4500163691</v>
      </c>
      <c r="E118" s="1229" t="s">
        <v>689</v>
      </c>
      <c r="F118" s="1231" t="s">
        <v>690</v>
      </c>
      <c r="G118" s="1004" t="s">
        <v>205</v>
      </c>
      <c r="H118" s="1004" t="s">
        <v>189</v>
      </c>
      <c r="I118" s="1004">
        <v>5000</v>
      </c>
      <c r="J118" s="1004">
        <v>0</v>
      </c>
      <c r="K118" s="1004">
        <v>50</v>
      </c>
      <c r="L118" s="1232">
        <f t="shared" si="43"/>
        <v>100</v>
      </c>
      <c r="M118" s="1007">
        <v>45818</v>
      </c>
      <c r="N118" s="1007">
        <v>45825</v>
      </c>
      <c r="O118" s="1020" t="s">
        <v>691</v>
      </c>
      <c r="P118" s="1024" t="s">
        <v>86</v>
      </c>
      <c r="Q118" s="1004"/>
      <c r="R118" s="1009">
        <v>45784</v>
      </c>
      <c r="S118" s="1004" t="s">
        <v>98</v>
      </c>
      <c r="T118" s="1233">
        <v>45813</v>
      </c>
      <c r="U118" s="1233"/>
      <c r="V118" s="1234" t="s">
        <v>692</v>
      </c>
      <c r="W118" s="1007" t="s">
        <v>225</v>
      </c>
      <c r="X118" s="1235">
        <v>1.949</v>
      </c>
      <c r="Y118" s="1236">
        <f>I118*X118</f>
        <v>9745</v>
      </c>
      <c r="Z118" s="1236"/>
      <c r="AA118" s="1004" t="s">
        <v>693</v>
      </c>
      <c r="AB118" s="1004" t="s">
        <v>210</v>
      </c>
      <c r="AC118" s="1004" t="s">
        <v>93</v>
      </c>
      <c r="AD118" s="1023" t="s">
        <v>94</v>
      </c>
      <c r="AE118" s="1004"/>
      <c r="AF118" s="1002">
        <f>2550+50+2400</f>
        <v>5000</v>
      </c>
      <c r="AG118" s="1002">
        <f t="shared" si="51"/>
        <v>0</v>
      </c>
      <c r="AH118" s="1237"/>
      <c r="AI118" s="1004" t="s">
        <v>95</v>
      </c>
      <c r="AJ118" s="1004"/>
      <c r="AK118" s="1004">
        <f t="shared" si="57"/>
        <v>5000</v>
      </c>
      <c r="AL118" s="1004"/>
      <c r="AM118" s="1004"/>
      <c r="AP118" s="1004">
        <f>I118</f>
        <v>5000</v>
      </c>
      <c r="AQ118" s="1004"/>
      <c r="AS118" s="1004">
        <f>I118</f>
        <v>5000</v>
      </c>
      <c r="AT118" s="1004"/>
      <c r="AU118" s="1004"/>
      <c r="AV118" s="1004"/>
      <c r="BF118" s="974">
        <f>I118/25</f>
        <v>200</v>
      </c>
      <c r="BU118" s="939">
        <f t="shared" si="39"/>
        <v>5000</v>
      </c>
      <c r="BV118" s="1222">
        <f t="shared" si="40"/>
        <v>2451184</v>
      </c>
      <c r="BW118" s="1018"/>
      <c r="BX118" s="1018"/>
      <c r="BY118" s="1018"/>
      <c r="BZ118" s="1018"/>
      <c r="CA118" s="856">
        <f t="shared" si="37"/>
        <v>368816</v>
      </c>
      <c r="CC118" s="964">
        <f t="shared" si="41"/>
        <v>200</v>
      </c>
      <c r="CD118" s="939">
        <f t="shared" si="42"/>
        <v>49990.5714285714</v>
      </c>
      <c r="CE118" s="1018"/>
      <c r="CF118" s="1018"/>
      <c r="CG118" s="1018"/>
      <c r="CH118" s="939">
        <f t="shared" si="38"/>
        <v>10009.4285714286</v>
      </c>
      <c r="CI118" s="1018"/>
    </row>
    <row r="119" s="974" customFormat="1" ht="31" customHeight="1" spans="1:87">
      <c r="A119" s="1228">
        <v>45798</v>
      </c>
      <c r="B119" s="1229" t="s">
        <v>694</v>
      </c>
      <c r="C119" s="1238" t="s">
        <v>695</v>
      </c>
      <c r="D119" s="1231">
        <v>4500167360</v>
      </c>
      <c r="E119" s="1229" t="s">
        <v>696</v>
      </c>
      <c r="F119" s="1231" t="s">
        <v>697</v>
      </c>
      <c r="G119" s="1004" t="s">
        <v>205</v>
      </c>
      <c r="H119" s="1004" t="s">
        <v>189</v>
      </c>
      <c r="I119" s="1004">
        <v>3000</v>
      </c>
      <c r="J119" s="1004">
        <v>0</v>
      </c>
      <c r="K119" s="1004">
        <v>50</v>
      </c>
      <c r="L119" s="1232">
        <f t="shared" si="43"/>
        <v>60</v>
      </c>
      <c r="M119" s="1007">
        <v>45829</v>
      </c>
      <c r="N119" s="1007">
        <v>45825</v>
      </c>
      <c r="O119" s="1020"/>
      <c r="P119" s="1024" t="s">
        <v>86</v>
      </c>
      <c r="Q119" s="1004"/>
      <c r="R119" s="1009">
        <v>45804</v>
      </c>
      <c r="S119" s="1004" t="s">
        <v>98</v>
      </c>
      <c r="T119" s="1233">
        <v>45805</v>
      </c>
      <c r="U119" s="1233"/>
      <c r="V119" s="1234" t="s">
        <v>698</v>
      </c>
      <c r="W119" s="1007" t="s">
        <v>481</v>
      </c>
      <c r="X119" s="1235">
        <v>1.9381</v>
      </c>
      <c r="Y119" s="1236">
        <f>I119*X119</f>
        <v>5814.3</v>
      </c>
      <c r="Z119" s="1236"/>
      <c r="AA119" s="1004" t="s">
        <v>699</v>
      </c>
      <c r="AB119" s="1004" t="s">
        <v>205</v>
      </c>
      <c r="AC119" s="1004" t="s">
        <v>93</v>
      </c>
      <c r="AD119" s="1023" t="s">
        <v>94</v>
      </c>
      <c r="AE119" s="1004"/>
      <c r="AF119" s="1002">
        <v>3000</v>
      </c>
      <c r="AG119" s="1002">
        <f t="shared" si="51"/>
        <v>0</v>
      </c>
      <c r="AH119" s="1237"/>
      <c r="AI119" s="1004" t="s">
        <v>95</v>
      </c>
      <c r="AJ119" s="1004"/>
      <c r="AK119" s="1004">
        <f t="shared" si="57"/>
        <v>3000</v>
      </c>
      <c r="AL119" s="1004"/>
      <c r="AM119" s="1004">
        <f>I119</f>
        <v>3000</v>
      </c>
      <c r="AP119" s="1004"/>
      <c r="AQ119" s="1004"/>
      <c r="AS119" s="1004">
        <f>I119</f>
        <v>3000</v>
      </c>
      <c r="AT119" s="1004"/>
      <c r="AU119" s="1004"/>
      <c r="AV119" s="1004"/>
      <c r="BF119" s="974">
        <f>I119/25</f>
        <v>120</v>
      </c>
      <c r="BU119" s="939">
        <f t="shared" si="39"/>
        <v>3000</v>
      </c>
      <c r="BV119" s="1222">
        <f t="shared" si="40"/>
        <v>2454184</v>
      </c>
      <c r="BW119" s="1018"/>
      <c r="BX119" s="1018"/>
      <c r="BY119" s="1018"/>
      <c r="BZ119" s="1018"/>
      <c r="CA119" s="856">
        <f t="shared" si="37"/>
        <v>365816</v>
      </c>
      <c r="CC119" s="964">
        <f t="shared" si="41"/>
        <v>120</v>
      </c>
      <c r="CD119" s="939">
        <f t="shared" si="42"/>
        <v>50110.5714285714</v>
      </c>
      <c r="CE119" s="1018"/>
      <c r="CF119" s="1018"/>
      <c r="CG119" s="1018"/>
      <c r="CH119" s="939">
        <f t="shared" si="38"/>
        <v>9889.4285714286</v>
      </c>
      <c r="CI119" s="1018"/>
    </row>
    <row r="120" s="974" customFormat="1" ht="31" customHeight="1" spans="1:87">
      <c r="A120" s="1228">
        <v>45799</v>
      </c>
      <c r="B120" s="1229" t="s">
        <v>578</v>
      </c>
      <c r="C120" s="1238" t="s">
        <v>125</v>
      </c>
      <c r="D120" s="1231">
        <v>4500167618</v>
      </c>
      <c r="E120" s="1419" t="s">
        <v>700</v>
      </c>
      <c r="F120" s="1231" t="s">
        <v>701</v>
      </c>
      <c r="G120" s="1004" t="s">
        <v>243</v>
      </c>
      <c r="H120" s="1004" t="s">
        <v>189</v>
      </c>
      <c r="I120" s="1004">
        <v>1152</v>
      </c>
      <c r="J120" s="1004">
        <v>0</v>
      </c>
      <c r="K120" s="1004">
        <v>1152</v>
      </c>
      <c r="L120" s="1232">
        <f t="shared" si="43"/>
        <v>1</v>
      </c>
      <c r="M120" s="1007">
        <v>45829</v>
      </c>
      <c r="N120" s="1007">
        <f t="shared" ref="N120:N128" si="58">M120-4</f>
        <v>45825</v>
      </c>
      <c r="O120" s="1020"/>
      <c r="P120" s="1024" t="s">
        <v>86</v>
      </c>
      <c r="Q120" s="1004"/>
      <c r="R120" s="1009" t="s">
        <v>296</v>
      </c>
      <c r="S120" s="1004" t="s">
        <v>98</v>
      </c>
      <c r="T120" s="1233" t="s">
        <v>582</v>
      </c>
      <c r="U120" s="1233"/>
      <c r="V120" s="1234" t="s">
        <v>298</v>
      </c>
      <c r="W120" s="1007" t="s">
        <v>667</v>
      </c>
      <c r="X120" s="1235">
        <v>304.56</v>
      </c>
      <c r="Y120" s="1236">
        <f>X120*L120</f>
        <v>304.56</v>
      </c>
      <c r="Z120" s="1236"/>
      <c r="AA120" s="1004" t="s">
        <v>702</v>
      </c>
      <c r="AB120" s="1004" t="s">
        <v>243</v>
      </c>
      <c r="AC120" s="1004" t="s">
        <v>93</v>
      </c>
      <c r="AD120" s="1023" t="s">
        <v>94</v>
      </c>
      <c r="AE120" s="1004"/>
      <c r="AF120" s="1002">
        <v>1152</v>
      </c>
      <c r="AG120" s="1002">
        <f t="shared" si="51"/>
        <v>0</v>
      </c>
      <c r="AH120" s="1241">
        <v>45831</v>
      </c>
      <c r="AI120" s="1004"/>
      <c r="AJ120" s="1004"/>
      <c r="AK120" s="1004">
        <f t="shared" si="57"/>
        <v>1152</v>
      </c>
      <c r="AL120" s="1004"/>
      <c r="AM120" s="1004">
        <f>I120</f>
        <v>1152</v>
      </c>
      <c r="AP120" s="1004"/>
      <c r="AQ120" s="1004"/>
      <c r="AS120" s="1004"/>
      <c r="AT120" s="1004"/>
      <c r="AU120" s="1004">
        <f>I120</f>
        <v>1152</v>
      </c>
      <c r="AV120" s="1004"/>
      <c r="AZ120" s="974">
        <f>I120/12</f>
        <v>96</v>
      </c>
      <c r="BU120" s="939">
        <f t="shared" si="39"/>
        <v>1152</v>
      </c>
      <c r="BV120" s="1222">
        <f t="shared" si="40"/>
        <v>2455336</v>
      </c>
      <c r="BW120" s="1018"/>
      <c r="BX120" s="1018"/>
      <c r="BY120" s="1018"/>
      <c r="BZ120" s="1018"/>
      <c r="CA120" s="856">
        <f t="shared" si="37"/>
        <v>364664</v>
      </c>
      <c r="CC120" s="964">
        <f t="shared" si="41"/>
        <v>0</v>
      </c>
      <c r="CD120" s="939">
        <f t="shared" si="42"/>
        <v>50110.5714285714</v>
      </c>
      <c r="CE120" s="1018"/>
      <c r="CF120" s="1018"/>
      <c r="CG120" s="1018"/>
      <c r="CH120" s="939">
        <f t="shared" si="38"/>
        <v>9889.4285714286</v>
      </c>
      <c r="CI120" s="1018"/>
    </row>
    <row r="121" s="974" customFormat="1" ht="31" customHeight="1" spans="1:87">
      <c r="A121" s="1228">
        <v>45799</v>
      </c>
      <c r="B121" s="1229" t="s">
        <v>578</v>
      </c>
      <c r="C121" s="1238" t="s">
        <v>125</v>
      </c>
      <c r="D121" s="1231">
        <v>4500167618</v>
      </c>
      <c r="E121" s="1419" t="s">
        <v>703</v>
      </c>
      <c r="F121" s="1231" t="s">
        <v>704</v>
      </c>
      <c r="G121" s="1004" t="s">
        <v>243</v>
      </c>
      <c r="H121" s="1004" t="s">
        <v>189</v>
      </c>
      <c r="I121" s="1004">
        <v>1152</v>
      </c>
      <c r="J121" s="1004">
        <v>0</v>
      </c>
      <c r="K121" s="1004">
        <v>1152</v>
      </c>
      <c r="L121" s="1232">
        <f t="shared" si="43"/>
        <v>1</v>
      </c>
      <c r="M121" s="1007">
        <v>45829</v>
      </c>
      <c r="N121" s="1007">
        <f t="shared" si="58"/>
        <v>45825</v>
      </c>
      <c r="O121" s="1020"/>
      <c r="P121" s="1024" t="s">
        <v>86</v>
      </c>
      <c r="Q121" s="1004"/>
      <c r="R121" s="1009" t="s">
        <v>296</v>
      </c>
      <c r="S121" s="1004" t="s">
        <v>98</v>
      </c>
      <c r="T121" s="1233" t="s">
        <v>582</v>
      </c>
      <c r="U121" s="1233"/>
      <c r="V121" s="1234" t="s">
        <v>298</v>
      </c>
      <c r="W121" s="1007" t="s">
        <v>667</v>
      </c>
      <c r="X121" s="1235">
        <v>304.56</v>
      </c>
      <c r="Y121" s="1236">
        <f>X121*L121</f>
        <v>304.56</v>
      </c>
      <c r="Z121" s="1236"/>
      <c r="AA121" s="1004" t="s">
        <v>705</v>
      </c>
      <c r="AB121" s="1004" t="s">
        <v>243</v>
      </c>
      <c r="AC121" s="1004" t="s">
        <v>93</v>
      </c>
      <c r="AD121" s="1023" t="s">
        <v>94</v>
      </c>
      <c r="AE121" s="1004"/>
      <c r="AF121" s="1022"/>
      <c r="AG121" s="1002">
        <f t="shared" si="51"/>
        <v>-1152</v>
      </c>
      <c r="AH121" s="1241">
        <v>45831</v>
      </c>
      <c r="AI121" s="1004"/>
      <c r="AJ121" s="1004"/>
      <c r="AK121" s="1004">
        <f t="shared" si="57"/>
        <v>1152</v>
      </c>
      <c r="AL121" s="1004"/>
      <c r="AM121" s="1004">
        <f>I121</f>
        <v>1152</v>
      </c>
      <c r="AP121" s="1004"/>
      <c r="AQ121" s="1004"/>
      <c r="AS121" s="1004"/>
      <c r="AT121" s="1004"/>
      <c r="AU121" s="1004">
        <f>I121</f>
        <v>1152</v>
      </c>
      <c r="AV121" s="1004"/>
      <c r="AZ121" s="974">
        <f>I121/12</f>
        <v>96</v>
      </c>
      <c r="BU121" s="939">
        <f t="shared" si="39"/>
        <v>1152</v>
      </c>
      <c r="BV121" s="1222">
        <f t="shared" si="40"/>
        <v>2456488</v>
      </c>
      <c r="BW121" s="1018"/>
      <c r="BX121" s="1018"/>
      <c r="BY121" s="1018"/>
      <c r="BZ121" s="1018"/>
      <c r="CA121" s="856">
        <f t="shared" si="37"/>
        <v>363512</v>
      </c>
      <c r="CC121" s="964">
        <f t="shared" si="41"/>
        <v>0</v>
      </c>
      <c r="CD121" s="939">
        <f t="shared" si="42"/>
        <v>50110.5714285714</v>
      </c>
      <c r="CE121" s="1018"/>
      <c r="CF121" s="1018"/>
      <c r="CG121" s="1018"/>
      <c r="CH121" s="939">
        <f t="shared" si="38"/>
        <v>9889.4285714286</v>
      </c>
      <c r="CI121" s="1018"/>
    </row>
    <row r="122" s="974" customFormat="1" ht="31" customHeight="1" spans="1:87">
      <c r="A122" s="1228">
        <v>45799</v>
      </c>
      <c r="B122" s="1229" t="s">
        <v>578</v>
      </c>
      <c r="C122" s="1238" t="s">
        <v>125</v>
      </c>
      <c r="D122" s="1231">
        <v>4500167618</v>
      </c>
      <c r="E122" s="1419" t="s">
        <v>706</v>
      </c>
      <c r="F122" s="1231" t="s">
        <v>707</v>
      </c>
      <c r="G122" s="1004" t="s">
        <v>243</v>
      </c>
      <c r="H122" s="1004" t="s">
        <v>189</v>
      </c>
      <c r="I122" s="1004">
        <v>2304</v>
      </c>
      <c r="J122" s="1004">
        <v>0</v>
      </c>
      <c r="K122" s="1004">
        <v>1152</v>
      </c>
      <c r="L122" s="1232">
        <f t="shared" si="43"/>
        <v>2</v>
      </c>
      <c r="M122" s="1007">
        <v>45829</v>
      </c>
      <c r="N122" s="1007">
        <f t="shared" si="58"/>
        <v>45825</v>
      </c>
      <c r="O122" s="1020"/>
      <c r="P122" s="1024" t="s">
        <v>86</v>
      </c>
      <c r="Q122" s="1004"/>
      <c r="R122" s="1009" t="s">
        <v>296</v>
      </c>
      <c r="S122" s="1004" t="s">
        <v>98</v>
      </c>
      <c r="T122" s="1233" t="s">
        <v>582</v>
      </c>
      <c r="U122" s="1233"/>
      <c r="V122" s="1234" t="s">
        <v>298</v>
      </c>
      <c r="W122" s="1007" t="s">
        <v>667</v>
      </c>
      <c r="X122" s="1235">
        <v>304.56</v>
      </c>
      <c r="Y122" s="1236">
        <f>X122*L122</f>
        <v>609.12</v>
      </c>
      <c r="Z122" s="1236"/>
      <c r="AA122" s="1004" t="s">
        <v>708</v>
      </c>
      <c r="AB122" s="1004" t="s">
        <v>243</v>
      </c>
      <c r="AC122" s="1004" t="s">
        <v>93</v>
      </c>
      <c r="AD122" s="1023" t="s">
        <v>94</v>
      </c>
      <c r="AE122" s="1004"/>
      <c r="AF122" s="1002">
        <v>2304</v>
      </c>
      <c r="AG122" s="1002">
        <f t="shared" si="51"/>
        <v>0</v>
      </c>
      <c r="AH122" s="1241">
        <v>45831</v>
      </c>
      <c r="AI122" s="1004"/>
      <c r="AJ122" s="1004"/>
      <c r="AK122" s="1004">
        <f t="shared" si="57"/>
        <v>2304</v>
      </c>
      <c r="AL122" s="1004"/>
      <c r="AM122" s="1004">
        <f>I122</f>
        <v>2304</v>
      </c>
      <c r="AP122" s="1004"/>
      <c r="AQ122" s="1004"/>
      <c r="AS122" s="1004"/>
      <c r="AT122" s="1004"/>
      <c r="AU122" s="1004">
        <f>I122</f>
        <v>2304</v>
      </c>
      <c r="AV122" s="1004"/>
      <c r="AZ122" s="974">
        <f>I122/12</f>
        <v>192</v>
      </c>
      <c r="BU122" s="939">
        <f t="shared" si="39"/>
        <v>2304</v>
      </c>
      <c r="BV122" s="1222">
        <f t="shared" si="40"/>
        <v>2458792</v>
      </c>
      <c r="BW122" s="1018"/>
      <c r="BX122" s="1018"/>
      <c r="BY122" s="1018"/>
      <c r="BZ122" s="1018"/>
      <c r="CA122" s="856">
        <f t="shared" si="37"/>
        <v>361208</v>
      </c>
      <c r="CC122" s="964">
        <f t="shared" si="41"/>
        <v>0</v>
      </c>
      <c r="CD122" s="939">
        <f t="shared" si="42"/>
        <v>50110.5714285714</v>
      </c>
      <c r="CE122" s="1018"/>
      <c r="CF122" s="1018"/>
      <c r="CG122" s="1018"/>
      <c r="CH122" s="939">
        <f t="shared" si="38"/>
        <v>9889.4285714286</v>
      </c>
      <c r="CI122" s="1018"/>
    </row>
    <row r="123" s="974" customFormat="1" ht="31" customHeight="1" spans="1:87">
      <c r="A123" s="1228">
        <v>45799</v>
      </c>
      <c r="B123" s="1229" t="s">
        <v>578</v>
      </c>
      <c r="C123" s="1238" t="s">
        <v>125</v>
      </c>
      <c r="D123" s="1231">
        <v>4500167618</v>
      </c>
      <c r="E123" s="1419" t="s">
        <v>709</v>
      </c>
      <c r="F123" s="1231" t="s">
        <v>710</v>
      </c>
      <c r="G123" s="1004" t="s">
        <v>243</v>
      </c>
      <c r="H123" s="1004" t="s">
        <v>189</v>
      </c>
      <c r="I123" s="1004">
        <v>1152</v>
      </c>
      <c r="J123" s="1004">
        <v>0</v>
      </c>
      <c r="K123" s="1004">
        <v>1152</v>
      </c>
      <c r="L123" s="1232">
        <f t="shared" si="43"/>
        <v>1</v>
      </c>
      <c r="M123" s="1007">
        <v>45829</v>
      </c>
      <c r="N123" s="1007">
        <f t="shared" si="58"/>
        <v>45825</v>
      </c>
      <c r="O123" s="1020"/>
      <c r="P123" s="1024" t="s">
        <v>86</v>
      </c>
      <c r="Q123" s="1004"/>
      <c r="R123" s="1009" t="s">
        <v>296</v>
      </c>
      <c r="S123" s="1004" t="s">
        <v>98</v>
      </c>
      <c r="T123" s="1233" t="s">
        <v>582</v>
      </c>
      <c r="U123" s="1233"/>
      <c r="V123" s="1234" t="s">
        <v>298</v>
      </c>
      <c r="W123" s="1007" t="s">
        <v>667</v>
      </c>
      <c r="X123" s="1235">
        <v>304.56</v>
      </c>
      <c r="Y123" s="1236">
        <f>X123*L123</f>
        <v>304.56</v>
      </c>
      <c r="Z123" s="1236"/>
      <c r="AA123" s="1004" t="s">
        <v>711</v>
      </c>
      <c r="AB123" s="1004" t="s">
        <v>243</v>
      </c>
      <c r="AC123" s="1004" t="s">
        <v>93</v>
      </c>
      <c r="AD123" s="1023" t="s">
        <v>94</v>
      </c>
      <c r="AE123" s="1004"/>
      <c r="AF123" s="1002">
        <v>1152</v>
      </c>
      <c r="AG123" s="1002">
        <f t="shared" si="51"/>
        <v>0</v>
      </c>
      <c r="AH123" s="1241">
        <v>45831</v>
      </c>
      <c r="AI123" s="1004"/>
      <c r="AJ123" s="1004"/>
      <c r="AK123" s="1004">
        <f t="shared" si="57"/>
        <v>1152</v>
      </c>
      <c r="AL123" s="1004"/>
      <c r="AM123" s="1004">
        <f>I123</f>
        <v>1152</v>
      </c>
      <c r="AP123" s="1004"/>
      <c r="AQ123" s="1004"/>
      <c r="AS123" s="1004"/>
      <c r="AT123" s="1004"/>
      <c r="AU123" s="1004">
        <f>I123</f>
        <v>1152</v>
      </c>
      <c r="AV123" s="1004"/>
      <c r="AZ123" s="974">
        <f>I123/12</f>
        <v>96</v>
      </c>
      <c r="BU123" s="939">
        <f t="shared" si="39"/>
        <v>1152</v>
      </c>
      <c r="BV123" s="1222">
        <f t="shared" si="40"/>
        <v>2459944</v>
      </c>
      <c r="BW123" s="1018"/>
      <c r="BX123" s="1018"/>
      <c r="BY123" s="1018"/>
      <c r="BZ123" s="1018"/>
      <c r="CA123" s="856">
        <f t="shared" si="37"/>
        <v>360056</v>
      </c>
      <c r="CC123" s="964">
        <f t="shared" si="41"/>
        <v>0</v>
      </c>
      <c r="CD123" s="939">
        <f t="shared" si="42"/>
        <v>50110.5714285714</v>
      </c>
      <c r="CE123" s="1018"/>
      <c r="CF123" s="1018"/>
      <c r="CG123" s="1018"/>
      <c r="CH123" s="939">
        <f t="shared" si="38"/>
        <v>9889.4285714286</v>
      </c>
      <c r="CI123" s="1018"/>
    </row>
    <row r="124" s="974" customFormat="1" ht="31" customHeight="1" spans="1:87">
      <c r="A124" s="1228">
        <v>45797</v>
      </c>
      <c r="B124" s="1229" t="s">
        <v>712</v>
      </c>
      <c r="C124" s="1238" t="s">
        <v>713</v>
      </c>
      <c r="D124" s="1231">
        <v>4500166992</v>
      </c>
      <c r="E124" s="1419" t="s">
        <v>714</v>
      </c>
      <c r="F124" s="1231" t="s">
        <v>715</v>
      </c>
      <c r="G124" s="1004" t="s">
        <v>205</v>
      </c>
      <c r="H124" s="1004" t="s">
        <v>189</v>
      </c>
      <c r="I124" s="1004">
        <v>750</v>
      </c>
      <c r="J124" s="1004">
        <v>0</v>
      </c>
      <c r="K124" s="1004">
        <v>50</v>
      </c>
      <c r="L124" s="1232">
        <f t="shared" si="43"/>
        <v>15</v>
      </c>
      <c r="M124" s="1007">
        <v>45842</v>
      </c>
      <c r="N124" s="1007">
        <f t="shared" si="58"/>
        <v>45838</v>
      </c>
      <c r="O124" s="1020"/>
      <c r="P124" s="1024" t="s">
        <v>86</v>
      </c>
      <c r="Q124" s="1004"/>
      <c r="R124" s="1009">
        <v>45797</v>
      </c>
      <c r="S124" s="1004" t="s">
        <v>98</v>
      </c>
      <c r="T124" s="1233">
        <v>45807</v>
      </c>
      <c r="U124" s="1233"/>
      <c r="V124" s="1234" t="s">
        <v>716</v>
      </c>
      <c r="W124" s="1007" t="s">
        <v>717</v>
      </c>
      <c r="X124" s="1235">
        <v>1.9605</v>
      </c>
      <c r="Y124" s="1236">
        <f>I124*X124</f>
        <v>1470.375</v>
      </c>
      <c r="Z124" s="1236"/>
      <c r="AA124" s="1004" t="s">
        <v>718</v>
      </c>
      <c r="AB124" s="1004" t="s">
        <v>210</v>
      </c>
      <c r="AC124" s="1004" t="s">
        <v>93</v>
      </c>
      <c r="AD124" s="1023" t="s">
        <v>94</v>
      </c>
      <c r="AE124" s="1004"/>
      <c r="AF124" s="1002">
        <v>750</v>
      </c>
      <c r="AG124" s="1002">
        <f t="shared" si="51"/>
        <v>0</v>
      </c>
      <c r="AH124" s="1237"/>
      <c r="AI124" s="1004" t="s">
        <v>95</v>
      </c>
      <c r="AJ124" s="1004"/>
      <c r="AK124" s="1004">
        <f t="shared" si="57"/>
        <v>750</v>
      </c>
      <c r="AL124" s="1004"/>
      <c r="AM124" s="1004"/>
      <c r="AP124" s="1004">
        <f>I124</f>
        <v>750</v>
      </c>
      <c r="AQ124" s="1004"/>
      <c r="AS124" s="1004">
        <f>I124</f>
        <v>750</v>
      </c>
      <c r="AT124" s="1004"/>
      <c r="AU124" s="1004"/>
      <c r="AV124" s="1004"/>
      <c r="BF124" s="974">
        <f>I124/25</f>
        <v>30</v>
      </c>
      <c r="BU124" s="939">
        <f t="shared" si="39"/>
        <v>750</v>
      </c>
      <c r="BV124" s="1222">
        <f t="shared" si="40"/>
        <v>2460694</v>
      </c>
      <c r="BW124" s="1018"/>
      <c r="BX124" s="1018"/>
      <c r="BY124" s="1018"/>
      <c r="BZ124" s="1018"/>
      <c r="CA124" s="856">
        <f t="shared" si="37"/>
        <v>359306</v>
      </c>
      <c r="CC124" s="964">
        <f t="shared" si="41"/>
        <v>30</v>
      </c>
      <c r="CD124" s="939">
        <f t="shared" si="42"/>
        <v>50140.5714285714</v>
      </c>
      <c r="CE124" s="1018"/>
      <c r="CF124" s="1018"/>
      <c r="CG124" s="1018"/>
      <c r="CH124" s="939">
        <f t="shared" si="38"/>
        <v>9859.4285714286</v>
      </c>
      <c r="CI124" s="1018"/>
    </row>
    <row r="125" s="974" customFormat="1" ht="31" customHeight="1" spans="1:87">
      <c r="A125" s="1228">
        <v>45811</v>
      </c>
      <c r="B125" s="1229" t="s">
        <v>719</v>
      </c>
      <c r="C125" s="1238" t="s">
        <v>720</v>
      </c>
      <c r="D125" s="1231">
        <v>4500168705</v>
      </c>
      <c r="E125" s="1229"/>
      <c r="F125" s="1231" t="s">
        <v>721</v>
      </c>
      <c r="G125" s="1004" t="s">
        <v>205</v>
      </c>
      <c r="H125" s="1004" t="s">
        <v>189</v>
      </c>
      <c r="I125" s="1004">
        <v>400</v>
      </c>
      <c r="J125" s="1004">
        <v>0</v>
      </c>
      <c r="K125" s="1004">
        <v>50</v>
      </c>
      <c r="L125" s="1232">
        <f t="shared" si="43"/>
        <v>8</v>
      </c>
      <c r="M125" s="1007">
        <v>45840</v>
      </c>
      <c r="N125" s="1007">
        <f t="shared" si="58"/>
        <v>45836</v>
      </c>
      <c r="O125" s="1020"/>
      <c r="P125" s="1024" t="s">
        <v>86</v>
      </c>
      <c r="Q125" s="1004"/>
      <c r="R125" s="1009">
        <v>45814</v>
      </c>
      <c r="S125" s="1004" t="s">
        <v>98</v>
      </c>
      <c r="T125" s="1233">
        <v>45813</v>
      </c>
      <c r="U125" s="1233"/>
      <c r="V125" s="1234" t="s">
        <v>722</v>
      </c>
      <c r="W125" s="1007" t="s">
        <v>723</v>
      </c>
      <c r="X125" s="1235">
        <v>1.9605</v>
      </c>
      <c r="Y125" s="1236">
        <f>I125*X125</f>
        <v>784.2</v>
      </c>
      <c r="Z125" s="1236"/>
      <c r="AA125" s="1004" t="s">
        <v>724</v>
      </c>
      <c r="AB125" s="1004" t="s">
        <v>210</v>
      </c>
      <c r="AC125" s="1004" t="s">
        <v>93</v>
      </c>
      <c r="AD125" s="1023" t="s">
        <v>94</v>
      </c>
      <c r="AE125" s="1004"/>
      <c r="AF125" s="1002">
        <v>400</v>
      </c>
      <c r="AG125" s="1002">
        <f t="shared" si="51"/>
        <v>0</v>
      </c>
      <c r="AH125" s="1237"/>
      <c r="AI125" s="1004" t="s">
        <v>95</v>
      </c>
      <c r="AJ125" s="1004"/>
      <c r="AK125" s="1004">
        <f t="shared" si="57"/>
        <v>400</v>
      </c>
      <c r="AL125" s="1004"/>
      <c r="AM125" s="1004"/>
      <c r="AP125" s="1004">
        <f>I125</f>
        <v>400</v>
      </c>
      <c r="AQ125" s="1004"/>
      <c r="AS125" s="1004">
        <f>I125</f>
        <v>400</v>
      </c>
      <c r="AT125" s="1004"/>
      <c r="AU125" s="1004"/>
      <c r="AV125" s="1004"/>
      <c r="BF125" s="974">
        <f>I125/25</f>
        <v>16</v>
      </c>
      <c r="BU125" s="939">
        <f t="shared" si="39"/>
        <v>400</v>
      </c>
      <c r="BV125" s="1222">
        <f t="shared" si="40"/>
        <v>2461094</v>
      </c>
      <c r="BW125" s="1018"/>
      <c r="BX125" s="1018"/>
      <c r="BY125" s="1018"/>
      <c r="BZ125" s="1018"/>
      <c r="CA125" s="856">
        <f t="shared" si="37"/>
        <v>358906</v>
      </c>
      <c r="CC125" s="964">
        <f t="shared" si="41"/>
        <v>16</v>
      </c>
      <c r="CD125" s="939">
        <f t="shared" si="42"/>
        <v>50156.5714285714</v>
      </c>
      <c r="CE125" s="1018"/>
      <c r="CF125" s="1018"/>
      <c r="CG125" s="1018"/>
      <c r="CH125" s="939">
        <f t="shared" si="38"/>
        <v>9843.4285714286</v>
      </c>
      <c r="CI125" s="1018"/>
    </row>
    <row r="126" s="974" customFormat="1" ht="31" customHeight="1" spans="1:87">
      <c r="A126" s="1228">
        <v>45806</v>
      </c>
      <c r="B126" s="1229" t="s">
        <v>719</v>
      </c>
      <c r="C126" s="1238" t="s">
        <v>720</v>
      </c>
      <c r="D126" s="1231">
        <v>4500168463</v>
      </c>
      <c r="E126" s="1229"/>
      <c r="F126" s="1231" t="s">
        <v>725</v>
      </c>
      <c r="G126" s="1004" t="s">
        <v>205</v>
      </c>
      <c r="H126" s="1004" t="s">
        <v>189</v>
      </c>
      <c r="I126" s="1004">
        <v>150</v>
      </c>
      <c r="J126" s="1004">
        <v>0</v>
      </c>
      <c r="K126" s="1004">
        <v>50</v>
      </c>
      <c r="L126" s="1232">
        <f t="shared" si="43"/>
        <v>3</v>
      </c>
      <c r="M126" s="1007">
        <v>45840</v>
      </c>
      <c r="N126" s="1007">
        <f t="shared" si="58"/>
        <v>45836</v>
      </c>
      <c r="O126" s="1020"/>
      <c r="P126" s="1024" t="s">
        <v>86</v>
      </c>
      <c r="Q126" s="1004"/>
      <c r="R126" s="1009">
        <v>45814</v>
      </c>
      <c r="S126" s="1004" t="s">
        <v>98</v>
      </c>
      <c r="T126" s="1233">
        <v>45813</v>
      </c>
      <c r="U126" s="1233"/>
      <c r="V126" s="1234" t="s">
        <v>722</v>
      </c>
      <c r="W126" s="1007" t="s">
        <v>723</v>
      </c>
      <c r="X126" s="1235">
        <v>1.9605</v>
      </c>
      <c r="Y126" s="1236">
        <f>I126*X126</f>
        <v>294.075</v>
      </c>
      <c r="Z126" s="1236"/>
      <c r="AA126" s="1004" t="s">
        <v>726</v>
      </c>
      <c r="AB126" s="1004" t="s">
        <v>210</v>
      </c>
      <c r="AC126" s="1004" t="s">
        <v>93</v>
      </c>
      <c r="AD126" s="1023" t="s">
        <v>94</v>
      </c>
      <c r="AE126" s="1004"/>
      <c r="AF126" s="1002">
        <v>150</v>
      </c>
      <c r="AG126" s="1002">
        <f t="shared" si="51"/>
        <v>0</v>
      </c>
      <c r="AH126" s="1237"/>
      <c r="AI126" s="1004" t="s">
        <v>95</v>
      </c>
      <c r="AJ126" s="1004"/>
      <c r="AK126" s="1004">
        <f t="shared" si="57"/>
        <v>150</v>
      </c>
      <c r="AL126" s="1004"/>
      <c r="AM126" s="1004"/>
      <c r="AP126" s="1004">
        <f>I126*2</f>
        <v>300</v>
      </c>
      <c r="AQ126" s="1004"/>
      <c r="AS126" s="1004">
        <f>I126*2</f>
        <v>300</v>
      </c>
      <c r="AT126" s="1004"/>
      <c r="AU126" s="1004"/>
      <c r="AV126" s="1004"/>
      <c r="BF126" s="974">
        <f>I126/25</f>
        <v>6</v>
      </c>
      <c r="BU126" s="939">
        <f t="shared" si="39"/>
        <v>150</v>
      </c>
      <c r="BV126" s="1222">
        <f t="shared" si="40"/>
        <v>2461244</v>
      </c>
      <c r="BW126" s="1018"/>
      <c r="BX126" s="1018"/>
      <c r="BY126" s="1018"/>
      <c r="BZ126" s="1018"/>
      <c r="CA126" s="856">
        <f t="shared" si="37"/>
        <v>358756</v>
      </c>
      <c r="CC126" s="964">
        <f t="shared" si="41"/>
        <v>6</v>
      </c>
      <c r="CD126" s="939">
        <f t="shared" si="42"/>
        <v>50162.5714285714</v>
      </c>
      <c r="CE126" s="1018"/>
      <c r="CF126" s="1018"/>
      <c r="CG126" s="1018"/>
      <c r="CH126" s="939">
        <f t="shared" si="38"/>
        <v>9837.4285714286</v>
      </c>
      <c r="CI126" s="1018"/>
    </row>
    <row r="127" s="974" customFormat="1" ht="31" customHeight="1" spans="1:87">
      <c r="A127" s="1228">
        <v>45805</v>
      </c>
      <c r="B127" s="1229" t="s">
        <v>631</v>
      </c>
      <c r="C127" s="1238" t="s">
        <v>632</v>
      </c>
      <c r="D127" s="1231">
        <v>4500168205</v>
      </c>
      <c r="E127" s="1229" t="s">
        <v>727</v>
      </c>
      <c r="F127" s="1231" t="s">
        <v>728</v>
      </c>
      <c r="G127" s="1004" t="s">
        <v>196</v>
      </c>
      <c r="H127" s="1004" t="s">
        <v>197</v>
      </c>
      <c r="I127" s="1004">
        <v>120</v>
      </c>
      <c r="J127" s="1004">
        <v>0</v>
      </c>
      <c r="K127" s="1004">
        <v>12</v>
      </c>
      <c r="L127" s="1232">
        <f t="shared" si="43"/>
        <v>10</v>
      </c>
      <c r="M127" s="1007">
        <v>45842</v>
      </c>
      <c r="N127" s="1007">
        <f t="shared" si="58"/>
        <v>45838</v>
      </c>
      <c r="O127" s="1020"/>
      <c r="P127" s="1024" t="s">
        <v>86</v>
      </c>
      <c r="Q127" s="1004"/>
      <c r="R127" s="1009">
        <v>45805</v>
      </c>
      <c r="S127" s="1004" t="s">
        <v>88</v>
      </c>
      <c r="T127" s="1233" t="s">
        <v>729</v>
      </c>
      <c r="U127" s="1233"/>
      <c r="V127" s="1234" t="s">
        <v>730</v>
      </c>
      <c r="W127" s="1007" t="s">
        <v>731</v>
      </c>
      <c r="X127" s="1235">
        <v>4.1214</v>
      </c>
      <c r="Y127" s="1236">
        <f>I127*X127</f>
        <v>494.568</v>
      </c>
      <c r="Z127" s="1236"/>
      <c r="AA127" s="1004" t="s">
        <v>732</v>
      </c>
      <c r="AB127" s="1004" t="s">
        <v>637</v>
      </c>
      <c r="AC127" s="1004" t="s">
        <v>93</v>
      </c>
      <c r="AD127" s="1023" t="s">
        <v>94</v>
      </c>
      <c r="AE127" s="1004"/>
      <c r="AF127" s="1002">
        <f>12+108</f>
        <v>120</v>
      </c>
      <c r="AG127" s="1002">
        <f t="shared" si="51"/>
        <v>0</v>
      </c>
      <c r="AH127" s="1237"/>
      <c r="AI127" s="1004" t="s">
        <v>95</v>
      </c>
      <c r="AJ127" s="1004"/>
      <c r="AK127" s="1004">
        <f>I127*2</f>
        <v>240</v>
      </c>
      <c r="AL127" s="1004"/>
      <c r="AM127" s="1004"/>
      <c r="AP127" s="1004">
        <f>I127*2</f>
        <v>240</v>
      </c>
      <c r="AQ127" s="1004"/>
      <c r="AS127" s="1004">
        <f>I127*2</f>
        <v>240</v>
      </c>
      <c r="AT127" s="1004"/>
      <c r="AU127" s="1004"/>
      <c r="AV127" s="1004"/>
      <c r="BN127" s="974">
        <f>I127</f>
        <v>120</v>
      </c>
      <c r="BO127" s="974">
        <f>I127</f>
        <v>120</v>
      </c>
      <c r="BQ127" s="974">
        <f>I127</f>
        <v>120</v>
      </c>
      <c r="BU127" s="939">
        <f t="shared" si="39"/>
        <v>240</v>
      </c>
      <c r="BV127" s="1222">
        <f t="shared" si="40"/>
        <v>2461484</v>
      </c>
      <c r="BW127" s="1018"/>
      <c r="BX127" s="1018"/>
      <c r="BY127" s="1018"/>
      <c r="BZ127" s="1018"/>
      <c r="CA127" s="856">
        <f t="shared" si="37"/>
        <v>358516</v>
      </c>
      <c r="CC127" s="964">
        <f t="shared" si="41"/>
        <v>0</v>
      </c>
      <c r="CD127" s="939">
        <f t="shared" si="42"/>
        <v>50162.5714285714</v>
      </c>
      <c r="CE127" s="1018"/>
      <c r="CF127" s="1018"/>
      <c r="CG127" s="1018"/>
      <c r="CH127" s="939">
        <f t="shared" si="38"/>
        <v>9837.4285714286</v>
      </c>
      <c r="CI127" s="1018"/>
    </row>
    <row r="128" s="974" customFormat="1" ht="31" customHeight="1" spans="1:87">
      <c r="A128" s="1228">
        <v>45847</v>
      </c>
      <c r="B128" s="1229" t="s">
        <v>733</v>
      </c>
      <c r="C128" s="1238" t="s">
        <v>720</v>
      </c>
      <c r="D128" s="1231">
        <v>4500173135</v>
      </c>
      <c r="E128" s="1229"/>
      <c r="F128" s="1231" t="s">
        <v>734</v>
      </c>
      <c r="G128" s="1004" t="s">
        <v>205</v>
      </c>
      <c r="H128" s="1004" t="s">
        <v>189</v>
      </c>
      <c r="I128" s="1004">
        <v>200</v>
      </c>
      <c r="J128" s="1004">
        <v>0</v>
      </c>
      <c r="K128" s="1004">
        <v>50</v>
      </c>
      <c r="L128" s="1232">
        <f t="shared" si="43"/>
        <v>4</v>
      </c>
      <c r="M128" s="1007">
        <v>45840</v>
      </c>
      <c r="N128" s="1007">
        <f t="shared" si="58"/>
        <v>45836</v>
      </c>
      <c r="O128" s="1020"/>
      <c r="P128" s="1024" t="s">
        <v>86</v>
      </c>
      <c r="Q128" s="1004" t="s">
        <v>735</v>
      </c>
      <c r="R128" s="1009">
        <v>45814</v>
      </c>
      <c r="S128" s="1004" t="s">
        <v>98</v>
      </c>
      <c r="T128" s="1233">
        <v>45813</v>
      </c>
      <c r="U128" s="1233"/>
      <c r="V128" s="1234" t="s">
        <v>736</v>
      </c>
      <c r="W128" s="1007" t="s">
        <v>723</v>
      </c>
      <c r="X128" s="1235">
        <v>1.9605</v>
      </c>
      <c r="Y128" s="1236">
        <f>I128*X128</f>
        <v>392.1</v>
      </c>
      <c r="Z128" s="1236"/>
      <c r="AA128" s="1004" t="s">
        <v>737</v>
      </c>
      <c r="AB128" s="1004" t="s">
        <v>210</v>
      </c>
      <c r="AC128" s="1004" t="s">
        <v>93</v>
      </c>
      <c r="AD128" s="1023" t="s">
        <v>738</v>
      </c>
      <c r="AE128" s="1004"/>
      <c r="AF128" s="1002"/>
      <c r="AG128" s="1002"/>
      <c r="AH128" s="1237"/>
      <c r="AI128" s="1004"/>
      <c r="AJ128" s="1004"/>
      <c r="AK128" s="1004">
        <f>I128</f>
        <v>200</v>
      </c>
      <c r="AL128" s="1004"/>
      <c r="AM128" s="1004"/>
      <c r="AP128" s="1004">
        <f>I128</f>
        <v>200</v>
      </c>
      <c r="AQ128" s="1004"/>
      <c r="AS128" s="1004">
        <f>I128</f>
        <v>200</v>
      </c>
      <c r="AT128" s="1004"/>
      <c r="AU128" s="1004"/>
      <c r="AV128" s="1004"/>
      <c r="BF128" s="974">
        <f>I128/25</f>
        <v>8</v>
      </c>
      <c r="BU128" s="939">
        <f t="shared" si="39"/>
        <v>200</v>
      </c>
      <c r="BV128" s="1222">
        <f t="shared" si="40"/>
        <v>2461684</v>
      </c>
      <c r="BW128" s="1018"/>
      <c r="BX128" s="1018"/>
      <c r="BY128" s="1018"/>
      <c r="BZ128" s="1018"/>
      <c r="CA128" s="856">
        <f t="shared" si="37"/>
        <v>358316</v>
      </c>
      <c r="CC128" s="964">
        <f t="shared" si="41"/>
        <v>8</v>
      </c>
      <c r="CD128" s="939">
        <f t="shared" si="42"/>
        <v>50170.5714285714</v>
      </c>
      <c r="CE128" s="1018"/>
      <c r="CF128" s="1018"/>
      <c r="CG128" s="1018"/>
      <c r="CH128" s="939">
        <f t="shared" si="38"/>
        <v>9829.4285714286</v>
      </c>
      <c r="CI128" s="1018"/>
    </row>
    <row r="129" s="974" customFormat="1" ht="31" customHeight="1" spans="1:87">
      <c r="A129" s="1228">
        <v>45835</v>
      </c>
      <c r="B129" s="1229"/>
      <c r="C129" s="1238"/>
      <c r="D129" s="1231" t="s">
        <v>739</v>
      </c>
      <c r="E129" s="1229"/>
      <c r="F129" s="1231"/>
      <c r="G129" s="1004" t="s">
        <v>213</v>
      </c>
      <c r="H129" s="1004" t="s">
        <v>189</v>
      </c>
      <c r="I129" s="1004" t="s">
        <v>740</v>
      </c>
      <c r="J129" s="1004">
        <v>0</v>
      </c>
      <c r="K129" s="1004">
        <v>24</v>
      </c>
      <c r="L129" s="1232" t="e">
        <f t="shared" si="43"/>
        <v>#VALUE!</v>
      </c>
      <c r="M129" s="1007">
        <v>45847</v>
      </c>
      <c r="N129" s="1007">
        <v>45843</v>
      </c>
      <c r="O129" s="1020"/>
      <c r="P129" s="1024"/>
      <c r="Q129" s="1004"/>
      <c r="R129" s="1009">
        <v>45835</v>
      </c>
      <c r="S129" s="1004" t="s">
        <v>98</v>
      </c>
      <c r="T129" s="1233" t="s">
        <v>98</v>
      </c>
      <c r="U129" s="1233"/>
      <c r="V129" s="1234" t="s">
        <v>741</v>
      </c>
      <c r="W129" s="1007" t="s">
        <v>541</v>
      </c>
      <c r="X129" s="1235"/>
      <c r="Y129" s="1236"/>
      <c r="Z129" s="1236"/>
      <c r="AA129" s="1004" t="s">
        <v>742</v>
      </c>
      <c r="AB129" s="1004"/>
      <c r="AC129" s="1004" t="s">
        <v>743</v>
      </c>
      <c r="AD129" s="1023"/>
      <c r="AE129" s="1004"/>
      <c r="AF129" s="1002">
        <v>15</v>
      </c>
      <c r="AG129" s="1002">
        <v>0</v>
      </c>
      <c r="AH129" s="1237"/>
      <c r="AI129" s="1004"/>
      <c r="AJ129" s="1004"/>
      <c r="AK129" s="1004"/>
      <c r="AL129" s="1004"/>
      <c r="AM129" s="1004"/>
      <c r="AP129" s="1004"/>
      <c r="AQ129" s="1004"/>
      <c r="AS129" s="1004">
        <v>15</v>
      </c>
      <c r="AT129" s="1004"/>
      <c r="AU129" s="1004"/>
      <c r="AV129" s="1004"/>
      <c r="BU129" s="939">
        <f t="shared" si="39"/>
        <v>0</v>
      </c>
      <c r="BV129" s="1222">
        <f t="shared" si="40"/>
        <v>2461684</v>
      </c>
      <c r="BW129" s="1018"/>
      <c r="BX129" s="1018"/>
      <c r="BY129" s="1018"/>
      <c r="BZ129" s="1018"/>
      <c r="CA129" s="856">
        <f t="shared" si="37"/>
        <v>358316</v>
      </c>
      <c r="CC129" s="964">
        <f t="shared" si="41"/>
        <v>0</v>
      </c>
      <c r="CD129" s="939">
        <f t="shared" si="42"/>
        <v>50170.5714285714</v>
      </c>
      <c r="CE129" s="1018"/>
      <c r="CF129" s="1018"/>
      <c r="CG129" s="1018"/>
      <c r="CH129" s="939">
        <f t="shared" si="38"/>
        <v>9829.4285714286</v>
      </c>
      <c r="CI129" s="1018"/>
    </row>
    <row r="130" s="974" customFormat="1" ht="31" customHeight="1" spans="1:87">
      <c r="A130" s="1228">
        <v>45758</v>
      </c>
      <c r="B130" s="1229" t="s">
        <v>744</v>
      </c>
      <c r="C130" s="1238" t="s">
        <v>272</v>
      </c>
      <c r="D130" s="1231">
        <v>4500163216</v>
      </c>
      <c r="E130" s="1229" t="s">
        <v>745</v>
      </c>
      <c r="F130" s="1231" t="s">
        <v>746</v>
      </c>
      <c r="G130" s="1004" t="s">
        <v>234</v>
      </c>
      <c r="H130" s="1004" t="s">
        <v>189</v>
      </c>
      <c r="I130" s="1004">
        <v>2171</v>
      </c>
      <c r="J130" s="1004">
        <v>0</v>
      </c>
      <c r="K130" s="1004">
        <v>13</v>
      </c>
      <c r="L130" s="1232">
        <f t="shared" si="43"/>
        <v>167</v>
      </c>
      <c r="M130" s="1007">
        <v>45846</v>
      </c>
      <c r="N130" s="1007">
        <v>45842</v>
      </c>
      <c r="O130" s="1020"/>
      <c r="P130" s="1024" t="s">
        <v>86</v>
      </c>
      <c r="Q130" s="1004"/>
      <c r="R130" s="1009">
        <v>45758</v>
      </c>
      <c r="S130" s="1004" t="s">
        <v>88</v>
      </c>
      <c r="T130" s="1233">
        <v>45792</v>
      </c>
      <c r="U130" s="1233"/>
      <c r="V130" s="1234" t="s">
        <v>747</v>
      </c>
      <c r="W130" s="1007" t="s">
        <v>592</v>
      </c>
      <c r="X130" s="1235">
        <v>1.9068</v>
      </c>
      <c r="Y130" s="1236">
        <f>I130*X130</f>
        <v>4139.6628</v>
      </c>
      <c r="Z130" s="1236"/>
      <c r="AA130" s="1004" t="s">
        <v>748</v>
      </c>
      <c r="AB130" s="1004" t="s">
        <v>234</v>
      </c>
      <c r="AC130" s="1004" t="s">
        <v>93</v>
      </c>
      <c r="AD130" s="1023" t="s">
        <v>94</v>
      </c>
      <c r="AE130" s="1004"/>
      <c r="AF130" s="1002">
        <v>2171</v>
      </c>
      <c r="AG130" s="1002">
        <f>AF130-I130</f>
        <v>0</v>
      </c>
      <c r="AH130" s="1237"/>
      <c r="AI130" s="1004"/>
      <c r="AJ130" s="1004"/>
      <c r="AK130" s="1004">
        <f>I130</f>
        <v>2171</v>
      </c>
      <c r="AL130" s="1004"/>
      <c r="AM130" s="1004">
        <f>I130</f>
        <v>2171</v>
      </c>
      <c r="AP130" s="1004"/>
      <c r="AQ130" s="1004"/>
      <c r="AS130" s="1004">
        <f>I130</f>
        <v>2171</v>
      </c>
      <c r="AT130" s="1004"/>
      <c r="AU130" s="1004"/>
      <c r="AV130" s="1004"/>
      <c r="BC130" s="974">
        <f>I130/13</f>
        <v>167</v>
      </c>
      <c r="BU130" s="939">
        <f t="shared" si="39"/>
        <v>2171</v>
      </c>
      <c r="BV130" s="1222">
        <f t="shared" si="40"/>
        <v>2463855</v>
      </c>
      <c r="BW130" s="1018"/>
      <c r="BX130" s="1018"/>
      <c r="BY130" s="1018"/>
      <c r="BZ130" s="1018"/>
      <c r="CA130" s="856">
        <f t="shared" si="37"/>
        <v>356145</v>
      </c>
      <c r="CC130" s="964">
        <f t="shared" si="41"/>
        <v>0</v>
      </c>
      <c r="CD130" s="939">
        <f t="shared" si="42"/>
        <v>50170.5714285714</v>
      </c>
      <c r="CE130" s="1018"/>
      <c r="CF130" s="1018"/>
      <c r="CG130" s="1018"/>
      <c r="CH130" s="939">
        <f t="shared" si="38"/>
        <v>9829.4285714286</v>
      </c>
      <c r="CI130" s="1018"/>
    </row>
    <row r="131" s="974" customFormat="1" ht="31" customHeight="1" spans="1:87">
      <c r="A131" s="1228">
        <v>45811</v>
      </c>
      <c r="B131" s="1229" t="s">
        <v>587</v>
      </c>
      <c r="C131" s="1238" t="s">
        <v>588</v>
      </c>
      <c r="D131" s="1231">
        <v>4500168730</v>
      </c>
      <c r="E131" s="1229"/>
      <c r="F131" s="1231" t="s">
        <v>749</v>
      </c>
      <c r="G131" s="1004" t="s">
        <v>188</v>
      </c>
      <c r="H131" s="1004" t="s">
        <v>189</v>
      </c>
      <c r="I131" s="1004">
        <v>1040</v>
      </c>
      <c r="J131" s="1004">
        <v>0</v>
      </c>
      <c r="K131" s="1004">
        <v>52</v>
      </c>
      <c r="L131" s="1232">
        <f t="shared" si="43"/>
        <v>20</v>
      </c>
      <c r="M131" s="1007">
        <v>45848</v>
      </c>
      <c r="N131" s="1007">
        <v>45845</v>
      </c>
      <c r="O131" s="1020"/>
      <c r="P131" s="1024" t="s">
        <v>86</v>
      </c>
      <c r="Q131" s="1004"/>
      <c r="R131" s="1009">
        <v>45814</v>
      </c>
      <c r="S131" s="1004" t="s">
        <v>98</v>
      </c>
      <c r="T131" s="1233">
        <v>45826</v>
      </c>
      <c r="U131" s="1233"/>
      <c r="V131" s="1234" t="s">
        <v>750</v>
      </c>
      <c r="W131" s="1007" t="s">
        <v>592</v>
      </c>
      <c r="X131" s="1235">
        <v>1.8632</v>
      </c>
      <c r="Y131" s="1236">
        <f>I131*X131</f>
        <v>1937.728</v>
      </c>
      <c r="Z131" s="1236"/>
      <c r="AA131" s="1004" t="s">
        <v>751</v>
      </c>
      <c r="AB131" s="1004" t="s">
        <v>188</v>
      </c>
      <c r="AC131" s="1004" t="s">
        <v>93</v>
      </c>
      <c r="AD131" s="1023" t="s">
        <v>94</v>
      </c>
      <c r="AE131" s="1004"/>
      <c r="AF131" s="1002">
        <v>1040</v>
      </c>
      <c r="AG131" s="1002">
        <f>AF131-I131</f>
        <v>0</v>
      </c>
      <c r="AH131" s="1237"/>
      <c r="AI131" s="1004" t="s">
        <v>95</v>
      </c>
      <c r="AJ131" s="1004"/>
      <c r="AK131" s="1004">
        <f>I131</f>
        <v>1040</v>
      </c>
      <c r="AL131" s="1004"/>
      <c r="AM131" s="1004">
        <f>I131</f>
        <v>1040</v>
      </c>
      <c r="AP131" s="1004"/>
      <c r="AQ131" s="1004"/>
      <c r="AS131" s="1004">
        <f>I131</f>
        <v>1040</v>
      </c>
      <c r="AT131" s="1004"/>
      <c r="AU131" s="1004"/>
      <c r="AV131" s="1004"/>
      <c r="BC131" s="974">
        <f>I131/13</f>
        <v>80</v>
      </c>
      <c r="BU131" s="939">
        <f t="shared" si="39"/>
        <v>1040</v>
      </c>
      <c r="BV131" s="1222">
        <f t="shared" si="40"/>
        <v>2464895</v>
      </c>
      <c r="BW131" s="1018"/>
      <c r="BX131" s="1018"/>
      <c r="BY131" s="1018"/>
      <c r="BZ131" s="1018"/>
      <c r="CA131" s="856">
        <f t="shared" ref="CA131:CA194" si="59">SUM(BX$1:CB$1)-BV131</f>
        <v>355105</v>
      </c>
      <c r="CC131" s="964">
        <f t="shared" si="41"/>
        <v>0</v>
      </c>
      <c r="CD131" s="939">
        <f t="shared" si="42"/>
        <v>50170.5714285714</v>
      </c>
      <c r="CE131" s="1018"/>
      <c r="CF131" s="1018"/>
      <c r="CG131" s="1018"/>
      <c r="CH131" s="939">
        <f t="shared" ref="CH131:CH194" si="60">$CF$1+$CG$1+$CH$1+$CI$1-CD131</f>
        <v>9829.4285714286</v>
      </c>
      <c r="CI131" s="1018"/>
    </row>
    <row r="132" s="974" customFormat="1" ht="31" customHeight="1" spans="1:87">
      <c r="A132" s="1228">
        <v>45814</v>
      </c>
      <c r="B132" s="1229" t="s">
        <v>752</v>
      </c>
      <c r="C132" s="1238" t="s">
        <v>713</v>
      </c>
      <c r="D132" s="1231">
        <v>4500169123</v>
      </c>
      <c r="E132" s="1229"/>
      <c r="F132" s="1231" t="s">
        <v>753</v>
      </c>
      <c r="G132" s="1004" t="s">
        <v>205</v>
      </c>
      <c r="H132" s="1004" t="s">
        <v>189</v>
      </c>
      <c r="I132" s="1004">
        <v>1200</v>
      </c>
      <c r="J132" s="1004">
        <v>0</v>
      </c>
      <c r="K132" s="1004">
        <v>50</v>
      </c>
      <c r="L132" s="1232">
        <f t="shared" si="43"/>
        <v>24</v>
      </c>
      <c r="M132" s="1007">
        <v>45849</v>
      </c>
      <c r="N132" s="1007">
        <v>45845</v>
      </c>
      <c r="O132" s="1020"/>
      <c r="P132" s="1024" t="s">
        <v>86</v>
      </c>
      <c r="Q132" s="1004"/>
      <c r="R132" s="1009">
        <v>45814</v>
      </c>
      <c r="S132" s="1004" t="s">
        <v>98</v>
      </c>
      <c r="T132" s="1233" t="s">
        <v>754</v>
      </c>
      <c r="U132" s="1233"/>
      <c r="V132" s="1234" t="s">
        <v>755</v>
      </c>
      <c r="W132" s="1007" t="s">
        <v>717</v>
      </c>
      <c r="X132" s="1235">
        <v>1.9438</v>
      </c>
      <c r="Y132" s="1236">
        <f>I132*X132</f>
        <v>2332.56</v>
      </c>
      <c r="Z132" s="1236"/>
      <c r="AA132" s="1004" t="s">
        <v>756</v>
      </c>
      <c r="AB132" s="1004" t="s">
        <v>210</v>
      </c>
      <c r="AC132" s="1004" t="s">
        <v>93</v>
      </c>
      <c r="AD132" s="1023" t="s">
        <v>94</v>
      </c>
      <c r="AE132" s="1004"/>
      <c r="AF132" s="1002">
        <v>1200</v>
      </c>
      <c r="AG132" s="1002">
        <f>AF132-I132</f>
        <v>0</v>
      </c>
      <c r="AH132" s="1237"/>
      <c r="AI132" s="1004" t="s">
        <v>95</v>
      </c>
      <c r="AJ132" s="1004"/>
      <c r="AK132" s="1004">
        <f>I132</f>
        <v>1200</v>
      </c>
      <c r="AL132" s="1004"/>
      <c r="AM132" s="1004"/>
      <c r="AP132" s="1004">
        <f>I132</f>
        <v>1200</v>
      </c>
      <c r="AQ132" s="1004"/>
      <c r="AS132" s="1004">
        <f>I132</f>
        <v>1200</v>
      </c>
      <c r="AT132" s="1004"/>
      <c r="AU132" s="1004"/>
      <c r="AV132" s="1004"/>
      <c r="BF132" s="974">
        <f>I132/25</f>
        <v>48</v>
      </c>
      <c r="BU132" s="939">
        <f t="shared" ref="BU132:BU195" si="61">AK132+AL132</f>
        <v>1200</v>
      </c>
      <c r="BV132" s="1222">
        <f t="shared" ref="BV132:BV195" si="62">BV131+BU132</f>
        <v>2466095</v>
      </c>
      <c r="BW132" s="1018"/>
      <c r="BX132" s="1018"/>
      <c r="BY132" s="1018"/>
      <c r="BZ132" s="1018"/>
      <c r="CA132" s="856">
        <f t="shared" si="59"/>
        <v>353905</v>
      </c>
      <c r="CC132" s="964">
        <f t="shared" ref="CC132:CC195" si="63">AW132+AX132+BE132+BF132</f>
        <v>48</v>
      </c>
      <c r="CD132" s="939">
        <f t="shared" ref="CD132:CD195" si="64">CD131+CC132</f>
        <v>50218.5714285714</v>
      </c>
      <c r="CE132" s="1018"/>
      <c r="CF132" s="1018"/>
      <c r="CG132" s="1018"/>
      <c r="CH132" s="939">
        <f t="shared" si="60"/>
        <v>9781.4285714286</v>
      </c>
      <c r="CI132" s="1018"/>
    </row>
    <row r="133" s="974" customFormat="1" ht="31" customHeight="1" spans="1:87">
      <c r="A133" s="1228">
        <v>45828</v>
      </c>
      <c r="B133" s="1229" t="s">
        <v>124</v>
      </c>
      <c r="C133" s="1238" t="s">
        <v>125</v>
      </c>
      <c r="D133" s="1231">
        <v>4500169495</v>
      </c>
      <c r="E133" s="1229">
        <v>5200007003</v>
      </c>
      <c r="F133" s="1231" t="s">
        <v>757</v>
      </c>
      <c r="G133" s="1004" t="s">
        <v>758</v>
      </c>
      <c r="H133" s="1004"/>
      <c r="I133" s="1004">
        <v>456</v>
      </c>
      <c r="J133" s="1004">
        <v>0</v>
      </c>
      <c r="K133" s="1004">
        <v>24</v>
      </c>
      <c r="L133" s="1232">
        <f t="shared" si="43"/>
        <v>19</v>
      </c>
      <c r="M133" s="1007">
        <v>45855</v>
      </c>
      <c r="N133" s="1007">
        <v>45852</v>
      </c>
      <c r="O133" s="1020"/>
      <c r="P133" s="1024" t="s">
        <v>86</v>
      </c>
      <c r="Q133" s="1004"/>
      <c r="R133" s="1009" t="s">
        <v>759</v>
      </c>
      <c r="S133" s="1004" t="s">
        <v>98</v>
      </c>
      <c r="T133" s="1233" t="s">
        <v>98</v>
      </c>
      <c r="U133" s="1233"/>
      <c r="V133" s="1234" t="s">
        <v>760</v>
      </c>
      <c r="W133" s="1007" t="s">
        <v>130</v>
      </c>
      <c r="X133" s="1235">
        <v>1.098</v>
      </c>
      <c r="Y133" s="1236">
        <f t="shared" ref="Y133:Y142" si="65">I133*X133</f>
        <v>500.688</v>
      </c>
      <c r="Z133" s="1236"/>
      <c r="AA133" s="1004" t="s">
        <v>131</v>
      </c>
      <c r="AB133" s="1004" t="s">
        <v>213</v>
      </c>
      <c r="AC133" s="1004" t="s">
        <v>93</v>
      </c>
      <c r="AD133" s="1023" t="s">
        <v>94</v>
      </c>
      <c r="AE133" s="1004"/>
      <c r="AF133" s="1002">
        <v>456</v>
      </c>
      <c r="AG133" s="1002">
        <f t="shared" ref="AG133:AG157" si="66">AF133-I133</f>
        <v>0</v>
      </c>
      <c r="AH133" s="1237"/>
      <c r="AI133" s="1004" t="s">
        <v>98</v>
      </c>
      <c r="AJ133" s="1004"/>
      <c r="AK133" s="1004">
        <f>I133</f>
        <v>456</v>
      </c>
      <c r="AL133" s="1004"/>
      <c r="AM133" s="1004">
        <f>I133</f>
        <v>456</v>
      </c>
      <c r="AP133" s="1004"/>
      <c r="AQ133" s="1004"/>
      <c r="AS133" s="1004">
        <f>I133</f>
        <v>456</v>
      </c>
      <c r="AT133" s="1004"/>
      <c r="AU133" s="1004"/>
      <c r="AV133" s="1004"/>
      <c r="BU133" s="939">
        <f t="shared" si="61"/>
        <v>456</v>
      </c>
      <c r="BV133" s="1222">
        <f t="shared" si="62"/>
        <v>2466551</v>
      </c>
      <c r="BW133" s="1018"/>
      <c r="BX133" s="1018"/>
      <c r="BY133" s="1018"/>
      <c r="BZ133" s="1018"/>
      <c r="CA133" s="856">
        <f t="shared" si="59"/>
        <v>353449</v>
      </c>
      <c r="CC133" s="964">
        <f t="shared" si="63"/>
        <v>0</v>
      </c>
      <c r="CD133" s="939">
        <f t="shared" si="64"/>
        <v>50218.5714285714</v>
      </c>
      <c r="CE133" s="1018"/>
      <c r="CF133" s="1018"/>
      <c r="CG133" s="1018"/>
      <c r="CH133" s="939">
        <f t="shared" si="60"/>
        <v>9781.4285714286</v>
      </c>
      <c r="CI133" s="1018"/>
    </row>
    <row r="134" s="974" customFormat="1" ht="31" customHeight="1" spans="1:87">
      <c r="A134" s="1228">
        <v>45821</v>
      </c>
      <c r="B134" s="1229" t="s">
        <v>761</v>
      </c>
      <c r="C134" s="1238" t="s">
        <v>632</v>
      </c>
      <c r="D134" s="1231">
        <v>4500169971</v>
      </c>
      <c r="E134" s="1229" t="s">
        <v>762</v>
      </c>
      <c r="F134" s="1231" t="s">
        <v>763</v>
      </c>
      <c r="G134" s="1004" t="s">
        <v>196</v>
      </c>
      <c r="H134" s="1004" t="s">
        <v>197</v>
      </c>
      <c r="I134" s="1004">
        <v>12</v>
      </c>
      <c r="J134" s="1004">
        <v>0</v>
      </c>
      <c r="K134" s="1004">
        <v>12</v>
      </c>
      <c r="L134" s="1232">
        <f t="shared" si="43"/>
        <v>1</v>
      </c>
      <c r="M134" s="1007">
        <v>45856</v>
      </c>
      <c r="N134" s="1007">
        <v>45852</v>
      </c>
      <c r="O134" s="1020"/>
      <c r="P134" s="1024" t="s">
        <v>86</v>
      </c>
      <c r="Q134" s="1004"/>
      <c r="R134" s="1009">
        <v>45821</v>
      </c>
      <c r="S134" s="1004" t="s">
        <v>88</v>
      </c>
      <c r="T134" s="1233" t="s">
        <v>764</v>
      </c>
      <c r="U134" s="1233"/>
      <c r="V134" s="1234" t="s">
        <v>765</v>
      </c>
      <c r="W134" s="1007" t="s">
        <v>731</v>
      </c>
      <c r="X134" s="1235">
        <v>4.1214</v>
      </c>
      <c r="Y134" s="1236">
        <f t="shared" si="65"/>
        <v>49.4568</v>
      </c>
      <c r="Z134" s="1236"/>
      <c r="AA134" s="1004" t="s">
        <v>766</v>
      </c>
      <c r="AB134" s="1004" t="s">
        <v>637</v>
      </c>
      <c r="AC134" s="1004" t="s">
        <v>93</v>
      </c>
      <c r="AD134" s="1023" t="s">
        <v>94</v>
      </c>
      <c r="AE134" s="1004"/>
      <c r="AF134" s="1002">
        <v>12</v>
      </c>
      <c r="AG134" s="1002">
        <f t="shared" si="66"/>
        <v>0</v>
      </c>
      <c r="AH134" s="1237"/>
      <c r="AI134" s="1004"/>
      <c r="AJ134" s="1004"/>
      <c r="AK134" s="1004"/>
      <c r="AL134" s="1004">
        <f t="shared" ref="AL134:AL142" si="67">I134</f>
        <v>12</v>
      </c>
      <c r="AM134" s="1004"/>
      <c r="AP134" s="1004">
        <f t="shared" ref="AP134:AP142" si="68">I134*2</f>
        <v>24</v>
      </c>
      <c r="AQ134" s="1004"/>
      <c r="AS134" s="1004">
        <f t="shared" ref="AS134:AS142" si="69">I134*2</f>
        <v>24</v>
      </c>
      <c r="AT134" s="1004"/>
      <c r="AU134" s="1004"/>
      <c r="AV134" s="1004"/>
      <c r="BN134" s="974">
        <f t="shared" ref="BN134:BN142" si="70">I134</f>
        <v>12</v>
      </c>
      <c r="BO134" s="974">
        <f t="shared" ref="BO134:BO142" si="71">I134</f>
        <v>12</v>
      </c>
      <c r="BQ134" s="974">
        <f t="shared" ref="BQ134:BQ142" si="72">I134</f>
        <v>12</v>
      </c>
      <c r="BU134" s="939">
        <f t="shared" si="61"/>
        <v>12</v>
      </c>
      <c r="BV134" s="1222">
        <f t="shared" si="62"/>
        <v>2466563</v>
      </c>
      <c r="BW134" s="1018"/>
      <c r="BX134" s="1018"/>
      <c r="BY134" s="1018"/>
      <c r="BZ134" s="1018"/>
      <c r="CA134" s="856">
        <f t="shared" si="59"/>
        <v>353437</v>
      </c>
      <c r="CC134" s="964">
        <f t="shared" si="63"/>
        <v>0</v>
      </c>
      <c r="CD134" s="939">
        <f t="shared" si="64"/>
        <v>50218.5714285714</v>
      </c>
      <c r="CE134" s="1018"/>
      <c r="CF134" s="1018"/>
      <c r="CG134" s="1018"/>
      <c r="CH134" s="939">
        <f t="shared" si="60"/>
        <v>9781.4285714286</v>
      </c>
      <c r="CI134" s="1018"/>
    </row>
    <row r="135" s="974" customFormat="1" ht="31" customHeight="1" spans="1:87">
      <c r="A135" s="1228">
        <v>45821</v>
      </c>
      <c r="B135" s="1229" t="s">
        <v>761</v>
      </c>
      <c r="C135" s="1238" t="s">
        <v>632</v>
      </c>
      <c r="D135" s="1231">
        <v>4500169971</v>
      </c>
      <c r="E135" s="1229" t="s">
        <v>767</v>
      </c>
      <c r="F135" s="1231" t="s">
        <v>768</v>
      </c>
      <c r="G135" s="1004" t="s">
        <v>196</v>
      </c>
      <c r="H135" s="1004" t="s">
        <v>197</v>
      </c>
      <c r="I135" s="1004">
        <v>12</v>
      </c>
      <c r="J135" s="1004">
        <v>0</v>
      </c>
      <c r="K135" s="1004">
        <v>12</v>
      </c>
      <c r="L135" s="1232">
        <f t="shared" si="43"/>
        <v>1</v>
      </c>
      <c r="M135" s="1007">
        <v>45856</v>
      </c>
      <c r="N135" s="1007">
        <v>45852</v>
      </c>
      <c r="O135" s="1020"/>
      <c r="P135" s="1024" t="s">
        <v>86</v>
      </c>
      <c r="Q135" s="1004"/>
      <c r="R135" s="1009">
        <v>45821</v>
      </c>
      <c r="S135" s="1004" t="s">
        <v>88</v>
      </c>
      <c r="T135" s="1233" t="s">
        <v>764</v>
      </c>
      <c r="U135" s="1233"/>
      <c r="V135" s="1234" t="s">
        <v>765</v>
      </c>
      <c r="W135" s="1007" t="s">
        <v>731</v>
      </c>
      <c r="X135" s="1235">
        <v>4.1214</v>
      </c>
      <c r="Y135" s="1236">
        <f t="shared" si="65"/>
        <v>49.4568</v>
      </c>
      <c r="Z135" s="1236"/>
      <c r="AA135" s="1004" t="s">
        <v>766</v>
      </c>
      <c r="AB135" s="1004" t="s">
        <v>637</v>
      </c>
      <c r="AC135" s="1004" t="s">
        <v>93</v>
      </c>
      <c r="AD135" s="1023" t="s">
        <v>94</v>
      </c>
      <c r="AE135" s="1004"/>
      <c r="AF135" s="1022"/>
      <c r="AG135" s="1002">
        <f t="shared" si="66"/>
        <v>-12</v>
      </c>
      <c r="AH135" s="1237"/>
      <c r="AI135" s="1004"/>
      <c r="AJ135" s="1004"/>
      <c r="AK135" s="1004"/>
      <c r="AL135" s="1004">
        <f t="shared" si="67"/>
        <v>12</v>
      </c>
      <c r="AM135" s="1004"/>
      <c r="AP135" s="1004">
        <f t="shared" si="68"/>
        <v>24</v>
      </c>
      <c r="AQ135" s="1004"/>
      <c r="AS135" s="1004">
        <f t="shared" si="69"/>
        <v>24</v>
      </c>
      <c r="AT135" s="1004"/>
      <c r="AU135" s="1004"/>
      <c r="AV135" s="1004"/>
      <c r="BN135" s="974">
        <f t="shared" si="70"/>
        <v>12</v>
      </c>
      <c r="BO135" s="974">
        <f t="shared" si="71"/>
        <v>12</v>
      </c>
      <c r="BQ135" s="974">
        <f t="shared" si="72"/>
        <v>12</v>
      </c>
      <c r="BU135" s="939">
        <f t="shared" si="61"/>
        <v>12</v>
      </c>
      <c r="BV135" s="1222">
        <f t="shared" si="62"/>
        <v>2466575</v>
      </c>
      <c r="BW135" s="1018"/>
      <c r="BX135" s="1018"/>
      <c r="BY135" s="1018"/>
      <c r="BZ135" s="1018"/>
      <c r="CA135" s="856">
        <f t="shared" si="59"/>
        <v>353425</v>
      </c>
      <c r="CC135" s="964">
        <f t="shared" si="63"/>
        <v>0</v>
      </c>
      <c r="CD135" s="939">
        <f t="shared" si="64"/>
        <v>50218.5714285714</v>
      </c>
      <c r="CE135" s="1018"/>
      <c r="CF135" s="1018"/>
      <c r="CG135" s="1018"/>
      <c r="CH135" s="939">
        <f t="shared" si="60"/>
        <v>9781.4285714286</v>
      </c>
      <c r="CI135" s="1018"/>
    </row>
    <row r="136" s="974" customFormat="1" ht="31" customHeight="1" spans="1:87">
      <c r="A136" s="1228">
        <v>45821</v>
      </c>
      <c r="B136" s="1229" t="s">
        <v>761</v>
      </c>
      <c r="C136" s="1238" t="s">
        <v>632</v>
      </c>
      <c r="D136" s="1231">
        <v>4500169971</v>
      </c>
      <c r="E136" s="1229" t="s">
        <v>769</v>
      </c>
      <c r="F136" s="1231" t="s">
        <v>770</v>
      </c>
      <c r="G136" s="1004" t="s">
        <v>196</v>
      </c>
      <c r="H136" s="1004" t="s">
        <v>197</v>
      </c>
      <c r="I136" s="1004">
        <v>12</v>
      </c>
      <c r="J136" s="1004">
        <v>0</v>
      </c>
      <c r="K136" s="1004">
        <v>12</v>
      </c>
      <c r="L136" s="1232">
        <f t="shared" si="43"/>
        <v>1</v>
      </c>
      <c r="M136" s="1007">
        <v>45856</v>
      </c>
      <c r="N136" s="1007">
        <v>45852</v>
      </c>
      <c r="O136" s="1020"/>
      <c r="P136" s="1024" t="s">
        <v>86</v>
      </c>
      <c r="Q136" s="1004"/>
      <c r="R136" s="1009">
        <v>45821</v>
      </c>
      <c r="S136" s="1004" t="s">
        <v>88</v>
      </c>
      <c r="T136" s="1233" t="s">
        <v>764</v>
      </c>
      <c r="U136" s="1233"/>
      <c r="V136" s="1234" t="s">
        <v>765</v>
      </c>
      <c r="W136" s="1007" t="s">
        <v>731</v>
      </c>
      <c r="X136" s="1235">
        <v>4.1214</v>
      </c>
      <c r="Y136" s="1236">
        <f t="shared" si="65"/>
        <v>49.4568</v>
      </c>
      <c r="Z136" s="1236"/>
      <c r="AA136" s="1004" t="s">
        <v>766</v>
      </c>
      <c r="AB136" s="1004" t="s">
        <v>637</v>
      </c>
      <c r="AC136" s="1004" t="s">
        <v>93</v>
      </c>
      <c r="AD136" s="1023" t="s">
        <v>94</v>
      </c>
      <c r="AE136" s="1004"/>
      <c r="AF136" s="1022"/>
      <c r="AG136" s="1002">
        <f t="shared" si="66"/>
        <v>-12</v>
      </c>
      <c r="AH136" s="1237"/>
      <c r="AI136" s="1004"/>
      <c r="AJ136" s="1004"/>
      <c r="AK136" s="1004"/>
      <c r="AL136" s="1004">
        <f t="shared" si="67"/>
        <v>12</v>
      </c>
      <c r="AM136" s="1004"/>
      <c r="AP136" s="1004">
        <f t="shared" si="68"/>
        <v>24</v>
      </c>
      <c r="AQ136" s="1004"/>
      <c r="AS136" s="1004">
        <f t="shared" si="69"/>
        <v>24</v>
      </c>
      <c r="AT136" s="1004"/>
      <c r="AU136" s="1004"/>
      <c r="AV136" s="1004"/>
      <c r="BN136" s="974">
        <f t="shared" si="70"/>
        <v>12</v>
      </c>
      <c r="BO136" s="974">
        <f t="shared" si="71"/>
        <v>12</v>
      </c>
      <c r="BQ136" s="974">
        <f t="shared" si="72"/>
        <v>12</v>
      </c>
      <c r="BU136" s="939">
        <f t="shared" si="61"/>
        <v>12</v>
      </c>
      <c r="BV136" s="1222">
        <f t="shared" si="62"/>
        <v>2466587</v>
      </c>
      <c r="BW136" s="1018"/>
      <c r="BX136" s="1018"/>
      <c r="BY136" s="1018"/>
      <c r="BZ136" s="1018"/>
      <c r="CA136" s="856">
        <f t="shared" si="59"/>
        <v>353413</v>
      </c>
      <c r="CC136" s="964">
        <f t="shared" si="63"/>
        <v>0</v>
      </c>
      <c r="CD136" s="939">
        <f t="shared" si="64"/>
        <v>50218.5714285714</v>
      </c>
      <c r="CE136" s="1018"/>
      <c r="CF136" s="1018"/>
      <c r="CG136" s="1018"/>
      <c r="CH136" s="939">
        <f t="shared" si="60"/>
        <v>9781.4285714286</v>
      </c>
      <c r="CI136" s="1018"/>
    </row>
    <row r="137" s="974" customFormat="1" ht="31" customHeight="1" spans="1:87">
      <c r="A137" s="1228">
        <v>45821</v>
      </c>
      <c r="B137" s="1229" t="s">
        <v>761</v>
      </c>
      <c r="C137" s="1238" t="s">
        <v>632</v>
      </c>
      <c r="D137" s="1231">
        <v>4500169971</v>
      </c>
      <c r="E137" s="1229" t="s">
        <v>771</v>
      </c>
      <c r="F137" s="1231" t="s">
        <v>772</v>
      </c>
      <c r="G137" s="1004" t="s">
        <v>196</v>
      </c>
      <c r="H137" s="1004" t="s">
        <v>197</v>
      </c>
      <c r="I137" s="1004">
        <v>12</v>
      </c>
      <c r="J137" s="1004">
        <v>0</v>
      </c>
      <c r="K137" s="1004">
        <v>12</v>
      </c>
      <c r="L137" s="1232">
        <f t="shared" ref="L137:L157" si="73">I137/K137</f>
        <v>1</v>
      </c>
      <c r="M137" s="1007">
        <v>45856</v>
      </c>
      <c r="N137" s="1007">
        <v>45852</v>
      </c>
      <c r="O137" s="1020"/>
      <c r="P137" s="1024" t="s">
        <v>86</v>
      </c>
      <c r="Q137" s="1004"/>
      <c r="R137" s="1009">
        <v>45821</v>
      </c>
      <c r="S137" s="1004" t="s">
        <v>88</v>
      </c>
      <c r="T137" s="1233" t="s">
        <v>764</v>
      </c>
      <c r="U137" s="1233"/>
      <c r="V137" s="1234" t="s">
        <v>765</v>
      </c>
      <c r="W137" s="1007" t="s">
        <v>731</v>
      </c>
      <c r="X137" s="1235">
        <v>4.1214</v>
      </c>
      <c r="Y137" s="1236">
        <f t="shared" si="65"/>
        <v>49.4568</v>
      </c>
      <c r="Z137" s="1236"/>
      <c r="AA137" s="1004" t="s">
        <v>766</v>
      </c>
      <c r="AB137" s="1004" t="s">
        <v>637</v>
      </c>
      <c r="AC137" s="1004" t="s">
        <v>93</v>
      </c>
      <c r="AD137" s="1023" t="s">
        <v>94</v>
      </c>
      <c r="AE137" s="1004"/>
      <c r="AF137" s="1022"/>
      <c r="AG137" s="1002">
        <f t="shared" si="66"/>
        <v>-12</v>
      </c>
      <c r="AH137" s="1237"/>
      <c r="AI137" s="1004"/>
      <c r="AJ137" s="1004"/>
      <c r="AK137" s="1004"/>
      <c r="AL137" s="1004">
        <f t="shared" si="67"/>
        <v>12</v>
      </c>
      <c r="AM137" s="1004"/>
      <c r="AP137" s="1004">
        <f t="shared" si="68"/>
        <v>24</v>
      </c>
      <c r="AQ137" s="1004"/>
      <c r="AS137" s="1004">
        <f t="shared" si="69"/>
        <v>24</v>
      </c>
      <c r="AT137" s="1004"/>
      <c r="AU137" s="1004"/>
      <c r="AV137" s="1004"/>
      <c r="BN137" s="974">
        <f t="shared" si="70"/>
        <v>12</v>
      </c>
      <c r="BO137" s="974">
        <f t="shared" si="71"/>
        <v>12</v>
      </c>
      <c r="BQ137" s="974">
        <f t="shared" si="72"/>
        <v>12</v>
      </c>
      <c r="BU137" s="939">
        <f t="shared" si="61"/>
        <v>12</v>
      </c>
      <c r="BV137" s="1222">
        <f t="shared" si="62"/>
        <v>2466599</v>
      </c>
      <c r="BW137" s="1018"/>
      <c r="BX137" s="1018"/>
      <c r="BY137" s="1018"/>
      <c r="BZ137" s="1018"/>
      <c r="CA137" s="856">
        <f t="shared" si="59"/>
        <v>353401</v>
      </c>
      <c r="CC137" s="964">
        <f t="shared" si="63"/>
        <v>0</v>
      </c>
      <c r="CD137" s="939">
        <f t="shared" si="64"/>
        <v>50218.5714285714</v>
      </c>
      <c r="CE137" s="1018"/>
      <c r="CF137" s="1018"/>
      <c r="CG137" s="1018"/>
      <c r="CH137" s="939">
        <f t="shared" si="60"/>
        <v>9781.4285714286</v>
      </c>
      <c r="CI137" s="1018"/>
    </row>
    <row r="138" s="974" customFormat="1" ht="31" customHeight="1" spans="1:87">
      <c r="A138" s="1228">
        <v>45824</v>
      </c>
      <c r="B138" s="1229" t="s">
        <v>761</v>
      </c>
      <c r="C138" s="1238" t="s">
        <v>632</v>
      </c>
      <c r="D138" s="1231">
        <v>4500170137</v>
      </c>
      <c r="E138" s="1229" t="s">
        <v>773</v>
      </c>
      <c r="F138" s="1231" t="s">
        <v>774</v>
      </c>
      <c r="G138" s="1004" t="s">
        <v>196</v>
      </c>
      <c r="H138" s="1004" t="s">
        <v>197</v>
      </c>
      <c r="I138" s="1004">
        <v>12</v>
      </c>
      <c r="J138" s="1004">
        <v>0</v>
      </c>
      <c r="K138" s="1004">
        <v>12</v>
      </c>
      <c r="L138" s="1232">
        <f t="shared" si="73"/>
        <v>1</v>
      </c>
      <c r="M138" s="1007">
        <v>45859</v>
      </c>
      <c r="N138" s="1007">
        <v>45855</v>
      </c>
      <c r="O138" s="1020"/>
      <c r="P138" s="1024" t="s">
        <v>86</v>
      </c>
      <c r="Q138" s="1004"/>
      <c r="R138" s="1009">
        <v>45821</v>
      </c>
      <c r="S138" s="1004" t="s">
        <v>88</v>
      </c>
      <c r="T138" s="1233" t="s">
        <v>764</v>
      </c>
      <c r="U138" s="1233"/>
      <c r="V138" s="1234" t="s">
        <v>775</v>
      </c>
      <c r="W138" s="1007" t="s">
        <v>731</v>
      </c>
      <c r="X138" s="1235">
        <v>4.0406</v>
      </c>
      <c r="Y138" s="1236">
        <f t="shared" si="65"/>
        <v>48.4872</v>
      </c>
      <c r="Z138" s="1236"/>
      <c r="AA138" s="1004" t="s">
        <v>776</v>
      </c>
      <c r="AB138" s="1004" t="s">
        <v>637</v>
      </c>
      <c r="AC138" s="1004" t="s">
        <v>93</v>
      </c>
      <c r="AD138" s="1023" t="s">
        <v>94</v>
      </c>
      <c r="AE138" s="1004"/>
      <c r="AF138" s="1022"/>
      <c r="AG138" s="1002">
        <f t="shared" si="66"/>
        <v>-12</v>
      </c>
      <c r="AH138" s="1237"/>
      <c r="AI138" s="1004"/>
      <c r="AJ138" s="1004"/>
      <c r="AK138" s="1004"/>
      <c r="AL138" s="1004">
        <f t="shared" si="67"/>
        <v>12</v>
      </c>
      <c r="AM138" s="1004"/>
      <c r="AP138" s="1004">
        <f t="shared" si="68"/>
        <v>24</v>
      </c>
      <c r="AQ138" s="1004"/>
      <c r="AS138" s="1004">
        <f t="shared" si="69"/>
        <v>24</v>
      </c>
      <c r="AT138" s="1004"/>
      <c r="AU138" s="1004"/>
      <c r="AV138" s="1004"/>
      <c r="BN138" s="974">
        <f t="shared" si="70"/>
        <v>12</v>
      </c>
      <c r="BO138" s="974">
        <f t="shared" si="71"/>
        <v>12</v>
      </c>
      <c r="BQ138" s="974">
        <f t="shared" si="72"/>
        <v>12</v>
      </c>
      <c r="BU138" s="939">
        <f t="shared" si="61"/>
        <v>12</v>
      </c>
      <c r="BV138" s="1222">
        <f t="shared" si="62"/>
        <v>2466611</v>
      </c>
      <c r="BW138" s="1018"/>
      <c r="BX138" s="1018"/>
      <c r="BY138" s="1018"/>
      <c r="BZ138" s="1018"/>
      <c r="CA138" s="856">
        <f t="shared" si="59"/>
        <v>353389</v>
      </c>
      <c r="CC138" s="964">
        <f t="shared" si="63"/>
        <v>0</v>
      </c>
      <c r="CD138" s="939">
        <f t="shared" si="64"/>
        <v>50218.5714285714</v>
      </c>
      <c r="CE138" s="1018"/>
      <c r="CF138" s="1018"/>
      <c r="CG138" s="1018"/>
      <c r="CH138" s="939">
        <f t="shared" si="60"/>
        <v>9781.4285714286</v>
      </c>
      <c r="CI138" s="1018"/>
    </row>
    <row r="139" s="974" customFormat="1" ht="31" customHeight="1" spans="1:87">
      <c r="A139" s="1228">
        <v>45824</v>
      </c>
      <c r="B139" s="1229" t="s">
        <v>761</v>
      </c>
      <c r="C139" s="1238" t="s">
        <v>632</v>
      </c>
      <c r="D139" s="1231">
        <v>4500170137</v>
      </c>
      <c r="E139" s="1229" t="s">
        <v>777</v>
      </c>
      <c r="F139" s="1231" t="s">
        <v>778</v>
      </c>
      <c r="G139" s="1004" t="s">
        <v>196</v>
      </c>
      <c r="H139" s="1004" t="s">
        <v>197</v>
      </c>
      <c r="I139" s="1004">
        <v>12</v>
      </c>
      <c r="J139" s="1004">
        <v>0</v>
      </c>
      <c r="K139" s="1004">
        <v>12</v>
      </c>
      <c r="L139" s="1232">
        <f t="shared" si="73"/>
        <v>1</v>
      </c>
      <c r="M139" s="1007">
        <v>45859</v>
      </c>
      <c r="N139" s="1007">
        <v>45855</v>
      </c>
      <c r="O139" s="1020"/>
      <c r="P139" s="1024" t="s">
        <v>86</v>
      </c>
      <c r="Q139" s="1004"/>
      <c r="R139" s="1009">
        <v>45821</v>
      </c>
      <c r="S139" s="1004" t="s">
        <v>88</v>
      </c>
      <c r="T139" s="1233" t="s">
        <v>764</v>
      </c>
      <c r="U139" s="1233"/>
      <c r="V139" s="1234" t="s">
        <v>775</v>
      </c>
      <c r="W139" s="1007" t="s">
        <v>731</v>
      </c>
      <c r="X139" s="1235">
        <v>4.0406</v>
      </c>
      <c r="Y139" s="1236">
        <f t="shared" si="65"/>
        <v>48.4872</v>
      </c>
      <c r="Z139" s="1236"/>
      <c r="AA139" s="1004" t="s">
        <v>776</v>
      </c>
      <c r="AB139" s="1004" t="s">
        <v>637</v>
      </c>
      <c r="AC139" s="1004" t="s">
        <v>93</v>
      </c>
      <c r="AD139" s="1023" t="s">
        <v>94</v>
      </c>
      <c r="AE139" s="1004"/>
      <c r="AF139" s="1022"/>
      <c r="AG139" s="1002">
        <f t="shared" si="66"/>
        <v>-12</v>
      </c>
      <c r="AH139" s="1237"/>
      <c r="AI139" s="1004"/>
      <c r="AJ139" s="1004"/>
      <c r="AK139" s="1004"/>
      <c r="AL139" s="1004">
        <f t="shared" si="67"/>
        <v>12</v>
      </c>
      <c r="AM139" s="1004"/>
      <c r="AP139" s="1004">
        <f t="shared" si="68"/>
        <v>24</v>
      </c>
      <c r="AQ139" s="1004"/>
      <c r="AS139" s="1004">
        <f t="shared" si="69"/>
        <v>24</v>
      </c>
      <c r="AT139" s="1004"/>
      <c r="AU139" s="1004"/>
      <c r="AV139" s="1004"/>
      <c r="BN139" s="974">
        <f t="shared" si="70"/>
        <v>12</v>
      </c>
      <c r="BO139" s="974">
        <f t="shared" si="71"/>
        <v>12</v>
      </c>
      <c r="BQ139" s="974">
        <f t="shared" si="72"/>
        <v>12</v>
      </c>
      <c r="BU139" s="939">
        <f t="shared" si="61"/>
        <v>12</v>
      </c>
      <c r="BV139" s="1222">
        <f t="shared" si="62"/>
        <v>2466623</v>
      </c>
      <c r="BW139" s="1018"/>
      <c r="BX139" s="1018"/>
      <c r="BY139" s="1018"/>
      <c r="BZ139" s="1018"/>
      <c r="CA139" s="856">
        <f t="shared" si="59"/>
        <v>353377</v>
      </c>
      <c r="CC139" s="964">
        <f t="shared" si="63"/>
        <v>0</v>
      </c>
      <c r="CD139" s="939">
        <f t="shared" si="64"/>
        <v>50218.5714285714</v>
      </c>
      <c r="CE139" s="1018"/>
      <c r="CF139" s="1018"/>
      <c r="CG139" s="1018"/>
      <c r="CH139" s="939">
        <f t="shared" si="60"/>
        <v>9781.4285714286</v>
      </c>
      <c r="CI139" s="1018"/>
    </row>
    <row r="140" s="974" customFormat="1" ht="31" customHeight="1" spans="1:87">
      <c r="A140" s="1228">
        <v>45824</v>
      </c>
      <c r="B140" s="1229" t="s">
        <v>761</v>
      </c>
      <c r="C140" s="1238" t="s">
        <v>632</v>
      </c>
      <c r="D140" s="1231">
        <v>4500170137</v>
      </c>
      <c r="E140" s="1229" t="s">
        <v>779</v>
      </c>
      <c r="F140" s="1231" t="s">
        <v>780</v>
      </c>
      <c r="G140" s="1004" t="s">
        <v>196</v>
      </c>
      <c r="H140" s="1004" t="s">
        <v>197</v>
      </c>
      <c r="I140" s="1004">
        <v>12</v>
      </c>
      <c r="J140" s="1004">
        <v>0</v>
      </c>
      <c r="K140" s="1004">
        <v>12</v>
      </c>
      <c r="L140" s="1232">
        <f t="shared" si="73"/>
        <v>1</v>
      </c>
      <c r="M140" s="1007">
        <v>45859</v>
      </c>
      <c r="N140" s="1007">
        <v>45855</v>
      </c>
      <c r="O140" s="1020"/>
      <c r="P140" s="1024" t="s">
        <v>86</v>
      </c>
      <c r="Q140" s="1004"/>
      <c r="R140" s="1009">
        <v>45821</v>
      </c>
      <c r="S140" s="1004" t="s">
        <v>88</v>
      </c>
      <c r="T140" s="1233" t="s">
        <v>764</v>
      </c>
      <c r="U140" s="1233"/>
      <c r="V140" s="1234" t="s">
        <v>775</v>
      </c>
      <c r="W140" s="1007" t="s">
        <v>731</v>
      </c>
      <c r="X140" s="1235">
        <v>4.0406</v>
      </c>
      <c r="Y140" s="1236">
        <f t="shared" si="65"/>
        <v>48.4872</v>
      </c>
      <c r="Z140" s="1236"/>
      <c r="AA140" s="1004" t="s">
        <v>776</v>
      </c>
      <c r="AB140" s="1004" t="s">
        <v>637</v>
      </c>
      <c r="AC140" s="1004" t="s">
        <v>93</v>
      </c>
      <c r="AD140" s="1023" t="s">
        <v>94</v>
      </c>
      <c r="AE140" s="1004"/>
      <c r="AF140" s="1022"/>
      <c r="AG140" s="1002">
        <f t="shared" si="66"/>
        <v>-12</v>
      </c>
      <c r="AH140" s="1237"/>
      <c r="AI140" s="1004"/>
      <c r="AJ140" s="1004"/>
      <c r="AK140" s="1004"/>
      <c r="AL140" s="1004">
        <f t="shared" si="67"/>
        <v>12</v>
      </c>
      <c r="AM140" s="1004"/>
      <c r="AP140" s="1004">
        <f t="shared" si="68"/>
        <v>24</v>
      </c>
      <c r="AQ140" s="1004"/>
      <c r="AS140" s="1004">
        <f t="shared" si="69"/>
        <v>24</v>
      </c>
      <c r="AT140" s="1004"/>
      <c r="AU140" s="1004"/>
      <c r="AV140" s="1004"/>
      <c r="BN140" s="974">
        <f t="shared" si="70"/>
        <v>12</v>
      </c>
      <c r="BO140" s="974">
        <f t="shared" si="71"/>
        <v>12</v>
      </c>
      <c r="BQ140" s="974">
        <f t="shared" si="72"/>
        <v>12</v>
      </c>
      <c r="BU140" s="939">
        <f t="shared" si="61"/>
        <v>12</v>
      </c>
      <c r="BV140" s="1222">
        <f t="shared" si="62"/>
        <v>2466635</v>
      </c>
      <c r="BW140" s="1018"/>
      <c r="BX140" s="1018"/>
      <c r="BY140" s="1018"/>
      <c r="BZ140" s="1018"/>
      <c r="CA140" s="856">
        <f t="shared" si="59"/>
        <v>353365</v>
      </c>
      <c r="CC140" s="964">
        <f t="shared" si="63"/>
        <v>0</v>
      </c>
      <c r="CD140" s="939">
        <f t="shared" si="64"/>
        <v>50218.5714285714</v>
      </c>
      <c r="CE140" s="1018"/>
      <c r="CF140" s="1018"/>
      <c r="CG140" s="1018"/>
      <c r="CH140" s="939">
        <f t="shared" si="60"/>
        <v>9781.4285714286</v>
      </c>
      <c r="CI140" s="1018"/>
    </row>
    <row r="141" s="974" customFormat="1" ht="31" customHeight="1" spans="1:87">
      <c r="A141" s="1228">
        <v>45824</v>
      </c>
      <c r="B141" s="1229" t="s">
        <v>761</v>
      </c>
      <c r="C141" s="1238" t="s">
        <v>632</v>
      </c>
      <c r="D141" s="1231">
        <v>4500170137</v>
      </c>
      <c r="E141" s="1229" t="s">
        <v>781</v>
      </c>
      <c r="F141" s="1231" t="s">
        <v>782</v>
      </c>
      <c r="G141" s="1004" t="s">
        <v>196</v>
      </c>
      <c r="H141" s="1004" t="s">
        <v>197</v>
      </c>
      <c r="I141" s="1004">
        <v>12</v>
      </c>
      <c r="J141" s="1004">
        <v>0</v>
      </c>
      <c r="K141" s="1004">
        <v>12</v>
      </c>
      <c r="L141" s="1232">
        <f t="shared" si="73"/>
        <v>1</v>
      </c>
      <c r="M141" s="1007">
        <v>45859</v>
      </c>
      <c r="N141" s="1007">
        <v>45855</v>
      </c>
      <c r="O141" s="1020"/>
      <c r="P141" s="1024" t="s">
        <v>86</v>
      </c>
      <c r="Q141" s="1004"/>
      <c r="R141" s="1009">
        <v>45821</v>
      </c>
      <c r="S141" s="1004" t="s">
        <v>88</v>
      </c>
      <c r="T141" s="1233" t="s">
        <v>764</v>
      </c>
      <c r="U141" s="1233"/>
      <c r="V141" s="1234" t="s">
        <v>775</v>
      </c>
      <c r="W141" s="1007" t="s">
        <v>731</v>
      </c>
      <c r="X141" s="1235">
        <v>4.0406</v>
      </c>
      <c r="Y141" s="1236">
        <f t="shared" si="65"/>
        <v>48.4872</v>
      </c>
      <c r="Z141" s="1236"/>
      <c r="AA141" s="1004" t="s">
        <v>776</v>
      </c>
      <c r="AB141" s="1004" t="s">
        <v>637</v>
      </c>
      <c r="AC141" s="1004" t="s">
        <v>93</v>
      </c>
      <c r="AD141" s="1023" t="s">
        <v>94</v>
      </c>
      <c r="AE141" s="1004"/>
      <c r="AF141" s="1022"/>
      <c r="AG141" s="1002">
        <f t="shared" si="66"/>
        <v>-12</v>
      </c>
      <c r="AH141" s="1237"/>
      <c r="AI141" s="1004"/>
      <c r="AJ141" s="1004"/>
      <c r="AK141" s="1004"/>
      <c r="AL141" s="1004">
        <f t="shared" si="67"/>
        <v>12</v>
      </c>
      <c r="AM141" s="1004"/>
      <c r="AP141" s="1004">
        <f t="shared" si="68"/>
        <v>24</v>
      </c>
      <c r="AQ141" s="1004"/>
      <c r="AS141" s="1004">
        <f t="shared" si="69"/>
        <v>24</v>
      </c>
      <c r="AT141" s="1004"/>
      <c r="AU141" s="1004"/>
      <c r="AV141" s="1004"/>
      <c r="BN141" s="974">
        <f t="shared" si="70"/>
        <v>12</v>
      </c>
      <c r="BO141" s="974">
        <f t="shared" si="71"/>
        <v>12</v>
      </c>
      <c r="BQ141" s="974">
        <f t="shared" si="72"/>
        <v>12</v>
      </c>
      <c r="BU141" s="939">
        <f t="shared" si="61"/>
        <v>12</v>
      </c>
      <c r="BV141" s="1222">
        <f t="shared" si="62"/>
        <v>2466647</v>
      </c>
      <c r="BW141" s="1018"/>
      <c r="BX141" s="1018"/>
      <c r="BY141" s="1018"/>
      <c r="BZ141" s="1018"/>
      <c r="CA141" s="856">
        <f t="shared" si="59"/>
        <v>353353</v>
      </c>
      <c r="CC141" s="964">
        <f t="shared" si="63"/>
        <v>0</v>
      </c>
      <c r="CD141" s="939">
        <f t="shared" si="64"/>
        <v>50218.5714285714</v>
      </c>
      <c r="CE141" s="1018"/>
      <c r="CF141" s="1018"/>
      <c r="CG141" s="1018"/>
      <c r="CH141" s="939">
        <f t="shared" si="60"/>
        <v>9781.4285714286</v>
      </c>
      <c r="CI141" s="1018"/>
    </row>
    <row r="142" s="974" customFormat="1" ht="31" customHeight="1" spans="1:87">
      <c r="A142" s="1228">
        <v>45824</v>
      </c>
      <c r="B142" s="1229" t="s">
        <v>761</v>
      </c>
      <c r="C142" s="1238" t="s">
        <v>632</v>
      </c>
      <c r="D142" s="1231">
        <v>4500170137</v>
      </c>
      <c r="E142" s="1229" t="s">
        <v>783</v>
      </c>
      <c r="F142" s="1231" t="s">
        <v>784</v>
      </c>
      <c r="G142" s="1004" t="s">
        <v>196</v>
      </c>
      <c r="H142" s="1004" t="s">
        <v>197</v>
      </c>
      <c r="I142" s="1004">
        <v>24</v>
      </c>
      <c r="J142" s="1004">
        <v>0</v>
      </c>
      <c r="K142" s="1004">
        <v>12</v>
      </c>
      <c r="L142" s="1232">
        <f t="shared" si="73"/>
        <v>2</v>
      </c>
      <c r="M142" s="1007">
        <v>45859</v>
      </c>
      <c r="N142" s="1007">
        <v>45855</v>
      </c>
      <c r="O142" s="1020"/>
      <c r="P142" s="1024" t="s">
        <v>86</v>
      </c>
      <c r="Q142" s="1004"/>
      <c r="R142" s="1009">
        <v>45821</v>
      </c>
      <c r="S142" s="1004" t="s">
        <v>88</v>
      </c>
      <c r="T142" s="1233" t="s">
        <v>764</v>
      </c>
      <c r="U142" s="1233"/>
      <c r="V142" s="1234" t="s">
        <v>775</v>
      </c>
      <c r="W142" s="1007" t="s">
        <v>731</v>
      </c>
      <c r="X142" s="1235">
        <v>4.0406</v>
      </c>
      <c r="Y142" s="1236">
        <f t="shared" si="65"/>
        <v>96.9744</v>
      </c>
      <c r="Z142" s="1236"/>
      <c r="AA142" s="1004" t="s">
        <v>776</v>
      </c>
      <c r="AB142" s="1004" t="s">
        <v>637</v>
      </c>
      <c r="AC142" s="1004" t="s">
        <v>93</v>
      </c>
      <c r="AD142" s="1023" t="s">
        <v>94</v>
      </c>
      <c r="AE142" s="1004"/>
      <c r="AF142" s="1002">
        <v>24</v>
      </c>
      <c r="AG142" s="1002">
        <f t="shared" si="66"/>
        <v>0</v>
      </c>
      <c r="AH142" s="1237"/>
      <c r="AI142" s="1004"/>
      <c r="AJ142" s="1004"/>
      <c r="AK142" s="1004"/>
      <c r="AL142" s="1004">
        <f t="shared" si="67"/>
        <v>24</v>
      </c>
      <c r="AM142" s="1004"/>
      <c r="AP142" s="1004">
        <f t="shared" si="68"/>
        <v>48</v>
      </c>
      <c r="AQ142" s="1004"/>
      <c r="AS142" s="1004">
        <f t="shared" si="69"/>
        <v>48</v>
      </c>
      <c r="AT142" s="1004"/>
      <c r="AU142" s="1004"/>
      <c r="AV142" s="1004"/>
      <c r="BN142" s="974">
        <f t="shared" si="70"/>
        <v>24</v>
      </c>
      <c r="BO142" s="974">
        <f t="shared" si="71"/>
        <v>24</v>
      </c>
      <c r="BQ142" s="974">
        <f t="shared" si="72"/>
        <v>24</v>
      </c>
      <c r="BU142" s="939">
        <f t="shared" si="61"/>
        <v>24</v>
      </c>
      <c r="BV142" s="1222">
        <f t="shared" si="62"/>
        <v>2466671</v>
      </c>
      <c r="BW142" s="1018"/>
      <c r="BX142" s="1018"/>
      <c r="BY142" s="1018"/>
      <c r="BZ142" s="1018"/>
      <c r="CA142" s="856">
        <f t="shared" si="59"/>
        <v>353329</v>
      </c>
      <c r="CC142" s="964">
        <f t="shared" si="63"/>
        <v>0</v>
      </c>
      <c r="CD142" s="939">
        <f t="shared" si="64"/>
        <v>50218.5714285714</v>
      </c>
      <c r="CE142" s="1018"/>
      <c r="CF142" s="1018"/>
      <c r="CG142" s="1018"/>
      <c r="CH142" s="939">
        <f t="shared" si="60"/>
        <v>9781.4285714286</v>
      </c>
      <c r="CI142" s="1018"/>
    </row>
    <row r="143" s="974" customFormat="1" ht="31" customHeight="1" spans="1:87">
      <c r="A143" s="1228">
        <v>45807</v>
      </c>
      <c r="B143" s="1229" t="s">
        <v>785</v>
      </c>
      <c r="C143" s="1238" t="s">
        <v>125</v>
      </c>
      <c r="D143" s="1231">
        <v>4500168600</v>
      </c>
      <c r="E143" s="1229" t="s">
        <v>786</v>
      </c>
      <c r="F143" s="1231" t="s">
        <v>787</v>
      </c>
      <c r="G143" s="1004" t="s">
        <v>213</v>
      </c>
      <c r="H143" s="1004" t="s">
        <v>189</v>
      </c>
      <c r="I143" s="1004">
        <v>1104</v>
      </c>
      <c r="J143" s="1004">
        <v>0</v>
      </c>
      <c r="K143" s="1004">
        <v>24</v>
      </c>
      <c r="L143" s="1232">
        <f t="shared" si="73"/>
        <v>46</v>
      </c>
      <c r="M143" s="1007">
        <v>45860</v>
      </c>
      <c r="N143" s="1007">
        <v>45856</v>
      </c>
      <c r="O143" s="1020"/>
      <c r="P143" s="1024" t="s">
        <v>86</v>
      </c>
      <c r="Q143" s="1004"/>
      <c r="R143" s="1009">
        <v>45807</v>
      </c>
      <c r="S143" s="1004" t="s">
        <v>88</v>
      </c>
      <c r="T143" s="1233">
        <v>45845</v>
      </c>
      <c r="U143" s="1233"/>
      <c r="V143" s="1234" t="s">
        <v>788</v>
      </c>
      <c r="W143" s="1007" t="s">
        <v>130</v>
      </c>
      <c r="X143" s="1235">
        <v>1.83</v>
      </c>
      <c r="Y143" s="1236">
        <f>X143*I143</f>
        <v>2020.32</v>
      </c>
      <c r="Z143" s="1236"/>
      <c r="AA143" s="1004" t="s">
        <v>789</v>
      </c>
      <c r="AB143" s="1004" t="s">
        <v>213</v>
      </c>
      <c r="AC143" s="1004" t="s">
        <v>93</v>
      </c>
      <c r="AD143" s="1023" t="s">
        <v>94</v>
      </c>
      <c r="AE143" s="1004"/>
      <c r="AF143" s="1002">
        <f>1080+24</f>
        <v>1104</v>
      </c>
      <c r="AG143" s="1002">
        <f t="shared" si="66"/>
        <v>0</v>
      </c>
      <c r="AH143" s="1237"/>
      <c r="AI143" s="1004"/>
      <c r="AJ143" s="1004"/>
      <c r="AK143" s="1004">
        <f>I143</f>
        <v>1104</v>
      </c>
      <c r="AL143" s="1004"/>
      <c r="AM143" s="1004">
        <f>I143</f>
        <v>1104</v>
      </c>
      <c r="AP143" s="1004"/>
      <c r="AQ143" s="1004"/>
      <c r="AS143" s="1004">
        <f>I143</f>
        <v>1104</v>
      </c>
      <c r="AT143" s="1004"/>
      <c r="AU143" s="1004"/>
      <c r="AV143" s="1004"/>
      <c r="BU143" s="939">
        <f t="shared" si="61"/>
        <v>1104</v>
      </c>
      <c r="BV143" s="1222">
        <f t="shared" si="62"/>
        <v>2467775</v>
      </c>
      <c r="BW143" s="1018"/>
      <c r="BX143" s="1018"/>
      <c r="BY143" s="1018"/>
      <c r="BZ143" s="1018"/>
      <c r="CA143" s="856">
        <f t="shared" si="59"/>
        <v>352225</v>
      </c>
      <c r="CC143" s="964">
        <f t="shared" si="63"/>
        <v>0</v>
      </c>
      <c r="CD143" s="939">
        <f t="shared" si="64"/>
        <v>50218.5714285714</v>
      </c>
      <c r="CE143" s="1018"/>
      <c r="CF143" s="1018"/>
      <c r="CG143" s="1018"/>
      <c r="CH143" s="939">
        <f t="shared" si="60"/>
        <v>9781.4285714286</v>
      </c>
      <c r="CI143" s="1018"/>
    </row>
    <row r="144" s="974" customFormat="1" ht="31" customHeight="1" spans="1:87">
      <c r="A144" s="1228">
        <v>45818</v>
      </c>
      <c r="B144" s="1229" t="s">
        <v>227</v>
      </c>
      <c r="C144" s="1238" t="s">
        <v>228</v>
      </c>
      <c r="D144" s="1231">
        <v>4500169604</v>
      </c>
      <c r="E144" s="1229"/>
      <c r="F144" s="1231" t="s">
        <v>790</v>
      </c>
      <c r="G144" s="1004" t="s">
        <v>205</v>
      </c>
      <c r="H144" s="1004" t="s">
        <v>189</v>
      </c>
      <c r="I144" s="1004">
        <v>200</v>
      </c>
      <c r="J144" s="1004">
        <v>0</v>
      </c>
      <c r="K144" s="1004">
        <v>50</v>
      </c>
      <c r="L144" s="1232">
        <f t="shared" si="73"/>
        <v>4</v>
      </c>
      <c r="M144" s="1007">
        <v>45863</v>
      </c>
      <c r="N144" s="1007">
        <v>45859</v>
      </c>
      <c r="O144" s="1020"/>
      <c r="P144" s="1024" t="s">
        <v>86</v>
      </c>
      <c r="Q144" s="1004"/>
      <c r="R144" s="1009">
        <v>45832</v>
      </c>
      <c r="S144" s="1004" t="s">
        <v>98</v>
      </c>
      <c r="T144" s="1233">
        <v>45832</v>
      </c>
      <c r="U144" s="1233"/>
      <c r="V144" s="1234" t="s">
        <v>791</v>
      </c>
      <c r="W144" s="1007" t="s">
        <v>225</v>
      </c>
      <c r="X144" s="1235">
        <v>1.9438</v>
      </c>
      <c r="Y144" s="1236">
        <f>I144*X144</f>
        <v>388.76</v>
      </c>
      <c r="Z144" s="1236"/>
      <c r="AA144" s="1242" t="s">
        <v>792</v>
      </c>
      <c r="AB144" s="1004" t="s">
        <v>210</v>
      </c>
      <c r="AC144" s="1004" t="s">
        <v>93</v>
      </c>
      <c r="AD144" s="1023" t="s">
        <v>94</v>
      </c>
      <c r="AE144" s="1004"/>
      <c r="AF144" s="1002">
        <v>200</v>
      </c>
      <c r="AG144" s="1002">
        <f t="shared" si="66"/>
        <v>0</v>
      </c>
      <c r="AH144" s="1237"/>
      <c r="AI144" s="1004" t="s">
        <v>95</v>
      </c>
      <c r="AJ144" s="1004"/>
      <c r="AK144" s="1004">
        <f>I144</f>
        <v>200</v>
      </c>
      <c r="AL144" s="1004"/>
      <c r="AM144" s="1004"/>
      <c r="AP144" s="1004">
        <f>I144</f>
        <v>200</v>
      </c>
      <c r="AQ144" s="1004"/>
      <c r="AS144" s="1004">
        <f>I144</f>
        <v>200</v>
      </c>
      <c r="AT144" s="1004"/>
      <c r="AU144" s="1004"/>
      <c r="AV144" s="1004"/>
      <c r="BF144" s="974">
        <f>I144/25</f>
        <v>8</v>
      </c>
      <c r="BU144" s="939">
        <f t="shared" si="61"/>
        <v>200</v>
      </c>
      <c r="BV144" s="1222">
        <f t="shared" si="62"/>
        <v>2467975</v>
      </c>
      <c r="BW144" s="1018"/>
      <c r="BX144" s="1018"/>
      <c r="BY144" s="1018"/>
      <c r="BZ144" s="1018"/>
      <c r="CA144" s="856">
        <f t="shared" si="59"/>
        <v>352025</v>
      </c>
      <c r="CC144" s="964">
        <f t="shared" si="63"/>
        <v>8</v>
      </c>
      <c r="CD144" s="939">
        <f t="shared" si="64"/>
        <v>50226.5714285714</v>
      </c>
      <c r="CE144" s="1018"/>
      <c r="CF144" s="1018"/>
      <c r="CG144" s="1018"/>
      <c r="CH144" s="939">
        <f t="shared" si="60"/>
        <v>9773.4285714286</v>
      </c>
      <c r="CI144" s="1018"/>
    </row>
    <row r="145" s="974" customFormat="1" ht="31" customHeight="1" spans="1:87">
      <c r="A145" s="1228">
        <v>45789</v>
      </c>
      <c r="B145" s="1229" t="s">
        <v>430</v>
      </c>
      <c r="C145" s="1238" t="s">
        <v>81</v>
      </c>
      <c r="D145" s="1231">
        <v>4500165982</v>
      </c>
      <c r="E145" s="1229" t="s">
        <v>793</v>
      </c>
      <c r="F145" s="1231" t="s">
        <v>794</v>
      </c>
      <c r="G145" s="1004" t="s">
        <v>205</v>
      </c>
      <c r="H145" s="1004" t="s">
        <v>189</v>
      </c>
      <c r="I145" s="1004">
        <v>5400</v>
      </c>
      <c r="J145" s="1004">
        <v>0</v>
      </c>
      <c r="K145" s="1004">
        <v>50</v>
      </c>
      <c r="L145" s="1232">
        <f t="shared" si="73"/>
        <v>108</v>
      </c>
      <c r="M145" s="1007">
        <v>45863</v>
      </c>
      <c r="N145" s="1007">
        <v>45859</v>
      </c>
      <c r="O145" s="1020"/>
      <c r="P145" s="1024" t="s">
        <v>86</v>
      </c>
      <c r="Q145" s="1004"/>
      <c r="R145" s="1009">
        <v>45840</v>
      </c>
      <c r="S145" s="1004" t="s">
        <v>98</v>
      </c>
      <c r="T145" s="1233">
        <v>45828</v>
      </c>
      <c r="U145" s="1233"/>
      <c r="V145" s="1234" t="s">
        <v>795</v>
      </c>
      <c r="W145" s="1007" t="s">
        <v>796</v>
      </c>
      <c r="X145" s="1235">
        <v>1.949</v>
      </c>
      <c r="Y145" s="1236">
        <f>I145*X145</f>
        <v>10524.6</v>
      </c>
      <c r="Z145" s="1236"/>
      <c r="AA145" s="1004" t="s">
        <v>797</v>
      </c>
      <c r="AB145" s="1004" t="s">
        <v>210</v>
      </c>
      <c r="AC145" s="1004" t="s">
        <v>93</v>
      </c>
      <c r="AD145" s="1023" t="s">
        <v>94</v>
      </c>
      <c r="AE145" s="1004"/>
      <c r="AF145" s="1002">
        <f>50+5350</f>
        <v>5400</v>
      </c>
      <c r="AG145" s="1002">
        <f t="shared" si="66"/>
        <v>0</v>
      </c>
      <c r="AH145" s="1237"/>
      <c r="AI145" s="1004"/>
      <c r="AJ145" s="1004"/>
      <c r="AK145" s="1004">
        <f>I145</f>
        <v>5400</v>
      </c>
      <c r="AL145" s="1004"/>
      <c r="AM145" s="1004"/>
      <c r="AP145" s="1004">
        <f>I145</f>
        <v>5400</v>
      </c>
      <c r="AQ145" s="1004"/>
      <c r="AS145" s="1004">
        <f>I145</f>
        <v>5400</v>
      </c>
      <c r="AT145" s="1004"/>
      <c r="AU145" s="1004"/>
      <c r="AV145" s="1004"/>
      <c r="BF145" s="974">
        <f>I145/25</f>
        <v>216</v>
      </c>
      <c r="BU145" s="939">
        <f t="shared" si="61"/>
        <v>5400</v>
      </c>
      <c r="BV145" s="1222">
        <f t="shared" si="62"/>
        <v>2473375</v>
      </c>
      <c r="BW145" s="1018"/>
      <c r="BX145" s="1018"/>
      <c r="BY145" s="1018"/>
      <c r="BZ145" s="1018"/>
      <c r="CA145" s="856">
        <f t="shared" si="59"/>
        <v>346625</v>
      </c>
      <c r="CC145" s="964">
        <f t="shared" si="63"/>
        <v>216</v>
      </c>
      <c r="CD145" s="939">
        <f t="shared" si="64"/>
        <v>50442.5714285714</v>
      </c>
      <c r="CE145" s="1018"/>
      <c r="CF145" s="1018"/>
      <c r="CG145" s="1018"/>
      <c r="CH145" s="939">
        <f t="shared" si="60"/>
        <v>9557.4285714286</v>
      </c>
      <c r="CI145" s="1018"/>
    </row>
    <row r="146" s="974" customFormat="1" ht="31" customHeight="1" spans="1:87">
      <c r="A146" s="1228">
        <v>45775</v>
      </c>
      <c r="B146" s="1229" t="s">
        <v>430</v>
      </c>
      <c r="C146" s="1238" t="s">
        <v>81</v>
      </c>
      <c r="D146" s="1231">
        <v>4500164920</v>
      </c>
      <c r="E146" s="1229">
        <v>61963726</v>
      </c>
      <c r="F146" s="1231" t="s">
        <v>798</v>
      </c>
      <c r="G146" s="1004" t="s">
        <v>205</v>
      </c>
      <c r="H146" s="1004" t="s">
        <v>189</v>
      </c>
      <c r="I146" s="1004">
        <v>400</v>
      </c>
      <c r="J146" s="1004">
        <v>0</v>
      </c>
      <c r="K146" s="1004">
        <v>50</v>
      </c>
      <c r="L146" s="1232">
        <f t="shared" si="73"/>
        <v>8</v>
      </c>
      <c r="M146" s="1007">
        <v>45863</v>
      </c>
      <c r="N146" s="1007">
        <v>45859</v>
      </c>
      <c r="O146" s="1020"/>
      <c r="P146" s="1024" t="s">
        <v>86</v>
      </c>
      <c r="Q146" s="1004"/>
      <c r="R146" s="1009">
        <v>45812</v>
      </c>
      <c r="S146" s="1004" t="s">
        <v>98</v>
      </c>
      <c r="T146" s="1233">
        <v>45828</v>
      </c>
      <c r="U146" s="1233"/>
      <c r="V146" s="1234" t="s">
        <v>799</v>
      </c>
      <c r="W146" s="1007" t="s">
        <v>225</v>
      </c>
      <c r="X146" s="1235">
        <v>1.9605</v>
      </c>
      <c r="Y146" s="1236">
        <f>I146*X146</f>
        <v>784.2</v>
      </c>
      <c r="Z146" s="1236"/>
      <c r="AA146" s="1004" t="s">
        <v>800</v>
      </c>
      <c r="AB146" s="1004" t="s">
        <v>210</v>
      </c>
      <c r="AC146" s="1004" t="s">
        <v>93</v>
      </c>
      <c r="AD146" s="1023" t="s">
        <v>94</v>
      </c>
      <c r="AE146" s="1004"/>
      <c r="AF146" s="1002">
        <v>400</v>
      </c>
      <c r="AG146" s="1002">
        <f t="shared" si="66"/>
        <v>0</v>
      </c>
      <c r="AH146" s="1237"/>
      <c r="AI146" s="1004"/>
      <c r="AJ146" s="1004"/>
      <c r="AK146" s="1004">
        <f>I146</f>
        <v>400</v>
      </c>
      <c r="AL146" s="1004"/>
      <c r="AM146" s="1004"/>
      <c r="AP146" s="1004">
        <f>I146</f>
        <v>400</v>
      </c>
      <c r="AQ146" s="1004"/>
      <c r="AS146" s="1004">
        <f>I146</f>
        <v>400</v>
      </c>
      <c r="AT146" s="1004"/>
      <c r="AU146" s="1004"/>
      <c r="AV146" s="1004"/>
      <c r="BF146" s="974">
        <f>I146/25</f>
        <v>16</v>
      </c>
      <c r="BU146" s="939">
        <f t="shared" si="61"/>
        <v>400</v>
      </c>
      <c r="BV146" s="1222">
        <f t="shared" si="62"/>
        <v>2473775</v>
      </c>
      <c r="BW146" s="1018"/>
      <c r="BX146" s="1018"/>
      <c r="BY146" s="1018"/>
      <c r="BZ146" s="1018"/>
      <c r="CA146" s="856">
        <f t="shared" si="59"/>
        <v>346225</v>
      </c>
      <c r="CC146" s="964">
        <f t="shared" si="63"/>
        <v>16</v>
      </c>
      <c r="CD146" s="939">
        <f t="shared" si="64"/>
        <v>50458.5714285714</v>
      </c>
      <c r="CE146" s="1018"/>
      <c r="CF146" s="1018"/>
      <c r="CG146" s="1018"/>
      <c r="CH146" s="939">
        <f t="shared" si="60"/>
        <v>9541.4285714286</v>
      </c>
      <c r="CI146" s="1018"/>
    </row>
    <row r="147" s="974" customFormat="1" ht="31" customHeight="1" spans="1:87">
      <c r="A147" s="1228">
        <v>45811</v>
      </c>
      <c r="B147" s="1229" t="s">
        <v>785</v>
      </c>
      <c r="C147" s="1238" t="s">
        <v>125</v>
      </c>
      <c r="D147" s="1231">
        <v>4500168775</v>
      </c>
      <c r="E147" s="1229"/>
      <c r="F147" s="1231" t="s">
        <v>801</v>
      </c>
      <c r="G147" s="1004" t="s">
        <v>213</v>
      </c>
      <c r="H147" s="1004" t="s">
        <v>189</v>
      </c>
      <c r="I147" s="1004">
        <v>24</v>
      </c>
      <c r="J147" s="1004">
        <v>0</v>
      </c>
      <c r="K147" s="1004">
        <v>24</v>
      </c>
      <c r="L147" s="1232">
        <f t="shared" si="73"/>
        <v>1</v>
      </c>
      <c r="M147" s="1007">
        <v>45866</v>
      </c>
      <c r="N147" s="1007">
        <v>45862</v>
      </c>
      <c r="O147" s="1020"/>
      <c r="P147" s="1024" t="s">
        <v>86</v>
      </c>
      <c r="Q147" s="1004"/>
      <c r="R147" s="1009">
        <v>45807</v>
      </c>
      <c r="S147" s="1004" t="s">
        <v>88</v>
      </c>
      <c r="T147" s="1233">
        <v>45845</v>
      </c>
      <c r="U147" s="1233"/>
      <c r="V147" s="1234" t="s">
        <v>788</v>
      </c>
      <c r="W147" s="1007" t="s">
        <v>130</v>
      </c>
      <c r="X147" s="1235">
        <v>1.8342</v>
      </c>
      <c r="Y147" s="1236">
        <f t="shared" ref="Y147:Y162" si="74">X147*I147</f>
        <v>44.0208</v>
      </c>
      <c r="Z147" s="1236"/>
      <c r="AA147" s="1004" t="s">
        <v>802</v>
      </c>
      <c r="AB147" s="1004" t="s">
        <v>213</v>
      </c>
      <c r="AC147" s="1004" t="s">
        <v>93</v>
      </c>
      <c r="AD147" s="1023" t="s">
        <v>94</v>
      </c>
      <c r="AE147" s="1004"/>
      <c r="AF147" s="1002">
        <v>24</v>
      </c>
      <c r="AG147" s="1002">
        <f t="shared" si="66"/>
        <v>0</v>
      </c>
      <c r="AH147" s="1237"/>
      <c r="AI147" s="1004" t="s">
        <v>95</v>
      </c>
      <c r="AJ147" s="1004"/>
      <c r="AK147" s="1004">
        <f>I147</f>
        <v>24</v>
      </c>
      <c r="AL147" s="1004"/>
      <c r="AM147" s="1004">
        <f>I147</f>
        <v>24</v>
      </c>
      <c r="AP147" s="1004"/>
      <c r="AQ147" s="1004"/>
      <c r="AS147" s="1004">
        <f>I147</f>
        <v>24</v>
      </c>
      <c r="AT147" s="1004"/>
      <c r="AU147" s="1004"/>
      <c r="AV147" s="1004"/>
      <c r="BU147" s="939">
        <f t="shared" si="61"/>
        <v>24</v>
      </c>
      <c r="BV147" s="1222">
        <f t="shared" si="62"/>
        <v>2473799</v>
      </c>
      <c r="BW147" s="1018"/>
      <c r="BX147" s="1018"/>
      <c r="BY147" s="1018"/>
      <c r="BZ147" s="1018"/>
      <c r="CA147" s="856">
        <f t="shared" si="59"/>
        <v>346201</v>
      </c>
      <c r="CC147" s="964">
        <f t="shared" si="63"/>
        <v>0</v>
      </c>
      <c r="CD147" s="939">
        <f t="shared" si="64"/>
        <v>50458.5714285714</v>
      </c>
      <c r="CE147" s="1018"/>
      <c r="CF147" s="1018"/>
      <c r="CG147" s="1018"/>
      <c r="CH147" s="939">
        <f t="shared" si="60"/>
        <v>9541.4285714286</v>
      </c>
      <c r="CI147" s="1018"/>
    </row>
    <row r="148" s="974" customFormat="1" ht="31" customHeight="1" spans="1:87">
      <c r="A148" s="1228">
        <v>45838</v>
      </c>
      <c r="B148" s="1229" t="s">
        <v>314</v>
      </c>
      <c r="C148" s="1238" t="s">
        <v>125</v>
      </c>
      <c r="D148" s="1231">
        <v>4500171922</v>
      </c>
      <c r="E148" s="1229" t="s">
        <v>803</v>
      </c>
      <c r="F148" s="1231" t="s">
        <v>804</v>
      </c>
      <c r="G148" s="1004" t="s">
        <v>196</v>
      </c>
      <c r="H148" s="1004" t="s">
        <v>197</v>
      </c>
      <c r="I148" s="1004">
        <v>600</v>
      </c>
      <c r="J148" s="1004">
        <v>0</v>
      </c>
      <c r="K148" s="1004">
        <v>12</v>
      </c>
      <c r="L148" s="1232">
        <f t="shared" si="73"/>
        <v>50</v>
      </c>
      <c r="M148" s="1007">
        <v>45870</v>
      </c>
      <c r="N148" s="1007">
        <f t="shared" ref="N148:N157" si="75">M148-4</f>
        <v>45866</v>
      </c>
      <c r="O148" s="1020"/>
      <c r="P148" s="1024" t="s">
        <v>86</v>
      </c>
      <c r="Q148" s="1004"/>
      <c r="R148" s="1009">
        <v>45840</v>
      </c>
      <c r="S148" s="1004" t="s">
        <v>98</v>
      </c>
      <c r="T148" s="1233" t="s">
        <v>805</v>
      </c>
      <c r="U148" s="1233"/>
      <c r="V148" s="1234" t="s">
        <v>806</v>
      </c>
      <c r="W148" s="1007" t="s">
        <v>319</v>
      </c>
      <c r="X148" s="1235">
        <v>2.4244</v>
      </c>
      <c r="Y148" s="1236">
        <f t="shared" si="74"/>
        <v>1454.64</v>
      </c>
      <c r="Z148" s="1236"/>
      <c r="AA148" s="1004" t="s">
        <v>807</v>
      </c>
      <c r="AB148" s="1243" t="s">
        <v>808</v>
      </c>
      <c r="AC148" s="1004" t="s">
        <v>93</v>
      </c>
      <c r="AD148" s="1023" t="s">
        <v>94</v>
      </c>
      <c r="AE148" s="1004"/>
      <c r="AF148" s="1002">
        <v>600</v>
      </c>
      <c r="AG148" s="1002">
        <f t="shared" si="66"/>
        <v>0</v>
      </c>
      <c r="AH148" s="1237"/>
      <c r="AI148" s="1004" t="s">
        <v>95</v>
      </c>
      <c r="AJ148" s="1004"/>
      <c r="AK148" s="1004"/>
      <c r="AL148" s="307">
        <f>I148</f>
        <v>600</v>
      </c>
      <c r="AM148" s="1004"/>
      <c r="AO148" s="964">
        <f>I148*2</f>
        <v>1200</v>
      </c>
      <c r="AP148" s="1004"/>
      <c r="AQ148" s="1004"/>
      <c r="AS148" s="307">
        <f t="shared" ref="AS148:AS157" si="76">I148*2</f>
        <v>1200</v>
      </c>
      <c r="AT148" s="1004"/>
      <c r="AU148" s="1004"/>
      <c r="AV148" s="1004"/>
      <c r="BN148" s="964">
        <f t="shared" ref="BN148:BN157" si="77">I148</f>
        <v>600</v>
      </c>
      <c r="BO148" s="964">
        <f t="shared" ref="BO148:BO157" si="78">I148</f>
        <v>600</v>
      </c>
      <c r="BQ148" s="964">
        <f t="shared" ref="BQ148:BQ157" si="79">I148</f>
        <v>600</v>
      </c>
      <c r="BU148" s="939">
        <f t="shared" si="61"/>
        <v>600</v>
      </c>
      <c r="BV148" s="1222">
        <f t="shared" si="62"/>
        <v>2474399</v>
      </c>
      <c r="BW148" s="1018"/>
      <c r="BX148" s="1018"/>
      <c r="BY148" s="1018"/>
      <c r="BZ148" s="1018"/>
      <c r="CA148" s="856">
        <f t="shared" si="59"/>
        <v>345601</v>
      </c>
      <c r="CC148" s="964">
        <f t="shared" si="63"/>
        <v>0</v>
      </c>
      <c r="CD148" s="939">
        <f t="shared" si="64"/>
        <v>50458.5714285714</v>
      </c>
      <c r="CE148" s="1018"/>
      <c r="CF148" s="1018"/>
      <c r="CG148" s="1018"/>
      <c r="CH148" s="939">
        <f t="shared" si="60"/>
        <v>9541.4285714286</v>
      </c>
      <c r="CI148" s="1018"/>
    </row>
    <row r="149" s="974" customFormat="1" ht="31" customHeight="1" spans="1:87">
      <c r="A149" s="1228">
        <v>45838</v>
      </c>
      <c r="B149" s="1229" t="s">
        <v>314</v>
      </c>
      <c r="C149" s="1238" t="s">
        <v>125</v>
      </c>
      <c r="D149" s="1231">
        <v>4500171921</v>
      </c>
      <c r="E149" s="1229" t="s">
        <v>809</v>
      </c>
      <c r="F149" s="1231" t="s">
        <v>810</v>
      </c>
      <c r="G149" s="1004" t="s">
        <v>196</v>
      </c>
      <c r="H149" s="1004" t="s">
        <v>197</v>
      </c>
      <c r="I149" s="1004">
        <v>1800</v>
      </c>
      <c r="J149" s="1004">
        <v>0</v>
      </c>
      <c r="K149" s="1004">
        <v>12</v>
      </c>
      <c r="L149" s="1232">
        <f t="shared" si="73"/>
        <v>150</v>
      </c>
      <c r="M149" s="1007">
        <v>45870</v>
      </c>
      <c r="N149" s="1007">
        <f t="shared" si="75"/>
        <v>45866</v>
      </c>
      <c r="O149" s="1020"/>
      <c r="P149" s="1024" t="s">
        <v>86</v>
      </c>
      <c r="Q149" s="1004"/>
      <c r="R149" s="1009">
        <v>45840</v>
      </c>
      <c r="S149" s="1004" t="s">
        <v>98</v>
      </c>
      <c r="T149" s="1233" t="s">
        <v>805</v>
      </c>
      <c r="U149" s="1233"/>
      <c r="V149" s="1234" t="s">
        <v>806</v>
      </c>
      <c r="W149" s="1007" t="s">
        <v>319</v>
      </c>
      <c r="X149" s="1235">
        <v>2.4015</v>
      </c>
      <c r="Y149" s="1236">
        <f t="shared" si="74"/>
        <v>4322.7</v>
      </c>
      <c r="Z149" s="1236"/>
      <c r="AA149" s="1004" t="s">
        <v>811</v>
      </c>
      <c r="AB149" s="1243" t="s">
        <v>808</v>
      </c>
      <c r="AC149" s="1004" t="s">
        <v>93</v>
      </c>
      <c r="AD149" s="1023" t="s">
        <v>94</v>
      </c>
      <c r="AE149" s="1004"/>
      <c r="AF149" s="1002">
        <v>1800</v>
      </c>
      <c r="AG149" s="1002">
        <f t="shared" si="66"/>
        <v>0</v>
      </c>
      <c r="AH149" s="1237"/>
      <c r="AI149" s="1004" t="s">
        <v>95</v>
      </c>
      <c r="AJ149" s="1004"/>
      <c r="AK149" s="1004"/>
      <c r="AL149" s="307">
        <f t="shared" ref="AL149:AL157" si="80">I149</f>
        <v>1800</v>
      </c>
      <c r="AM149" s="1004"/>
      <c r="AO149" s="964">
        <f t="shared" ref="AO149:AO157" si="81">I149*2</f>
        <v>3600</v>
      </c>
      <c r="AP149" s="1004"/>
      <c r="AQ149" s="1004"/>
      <c r="AS149" s="307">
        <f t="shared" si="76"/>
        <v>3600</v>
      </c>
      <c r="AT149" s="1004"/>
      <c r="AU149" s="1004"/>
      <c r="AV149" s="1004"/>
      <c r="BN149" s="964">
        <f t="shared" si="77"/>
        <v>1800</v>
      </c>
      <c r="BO149" s="964">
        <f t="shared" si="78"/>
        <v>1800</v>
      </c>
      <c r="BQ149" s="964">
        <f t="shared" si="79"/>
        <v>1800</v>
      </c>
      <c r="BU149" s="939">
        <f t="shared" si="61"/>
        <v>1800</v>
      </c>
      <c r="BV149" s="1222">
        <f t="shared" si="62"/>
        <v>2476199</v>
      </c>
      <c r="BW149" s="1018"/>
      <c r="BX149" s="1018"/>
      <c r="BY149" s="1018"/>
      <c r="BZ149" s="1018"/>
      <c r="CA149" s="856">
        <f t="shared" si="59"/>
        <v>343801</v>
      </c>
      <c r="CC149" s="964">
        <f t="shared" si="63"/>
        <v>0</v>
      </c>
      <c r="CD149" s="939">
        <f t="shared" si="64"/>
        <v>50458.5714285714</v>
      </c>
      <c r="CE149" s="1018"/>
      <c r="CF149" s="1018"/>
      <c r="CG149" s="1018"/>
      <c r="CH149" s="939">
        <f t="shared" si="60"/>
        <v>9541.4285714286</v>
      </c>
      <c r="CI149" s="1018"/>
    </row>
    <row r="150" s="974" customFormat="1" ht="31" customHeight="1" spans="1:87">
      <c r="A150" s="1228">
        <v>45838</v>
      </c>
      <c r="B150" s="1229" t="s">
        <v>314</v>
      </c>
      <c r="C150" s="1238" t="s">
        <v>125</v>
      </c>
      <c r="D150" s="1231">
        <v>4500171924</v>
      </c>
      <c r="E150" s="1229" t="s">
        <v>812</v>
      </c>
      <c r="F150" s="1231" t="s">
        <v>813</v>
      </c>
      <c r="G150" s="1004" t="s">
        <v>196</v>
      </c>
      <c r="H150" s="1004" t="s">
        <v>197</v>
      </c>
      <c r="I150" s="1004">
        <v>1200</v>
      </c>
      <c r="J150" s="1004">
        <v>0</v>
      </c>
      <c r="K150" s="1004">
        <v>12</v>
      </c>
      <c r="L150" s="1232">
        <f t="shared" si="73"/>
        <v>100</v>
      </c>
      <c r="M150" s="1007">
        <v>45870</v>
      </c>
      <c r="N150" s="1007">
        <f t="shared" si="75"/>
        <v>45866</v>
      </c>
      <c r="O150" s="1020"/>
      <c r="P150" s="1024" t="s">
        <v>86</v>
      </c>
      <c r="Q150" s="1004"/>
      <c r="R150" s="1009">
        <v>45840</v>
      </c>
      <c r="S150" s="1004" t="s">
        <v>98</v>
      </c>
      <c r="T150" s="1233" t="s">
        <v>805</v>
      </c>
      <c r="U150" s="1233"/>
      <c r="V150" s="1234" t="s">
        <v>806</v>
      </c>
      <c r="W150" s="1007" t="s">
        <v>319</v>
      </c>
      <c r="X150" s="1235">
        <v>2.4244</v>
      </c>
      <c r="Y150" s="1236">
        <f t="shared" si="74"/>
        <v>2909.28</v>
      </c>
      <c r="Z150" s="1236"/>
      <c r="AA150" s="1244" t="s">
        <v>814</v>
      </c>
      <c r="AB150" s="1243" t="s">
        <v>808</v>
      </c>
      <c r="AC150" s="1004" t="s">
        <v>93</v>
      </c>
      <c r="AD150" s="1023" t="s">
        <v>94</v>
      </c>
      <c r="AE150" s="1004"/>
      <c r="AF150" s="1002">
        <v>1200</v>
      </c>
      <c r="AG150" s="1002">
        <f t="shared" si="66"/>
        <v>0</v>
      </c>
      <c r="AH150" s="1237"/>
      <c r="AI150" s="1004" t="s">
        <v>95</v>
      </c>
      <c r="AJ150" s="1004"/>
      <c r="AK150" s="1004"/>
      <c r="AL150" s="307">
        <f t="shared" si="80"/>
        <v>1200</v>
      </c>
      <c r="AM150" s="1004"/>
      <c r="AO150" s="964">
        <f t="shared" si="81"/>
        <v>2400</v>
      </c>
      <c r="AP150" s="1004"/>
      <c r="AQ150" s="1004"/>
      <c r="AS150" s="307">
        <f t="shared" si="76"/>
        <v>2400</v>
      </c>
      <c r="AT150" s="1004"/>
      <c r="AU150" s="1004"/>
      <c r="AV150" s="1004"/>
      <c r="BN150" s="964">
        <f t="shared" si="77"/>
        <v>1200</v>
      </c>
      <c r="BO150" s="964">
        <f t="shared" si="78"/>
        <v>1200</v>
      </c>
      <c r="BQ150" s="964">
        <f t="shared" si="79"/>
        <v>1200</v>
      </c>
      <c r="BU150" s="939">
        <f t="shared" si="61"/>
        <v>1200</v>
      </c>
      <c r="BV150" s="1222">
        <f t="shared" si="62"/>
        <v>2477399</v>
      </c>
      <c r="BW150" s="1018"/>
      <c r="BX150" s="1018"/>
      <c r="BY150" s="1018"/>
      <c r="BZ150" s="1018"/>
      <c r="CA150" s="856">
        <f t="shared" si="59"/>
        <v>342601</v>
      </c>
      <c r="CC150" s="964">
        <f t="shared" si="63"/>
        <v>0</v>
      </c>
      <c r="CD150" s="939">
        <f t="shared" si="64"/>
        <v>50458.5714285714</v>
      </c>
      <c r="CE150" s="1018"/>
      <c r="CF150" s="1018"/>
      <c r="CG150" s="1018"/>
      <c r="CH150" s="939">
        <f t="shared" si="60"/>
        <v>9541.4285714286</v>
      </c>
      <c r="CI150" s="1018"/>
    </row>
    <row r="151" s="974" customFormat="1" ht="31" customHeight="1" spans="1:87">
      <c r="A151" s="1228">
        <v>45838</v>
      </c>
      <c r="B151" s="1229" t="s">
        <v>314</v>
      </c>
      <c r="C151" s="1238" t="s">
        <v>125</v>
      </c>
      <c r="D151" s="1231">
        <v>4500171907</v>
      </c>
      <c r="E151" s="1229" t="s">
        <v>815</v>
      </c>
      <c r="F151" s="1231" t="s">
        <v>816</v>
      </c>
      <c r="G151" s="1004" t="s">
        <v>196</v>
      </c>
      <c r="H151" s="1004" t="s">
        <v>197</v>
      </c>
      <c r="I151" s="1004">
        <v>1596</v>
      </c>
      <c r="J151" s="1004">
        <v>0</v>
      </c>
      <c r="K151" s="1004">
        <v>12</v>
      </c>
      <c r="L151" s="1232">
        <f t="shared" si="73"/>
        <v>133</v>
      </c>
      <c r="M151" s="1007">
        <v>45870</v>
      </c>
      <c r="N151" s="1007">
        <f t="shared" si="75"/>
        <v>45866</v>
      </c>
      <c r="O151" s="1020"/>
      <c r="P151" s="1024" t="s">
        <v>86</v>
      </c>
      <c r="Q151" s="1004"/>
      <c r="R151" s="1009">
        <v>45840</v>
      </c>
      <c r="S151" s="1004" t="s">
        <v>98</v>
      </c>
      <c r="T151" s="1233" t="s">
        <v>805</v>
      </c>
      <c r="U151" s="1233"/>
      <c r="V151" s="1234" t="s">
        <v>817</v>
      </c>
      <c r="W151" s="1007" t="s">
        <v>319</v>
      </c>
      <c r="X151" s="1235">
        <v>2.4015</v>
      </c>
      <c r="Y151" s="1236">
        <f t="shared" si="74"/>
        <v>3832.794</v>
      </c>
      <c r="Z151" s="1236"/>
      <c r="AA151" s="1245" t="s">
        <v>818</v>
      </c>
      <c r="AB151" s="1243" t="s">
        <v>808</v>
      </c>
      <c r="AC151" s="1004" t="s">
        <v>93</v>
      </c>
      <c r="AD151" s="1023" t="s">
        <v>94</v>
      </c>
      <c r="AE151" s="1004"/>
      <c r="AF151" s="1002">
        <v>1596</v>
      </c>
      <c r="AG151" s="1002">
        <f t="shared" si="66"/>
        <v>0</v>
      </c>
      <c r="AH151" s="1237"/>
      <c r="AI151" s="1004" t="s">
        <v>95</v>
      </c>
      <c r="AJ151" s="1004"/>
      <c r="AK151" s="1004"/>
      <c r="AL151" s="307">
        <f t="shared" si="80"/>
        <v>1596</v>
      </c>
      <c r="AM151" s="1004"/>
      <c r="AO151" s="964">
        <f t="shared" si="81"/>
        <v>3192</v>
      </c>
      <c r="AP151" s="1004"/>
      <c r="AQ151" s="1004"/>
      <c r="AS151" s="307">
        <f t="shared" si="76"/>
        <v>3192</v>
      </c>
      <c r="AT151" s="1004"/>
      <c r="AU151" s="1004"/>
      <c r="AV151" s="1004"/>
      <c r="BN151" s="964">
        <f t="shared" si="77"/>
        <v>1596</v>
      </c>
      <c r="BO151" s="964">
        <f t="shared" si="78"/>
        <v>1596</v>
      </c>
      <c r="BQ151" s="964">
        <f t="shared" si="79"/>
        <v>1596</v>
      </c>
      <c r="BU151" s="939">
        <f t="shared" si="61"/>
        <v>1596</v>
      </c>
      <c r="BV151" s="1222">
        <f t="shared" si="62"/>
        <v>2478995</v>
      </c>
      <c r="BW151" s="1018"/>
      <c r="BX151" s="1018"/>
      <c r="BY151" s="1018"/>
      <c r="BZ151" s="1018"/>
      <c r="CA151" s="856">
        <f t="shared" si="59"/>
        <v>341005</v>
      </c>
      <c r="CC151" s="964">
        <f t="shared" si="63"/>
        <v>0</v>
      </c>
      <c r="CD151" s="939">
        <f t="shared" si="64"/>
        <v>50458.5714285714</v>
      </c>
      <c r="CE151" s="1018"/>
      <c r="CF151" s="1018"/>
      <c r="CG151" s="1018"/>
      <c r="CH151" s="939">
        <f t="shared" si="60"/>
        <v>9541.4285714286</v>
      </c>
      <c r="CI151" s="1018"/>
    </row>
    <row r="152" s="974" customFormat="1" ht="31" customHeight="1" spans="1:87">
      <c r="A152" s="1228">
        <v>45838</v>
      </c>
      <c r="B152" s="1229" t="s">
        <v>314</v>
      </c>
      <c r="C152" s="1238" t="s">
        <v>125</v>
      </c>
      <c r="D152" s="1231">
        <v>4500171908</v>
      </c>
      <c r="E152" s="1229" t="s">
        <v>819</v>
      </c>
      <c r="F152" s="1231" t="s">
        <v>820</v>
      </c>
      <c r="G152" s="1004" t="s">
        <v>196</v>
      </c>
      <c r="H152" s="1004" t="s">
        <v>197</v>
      </c>
      <c r="I152" s="1004">
        <v>996</v>
      </c>
      <c r="J152" s="1004">
        <v>0</v>
      </c>
      <c r="K152" s="1004">
        <v>12</v>
      </c>
      <c r="L152" s="1232">
        <f t="shared" si="73"/>
        <v>83</v>
      </c>
      <c r="M152" s="1007">
        <v>45870</v>
      </c>
      <c r="N152" s="1007">
        <f t="shared" si="75"/>
        <v>45866</v>
      </c>
      <c r="O152" s="1020"/>
      <c r="P152" s="1024" t="s">
        <v>86</v>
      </c>
      <c r="Q152" s="1004"/>
      <c r="R152" s="1009">
        <v>45840</v>
      </c>
      <c r="S152" s="1004" t="s">
        <v>98</v>
      </c>
      <c r="T152" s="1233" t="s">
        <v>805</v>
      </c>
      <c r="U152" s="1233"/>
      <c r="V152" s="1234" t="s">
        <v>821</v>
      </c>
      <c r="W152" s="1007" t="s">
        <v>319</v>
      </c>
      <c r="X152" s="1235">
        <v>2.4244</v>
      </c>
      <c r="Y152" s="1236">
        <f t="shared" si="74"/>
        <v>2414.7024</v>
      </c>
      <c r="Z152" s="1236"/>
      <c r="AA152" s="1004" t="s">
        <v>822</v>
      </c>
      <c r="AB152" s="1243" t="s">
        <v>808</v>
      </c>
      <c r="AC152" s="1004" t="s">
        <v>93</v>
      </c>
      <c r="AD152" s="1023" t="s">
        <v>94</v>
      </c>
      <c r="AE152" s="1004"/>
      <c r="AF152" s="1002">
        <v>996</v>
      </c>
      <c r="AG152" s="1002">
        <f t="shared" si="66"/>
        <v>0</v>
      </c>
      <c r="AH152" s="1237"/>
      <c r="AI152" s="1004" t="s">
        <v>95</v>
      </c>
      <c r="AJ152" s="1004"/>
      <c r="AK152" s="1004"/>
      <c r="AL152" s="307">
        <f t="shared" si="80"/>
        <v>996</v>
      </c>
      <c r="AM152" s="1004"/>
      <c r="AO152" s="964">
        <f t="shared" si="81"/>
        <v>1992</v>
      </c>
      <c r="AP152" s="1004"/>
      <c r="AQ152" s="1004"/>
      <c r="AS152" s="307">
        <f t="shared" si="76"/>
        <v>1992</v>
      </c>
      <c r="AT152" s="1004"/>
      <c r="AU152" s="1004"/>
      <c r="AV152" s="1004"/>
      <c r="BN152" s="964">
        <f t="shared" si="77"/>
        <v>996</v>
      </c>
      <c r="BO152" s="964">
        <f t="shared" si="78"/>
        <v>996</v>
      </c>
      <c r="BQ152" s="964">
        <f t="shared" si="79"/>
        <v>996</v>
      </c>
      <c r="BU152" s="939">
        <f t="shared" si="61"/>
        <v>996</v>
      </c>
      <c r="BV152" s="1222">
        <f t="shared" si="62"/>
        <v>2479991</v>
      </c>
      <c r="BW152" s="1018"/>
      <c r="BX152" s="1018"/>
      <c r="BY152" s="1018"/>
      <c r="BZ152" s="1018"/>
      <c r="CA152" s="856">
        <f t="shared" si="59"/>
        <v>340009</v>
      </c>
      <c r="CC152" s="964">
        <f t="shared" si="63"/>
        <v>0</v>
      </c>
      <c r="CD152" s="939">
        <f t="shared" si="64"/>
        <v>50458.5714285714</v>
      </c>
      <c r="CE152" s="1018"/>
      <c r="CF152" s="1018"/>
      <c r="CG152" s="1018"/>
      <c r="CH152" s="939">
        <f t="shared" si="60"/>
        <v>9541.4285714286</v>
      </c>
      <c r="CI152" s="1018"/>
    </row>
    <row r="153" s="974" customFormat="1" ht="31" customHeight="1" spans="1:87">
      <c r="A153" s="1228">
        <v>45838</v>
      </c>
      <c r="B153" s="1229" t="s">
        <v>314</v>
      </c>
      <c r="C153" s="1238" t="s">
        <v>125</v>
      </c>
      <c r="D153" s="1231">
        <v>4500171919</v>
      </c>
      <c r="E153" s="1229" t="s">
        <v>823</v>
      </c>
      <c r="F153" s="1231" t="s">
        <v>824</v>
      </c>
      <c r="G153" s="1004" t="s">
        <v>196</v>
      </c>
      <c r="H153" s="1004" t="s">
        <v>197</v>
      </c>
      <c r="I153" s="1004">
        <v>1200</v>
      </c>
      <c r="J153" s="1004">
        <v>0</v>
      </c>
      <c r="K153" s="1004">
        <v>12</v>
      </c>
      <c r="L153" s="1232">
        <f t="shared" si="73"/>
        <v>100</v>
      </c>
      <c r="M153" s="1007">
        <v>45870</v>
      </c>
      <c r="N153" s="1007">
        <f t="shared" si="75"/>
        <v>45866</v>
      </c>
      <c r="O153" s="1020"/>
      <c r="P153" s="1024" t="s">
        <v>86</v>
      </c>
      <c r="Q153" s="1004"/>
      <c r="R153" s="1009">
        <v>45840</v>
      </c>
      <c r="S153" s="1004" t="s">
        <v>98</v>
      </c>
      <c r="T153" s="1233" t="s">
        <v>805</v>
      </c>
      <c r="U153" s="1233"/>
      <c r="V153" s="1234" t="s">
        <v>821</v>
      </c>
      <c r="W153" s="1007" t="s">
        <v>319</v>
      </c>
      <c r="X153" s="1235">
        <v>2.1015</v>
      </c>
      <c r="Y153" s="1236">
        <f t="shared" si="74"/>
        <v>2521.8</v>
      </c>
      <c r="Z153" s="1236"/>
      <c r="AA153" s="1004" t="s">
        <v>825</v>
      </c>
      <c r="AB153" s="1243" t="s">
        <v>808</v>
      </c>
      <c r="AC153" s="1004" t="s">
        <v>93</v>
      </c>
      <c r="AD153" s="1023" t="s">
        <v>94</v>
      </c>
      <c r="AE153" s="1004"/>
      <c r="AF153" s="1002">
        <v>1200</v>
      </c>
      <c r="AG153" s="1002">
        <f t="shared" si="66"/>
        <v>0</v>
      </c>
      <c r="AH153" s="1237"/>
      <c r="AI153" s="1004" t="s">
        <v>95</v>
      </c>
      <c r="AJ153" s="1004"/>
      <c r="AK153" s="1004"/>
      <c r="AL153" s="307">
        <f t="shared" si="80"/>
        <v>1200</v>
      </c>
      <c r="AM153" s="1004"/>
      <c r="AO153" s="964">
        <f t="shared" si="81"/>
        <v>2400</v>
      </c>
      <c r="AP153" s="1004"/>
      <c r="AQ153" s="1004"/>
      <c r="AS153" s="307">
        <f t="shared" si="76"/>
        <v>2400</v>
      </c>
      <c r="AT153" s="1004"/>
      <c r="AU153" s="1004"/>
      <c r="AV153" s="1004"/>
      <c r="BN153" s="964">
        <f t="shared" si="77"/>
        <v>1200</v>
      </c>
      <c r="BO153" s="964">
        <f t="shared" si="78"/>
        <v>1200</v>
      </c>
      <c r="BQ153" s="964">
        <f t="shared" si="79"/>
        <v>1200</v>
      </c>
      <c r="BU153" s="939">
        <f t="shared" si="61"/>
        <v>1200</v>
      </c>
      <c r="BV153" s="1222">
        <f t="shared" si="62"/>
        <v>2481191</v>
      </c>
      <c r="BW153" s="1018"/>
      <c r="BX153" s="1018"/>
      <c r="BY153" s="1018"/>
      <c r="BZ153" s="1018"/>
      <c r="CA153" s="856">
        <f t="shared" si="59"/>
        <v>338809</v>
      </c>
      <c r="CC153" s="964">
        <f t="shared" si="63"/>
        <v>0</v>
      </c>
      <c r="CD153" s="939">
        <f t="shared" si="64"/>
        <v>50458.5714285714</v>
      </c>
      <c r="CE153" s="1018"/>
      <c r="CF153" s="1018"/>
      <c r="CG153" s="1018"/>
      <c r="CH153" s="939">
        <f t="shared" si="60"/>
        <v>9541.4285714286</v>
      </c>
      <c r="CI153" s="1018"/>
    </row>
    <row r="154" s="974" customFormat="1" ht="31" customHeight="1" spans="1:87">
      <c r="A154" s="1228">
        <v>45838</v>
      </c>
      <c r="B154" s="1229" t="s">
        <v>314</v>
      </c>
      <c r="C154" s="1238" t="s">
        <v>125</v>
      </c>
      <c r="D154" s="1231">
        <v>4500171916</v>
      </c>
      <c r="E154" s="1229" t="s">
        <v>826</v>
      </c>
      <c r="F154" s="1231" t="s">
        <v>827</v>
      </c>
      <c r="G154" s="1004" t="s">
        <v>196</v>
      </c>
      <c r="H154" s="1004" t="s">
        <v>197</v>
      </c>
      <c r="I154" s="1004">
        <v>996</v>
      </c>
      <c r="J154" s="1004">
        <v>0</v>
      </c>
      <c r="K154" s="1004">
        <v>12</v>
      </c>
      <c r="L154" s="1232">
        <f t="shared" si="73"/>
        <v>83</v>
      </c>
      <c r="M154" s="1007">
        <v>45870</v>
      </c>
      <c r="N154" s="1007">
        <f t="shared" si="75"/>
        <v>45866</v>
      </c>
      <c r="O154" s="1020"/>
      <c r="P154" s="1024" t="s">
        <v>86</v>
      </c>
      <c r="Q154" s="1004"/>
      <c r="R154" s="1009">
        <v>45840</v>
      </c>
      <c r="S154" s="1004" t="s">
        <v>98</v>
      </c>
      <c r="T154" s="1233" t="s">
        <v>805</v>
      </c>
      <c r="U154" s="1233"/>
      <c r="V154" s="1234" t="s">
        <v>817</v>
      </c>
      <c r="W154" s="1007" t="s">
        <v>319</v>
      </c>
      <c r="X154" s="1235">
        <v>2.4244</v>
      </c>
      <c r="Y154" s="1236">
        <f t="shared" si="74"/>
        <v>2414.7024</v>
      </c>
      <c r="Z154" s="1236"/>
      <c r="AA154" s="1004" t="s">
        <v>828</v>
      </c>
      <c r="AB154" s="1243" t="s">
        <v>808</v>
      </c>
      <c r="AC154" s="1004" t="s">
        <v>93</v>
      </c>
      <c r="AD154" s="1023" t="s">
        <v>94</v>
      </c>
      <c r="AE154" s="1004"/>
      <c r="AF154" s="1002">
        <v>996</v>
      </c>
      <c r="AG154" s="1002">
        <f t="shared" si="66"/>
        <v>0</v>
      </c>
      <c r="AH154" s="1237"/>
      <c r="AI154" s="1004" t="s">
        <v>95</v>
      </c>
      <c r="AJ154" s="1004"/>
      <c r="AK154" s="1004"/>
      <c r="AL154" s="307">
        <f t="shared" si="80"/>
        <v>996</v>
      </c>
      <c r="AM154" s="1004"/>
      <c r="AO154" s="964">
        <f t="shared" si="81"/>
        <v>1992</v>
      </c>
      <c r="AP154" s="1004"/>
      <c r="AQ154" s="1004"/>
      <c r="AS154" s="307">
        <f t="shared" si="76"/>
        <v>1992</v>
      </c>
      <c r="AT154" s="1004"/>
      <c r="AU154" s="1004"/>
      <c r="AV154" s="1004"/>
      <c r="BN154" s="964">
        <f t="shared" si="77"/>
        <v>996</v>
      </c>
      <c r="BO154" s="964">
        <f t="shared" si="78"/>
        <v>996</v>
      </c>
      <c r="BQ154" s="964">
        <f t="shared" si="79"/>
        <v>996</v>
      </c>
      <c r="BU154" s="939">
        <f t="shared" si="61"/>
        <v>996</v>
      </c>
      <c r="BV154" s="1222">
        <f t="shared" si="62"/>
        <v>2482187</v>
      </c>
      <c r="BW154" s="1018"/>
      <c r="BX154" s="1018"/>
      <c r="BY154" s="1018"/>
      <c r="BZ154" s="1018"/>
      <c r="CA154" s="856">
        <f t="shared" si="59"/>
        <v>337813</v>
      </c>
      <c r="CC154" s="964">
        <f t="shared" si="63"/>
        <v>0</v>
      </c>
      <c r="CD154" s="939">
        <f t="shared" si="64"/>
        <v>50458.5714285714</v>
      </c>
      <c r="CE154" s="1018"/>
      <c r="CF154" s="1018"/>
      <c r="CG154" s="1018"/>
      <c r="CH154" s="939">
        <f t="shared" si="60"/>
        <v>9541.4285714286</v>
      </c>
      <c r="CI154" s="1018"/>
    </row>
    <row r="155" s="974" customFormat="1" ht="31" customHeight="1" spans="1:87">
      <c r="A155" s="1228">
        <v>45838</v>
      </c>
      <c r="B155" s="1229" t="s">
        <v>314</v>
      </c>
      <c r="C155" s="1238" t="s">
        <v>125</v>
      </c>
      <c r="D155" s="1231">
        <v>4500171914</v>
      </c>
      <c r="E155" s="1229" t="s">
        <v>829</v>
      </c>
      <c r="F155" s="1231" t="s">
        <v>830</v>
      </c>
      <c r="G155" s="1004" t="s">
        <v>196</v>
      </c>
      <c r="H155" s="1004" t="s">
        <v>197</v>
      </c>
      <c r="I155" s="1004">
        <v>600</v>
      </c>
      <c r="J155" s="1004">
        <v>0</v>
      </c>
      <c r="K155" s="1004">
        <v>12</v>
      </c>
      <c r="L155" s="1232">
        <f t="shared" si="73"/>
        <v>50</v>
      </c>
      <c r="M155" s="1007">
        <v>45870</v>
      </c>
      <c r="N155" s="1007">
        <f t="shared" si="75"/>
        <v>45866</v>
      </c>
      <c r="O155" s="1020"/>
      <c r="P155" s="1024" t="s">
        <v>86</v>
      </c>
      <c r="Q155" s="1004"/>
      <c r="R155" s="1009">
        <v>45840</v>
      </c>
      <c r="S155" s="1004" t="s">
        <v>98</v>
      </c>
      <c r="T155" s="1233" t="s">
        <v>805</v>
      </c>
      <c r="U155" s="1233"/>
      <c r="V155" s="1234" t="s">
        <v>817</v>
      </c>
      <c r="W155" s="1007" t="s">
        <v>319</v>
      </c>
      <c r="X155" s="1235">
        <v>2.4244</v>
      </c>
      <c r="Y155" s="1236">
        <f t="shared" si="74"/>
        <v>1454.64</v>
      </c>
      <c r="Z155" s="1236"/>
      <c r="AA155" s="1004" t="s">
        <v>831</v>
      </c>
      <c r="AB155" s="1243" t="s">
        <v>808</v>
      </c>
      <c r="AC155" s="1004" t="s">
        <v>93</v>
      </c>
      <c r="AD155" s="1023" t="s">
        <v>94</v>
      </c>
      <c r="AE155" s="1004"/>
      <c r="AF155" s="1002">
        <v>600</v>
      </c>
      <c r="AG155" s="1002">
        <f t="shared" si="66"/>
        <v>0</v>
      </c>
      <c r="AH155" s="1237"/>
      <c r="AI155" s="1004" t="s">
        <v>95</v>
      </c>
      <c r="AJ155" s="1004"/>
      <c r="AK155" s="1004"/>
      <c r="AL155" s="307">
        <f t="shared" si="80"/>
        <v>600</v>
      </c>
      <c r="AM155" s="1004"/>
      <c r="AO155" s="964">
        <f t="shared" si="81"/>
        <v>1200</v>
      </c>
      <c r="AP155" s="1004"/>
      <c r="AQ155" s="1004"/>
      <c r="AS155" s="307">
        <f t="shared" si="76"/>
        <v>1200</v>
      </c>
      <c r="AT155" s="1004"/>
      <c r="AU155" s="1004"/>
      <c r="AV155" s="1004"/>
      <c r="BN155" s="964">
        <f t="shared" si="77"/>
        <v>600</v>
      </c>
      <c r="BO155" s="964">
        <f t="shared" si="78"/>
        <v>600</v>
      </c>
      <c r="BQ155" s="964">
        <f t="shared" si="79"/>
        <v>600</v>
      </c>
      <c r="BU155" s="939">
        <f t="shared" si="61"/>
        <v>600</v>
      </c>
      <c r="BV155" s="1222">
        <f t="shared" si="62"/>
        <v>2482787</v>
      </c>
      <c r="BW155" s="1018"/>
      <c r="BX155" s="1018"/>
      <c r="BY155" s="1018"/>
      <c r="BZ155" s="1018"/>
      <c r="CA155" s="856">
        <f t="shared" si="59"/>
        <v>337213</v>
      </c>
      <c r="CC155" s="964">
        <f t="shared" si="63"/>
        <v>0</v>
      </c>
      <c r="CD155" s="939">
        <f t="shared" si="64"/>
        <v>50458.5714285714</v>
      </c>
      <c r="CE155" s="1018"/>
      <c r="CF155" s="1018"/>
      <c r="CG155" s="1018"/>
      <c r="CH155" s="939">
        <f t="shared" si="60"/>
        <v>9541.4285714286</v>
      </c>
      <c r="CI155" s="1018"/>
    </row>
    <row r="156" s="974" customFormat="1" ht="31" customHeight="1" spans="1:87">
      <c r="A156" s="1228">
        <v>45838</v>
      </c>
      <c r="B156" s="1229" t="s">
        <v>314</v>
      </c>
      <c r="C156" s="1238" t="s">
        <v>125</v>
      </c>
      <c r="D156" s="1231">
        <v>4500171918</v>
      </c>
      <c r="E156" s="1229" t="s">
        <v>832</v>
      </c>
      <c r="F156" s="1231" t="s">
        <v>833</v>
      </c>
      <c r="G156" s="1004" t="s">
        <v>196</v>
      </c>
      <c r="H156" s="1004" t="s">
        <v>197</v>
      </c>
      <c r="I156" s="1004">
        <v>1800</v>
      </c>
      <c r="J156" s="1004">
        <v>0</v>
      </c>
      <c r="K156" s="1004">
        <v>12</v>
      </c>
      <c r="L156" s="1232">
        <f t="shared" si="73"/>
        <v>150</v>
      </c>
      <c r="M156" s="1007">
        <v>45870</v>
      </c>
      <c r="N156" s="1007">
        <f t="shared" si="75"/>
        <v>45866</v>
      </c>
      <c r="O156" s="1020"/>
      <c r="P156" s="1024" t="s">
        <v>86</v>
      </c>
      <c r="Q156" s="1004"/>
      <c r="R156" s="1009">
        <v>45840</v>
      </c>
      <c r="S156" s="1004" t="s">
        <v>98</v>
      </c>
      <c r="T156" s="1233" t="s">
        <v>805</v>
      </c>
      <c r="U156" s="1233"/>
      <c r="V156" s="1234" t="s">
        <v>806</v>
      </c>
      <c r="W156" s="1007" t="s">
        <v>319</v>
      </c>
      <c r="X156" s="1235">
        <v>2.4244</v>
      </c>
      <c r="Y156" s="1236">
        <f t="shared" si="74"/>
        <v>4363.92</v>
      </c>
      <c r="Z156" s="1236"/>
      <c r="AA156" s="1004" t="s">
        <v>834</v>
      </c>
      <c r="AB156" s="1243" t="s">
        <v>808</v>
      </c>
      <c r="AC156" s="1004" t="s">
        <v>93</v>
      </c>
      <c r="AD156" s="1023" t="s">
        <v>94</v>
      </c>
      <c r="AE156" s="1004"/>
      <c r="AF156" s="1002">
        <v>1800</v>
      </c>
      <c r="AG156" s="1002">
        <f t="shared" si="66"/>
        <v>0</v>
      </c>
      <c r="AH156" s="1237"/>
      <c r="AI156" s="1004" t="s">
        <v>95</v>
      </c>
      <c r="AJ156" s="1004"/>
      <c r="AK156" s="1004"/>
      <c r="AL156" s="307">
        <f t="shared" si="80"/>
        <v>1800</v>
      </c>
      <c r="AM156" s="1004"/>
      <c r="AO156" s="964">
        <f t="shared" si="81"/>
        <v>3600</v>
      </c>
      <c r="AP156" s="1004"/>
      <c r="AQ156" s="1004"/>
      <c r="AS156" s="307">
        <f t="shared" si="76"/>
        <v>3600</v>
      </c>
      <c r="AT156" s="1004"/>
      <c r="AU156" s="1004"/>
      <c r="AV156" s="1004"/>
      <c r="BN156" s="964">
        <f t="shared" si="77"/>
        <v>1800</v>
      </c>
      <c r="BO156" s="964">
        <f t="shared" si="78"/>
        <v>1800</v>
      </c>
      <c r="BQ156" s="964">
        <f t="shared" si="79"/>
        <v>1800</v>
      </c>
      <c r="BU156" s="939">
        <f t="shared" si="61"/>
        <v>1800</v>
      </c>
      <c r="BV156" s="1222">
        <f t="shared" si="62"/>
        <v>2484587</v>
      </c>
      <c r="BW156" s="1018"/>
      <c r="BX156" s="1018"/>
      <c r="BY156" s="1018"/>
      <c r="BZ156" s="1018"/>
      <c r="CA156" s="856">
        <f t="shared" si="59"/>
        <v>335413</v>
      </c>
      <c r="CC156" s="964">
        <f t="shared" si="63"/>
        <v>0</v>
      </c>
      <c r="CD156" s="939">
        <f t="shared" si="64"/>
        <v>50458.5714285714</v>
      </c>
      <c r="CE156" s="1018"/>
      <c r="CF156" s="1018"/>
      <c r="CG156" s="1018"/>
      <c r="CH156" s="939">
        <f t="shared" si="60"/>
        <v>9541.4285714286</v>
      </c>
      <c r="CI156" s="1018"/>
    </row>
    <row r="157" s="974" customFormat="1" ht="31" customHeight="1" spans="1:87">
      <c r="A157" s="1228">
        <v>45838</v>
      </c>
      <c r="B157" s="1229" t="s">
        <v>314</v>
      </c>
      <c r="C157" s="1238" t="s">
        <v>125</v>
      </c>
      <c r="D157" s="1231">
        <v>4500171912</v>
      </c>
      <c r="E157" s="1229" t="s">
        <v>835</v>
      </c>
      <c r="F157" s="1231" t="s">
        <v>836</v>
      </c>
      <c r="G157" s="1004" t="s">
        <v>196</v>
      </c>
      <c r="H157" s="1004" t="s">
        <v>197</v>
      </c>
      <c r="I157" s="1004">
        <v>1596</v>
      </c>
      <c r="J157" s="1004">
        <v>0</v>
      </c>
      <c r="K157" s="1004">
        <v>12</v>
      </c>
      <c r="L157" s="1232">
        <f t="shared" si="73"/>
        <v>133</v>
      </c>
      <c r="M157" s="1007">
        <v>45870</v>
      </c>
      <c r="N157" s="1007">
        <f t="shared" si="75"/>
        <v>45866</v>
      </c>
      <c r="O157" s="1020"/>
      <c r="P157" s="1024" t="s">
        <v>86</v>
      </c>
      <c r="Q157" s="1004"/>
      <c r="R157" s="1009">
        <v>45840</v>
      </c>
      <c r="S157" s="1004" t="s">
        <v>98</v>
      </c>
      <c r="T157" s="1233" t="s">
        <v>805</v>
      </c>
      <c r="U157" s="1233"/>
      <c r="V157" s="1234" t="s">
        <v>837</v>
      </c>
      <c r="W157" s="1007" t="s">
        <v>319</v>
      </c>
      <c r="X157" s="1235">
        <v>2.4244</v>
      </c>
      <c r="Y157" s="1236">
        <f t="shared" si="74"/>
        <v>3869.3424</v>
      </c>
      <c r="Z157" s="1236"/>
      <c r="AA157" s="1004" t="s">
        <v>838</v>
      </c>
      <c r="AB157" s="1243" t="s">
        <v>808</v>
      </c>
      <c r="AC157" s="1004" t="s">
        <v>93</v>
      </c>
      <c r="AD157" s="1023" t="s">
        <v>94</v>
      </c>
      <c r="AE157" s="1004"/>
      <c r="AF157" s="1002">
        <v>1596</v>
      </c>
      <c r="AG157" s="1002">
        <f t="shared" si="66"/>
        <v>0</v>
      </c>
      <c r="AH157" s="1237"/>
      <c r="AI157" s="1004" t="s">
        <v>95</v>
      </c>
      <c r="AJ157" s="1004"/>
      <c r="AK157" s="1004"/>
      <c r="AL157" s="307">
        <f t="shared" si="80"/>
        <v>1596</v>
      </c>
      <c r="AM157" s="1004"/>
      <c r="AO157" s="964">
        <f t="shared" si="81"/>
        <v>3192</v>
      </c>
      <c r="AP157" s="1004"/>
      <c r="AQ157" s="1004"/>
      <c r="AS157" s="307">
        <f t="shared" si="76"/>
        <v>3192</v>
      </c>
      <c r="AT157" s="1004"/>
      <c r="AU157" s="1004"/>
      <c r="AV157" s="1004"/>
      <c r="BN157" s="964">
        <f t="shared" si="77"/>
        <v>1596</v>
      </c>
      <c r="BO157" s="964">
        <f t="shared" si="78"/>
        <v>1596</v>
      </c>
      <c r="BQ157" s="964">
        <f t="shared" si="79"/>
        <v>1596</v>
      </c>
      <c r="BU157" s="939">
        <f t="shared" si="61"/>
        <v>1596</v>
      </c>
      <c r="BV157" s="1222">
        <f t="shared" si="62"/>
        <v>2486183</v>
      </c>
      <c r="BW157" s="1018"/>
      <c r="BX157" s="1018"/>
      <c r="BY157" s="1018"/>
      <c r="BZ157" s="1018"/>
      <c r="CA157" s="856">
        <f t="shared" si="59"/>
        <v>333817</v>
      </c>
      <c r="CC157" s="964">
        <f t="shared" si="63"/>
        <v>0</v>
      </c>
      <c r="CD157" s="939">
        <f t="shared" si="64"/>
        <v>50458.5714285714</v>
      </c>
      <c r="CE157" s="1018"/>
      <c r="CF157" s="1018"/>
      <c r="CG157" s="1018"/>
      <c r="CH157" s="939">
        <f t="shared" si="60"/>
        <v>9541.4285714286</v>
      </c>
      <c r="CI157" s="1018"/>
    </row>
    <row r="158" s="974" customFormat="1" ht="31" customHeight="1" spans="1:87">
      <c r="A158" s="1228">
        <v>45838</v>
      </c>
      <c r="B158" s="1229" t="s">
        <v>314</v>
      </c>
      <c r="C158" s="1238" t="s">
        <v>125</v>
      </c>
      <c r="D158" s="1231">
        <v>4500171922</v>
      </c>
      <c r="E158" s="1229" t="s">
        <v>839</v>
      </c>
      <c r="F158" s="1231" t="s">
        <v>840</v>
      </c>
      <c r="G158" s="1004" t="s">
        <v>841</v>
      </c>
      <c r="H158" s="1004" t="s">
        <v>842</v>
      </c>
      <c r="I158" s="1004">
        <v>896</v>
      </c>
      <c r="J158" s="1004">
        <v>0</v>
      </c>
      <c r="K158" s="1004">
        <v>8</v>
      </c>
      <c r="L158" s="1232">
        <f t="shared" ref="L158:L178" si="82">I158/K158</f>
        <v>112</v>
      </c>
      <c r="M158" s="1007">
        <v>45870</v>
      </c>
      <c r="N158" s="1007">
        <f t="shared" ref="N158:N175" si="83">M158-4</f>
        <v>45866</v>
      </c>
      <c r="O158" s="1020"/>
      <c r="P158" s="1024" t="s">
        <v>86</v>
      </c>
      <c r="Q158" s="1004"/>
      <c r="R158" s="1009">
        <v>45840</v>
      </c>
      <c r="S158" s="1004" t="s">
        <v>98</v>
      </c>
      <c r="T158" s="1233" t="s">
        <v>805</v>
      </c>
      <c r="U158" s="1233"/>
      <c r="V158" s="1234" t="s">
        <v>806</v>
      </c>
      <c r="W158" s="1007" t="s">
        <v>319</v>
      </c>
      <c r="X158" s="1235">
        <v>3.606</v>
      </c>
      <c r="Y158" s="1236">
        <f t="shared" si="74"/>
        <v>3230.976</v>
      </c>
      <c r="Z158" s="1236"/>
      <c r="AA158" s="1004" t="s">
        <v>807</v>
      </c>
      <c r="AB158" s="1004" t="s">
        <v>841</v>
      </c>
      <c r="AC158" s="1004" t="s">
        <v>93</v>
      </c>
      <c r="AD158" s="1023" t="s">
        <v>94</v>
      </c>
      <c r="AE158" s="1004"/>
      <c r="AF158" s="1002">
        <v>896</v>
      </c>
      <c r="AG158" s="1002">
        <f t="shared" ref="AG158:AG175" si="84">AF158-I158</f>
        <v>0</v>
      </c>
      <c r="AH158" s="1237"/>
      <c r="AI158" s="1004" t="s">
        <v>95</v>
      </c>
      <c r="AJ158" s="1004"/>
      <c r="AK158" s="1004">
        <f t="shared" ref="AK158:AK169" si="85">I158*3</f>
        <v>2688</v>
      </c>
      <c r="AL158" s="1004"/>
      <c r="AM158" s="1004"/>
      <c r="AO158" s="974">
        <f>I158*3</f>
        <v>2688</v>
      </c>
      <c r="AP158" s="1004"/>
      <c r="AQ158" s="1004"/>
      <c r="AS158" s="1004">
        <f>I158*3</f>
        <v>2688</v>
      </c>
      <c r="AT158" s="1004"/>
      <c r="AU158" s="1004"/>
      <c r="AV158" s="1004"/>
      <c r="BR158" s="974">
        <f t="shared" ref="BR158:BR169" si="86">I158</f>
        <v>896</v>
      </c>
      <c r="BS158" s="974">
        <f t="shared" ref="BS158:BS169" si="87">I158</f>
        <v>896</v>
      </c>
      <c r="BT158" s="974">
        <f t="shared" ref="BT158:BT169" si="88">I158</f>
        <v>896</v>
      </c>
      <c r="BU158" s="939">
        <f t="shared" si="61"/>
        <v>2688</v>
      </c>
      <c r="BV158" s="1222">
        <f t="shared" si="62"/>
        <v>2488871</v>
      </c>
      <c r="BW158" s="1018"/>
      <c r="BX158" s="1018"/>
      <c r="BY158" s="1018"/>
      <c r="BZ158" s="1018"/>
      <c r="CA158" s="856">
        <f t="shared" si="59"/>
        <v>331129</v>
      </c>
      <c r="CC158" s="964">
        <f t="shared" si="63"/>
        <v>0</v>
      </c>
      <c r="CD158" s="939">
        <f t="shared" si="64"/>
        <v>50458.5714285714</v>
      </c>
      <c r="CE158" s="1018"/>
      <c r="CF158" s="1018"/>
      <c r="CG158" s="1018"/>
      <c r="CH158" s="939">
        <f t="shared" si="60"/>
        <v>9541.4285714286</v>
      </c>
      <c r="CI158" s="1018"/>
    </row>
    <row r="159" s="974" customFormat="1" ht="31" customHeight="1" spans="1:87">
      <c r="A159" s="1228">
        <v>45838</v>
      </c>
      <c r="B159" s="1229" t="s">
        <v>314</v>
      </c>
      <c r="C159" s="1238" t="s">
        <v>125</v>
      </c>
      <c r="D159" s="1231">
        <v>4500171921</v>
      </c>
      <c r="E159" s="1229" t="s">
        <v>843</v>
      </c>
      <c r="F159" s="1231" t="s">
        <v>844</v>
      </c>
      <c r="G159" s="1004" t="s">
        <v>841</v>
      </c>
      <c r="H159" s="1004" t="s">
        <v>842</v>
      </c>
      <c r="I159" s="1004">
        <v>1200</v>
      </c>
      <c r="J159" s="1004">
        <v>0</v>
      </c>
      <c r="K159" s="1004">
        <v>8</v>
      </c>
      <c r="L159" s="1232">
        <f t="shared" si="82"/>
        <v>150</v>
      </c>
      <c r="M159" s="1007">
        <v>45870</v>
      </c>
      <c r="N159" s="1007">
        <f t="shared" si="83"/>
        <v>45866</v>
      </c>
      <c r="O159" s="1020"/>
      <c r="P159" s="1024" t="s">
        <v>86</v>
      </c>
      <c r="Q159" s="1004"/>
      <c r="R159" s="1009">
        <v>45840</v>
      </c>
      <c r="S159" s="1004" t="s">
        <v>98</v>
      </c>
      <c r="T159" s="1233" t="s">
        <v>805</v>
      </c>
      <c r="U159" s="1233"/>
      <c r="V159" s="1234" t="s">
        <v>806</v>
      </c>
      <c r="W159" s="1007" t="s">
        <v>319</v>
      </c>
      <c r="X159" s="1235">
        <v>3.606</v>
      </c>
      <c r="Y159" s="1236">
        <f t="shared" si="74"/>
        <v>4327.2</v>
      </c>
      <c r="Z159" s="1236"/>
      <c r="AA159" s="1004" t="s">
        <v>811</v>
      </c>
      <c r="AB159" s="1004" t="s">
        <v>841</v>
      </c>
      <c r="AC159" s="1004" t="s">
        <v>93</v>
      </c>
      <c r="AD159" s="1023" t="s">
        <v>94</v>
      </c>
      <c r="AE159" s="1004"/>
      <c r="AF159" s="1002">
        <v>1200</v>
      </c>
      <c r="AG159" s="1002">
        <f t="shared" si="84"/>
        <v>0</v>
      </c>
      <c r="AH159" s="1237"/>
      <c r="AI159" s="1004" t="s">
        <v>95</v>
      </c>
      <c r="AJ159" s="1004"/>
      <c r="AK159" s="1004">
        <f t="shared" si="85"/>
        <v>3600</v>
      </c>
      <c r="AL159" s="1004"/>
      <c r="AM159" s="1004"/>
      <c r="AO159" s="974">
        <f t="shared" ref="AO159:AO169" si="89">I159*3</f>
        <v>3600</v>
      </c>
      <c r="AP159" s="1004"/>
      <c r="AQ159" s="1004"/>
      <c r="AS159" s="1004">
        <f t="shared" ref="AS159:AS169" si="90">I159*3</f>
        <v>3600</v>
      </c>
      <c r="AT159" s="1004"/>
      <c r="AU159" s="1004"/>
      <c r="AV159" s="1004"/>
      <c r="BR159" s="974">
        <f t="shared" si="86"/>
        <v>1200</v>
      </c>
      <c r="BS159" s="974">
        <f t="shared" si="87"/>
        <v>1200</v>
      </c>
      <c r="BT159" s="974">
        <f t="shared" si="88"/>
        <v>1200</v>
      </c>
      <c r="BU159" s="939">
        <f t="shared" si="61"/>
        <v>3600</v>
      </c>
      <c r="BV159" s="1222">
        <f t="shared" si="62"/>
        <v>2492471</v>
      </c>
      <c r="BW159" s="1018"/>
      <c r="BX159" s="1018"/>
      <c r="BY159" s="1018"/>
      <c r="BZ159" s="1018"/>
      <c r="CA159" s="856">
        <f t="shared" si="59"/>
        <v>327529</v>
      </c>
      <c r="CC159" s="964">
        <f t="shared" si="63"/>
        <v>0</v>
      </c>
      <c r="CD159" s="939">
        <f t="shared" si="64"/>
        <v>50458.5714285714</v>
      </c>
      <c r="CE159" s="1018"/>
      <c r="CF159" s="1018"/>
      <c r="CG159" s="1018"/>
      <c r="CH159" s="939">
        <f t="shared" si="60"/>
        <v>9541.4285714286</v>
      </c>
      <c r="CI159" s="1018"/>
    </row>
    <row r="160" s="974" customFormat="1" ht="31" customHeight="1" spans="1:87">
      <c r="A160" s="1228">
        <v>45838</v>
      </c>
      <c r="B160" s="1229" t="s">
        <v>314</v>
      </c>
      <c r="C160" s="1238" t="s">
        <v>125</v>
      </c>
      <c r="D160" s="1231">
        <v>4500171924</v>
      </c>
      <c r="E160" s="1229" t="s">
        <v>845</v>
      </c>
      <c r="F160" s="1231" t="s">
        <v>846</v>
      </c>
      <c r="G160" s="1004" t="s">
        <v>841</v>
      </c>
      <c r="H160" s="1004" t="s">
        <v>842</v>
      </c>
      <c r="I160" s="1004">
        <v>896</v>
      </c>
      <c r="J160" s="1004">
        <v>0</v>
      </c>
      <c r="K160" s="1004">
        <v>8</v>
      </c>
      <c r="L160" s="1232">
        <f t="shared" si="82"/>
        <v>112</v>
      </c>
      <c r="M160" s="1007">
        <v>45870</v>
      </c>
      <c r="N160" s="1007">
        <f t="shared" si="83"/>
        <v>45866</v>
      </c>
      <c r="O160" s="1020"/>
      <c r="P160" s="1024" t="s">
        <v>86</v>
      </c>
      <c r="Q160" s="1004"/>
      <c r="R160" s="1009">
        <v>45840</v>
      </c>
      <c r="S160" s="1004" t="s">
        <v>98</v>
      </c>
      <c r="T160" s="1233" t="s">
        <v>805</v>
      </c>
      <c r="U160" s="1233"/>
      <c r="V160" s="1234" t="s">
        <v>806</v>
      </c>
      <c r="W160" s="1007" t="s">
        <v>319</v>
      </c>
      <c r="X160" s="1235">
        <v>3.606</v>
      </c>
      <c r="Y160" s="1236">
        <f t="shared" si="74"/>
        <v>3230.976</v>
      </c>
      <c r="Z160" s="1236"/>
      <c r="AA160" s="1244" t="s">
        <v>814</v>
      </c>
      <c r="AB160" s="1004" t="s">
        <v>841</v>
      </c>
      <c r="AC160" s="1004" t="s">
        <v>93</v>
      </c>
      <c r="AD160" s="1023" t="s">
        <v>94</v>
      </c>
      <c r="AE160" s="1004"/>
      <c r="AF160" s="1002">
        <v>896</v>
      </c>
      <c r="AG160" s="1002">
        <f t="shared" si="84"/>
        <v>0</v>
      </c>
      <c r="AH160" s="1237"/>
      <c r="AI160" s="1004" t="s">
        <v>95</v>
      </c>
      <c r="AJ160" s="1004"/>
      <c r="AK160" s="1004">
        <f t="shared" si="85"/>
        <v>2688</v>
      </c>
      <c r="AL160" s="1004"/>
      <c r="AM160" s="1004"/>
      <c r="AO160" s="974">
        <f t="shared" si="89"/>
        <v>2688</v>
      </c>
      <c r="AP160" s="1004"/>
      <c r="AQ160" s="1004"/>
      <c r="AS160" s="1004">
        <f t="shared" si="90"/>
        <v>2688</v>
      </c>
      <c r="AT160" s="1004"/>
      <c r="AU160" s="1004"/>
      <c r="AV160" s="1004"/>
      <c r="BR160" s="974">
        <f t="shared" si="86"/>
        <v>896</v>
      </c>
      <c r="BS160" s="974">
        <f t="shared" si="87"/>
        <v>896</v>
      </c>
      <c r="BT160" s="974">
        <f t="shared" si="88"/>
        <v>896</v>
      </c>
      <c r="BU160" s="939">
        <f t="shared" si="61"/>
        <v>2688</v>
      </c>
      <c r="BV160" s="1222">
        <f t="shared" si="62"/>
        <v>2495159</v>
      </c>
      <c r="BW160" s="1018"/>
      <c r="BX160" s="1018"/>
      <c r="BY160" s="1018"/>
      <c r="BZ160" s="1018"/>
      <c r="CA160" s="856">
        <f t="shared" si="59"/>
        <v>324841</v>
      </c>
      <c r="CC160" s="964">
        <f t="shared" si="63"/>
        <v>0</v>
      </c>
      <c r="CD160" s="939">
        <f t="shared" si="64"/>
        <v>50458.5714285714</v>
      </c>
      <c r="CE160" s="1018"/>
      <c r="CF160" s="1018"/>
      <c r="CG160" s="1018"/>
      <c r="CH160" s="939">
        <f t="shared" si="60"/>
        <v>9541.4285714286</v>
      </c>
      <c r="CI160" s="1018"/>
    </row>
    <row r="161" s="974" customFormat="1" ht="31" customHeight="1" spans="1:87">
      <c r="A161" s="1228">
        <v>45838</v>
      </c>
      <c r="B161" s="1229" t="s">
        <v>314</v>
      </c>
      <c r="C161" s="1238" t="s">
        <v>125</v>
      </c>
      <c r="D161" s="1231">
        <v>4500171923</v>
      </c>
      <c r="E161" s="1229" t="s">
        <v>847</v>
      </c>
      <c r="F161" s="1231" t="s">
        <v>848</v>
      </c>
      <c r="G161" s="1004" t="s">
        <v>841</v>
      </c>
      <c r="H161" s="1004" t="s">
        <v>842</v>
      </c>
      <c r="I161" s="1004">
        <v>1200</v>
      </c>
      <c r="J161" s="1004">
        <v>0</v>
      </c>
      <c r="K161" s="1004">
        <v>8</v>
      </c>
      <c r="L161" s="1232">
        <f t="shared" si="82"/>
        <v>150</v>
      </c>
      <c r="M161" s="1007">
        <v>45870</v>
      </c>
      <c r="N161" s="1007">
        <f t="shared" si="83"/>
        <v>45866</v>
      </c>
      <c r="O161" s="1020"/>
      <c r="P161" s="1024" t="s">
        <v>86</v>
      </c>
      <c r="Q161" s="1004"/>
      <c r="R161" s="1009">
        <v>45840</v>
      </c>
      <c r="S161" s="1004" t="s">
        <v>98</v>
      </c>
      <c r="T161" s="1233" t="s">
        <v>805</v>
      </c>
      <c r="U161" s="1233"/>
      <c r="V161" s="1234" t="s">
        <v>806</v>
      </c>
      <c r="W161" s="1007" t="s">
        <v>319</v>
      </c>
      <c r="X161" s="1235">
        <v>3.5776</v>
      </c>
      <c r="Y161" s="1236">
        <f t="shared" si="74"/>
        <v>4293.12</v>
      </c>
      <c r="Z161" s="1236"/>
      <c r="AA161" s="1004" t="s">
        <v>849</v>
      </c>
      <c r="AB161" s="1004" t="s">
        <v>841</v>
      </c>
      <c r="AC161" s="1004" t="s">
        <v>93</v>
      </c>
      <c r="AD161" s="1023" t="s">
        <v>94</v>
      </c>
      <c r="AE161" s="1004"/>
      <c r="AF161" s="1002">
        <v>1200</v>
      </c>
      <c r="AG161" s="1002">
        <f t="shared" si="84"/>
        <v>0</v>
      </c>
      <c r="AH161" s="1237"/>
      <c r="AI161" s="1004" t="s">
        <v>95</v>
      </c>
      <c r="AJ161" s="1004"/>
      <c r="AK161" s="1004">
        <f t="shared" si="85"/>
        <v>3600</v>
      </c>
      <c r="AL161" s="1004"/>
      <c r="AM161" s="1004"/>
      <c r="AO161" s="974">
        <f t="shared" si="89"/>
        <v>3600</v>
      </c>
      <c r="AP161" s="1004"/>
      <c r="AQ161" s="1004"/>
      <c r="AS161" s="1004">
        <f t="shared" si="90"/>
        <v>3600</v>
      </c>
      <c r="AT161" s="1004"/>
      <c r="AU161" s="1004"/>
      <c r="AV161" s="1004"/>
      <c r="BR161" s="974">
        <f t="shared" si="86"/>
        <v>1200</v>
      </c>
      <c r="BS161" s="974">
        <f t="shared" si="87"/>
        <v>1200</v>
      </c>
      <c r="BT161" s="974">
        <f t="shared" si="88"/>
        <v>1200</v>
      </c>
      <c r="BU161" s="939">
        <f t="shared" si="61"/>
        <v>3600</v>
      </c>
      <c r="BV161" s="1222">
        <f t="shared" si="62"/>
        <v>2498759</v>
      </c>
      <c r="BW161" s="1018"/>
      <c r="BX161" s="1018"/>
      <c r="BY161" s="1018"/>
      <c r="BZ161" s="1018"/>
      <c r="CA161" s="856">
        <f t="shared" si="59"/>
        <v>321241</v>
      </c>
      <c r="CC161" s="964">
        <f t="shared" si="63"/>
        <v>0</v>
      </c>
      <c r="CD161" s="939">
        <f t="shared" si="64"/>
        <v>50458.5714285714</v>
      </c>
      <c r="CE161" s="1018"/>
      <c r="CF161" s="1018"/>
      <c r="CG161" s="1018"/>
      <c r="CH161" s="939">
        <f t="shared" si="60"/>
        <v>9541.4285714286</v>
      </c>
      <c r="CI161" s="1018"/>
    </row>
    <row r="162" s="974" customFormat="1" ht="31" customHeight="1" spans="1:87">
      <c r="A162" s="1228">
        <v>45838</v>
      </c>
      <c r="B162" s="1229" t="s">
        <v>314</v>
      </c>
      <c r="C162" s="1238" t="s">
        <v>125</v>
      </c>
      <c r="D162" s="1231">
        <v>4500171907</v>
      </c>
      <c r="E162" s="1229" t="s">
        <v>850</v>
      </c>
      <c r="F162" s="1231" t="s">
        <v>851</v>
      </c>
      <c r="G162" s="1004" t="s">
        <v>841</v>
      </c>
      <c r="H162" s="1004" t="s">
        <v>842</v>
      </c>
      <c r="I162" s="1004">
        <v>600</v>
      </c>
      <c r="J162" s="1004">
        <v>0</v>
      </c>
      <c r="K162" s="1004">
        <v>8</v>
      </c>
      <c r="L162" s="1232">
        <f t="shared" si="82"/>
        <v>75</v>
      </c>
      <c r="M162" s="1007">
        <v>45870</v>
      </c>
      <c r="N162" s="1007">
        <f t="shared" si="83"/>
        <v>45866</v>
      </c>
      <c r="O162" s="1020"/>
      <c r="P162" s="1024" t="s">
        <v>86</v>
      </c>
      <c r="Q162" s="1004"/>
      <c r="R162" s="1009">
        <v>45840</v>
      </c>
      <c r="S162" s="1004" t="s">
        <v>98</v>
      </c>
      <c r="T162" s="1233" t="s">
        <v>805</v>
      </c>
      <c r="U162" s="1233"/>
      <c r="V162" s="1234" t="s">
        <v>817</v>
      </c>
      <c r="W162" s="1007" t="s">
        <v>319</v>
      </c>
      <c r="X162" s="1235">
        <v>3.606</v>
      </c>
      <c r="Y162" s="1236">
        <f t="shared" si="74"/>
        <v>2163.6</v>
      </c>
      <c r="Z162" s="1236"/>
      <c r="AA162" s="1004" t="s">
        <v>852</v>
      </c>
      <c r="AB162" s="1004" t="s">
        <v>841</v>
      </c>
      <c r="AC162" s="1004" t="s">
        <v>93</v>
      </c>
      <c r="AD162" s="1023" t="s">
        <v>94</v>
      </c>
      <c r="AE162" s="1004"/>
      <c r="AF162" s="1002">
        <v>600</v>
      </c>
      <c r="AG162" s="1002">
        <f t="shared" si="84"/>
        <v>0</v>
      </c>
      <c r="AH162" s="1237"/>
      <c r="AI162" s="1004" t="s">
        <v>95</v>
      </c>
      <c r="AJ162" s="1004"/>
      <c r="AK162" s="1004">
        <f t="shared" si="85"/>
        <v>1800</v>
      </c>
      <c r="AL162" s="1004"/>
      <c r="AM162" s="1004"/>
      <c r="AO162" s="974">
        <f t="shared" si="89"/>
        <v>1800</v>
      </c>
      <c r="AP162" s="1004"/>
      <c r="AQ162" s="1004"/>
      <c r="AS162" s="1004">
        <f t="shared" si="90"/>
        <v>1800</v>
      </c>
      <c r="AT162" s="1004"/>
      <c r="AU162" s="1004"/>
      <c r="AV162" s="1004"/>
      <c r="BR162" s="974">
        <f t="shared" si="86"/>
        <v>600</v>
      </c>
      <c r="BS162" s="974">
        <f t="shared" si="87"/>
        <v>600</v>
      </c>
      <c r="BT162" s="974">
        <f t="shared" si="88"/>
        <v>600</v>
      </c>
      <c r="BU162" s="939">
        <f t="shared" si="61"/>
        <v>1800</v>
      </c>
      <c r="BV162" s="1222">
        <f t="shared" si="62"/>
        <v>2500559</v>
      </c>
      <c r="BW162" s="1018"/>
      <c r="BX162" s="1018"/>
      <c r="BY162" s="1018"/>
      <c r="BZ162" s="1018"/>
      <c r="CA162" s="856">
        <f t="shared" si="59"/>
        <v>319441</v>
      </c>
      <c r="CC162" s="964">
        <f t="shared" si="63"/>
        <v>0</v>
      </c>
      <c r="CD162" s="939">
        <f t="shared" si="64"/>
        <v>50458.5714285714</v>
      </c>
      <c r="CE162" s="1018"/>
      <c r="CF162" s="1018"/>
      <c r="CG162" s="1018"/>
      <c r="CH162" s="939">
        <f t="shared" si="60"/>
        <v>9541.4285714286</v>
      </c>
      <c r="CI162" s="1018"/>
    </row>
    <row r="163" s="974" customFormat="1" ht="31" customHeight="1" spans="1:87">
      <c r="A163" s="1228">
        <v>45838</v>
      </c>
      <c r="B163" s="1229" t="s">
        <v>314</v>
      </c>
      <c r="C163" s="1238" t="s">
        <v>125</v>
      </c>
      <c r="D163" s="1231">
        <v>4500171908</v>
      </c>
      <c r="E163" s="1229" t="s">
        <v>853</v>
      </c>
      <c r="F163" s="1231" t="s">
        <v>854</v>
      </c>
      <c r="G163" s="1004" t="s">
        <v>841</v>
      </c>
      <c r="H163" s="1004" t="s">
        <v>842</v>
      </c>
      <c r="I163" s="1004">
        <v>800</v>
      </c>
      <c r="J163" s="1004">
        <v>0</v>
      </c>
      <c r="K163" s="1004">
        <v>8</v>
      </c>
      <c r="L163" s="1232">
        <f t="shared" si="82"/>
        <v>100</v>
      </c>
      <c r="M163" s="1007">
        <v>45870</v>
      </c>
      <c r="N163" s="1007">
        <f t="shared" si="83"/>
        <v>45866</v>
      </c>
      <c r="O163" s="1020"/>
      <c r="P163" s="1024" t="s">
        <v>86</v>
      </c>
      <c r="Q163" s="1004"/>
      <c r="R163" s="1009">
        <v>45840</v>
      </c>
      <c r="S163" s="1004" t="s">
        <v>98</v>
      </c>
      <c r="T163" s="1233" t="s">
        <v>805</v>
      </c>
      <c r="U163" s="1233"/>
      <c r="V163" s="1234" t="s">
        <v>821</v>
      </c>
      <c r="W163" s="1007" t="s">
        <v>319</v>
      </c>
      <c r="X163" s="1235">
        <v>3.606</v>
      </c>
      <c r="Y163" s="1236">
        <f t="shared" ref="Y158:Y169" si="91">X163*I163</f>
        <v>2884.8</v>
      </c>
      <c r="Z163" s="1236"/>
      <c r="AA163" s="1245" t="s">
        <v>855</v>
      </c>
      <c r="AB163" s="1004" t="s">
        <v>841</v>
      </c>
      <c r="AC163" s="1004" t="s">
        <v>93</v>
      </c>
      <c r="AD163" s="1023" t="s">
        <v>94</v>
      </c>
      <c r="AE163" s="1004"/>
      <c r="AF163" s="1002">
        <v>800</v>
      </c>
      <c r="AG163" s="1002">
        <f t="shared" si="84"/>
        <v>0</v>
      </c>
      <c r="AH163" s="1237"/>
      <c r="AI163" s="1004" t="s">
        <v>95</v>
      </c>
      <c r="AJ163" s="1004"/>
      <c r="AK163" s="1004">
        <f t="shared" si="85"/>
        <v>2400</v>
      </c>
      <c r="AL163" s="1004"/>
      <c r="AM163" s="1004"/>
      <c r="AO163" s="974">
        <f t="shared" si="89"/>
        <v>2400</v>
      </c>
      <c r="AP163" s="1004"/>
      <c r="AQ163" s="1004"/>
      <c r="AS163" s="1004">
        <f t="shared" si="90"/>
        <v>2400</v>
      </c>
      <c r="AT163" s="1004"/>
      <c r="AU163" s="1004"/>
      <c r="AV163" s="1004"/>
      <c r="BR163" s="974">
        <f t="shared" si="86"/>
        <v>800</v>
      </c>
      <c r="BS163" s="974">
        <f t="shared" si="87"/>
        <v>800</v>
      </c>
      <c r="BT163" s="974">
        <f t="shared" si="88"/>
        <v>800</v>
      </c>
      <c r="BU163" s="939">
        <f t="shared" si="61"/>
        <v>2400</v>
      </c>
      <c r="BV163" s="1222">
        <f t="shared" si="62"/>
        <v>2502959</v>
      </c>
      <c r="BW163" s="1018"/>
      <c r="BX163" s="1018"/>
      <c r="BY163" s="1018"/>
      <c r="BZ163" s="1018"/>
      <c r="CA163" s="856">
        <f t="shared" si="59"/>
        <v>317041</v>
      </c>
      <c r="CC163" s="964">
        <f t="shared" si="63"/>
        <v>0</v>
      </c>
      <c r="CD163" s="939">
        <f t="shared" si="64"/>
        <v>50458.5714285714</v>
      </c>
      <c r="CE163" s="1018"/>
      <c r="CF163" s="1018"/>
      <c r="CG163" s="1018"/>
      <c r="CH163" s="939">
        <f t="shared" si="60"/>
        <v>9541.4285714286</v>
      </c>
      <c r="CI163" s="1018"/>
    </row>
    <row r="164" s="974" customFormat="1" ht="31" customHeight="1" spans="1:87">
      <c r="A164" s="1228">
        <v>45838</v>
      </c>
      <c r="B164" s="1229" t="s">
        <v>314</v>
      </c>
      <c r="C164" s="1238" t="s">
        <v>125</v>
      </c>
      <c r="D164" s="1231">
        <v>4500171919</v>
      </c>
      <c r="E164" s="1229" t="s">
        <v>856</v>
      </c>
      <c r="F164" s="1231" t="s">
        <v>857</v>
      </c>
      <c r="G164" s="1004" t="s">
        <v>841</v>
      </c>
      <c r="H164" s="1004" t="s">
        <v>842</v>
      </c>
      <c r="I164" s="1004">
        <v>1000</v>
      </c>
      <c r="J164" s="1004">
        <v>0</v>
      </c>
      <c r="K164" s="1004">
        <v>8</v>
      </c>
      <c r="L164" s="1232">
        <f t="shared" si="82"/>
        <v>125</v>
      </c>
      <c r="M164" s="1007">
        <v>45870</v>
      </c>
      <c r="N164" s="1007">
        <f t="shared" si="83"/>
        <v>45866</v>
      </c>
      <c r="O164" s="1020"/>
      <c r="P164" s="1024" t="s">
        <v>86</v>
      </c>
      <c r="Q164" s="1004"/>
      <c r="R164" s="1009">
        <v>45840</v>
      </c>
      <c r="S164" s="1004" t="s">
        <v>98</v>
      </c>
      <c r="T164" s="1233" t="s">
        <v>805</v>
      </c>
      <c r="U164" s="1233"/>
      <c r="V164" s="1234" t="s">
        <v>821</v>
      </c>
      <c r="W164" s="1007" t="s">
        <v>319</v>
      </c>
      <c r="X164" s="1235">
        <v>3.606</v>
      </c>
      <c r="Y164" s="1236">
        <f t="shared" si="91"/>
        <v>3606</v>
      </c>
      <c r="Z164" s="1236"/>
      <c r="AA164" s="1004" t="s">
        <v>825</v>
      </c>
      <c r="AB164" s="1004" t="s">
        <v>841</v>
      </c>
      <c r="AC164" s="1004" t="s">
        <v>93</v>
      </c>
      <c r="AD164" s="1023" t="s">
        <v>94</v>
      </c>
      <c r="AE164" s="1004"/>
      <c r="AF164" s="1002">
        <v>1000</v>
      </c>
      <c r="AG164" s="1002">
        <f t="shared" si="84"/>
        <v>0</v>
      </c>
      <c r="AH164" s="1237"/>
      <c r="AI164" s="1004" t="s">
        <v>95</v>
      </c>
      <c r="AJ164" s="1004"/>
      <c r="AK164" s="1004">
        <f t="shared" si="85"/>
        <v>3000</v>
      </c>
      <c r="AL164" s="1004"/>
      <c r="AM164" s="1004"/>
      <c r="AO164" s="974">
        <f t="shared" si="89"/>
        <v>3000</v>
      </c>
      <c r="AP164" s="1004"/>
      <c r="AQ164" s="1004"/>
      <c r="AS164" s="1004">
        <f t="shared" si="90"/>
        <v>3000</v>
      </c>
      <c r="AT164" s="1004"/>
      <c r="AU164" s="1004"/>
      <c r="AV164" s="1004"/>
      <c r="BR164" s="974">
        <f t="shared" si="86"/>
        <v>1000</v>
      </c>
      <c r="BS164" s="974">
        <f t="shared" si="87"/>
        <v>1000</v>
      </c>
      <c r="BT164" s="974">
        <f t="shared" si="88"/>
        <v>1000</v>
      </c>
      <c r="BU164" s="939">
        <f t="shared" si="61"/>
        <v>3000</v>
      </c>
      <c r="BV164" s="1222">
        <f t="shared" si="62"/>
        <v>2505959</v>
      </c>
      <c r="BW164" s="1018"/>
      <c r="BX164" s="1018"/>
      <c r="BY164" s="1018"/>
      <c r="BZ164" s="1018"/>
      <c r="CA164" s="856">
        <f t="shared" si="59"/>
        <v>314041</v>
      </c>
      <c r="CC164" s="964">
        <f t="shared" si="63"/>
        <v>0</v>
      </c>
      <c r="CD164" s="939">
        <f t="shared" si="64"/>
        <v>50458.5714285714</v>
      </c>
      <c r="CE164" s="1018"/>
      <c r="CF164" s="1018"/>
      <c r="CG164" s="1018"/>
      <c r="CH164" s="939">
        <f t="shared" si="60"/>
        <v>9541.4285714286</v>
      </c>
      <c r="CI164" s="1018"/>
    </row>
    <row r="165" s="974" customFormat="1" ht="31" customHeight="1" spans="1:87">
      <c r="A165" s="1228">
        <v>45838</v>
      </c>
      <c r="B165" s="1229" t="s">
        <v>314</v>
      </c>
      <c r="C165" s="1238" t="s">
        <v>125</v>
      </c>
      <c r="D165" s="1231">
        <v>4500171916</v>
      </c>
      <c r="E165" s="1229" t="s">
        <v>858</v>
      </c>
      <c r="F165" s="1231" t="s">
        <v>859</v>
      </c>
      <c r="G165" s="1004" t="s">
        <v>841</v>
      </c>
      <c r="H165" s="1004" t="s">
        <v>842</v>
      </c>
      <c r="I165" s="1004">
        <v>600</v>
      </c>
      <c r="J165" s="1004">
        <v>0</v>
      </c>
      <c r="K165" s="1004">
        <v>8</v>
      </c>
      <c r="L165" s="1232">
        <f t="shared" si="82"/>
        <v>75</v>
      </c>
      <c r="M165" s="1007">
        <v>45870</v>
      </c>
      <c r="N165" s="1007">
        <f t="shared" si="83"/>
        <v>45866</v>
      </c>
      <c r="O165" s="1020"/>
      <c r="P165" s="1024" t="s">
        <v>86</v>
      </c>
      <c r="Q165" s="1004"/>
      <c r="R165" s="1009">
        <v>45840</v>
      </c>
      <c r="S165" s="1004" t="s">
        <v>98</v>
      </c>
      <c r="T165" s="1233" t="s">
        <v>805</v>
      </c>
      <c r="U165" s="1233"/>
      <c r="V165" s="1234" t="s">
        <v>817</v>
      </c>
      <c r="W165" s="1007" t="s">
        <v>319</v>
      </c>
      <c r="X165" s="1235">
        <v>3.606</v>
      </c>
      <c r="Y165" s="1236">
        <f t="shared" si="91"/>
        <v>2163.6</v>
      </c>
      <c r="Z165" s="1236"/>
      <c r="AA165" s="1004" t="s">
        <v>828</v>
      </c>
      <c r="AB165" s="1004" t="s">
        <v>841</v>
      </c>
      <c r="AC165" s="1004" t="s">
        <v>93</v>
      </c>
      <c r="AD165" s="1023" t="s">
        <v>94</v>
      </c>
      <c r="AE165" s="1004"/>
      <c r="AF165" s="1002">
        <f>600</f>
        <v>600</v>
      </c>
      <c r="AG165" s="1002">
        <f t="shared" si="84"/>
        <v>0</v>
      </c>
      <c r="AH165" s="1237"/>
      <c r="AI165" s="1004" t="s">
        <v>95</v>
      </c>
      <c r="AJ165" s="1004"/>
      <c r="AK165" s="1004">
        <f t="shared" si="85"/>
        <v>1800</v>
      </c>
      <c r="AL165" s="1004"/>
      <c r="AM165" s="1004"/>
      <c r="AO165" s="974">
        <f t="shared" si="89"/>
        <v>1800</v>
      </c>
      <c r="AP165" s="1004"/>
      <c r="AQ165" s="1004"/>
      <c r="AS165" s="1004">
        <f t="shared" si="90"/>
        <v>1800</v>
      </c>
      <c r="AT165" s="1004"/>
      <c r="AU165" s="1004"/>
      <c r="AV165" s="1004"/>
      <c r="BR165" s="974">
        <f t="shared" si="86"/>
        <v>600</v>
      </c>
      <c r="BS165" s="974">
        <f t="shared" si="87"/>
        <v>600</v>
      </c>
      <c r="BT165" s="974">
        <f t="shared" si="88"/>
        <v>600</v>
      </c>
      <c r="BU165" s="939">
        <f t="shared" si="61"/>
        <v>1800</v>
      </c>
      <c r="BV165" s="1222">
        <f t="shared" si="62"/>
        <v>2507759</v>
      </c>
      <c r="BW165" s="1018"/>
      <c r="BX165" s="1018"/>
      <c r="BY165" s="1018"/>
      <c r="BZ165" s="1018"/>
      <c r="CA165" s="856">
        <f t="shared" si="59"/>
        <v>312241</v>
      </c>
      <c r="CC165" s="964">
        <f t="shared" si="63"/>
        <v>0</v>
      </c>
      <c r="CD165" s="939">
        <f t="shared" si="64"/>
        <v>50458.5714285714</v>
      </c>
      <c r="CE165" s="1018"/>
      <c r="CF165" s="1018"/>
      <c r="CG165" s="1018"/>
      <c r="CH165" s="939">
        <f t="shared" si="60"/>
        <v>9541.4285714286</v>
      </c>
      <c r="CI165" s="1018"/>
    </row>
    <row r="166" s="974" customFormat="1" ht="31" customHeight="1" spans="1:87">
      <c r="A166" s="1228">
        <v>45838</v>
      </c>
      <c r="B166" s="1229" t="s">
        <v>314</v>
      </c>
      <c r="C166" s="1238" t="s">
        <v>125</v>
      </c>
      <c r="D166" s="1231">
        <v>4500171914</v>
      </c>
      <c r="E166" s="1229" t="s">
        <v>860</v>
      </c>
      <c r="F166" s="1231" t="s">
        <v>861</v>
      </c>
      <c r="G166" s="1004" t="s">
        <v>841</v>
      </c>
      <c r="H166" s="1004" t="s">
        <v>842</v>
      </c>
      <c r="I166" s="1004">
        <v>600</v>
      </c>
      <c r="J166" s="1004">
        <v>0</v>
      </c>
      <c r="K166" s="1004">
        <v>8</v>
      </c>
      <c r="L166" s="1232">
        <f t="shared" si="82"/>
        <v>75</v>
      </c>
      <c r="M166" s="1007">
        <v>45870</v>
      </c>
      <c r="N166" s="1007">
        <f t="shared" si="83"/>
        <v>45866</v>
      </c>
      <c r="O166" s="1020"/>
      <c r="P166" s="1024" t="s">
        <v>86</v>
      </c>
      <c r="Q166" s="1004"/>
      <c r="R166" s="1009">
        <v>45840</v>
      </c>
      <c r="S166" s="1004" t="s">
        <v>98</v>
      </c>
      <c r="T166" s="1233" t="s">
        <v>805</v>
      </c>
      <c r="U166" s="1233"/>
      <c r="V166" s="1234" t="s">
        <v>817</v>
      </c>
      <c r="W166" s="1007" t="s">
        <v>319</v>
      </c>
      <c r="X166" s="1235">
        <v>3.606</v>
      </c>
      <c r="Y166" s="1236">
        <f t="shared" si="91"/>
        <v>2163.6</v>
      </c>
      <c r="Z166" s="1236"/>
      <c r="AA166" s="1004" t="s">
        <v>831</v>
      </c>
      <c r="AB166" s="1004" t="s">
        <v>841</v>
      </c>
      <c r="AC166" s="1004" t="s">
        <v>93</v>
      </c>
      <c r="AD166" s="1023" t="s">
        <v>94</v>
      </c>
      <c r="AE166" s="1004"/>
      <c r="AF166" s="1022"/>
      <c r="AG166" s="1002">
        <f t="shared" si="84"/>
        <v>-600</v>
      </c>
      <c r="AH166" s="1237"/>
      <c r="AI166" s="1004" t="s">
        <v>95</v>
      </c>
      <c r="AJ166" s="1004"/>
      <c r="AK166" s="1004">
        <f t="shared" si="85"/>
        <v>1800</v>
      </c>
      <c r="AL166" s="1004"/>
      <c r="AM166" s="1004"/>
      <c r="AO166" s="974">
        <f t="shared" si="89"/>
        <v>1800</v>
      </c>
      <c r="AP166" s="1004"/>
      <c r="AQ166" s="1004"/>
      <c r="AS166" s="1004">
        <f t="shared" si="90"/>
        <v>1800</v>
      </c>
      <c r="AT166" s="1004"/>
      <c r="AU166" s="1004"/>
      <c r="AV166" s="1004"/>
      <c r="BR166" s="974">
        <f t="shared" si="86"/>
        <v>600</v>
      </c>
      <c r="BS166" s="974">
        <f t="shared" si="87"/>
        <v>600</v>
      </c>
      <c r="BT166" s="974">
        <f t="shared" si="88"/>
        <v>600</v>
      </c>
      <c r="BU166" s="939">
        <f t="shared" si="61"/>
        <v>1800</v>
      </c>
      <c r="BV166" s="1222">
        <f t="shared" si="62"/>
        <v>2509559</v>
      </c>
      <c r="BW166" s="1018"/>
      <c r="BX166" s="1018"/>
      <c r="BY166" s="1018"/>
      <c r="BZ166" s="1018"/>
      <c r="CA166" s="856">
        <f t="shared" si="59"/>
        <v>310441</v>
      </c>
      <c r="CC166" s="964">
        <f t="shared" si="63"/>
        <v>0</v>
      </c>
      <c r="CD166" s="939">
        <f t="shared" si="64"/>
        <v>50458.5714285714</v>
      </c>
      <c r="CE166" s="1018"/>
      <c r="CF166" s="1018"/>
      <c r="CG166" s="1018"/>
      <c r="CH166" s="939">
        <f t="shared" si="60"/>
        <v>9541.4285714286</v>
      </c>
      <c r="CI166" s="1018"/>
    </row>
    <row r="167" s="974" customFormat="1" ht="31" customHeight="1" spans="1:87">
      <c r="A167" s="1228">
        <v>45838</v>
      </c>
      <c r="B167" s="1229" t="s">
        <v>314</v>
      </c>
      <c r="C167" s="1238" t="s">
        <v>125</v>
      </c>
      <c r="D167" s="1231">
        <v>4500171918</v>
      </c>
      <c r="E167" s="1229" t="s">
        <v>862</v>
      </c>
      <c r="F167" s="1231" t="s">
        <v>863</v>
      </c>
      <c r="G167" s="1004" t="s">
        <v>841</v>
      </c>
      <c r="H167" s="1004" t="s">
        <v>842</v>
      </c>
      <c r="I167" s="1004">
        <v>896</v>
      </c>
      <c r="J167" s="1004">
        <v>0</v>
      </c>
      <c r="K167" s="1004">
        <v>8</v>
      </c>
      <c r="L167" s="1232">
        <f t="shared" si="82"/>
        <v>112</v>
      </c>
      <c r="M167" s="1007">
        <v>45870</v>
      </c>
      <c r="N167" s="1007">
        <f t="shared" si="83"/>
        <v>45866</v>
      </c>
      <c r="O167" s="1020"/>
      <c r="P167" s="1024" t="s">
        <v>86</v>
      </c>
      <c r="Q167" s="1004"/>
      <c r="R167" s="1009">
        <v>45840</v>
      </c>
      <c r="S167" s="1004" t="s">
        <v>98</v>
      </c>
      <c r="T167" s="1233" t="s">
        <v>805</v>
      </c>
      <c r="U167" s="1233"/>
      <c r="V167" s="1234" t="s">
        <v>806</v>
      </c>
      <c r="W167" s="1007" t="s">
        <v>319</v>
      </c>
      <c r="X167" s="1235">
        <v>3.606</v>
      </c>
      <c r="Y167" s="1236">
        <f t="shared" si="91"/>
        <v>3230.976</v>
      </c>
      <c r="Z167" s="1236"/>
      <c r="AA167" s="1004" t="s">
        <v>834</v>
      </c>
      <c r="AB167" s="1004" t="s">
        <v>841</v>
      </c>
      <c r="AC167" s="1004" t="s">
        <v>93</v>
      </c>
      <c r="AD167" s="1023" t="s">
        <v>94</v>
      </c>
      <c r="AE167" s="1004"/>
      <c r="AF167" s="1002">
        <v>896</v>
      </c>
      <c r="AG167" s="1002">
        <f t="shared" si="84"/>
        <v>0</v>
      </c>
      <c r="AH167" s="1237"/>
      <c r="AI167" s="1004" t="s">
        <v>95</v>
      </c>
      <c r="AJ167" s="1004"/>
      <c r="AK167" s="1004">
        <f t="shared" si="85"/>
        <v>2688</v>
      </c>
      <c r="AL167" s="1004"/>
      <c r="AM167" s="1004"/>
      <c r="AO167" s="974">
        <f t="shared" si="89"/>
        <v>2688</v>
      </c>
      <c r="AP167" s="1004"/>
      <c r="AQ167" s="1004"/>
      <c r="AS167" s="1004">
        <f t="shared" si="90"/>
        <v>2688</v>
      </c>
      <c r="AT167" s="1004"/>
      <c r="AU167" s="1004"/>
      <c r="AV167" s="1004"/>
      <c r="BR167" s="974">
        <f t="shared" si="86"/>
        <v>896</v>
      </c>
      <c r="BS167" s="974">
        <f t="shared" si="87"/>
        <v>896</v>
      </c>
      <c r="BT167" s="974">
        <f t="shared" si="88"/>
        <v>896</v>
      </c>
      <c r="BU167" s="939">
        <f t="shared" si="61"/>
        <v>2688</v>
      </c>
      <c r="BV167" s="1222">
        <f t="shared" si="62"/>
        <v>2512247</v>
      </c>
      <c r="BW167" s="1018"/>
      <c r="BX167" s="1018"/>
      <c r="BY167" s="1018"/>
      <c r="BZ167" s="1018"/>
      <c r="CA167" s="856">
        <f t="shared" si="59"/>
        <v>307753</v>
      </c>
      <c r="CC167" s="964">
        <f t="shared" si="63"/>
        <v>0</v>
      </c>
      <c r="CD167" s="939">
        <f t="shared" si="64"/>
        <v>50458.5714285714</v>
      </c>
      <c r="CE167" s="1018"/>
      <c r="CF167" s="1018"/>
      <c r="CG167" s="1018"/>
      <c r="CH167" s="939">
        <f t="shared" si="60"/>
        <v>9541.4285714286</v>
      </c>
      <c r="CI167" s="1018"/>
    </row>
    <row r="168" s="974" customFormat="1" ht="31" customHeight="1" spans="1:87">
      <c r="A168" s="1228">
        <v>45838</v>
      </c>
      <c r="B168" s="1229" t="s">
        <v>314</v>
      </c>
      <c r="C168" s="1238" t="s">
        <v>125</v>
      </c>
      <c r="D168" s="1231">
        <v>4500171912</v>
      </c>
      <c r="E168" s="1229" t="s">
        <v>864</v>
      </c>
      <c r="F168" s="1231" t="s">
        <v>865</v>
      </c>
      <c r="G168" s="1004" t="s">
        <v>841</v>
      </c>
      <c r="H168" s="1004" t="s">
        <v>842</v>
      </c>
      <c r="I168" s="1004">
        <v>1000</v>
      </c>
      <c r="J168" s="1004">
        <v>0</v>
      </c>
      <c r="K168" s="1004">
        <v>8</v>
      </c>
      <c r="L168" s="1232">
        <f t="shared" si="82"/>
        <v>125</v>
      </c>
      <c r="M168" s="1007">
        <v>45870</v>
      </c>
      <c r="N168" s="1007">
        <f t="shared" si="83"/>
        <v>45866</v>
      </c>
      <c r="O168" s="1020"/>
      <c r="P168" s="1024" t="s">
        <v>86</v>
      </c>
      <c r="Q168" s="1004"/>
      <c r="R168" s="1009">
        <v>45840</v>
      </c>
      <c r="S168" s="1004" t="s">
        <v>98</v>
      </c>
      <c r="T168" s="1233" t="s">
        <v>805</v>
      </c>
      <c r="U168" s="1233"/>
      <c r="V168" s="1234" t="s">
        <v>837</v>
      </c>
      <c r="W168" s="1007" t="s">
        <v>319</v>
      </c>
      <c r="X168" s="1235">
        <v>3.606</v>
      </c>
      <c r="Y168" s="1236">
        <f t="shared" si="91"/>
        <v>3606</v>
      </c>
      <c r="Z168" s="1236"/>
      <c r="AA168" s="1004" t="s">
        <v>838</v>
      </c>
      <c r="AB168" s="1004" t="s">
        <v>841</v>
      </c>
      <c r="AC168" s="1004" t="s">
        <v>93</v>
      </c>
      <c r="AD168" s="1023" t="s">
        <v>94</v>
      </c>
      <c r="AE168" s="1004"/>
      <c r="AF168" s="1002">
        <v>1000</v>
      </c>
      <c r="AG168" s="1002">
        <f t="shared" si="84"/>
        <v>0</v>
      </c>
      <c r="AH168" s="1237"/>
      <c r="AI168" s="1004" t="s">
        <v>95</v>
      </c>
      <c r="AJ168" s="1004"/>
      <c r="AK168" s="1004">
        <f t="shared" si="85"/>
        <v>3000</v>
      </c>
      <c r="AL168" s="1004"/>
      <c r="AM168" s="1004"/>
      <c r="AO168" s="974">
        <f t="shared" si="89"/>
        <v>3000</v>
      </c>
      <c r="AP168" s="1004"/>
      <c r="AQ168" s="1004"/>
      <c r="AS168" s="1004">
        <f t="shared" si="90"/>
        <v>3000</v>
      </c>
      <c r="AT168" s="1004"/>
      <c r="AU168" s="1004"/>
      <c r="AV168" s="1004"/>
      <c r="BR168" s="974">
        <f t="shared" si="86"/>
        <v>1000</v>
      </c>
      <c r="BS168" s="974">
        <f t="shared" si="87"/>
        <v>1000</v>
      </c>
      <c r="BT168" s="974">
        <f t="shared" si="88"/>
        <v>1000</v>
      </c>
      <c r="BU168" s="939">
        <f t="shared" si="61"/>
        <v>3000</v>
      </c>
      <c r="BV168" s="1222">
        <f t="shared" si="62"/>
        <v>2515247</v>
      </c>
      <c r="BW168" s="1018"/>
      <c r="BX168" s="1018"/>
      <c r="BY168" s="1018"/>
      <c r="BZ168" s="1018"/>
      <c r="CA168" s="856">
        <f t="shared" si="59"/>
        <v>304753</v>
      </c>
      <c r="CC168" s="964">
        <f t="shared" si="63"/>
        <v>0</v>
      </c>
      <c r="CD168" s="939">
        <f t="shared" si="64"/>
        <v>50458.5714285714</v>
      </c>
      <c r="CE168" s="1018"/>
      <c r="CF168" s="1018"/>
      <c r="CG168" s="1018"/>
      <c r="CH168" s="939">
        <f t="shared" si="60"/>
        <v>9541.4285714286</v>
      </c>
      <c r="CI168" s="1018"/>
    </row>
    <row r="169" s="974" customFormat="1" ht="31" customHeight="1" spans="1:87">
      <c r="A169" s="1228">
        <v>45838</v>
      </c>
      <c r="B169" s="1229" t="s">
        <v>314</v>
      </c>
      <c r="C169" s="1238" t="s">
        <v>125</v>
      </c>
      <c r="D169" s="1231">
        <v>4500171915</v>
      </c>
      <c r="E169" s="1229" t="s">
        <v>866</v>
      </c>
      <c r="F169" s="1231" t="s">
        <v>867</v>
      </c>
      <c r="G169" s="1004" t="s">
        <v>841</v>
      </c>
      <c r="H169" s="1004" t="s">
        <v>842</v>
      </c>
      <c r="I169" s="1004">
        <v>1000</v>
      </c>
      <c r="J169" s="1004">
        <v>0</v>
      </c>
      <c r="K169" s="1004">
        <v>8</v>
      </c>
      <c r="L169" s="1232">
        <f t="shared" si="82"/>
        <v>125</v>
      </c>
      <c r="M169" s="1007">
        <v>45870</v>
      </c>
      <c r="N169" s="1007">
        <f t="shared" si="83"/>
        <v>45866</v>
      </c>
      <c r="O169" s="1020"/>
      <c r="P169" s="1024" t="s">
        <v>86</v>
      </c>
      <c r="Q169" s="1004"/>
      <c r="R169" s="1009">
        <v>45840</v>
      </c>
      <c r="S169" s="1004" t="s">
        <v>98</v>
      </c>
      <c r="T169" s="1233" t="s">
        <v>805</v>
      </c>
      <c r="U169" s="1233"/>
      <c r="V169" s="1234" t="s">
        <v>806</v>
      </c>
      <c r="W169" s="1007" t="s">
        <v>319</v>
      </c>
      <c r="X169" s="1235">
        <v>3.606</v>
      </c>
      <c r="Y169" s="1236">
        <f t="shared" si="91"/>
        <v>3606</v>
      </c>
      <c r="Z169" s="1236"/>
      <c r="AA169" s="1004" t="s">
        <v>868</v>
      </c>
      <c r="AB169" s="1004" t="s">
        <v>841</v>
      </c>
      <c r="AC169" s="1004" t="s">
        <v>93</v>
      </c>
      <c r="AD169" s="1023" t="s">
        <v>94</v>
      </c>
      <c r="AE169" s="1004"/>
      <c r="AF169" s="1022"/>
      <c r="AG169" s="1002">
        <f t="shared" si="84"/>
        <v>-1000</v>
      </c>
      <c r="AH169" s="1237"/>
      <c r="AI169" s="1004" t="s">
        <v>95</v>
      </c>
      <c r="AJ169" s="1004"/>
      <c r="AK169" s="1004">
        <f t="shared" si="85"/>
        <v>3000</v>
      </c>
      <c r="AL169" s="1004"/>
      <c r="AM169" s="1004"/>
      <c r="AO169" s="974">
        <f t="shared" si="89"/>
        <v>3000</v>
      </c>
      <c r="AP169" s="1004"/>
      <c r="AQ169" s="1004"/>
      <c r="AS169" s="1004">
        <f t="shared" si="90"/>
        <v>3000</v>
      </c>
      <c r="AT169" s="1004"/>
      <c r="AU169" s="1004"/>
      <c r="AV169" s="1004"/>
      <c r="BR169" s="974">
        <f t="shared" si="86"/>
        <v>1000</v>
      </c>
      <c r="BS169" s="974">
        <f t="shared" si="87"/>
        <v>1000</v>
      </c>
      <c r="BT169" s="974">
        <f t="shared" si="88"/>
        <v>1000</v>
      </c>
      <c r="BU169" s="939">
        <f t="shared" si="61"/>
        <v>3000</v>
      </c>
      <c r="BV169" s="1222">
        <f t="shared" si="62"/>
        <v>2518247</v>
      </c>
      <c r="BW169" s="1018"/>
      <c r="BX169" s="1018"/>
      <c r="BY169" s="1018"/>
      <c r="BZ169" s="1018"/>
      <c r="CA169" s="856">
        <f t="shared" si="59"/>
        <v>301753</v>
      </c>
      <c r="CC169" s="964">
        <f t="shared" si="63"/>
        <v>0</v>
      </c>
      <c r="CD169" s="939">
        <f t="shared" si="64"/>
        <v>50458.5714285714</v>
      </c>
      <c r="CE169" s="1018"/>
      <c r="CF169" s="1018"/>
      <c r="CG169" s="1018"/>
      <c r="CH169" s="939">
        <f t="shared" si="60"/>
        <v>9541.4285714286</v>
      </c>
      <c r="CI169" s="1018"/>
    </row>
    <row r="170" s="974" customFormat="1" ht="31" customHeight="1" spans="1:87">
      <c r="A170" s="1228">
        <v>45834</v>
      </c>
      <c r="B170" s="1229" t="s">
        <v>869</v>
      </c>
      <c r="C170" s="1238" t="s">
        <v>632</v>
      </c>
      <c r="D170" s="1231">
        <v>4500171335</v>
      </c>
      <c r="E170" s="1229" t="s">
        <v>870</v>
      </c>
      <c r="F170" s="1231" t="s">
        <v>871</v>
      </c>
      <c r="G170" s="1004" t="s">
        <v>872</v>
      </c>
      <c r="H170" s="1004" t="s">
        <v>189</v>
      </c>
      <c r="I170" s="1004">
        <v>950</v>
      </c>
      <c r="J170" s="1004">
        <v>0</v>
      </c>
      <c r="K170" s="1004">
        <v>25</v>
      </c>
      <c r="L170" s="1232">
        <f t="shared" si="82"/>
        <v>38</v>
      </c>
      <c r="M170" s="1007">
        <v>45870</v>
      </c>
      <c r="N170" s="1007">
        <v>45866</v>
      </c>
      <c r="O170" s="1020"/>
      <c r="P170" s="1024" t="s">
        <v>86</v>
      </c>
      <c r="Q170" s="1004"/>
      <c r="R170" s="1009">
        <v>45835</v>
      </c>
      <c r="S170" s="1004" t="s">
        <v>98</v>
      </c>
      <c r="T170" s="1233">
        <v>45854</v>
      </c>
      <c r="U170" s="1233"/>
      <c r="V170" s="1234" t="s">
        <v>873</v>
      </c>
      <c r="W170" s="1007" t="s">
        <v>874</v>
      </c>
      <c r="X170" s="1235">
        <v>1.9614</v>
      </c>
      <c r="Y170" s="1236">
        <v>1863.33</v>
      </c>
      <c r="Z170" s="1236"/>
      <c r="AA170" s="1004" t="s">
        <v>875</v>
      </c>
      <c r="AB170" s="1004" t="s">
        <v>872</v>
      </c>
      <c r="AC170" s="1004" t="s">
        <v>93</v>
      </c>
      <c r="AD170" s="1023" t="s">
        <v>94</v>
      </c>
      <c r="AE170" s="1004"/>
      <c r="AF170" s="1002">
        <v>950</v>
      </c>
      <c r="AG170" s="1002">
        <f t="shared" ref="AG170:AG184" si="92">AF170-I170</f>
        <v>0</v>
      </c>
      <c r="AH170" s="1237"/>
      <c r="AI170" s="1004" t="s">
        <v>95</v>
      </c>
      <c r="AJ170" s="1004"/>
      <c r="AK170" s="1004"/>
      <c r="AL170" s="1004">
        <v>950</v>
      </c>
      <c r="AM170" s="1004"/>
      <c r="AP170" s="1004">
        <v>950</v>
      </c>
      <c r="AQ170" s="1004"/>
      <c r="AS170" s="1004">
        <v>950</v>
      </c>
      <c r="AT170" s="1004"/>
      <c r="AU170" s="1004"/>
      <c r="AV170" s="1004"/>
      <c r="BF170" s="974">
        <v>38</v>
      </c>
      <c r="BU170" s="939">
        <f t="shared" si="61"/>
        <v>950</v>
      </c>
      <c r="BV170" s="1222">
        <f t="shared" si="62"/>
        <v>2519197</v>
      </c>
      <c r="BW170" s="1018"/>
      <c r="BX170" s="1018"/>
      <c r="BY170" s="1018"/>
      <c r="BZ170" s="1018"/>
      <c r="CA170" s="856">
        <f t="shared" si="59"/>
        <v>300803</v>
      </c>
      <c r="CC170" s="964">
        <f t="shared" si="63"/>
        <v>38</v>
      </c>
      <c r="CD170" s="939">
        <f t="shared" si="64"/>
        <v>50496.5714285714</v>
      </c>
      <c r="CE170" s="1018"/>
      <c r="CF170" s="1018"/>
      <c r="CG170" s="1018"/>
      <c r="CH170" s="939">
        <f t="shared" si="60"/>
        <v>9503.4285714286</v>
      </c>
      <c r="CI170" s="1018"/>
    </row>
    <row r="171" s="974" customFormat="1" ht="31" customHeight="1" spans="1:87">
      <c r="A171" s="1228">
        <v>45834</v>
      </c>
      <c r="B171" s="1229" t="s">
        <v>869</v>
      </c>
      <c r="C171" s="1238" t="s">
        <v>632</v>
      </c>
      <c r="D171" s="1231">
        <v>4500171335</v>
      </c>
      <c r="E171" s="1229" t="s">
        <v>870</v>
      </c>
      <c r="F171" s="1231" t="s">
        <v>876</v>
      </c>
      <c r="G171" s="1004" t="s">
        <v>872</v>
      </c>
      <c r="H171" s="1004" t="s">
        <v>189</v>
      </c>
      <c r="I171" s="1004">
        <v>250</v>
      </c>
      <c r="J171" s="1004">
        <v>0</v>
      </c>
      <c r="K171" s="1004">
        <v>25</v>
      </c>
      <c r="L171" s="1232">
        <f t="shared" ref="L171:L180" si="93">I171/K171</f>
        <v>10</v>
      </c>
      <c r="M171" s="1007">
        <v>45870</v>
      </c>
      <c r="N171" s="1007">
        <f t="shared" ref="N171:N176" si="94">M171-4</f>
        <v>45866</v>
      </c>
      <c r="O171" s="1020"/>
      <c r="P171" s="1024" t="s">
        <v>86</v>
      </c>
      <c r="Q171" s="1004"/>
      <c r="R171" s="1009">
        <v>45835</v>
      </c>
      <c r="S171" s="1004" t="s">
        <v>98</v>
      </c>
      <c r="T171" s="1233">
        <v>45854</v>
      </c>
      <c r="U171" s="1233"/>
      <c r="V171" s="1234" t="s">
        <v>873</v>
      </c>
      <c r="W171" s="1007" t="s">
        <v>874</v>
      </c>
      <c r="X171" s="1235">
        <v>1.9444</v>
      </c>
      <c r="Y171" s="1236">
        <f t="shared" ref="Y171:Y176" si="95">I171*X171</f>
        <v>486.1</v>
      </c>
      <c r="Z171" s="1236"/>
      <c r="AA171" s="1004" t="s">
        <v>875</v>
      </c>
      <c r="AB171" s="1004" t="s">
        <v>872</v>
      </c>
      <c r="AC171" s="1004" t="s">
        <v>93</v>
      </c>
      <c r="AD171" s="1023" t="s">
        <v>94</v>
      </c>
      <c r="AE171" s="1004"/>
      <c r="AF171" s="1002">
        <v>250</v>
      </c>
      <c r="AG171" s="1002">
        <f t="shared" si="92"/>
        <v>0</v>
      </c>
      <c r="AH171" s="1237"/>
      <c r="AI171" s="1004" t="s">
        <v>95</v>
      </c>
      <c r="AJ171" s="1004"/>
      <c r="AK171" s="1004"/>
      <c r="AL171" s="1004">
        <f>I171</f>
        <v>250</v>
      </c>
      <c r="AM171" s="1004"/>
      <c r="AP171" s="1004">
        <f t="shared" ref="AP171:AP176" si="96">I171</f>
        <v>250</v>
      </c>
      <c r="AQ171" s="1004"/>
      <c r="AS171" s="1004">
        <f t="shared" ref="AS171:AS176" si="97">I171</f>
        <v>250</v>
      </c>
      <c r="AT171" s="1004"/>
      <c r="AU171" s="1004"/>
      <c r="AV171" s="1004"/>
      <c r="BF171" s="974">
        <f t="shared" ref="BF171:BF176" si="98">I171/25</f>
        <v>10</v>
      </c>
      <c r="BU171" s="939">
        <f t="shared" si="61"/>
        <v>250</v>
      </c>
      <c r="BV171" s="1222">
        <f t="shared" si="62"/>
        <v>2519447</v>
      </c>
      <c r="BW171" s="1018"/>
      <c r="BX171" s="1018"/>
      <c r="BY171" s="1018"/>
      <c r="BZ171" s="1018"/>
      <c r="CA171" s="856">
        <f t="shared" si="59"/>
        <v>300553</v>
      </c>
      <c r="CC171" s="964">
        <f t="shared" si="63"/>
        <v>10</v>
      </c>
      <c r="CD171" s="939">
        <f t="shared" si="64"/>
        <v>50506.5714285714</v>
      </c>
      <c r="CE171" s="1018"/>
      <c r="CF171" s="1018"/>
      <c r="CG171" s="1018"/>
      <c r="CH171" s="939">
        <f t="shared" si="60"/>
        <v>9493.4285714286</v>
      </c>
      <c r="CI171" s="1018"/>
    </row>
    <row r="172" s="974" customFormat="1" ht="31" customHeight="1" spans="1:87">
      <c r="A172" s="1228">
        <v>45834</v>
      </c>
      <c r="B172" s="1229" t="s">
        <v>869</v>
      </c>
      <c r="C172" s="1238" t="s">
        <v>632</v>
      </c>
      <c r="D172" s="1231">
        <v>4500171335</v>
      </c>
      <c r="E172" s="1229" t="s">
        <v>870</v>
      </c>
      <c r="F172" s="1231" t="s">
        <v>877</v>
      </c>
      <c r="G172" s="1004" t="s">
        <v>872</v>
      </c>
      <c r="H172" s="1004" t="s">
        <v>189</v>
      </c>
      <c r="I172" s="1004">
        <v>950</v>
      </c>
      <c r="J172" s="1004">
        <v>0</v>
      </c>
      <c r="K172" s="1004">
        <v>25</v>
      </c>
      <c r="L172" s="1232">
        <f t="shared" si="93"/>
        <v>38</v>
      </c>
      <c r="M172" s="1007">
        <v>45870</v>
      </c>
      <c r="N172" s="1007">
        <f t="shared" si="94"/>
        <v>45866</v>
      </c>
      <c r="O172" s="1020"/>
      <c r="P172" s="1024" t="s">
        <v>86</v>
      </c>
      <c r="Q172" s="1004"/>
      <c r="R172" s="1009">
        <v>45835</v>
      </c>
      <c r="S172" s="1004" t="s">
        <v>98</v>
      </c>
      <c r="T172" s="1233">
        <v>45854</v>
      </c>
      <c r="U172" s="1233"/>
      <c r="V172" s="1234" t="s">
        <v>873</v>
      </c>
      <c r="W172" s="1007" t="s">
        <v>874</v>
      </c>
      <c r="X172" s="1235">
        <v>1.9614</v>
      </c>
      <c r="Y172" s="1236">
        <f t="shared" si="95"/>
        <v>1863.33</v>
      </c>
      <c r="Z172" s="1236"/>
      <c r="AA172" s="1004" t="s">
        <v>875</v>
      </c>
      <c r="AB172" s="1004" t="s">
        <v>872</v>
      </c>
      <c r="AC172" s="1004" t="s">
        <v>93</v>
      </c>
      <c r="AD172" s="1023" t="s">
        <v>94</v>
      </c>
      <c r="AE172" s="1004"/>
      <c r="AF172" s="1002">
        <v>950</v>
      </c>
      <c r="AG172" s="1002">
        <f t="shared" si="92"/>
        <v>0</v>
      </c>
      <c r="AH172" s="1237"/>
      <c r="AI172" s="1004" t="s">
        <v>95</v>
      </c>
      <c r="AJ172" s="1004"/>
      <c r="AK172" s="1004"/>
      <c r="AL172" s="1004">
        <f>I172</f>
        <v>950</v>
      </c>
      <c r="AM172" s="1004"/>
      <c r="AP172" s="1004">
        <f t="shared" si="96"/>
        <v>950</v>
      </c>
      <c r="AQ172" s="1004"/>
      <c r="AS172" s="1004">
        <f t="shared" si="97"/>
        <v>950</v>
      </c>
      <c r="AT172" s="1004"/>
      <c r="AU172" s="1004"/>
      <c r="AV172" s="1004"/>
      <c r="BF172" s="974">
        <f t="shared" si="98"/>
        <v>38</v>
      </c>
      <c r="BU172" s="939">
        <f t="shared" si="61"/>
        <v>950</v>
      </c>
      <c r="BV172" s="1222">
        <f t="shared" si="62"/>
        <v>2520397</v>
      </c>
      <c r="BW172" s="1018"/>
      <c r="BX172" s="1018"/>
      <c r="BY172" s="1018"/>
      <c r="BZ172" s="1018"/>
      <c r="CA172" s="856">
        <f t="shared" si="59"/>
        <v>299603</v>
      </c>
      <c r="CC172" s="964">
        <f t="shared" si="63"/>
        <v>38</v>
      </c>
      <c r="CD172" s="939">
        <f t="shared" si="64"/>
        <v>50544.5714285714</v>
      </c>
      <c r="CE172" s="1018"/>
      <c r="CF172" s="1018"/>
      <c r="CG172" s="1018"/>
      <c r="CH172" s="939">
        <f t="shared" si="60"/>
        <v>9455.4285714286</v>
      </c>
      <c r="CI172" s="1018"/>
    </row>
    <row r="173" s="974" customFormat="1" ht="31" customHeight="1" spans="1:87">
      <c r="A173" s="1228">
        <v>45834</v>
      </c>
      <c r="B173" s="1229" t="s">
        <v>869</v>
      </c>
      <c r="C173" s="1238" t="s">
        <v>632</v>
      </c>
      <c r="D173" s="1231">
        <v>4500171335</v>
      </c>
      <c r="E173" s="1229" t="s">
        <v>870</v>
      </c>
      <c r="F173" s="1231" t="s">
        <v>878</v>
      </c>
      <c r="G173" s="1004" t="s">
        <v>872</v>
      </c>
      <c r="H173" s="1004" t="s">
        <v>189</v>
      </c>
      <c r="I173" s="1004">
        <v>250</v>
      </c>
      <c r="J173" s="1004">
        <v>0</v>
      </c>
      <c r="K173" s="1004">
        <v>25</v>
      </c>
      <c r="L173" s="1232">
        <f t="shared" si="93"/>
        <v>10</v>
      </c>
      <c r="M173" s="1007">
        <v>45870</v>
      </c>
      <c r="N173" s="1007">
        <f t="shared" si="94"/>
        <v>45866</v>
      </c>
      <c r="O173" s="1020"/>
      <c r="P173" s="1024" t="s">
        <v>86</v>
      </c>
      <c r="Q173" s="1004"/>
      <c r="R173" s="1009">
        <v>45835</v>
      </c>
      <c r="S173" s="1004" t="s">
        <v>98</v>
      </c>
      <c r="T173" s="1233">
        <v>45854</v>
      </c>
      <c r="U173" s="1233"/>
      <c r="V173" s="1234" t="s">
        <v>873</v>
      </c>
      <c r="W173" s="1007" t="s">
        <v>874</v>
      </c>
      <c r="X173" s="1235">
        <v>1.9614</v>
      </c>
      <c r="Y173" s="1236">
        <f t="shared" si="95"/>
        <v>490.35</v>
      </c>
      <c r="Z173" s="1236"/>
      <c r="AA173" s="1004" t="s">
        <v>875</v>
      </c>
      <c r="AB173" s="1004" t="s">
        <v>872</v>
      </c>
      <c r="AC173" s="1004" t="s">
        <v>93</v>
      </c>
      <c r="AD173" s="1023" t="s">
        <v>94</v>
      </c>
      <c r="AE173" s="1004"/>
      <c r="AF173" s="1002">
        <v>250</v>
      </c>
      <c r="AG173" s="1002">
        <f t="shared" si="92"/>
        <v>0</v>
      </c>
      <c r="AH173" s="1237"/>
      <c r="AI173" s="1004" t="s">
        <v>95</v>
      </c>
      <c r="AJ173" s="1004"/>
      <c r="AK173" s="1004"/>
      <c r="AL173" s="1004">
        <f>I173</f>
        <v>250</v>
      </c>
      <c r="AM173" s="1004"/>
      <c r="AP173" s="1004">
        <f t="shared" si="96"/>
        <v>250</v>
      </c>
      <c r="AQ173" s="1004"/>
      <c r="AS173" s="1004">
        <f t="shared" si="97"/>
        <v>250</v>
      </c>
      <c r="AT173" s="1004"/>
      <c r="AU173" s="1004"/>
      <c r="AV173" s="1004"/>
      <c r="BF173" s="974">
        <f t="shared" si="98"/>
        <v>10</v>
      </c>
      <c r="BU173" s="939">
        <f t="shared" si="61"/>
        <v>250</v>
      </c>
      <c r="BV173" s="1222">
        <f t="shared" si="62"/>
        <v>2520647</v>
      </c>
      <c r="BW173" s="1018"/>
      <c r="BX173" s="1018"/>
      <c r="BY173" s="1018"/>
      <c r="BZ173" s="1018"/>
      <c r="CA173" s="856">
        <f t="shared" si="59"/>
        <v>299353</v>
      </c>
      <c r="CC173" s="964">
        <f t="shared" si="63"/>
        <v>10</v>
      </c>
      <c r="CD173" s="939">
        <f t="shared" si="64"/>
        <v>50554.5714285714</v>
      </c>
      <c r="CE173" s="1018"/>
      <c r="CF173" s="1018"/>
      <c r="CG173" s="1018"/>
      <c r="CH173" s="939">
        <f t="shared" si="60"/>
        <v>9445.4285714286</v>
      </c>
      <c r="CI173" s="1018"/>
    </row>
    <row r="174" s="974" customFormat="1" ht="31" customHeight="1" spans="1:87">
      <c r="A174" s="1228">
        <v>45834</v>
      </c>
      <c r="B174" s="1229" t="s">
        <v>869</v>
      </c>
      <c r="C174" s="1238" t="s">
        <v>632</v>
      </c>
      <c r="D174" s="1231">
        <v>4500171342</v>
      </c>
      <c r="E174" s="1229" t="s">
        <v>879</v>
      </c>
      <c r="F174" s="1231" t="s">
        <v>880</v>
      </c>
      <c r="G174" s="1004" t="s">
        <v>872</v>
      </c>
      <c r="H174" s="1004" t="s">
        <v>189</v>
      </c>
      <c r="I174" s="1004">
        <v>150</v>
      </c>
      <c r="J174" s="1004">
        <v>0</v>
      </c>
      <c r="K174" s="1004">
        <v>25</v>
      </c>
      <c r="L174" s="1232">
        <f t="shared" si="93"/>
        <v>6</v>
      </c>
      <c r="M174" s="1007">
        <v>45870</v>
      </c>
      <c r="N174" s="1007">
        <f t="shared" si="94"/>
        <v>45866</v>
      </c>
      <c r="O174" s="1020"/>
      <c r="P174" s="1024" t="s">
        <v>86</v>
      </c>
      <c r="Q174" s="1004"/>
      <c r="R174" s="1009">
        <v>45835</v>
      </c>
      <c r="S174" s="1004" t="s">
        <v>98</v>
      </c>
      <c r="T174" s="1233">
        <v>45854</v>
      </c>
      <c r="U174" s="1233"/>
      <c r="V174" s="1234" t="s">
        <v>881</v>
      </c>
      <c r="W174" s="1007" t="s">
        <v>874</v>
      </c>
      <c r="X174" s="1235">
        <v>1.9614</v>
      </c>
      <c r="Y174" s="1236">
        <f t="shared" si="95"/>
        <v>294.21</v>
      </c>
      <c r="Z174" s="1236"/>
      <c r="AA174" s="1004" t="s">
        <v>882</v>
      </c>
      <c r="AB174" s="1004" t="s">
        <v>872</v>
      </c>
      <c r="AC174" s="1004" t="s">
        <v>93</v>
      </c>
      <c r="AD174" s="1023" t="s">
        <v>94</v>
      </c>
      <c r="AE174" s="1004"/>
      <c r="AF174" s="1002">
        <v>150</v>
      </c>
      <c r="AG174" s="1002">
        <f t="shared" si="92"/>
        <v>0</v>
      </c>
      <c r="AH174" s="1237"/>
      <c r="AI174" s="1004" t="s">
        <v>95</v>
      </c>
      <c r="AJ174" s="1004"/>
      <c r="AK174" s="1004"/>
      <c r="AL174" s="1004">
        <f>I174</f>
        <v>150</v>
      </c>
      <c r="AM174" s="1004"/>
      <c r="AP174" s="1004">
        <f t="shared" si="96"/>
        <v>150</v>
      </c>
      <c r="AQ174" s="1004"/>
      <c r="AS174" s="1004">
        <f t="shared" si="97"/>
        <v>150</v>
      </c>
      <c r="AT174" s="1004"/>
      <c r="AU174" s="1004"/>
      <c r="AV174" s="1004"/>
      <c r="BF174" s="974">
        <f t="shared" si="98"/>
        <v>6</v>
      </c>
      <c r="BU174" s="939">
        <f t="shared" si="61"/>
        <v>150</v>
      </c>
      <c r="BV174" s="1222">
        <f t="shared" si="62"/>
        <v>2520797</v>
      </c>
      <c r="BW174" s="1018"/>
      <c r="BX174" s="1018"/>
      <c r="BY174" s="1018"/>
      <c r="BZ174" s="1018"/>
      <c r="CA174" s="856">
        <f t="shared" si="59"/>
        <v>299203</v>
      </c>
      <c r="CC174" s="964">
        <f t="shared" si="63"/>
        <v>6</v>
      </c>
      <c r="CD174" s="939">
        <f t="shared" si="64"/>
        <v>50560.5714285714</v>
      </c>
      <c r="CE174" s="1018"/>
      <c r="CF174" s="1018"/>
      <c r="CG174" s="1018"/>
      <c r="CH174" s="939">
        <f t="shared" si="60"/>
        <v>9439.4285714286</v>
      </c>
      <c r="CI174" s="1018"/>
    </row>
    <row r="175" s="974" customFormat="1" ht="31" customHeight="1" spans="1:87">
      <c r="A175" s="1228">
        <v>45834</v>
      </c>
      <c r="B175" s="1229" t="s">
        <v>869</v>
      </c>
      <c r="C175" s="1238" t="s">
        <v>632</v>
      </c>
      <c r="D175" s="1231">
        <v>4500171342</v>
      </c>
      <c r="E175" s="1229" t="s">
        <v>879</v>
      </c>
      <c r="F175" s="1231" t="s">
        <v>883</v>
      </c>
      <c r="G175" s="1004" t="s">
        <v>872</v>
      </c>
      <c r="H175" s="1004" t="s">
        <v>189</v>
      </c>
      <c r="I175" s="1004">
        <v>100</v>
      </c>
      <c r="J175" s="1004">
        <v>0</v>
      </c>
      <c r="K175" s="1004">
        <v>25</v>
      </c>
      <c r="L175" s="1232">
        <f t="shared" si="93"/>
        <v>4</v>
      </c>
      <c r="M175" s="1007">
        <v>45870</v>
      </c>
      <c r="N175" s="1007">
        <f t="shared" si="94"/>
        <v>45866</v>
      </c>
      <c r="O175" s="1020"/>
      <c r="P175" s="1024" t="s">
        <v>86</v>
      </c>
      <c r="Q175" s="1004"/>
      <c r="R175" s="1009">
        <v>45835</v>
      </c>
      <c r="S175" s="1004" t="s">
        <v>98</v>
      </c>
      <c r="T175" s="1233">
        <v>45854</v>
      </c>
      <c r="U175" s="1233"/>
      <c r="V175" s="1234" t="s">
        <v>881</v>
      </c>
      <c r="W175" s="1007" t="s">
        <v>874</v>
      </c>
      <c r="X175" s="1235">
        <v>1.9614</v>
      </c>
      <c r="Y175" s="1236">
        <f t="shared" si="95"/>
        <v>196.14</v>
      </c>
      <c r="Z175" s="1236"/>
      <c r="AA175" s="1004" t="s">
        <v>882</v>
      </c>
      <c r="AB175" s="1004" t="s">
        <v>872</v>
      </c>
      <c r="AC175" s="1004" t="s">
        <v>93</v>
      </c>
      <c r="AD175" s="1023" t="s">
        <v>94</v>
      </c>
      <c r="AE175" s="1004"/>
      <c r="AF175" s="1002">
        <v>100</v>
      </c>
      <c r="AG175" s="1002">
        <f t="shared" si="92"/>
        <v>0</v>
      </c>
      <c r="AH175" s="1237"/>
      <c r="AI175" s="1004" t="s">
        <v>95</v>
      </c>
      <c r="AJ175" s="1004"/>
      <c r="AK175" s="1004"/>
      <c r="AL175" s="1004">
        <f>I175</f>
        <v>100</v>
      </c>
      <c r="AM175" s="1004"/>
      <c r="AP175" s="1004">
        <f t="shared" si="96"/>
        <v>100</v>
      </c>
      <c r="AQ175" s="1004"/>
      <c r="AS175" s="1004">
        <f t="shared" si="97"/>
        <v>100</v>
      </c>
      <c r="AT175" s="1004"/>
      <c r="AU175" s="1004"/>
      <c r="AV175" s="1004"/>
      <c r="BF175" s="974">
        <f t="shared" si="98"/>
        <v>4</v>
      </c>
      <c r="BU175" s="939">
        <f t="shared" si="61"/>
        <v>100</v>
      </c>
      <c r="BV175" s="1222">
        <f t="shared" si="62"/>
        <v>2520897</v>
      </c>
      <c r="BW175" s="1018"/>
      <c r="BX175" s="1018"/>
      <c r="BY175" s="1018"/>
      <c r="BZ175" s="1018"/>
      <c r="CA175" s="856">
        <f t="shared" si="59"/>
        <v>299103</v>
      </c>
      <c r="CC175" s="964">
        <f t="shared" si="63"/>
        <v>4</v>
      </c>
      <c r="CD175" s="939">
        <f t="shared" si="64"/>
        <v>50564.5714285714</v>
      </c>
      <c r="CE175" s="1018"/>
      <c r="CF175" s="1018"/>
      <c r="CG175" s="1018"/>
      <c r="CH175" s="939">
        <f t="shared" si="60"/>
        <v>9435.4285714286</v>
      </c>
      <c r="CI175" s="1018"/>
    </row>
    <row r="176" s="974" customFormat="1" ht="31" customHeight="1" spans="1:87">
      <c r="A176" s="1228">
        <v>45839</v>
      </c>
      <c r="B176" s="1229" t="s">
        <v>194</v>
      </c>
      <c r="C176" s="1238" t="s">
        <v>125</v>
      </c>
      <c r="D176" s="1231">
        <v>4500172246</v>
      </c>
      <c r="E176" s="1229">
        <v>60235929</v>
      </c>
      <c r="F176" s="1231" t="s">
        <v>884</v>
      </c>
      <c r="G176" s="1004" t="s">
        <v>196</v>
      </c>
      <c r="H176" s="1004" t="s">
        <v>197</v>
      </c>
      <c r="I176" s="1004">
        <v>2004</v>
      </c>
      <c r="J176" s="1004">
        <v>0</v>
      </c>
      <c r="K176" s="1004">
        <v>12</v>
      </c>
      <c r="L176" s="1232">
        <f t="shared" si="93"/>
        <v>167</v>
      </c>
      <c r="M176" s="1007">
        <v>45870</v>
      </c>
      <c r="N176" s="1007">
        <f t="shared" si="94"/>
        <v>45866</v>
      </c>
      <c r="O176" s="1020"/>
      <c r="P176" s="1024" t="s">
        <v>86</v>
      </c>
      <c r="Q176" s="1004"/>
      <c r="R176" s="1009">
        <v>45846</v>
      </c>
      <c r="S176" s="1004" t="s">
        <v>98</v>
      </c>
      <c r="T176" s="1233" t="s">
        <v>885</v>
      </c>
      <c r="U176" s="1233"/>
      <c r="V176" s="1234" t="s">
        <v>886</v>
      </c>
      <c r="W176" s="1007" t="s">
        <v>887</v>
      </c>
      <c r="X176" s="1235">
        <v>2.3946</v>
      </c>
      <c r="Y176" s="1236">
        <f>X176*I176</f>
        <v>4798.7784</v>
      </c>
      <c r="Z176" s="1236"/>
      <c r="AA176" s="1004" t="s">
        <v>888</v>
      </c>
      <c r="AB176" s="1004" t="s">
        <v>196</v>
      </c>
      <c r="AC176" s="1004" t="s">
        <v>93</v>
      </c>
      <c r="AD176" s="1023" t="s">
        <v>94</v>
      </c>
      <c r="AE176" s="1004"/>
      <c r="AF176" s="1002">
        <v>2004</v>
      </c>
      <c r="AG176" s="1002">
        <f t="shared" si="92"/>
        <v>0</v>
      </c>
      <c r="AH176" s="1237"/>
      <c r="AI176" s="1004" t="s">
        <v>95</v>
      </c>
      <c r="AJ176" s="1004"/>
      <c r="AK176" s="1004">
        <f>I176*2</f>
        <v>4008</v>
      </c>
      <c r="AL176" s="1004"/>
      <c r="AM176" s="1004">
        <f>I176*2</f>
        <v>4008</v>
      </c>
      <c r="AP176" s="1004"/>
      <c r="AQ176" s="1004"/>
      <c r="AS176" s="1004">
        <f>I176*2</f>
        <v>4008</v>
      </c>
      <c r="AT176" s="1004"/>
      <c r="AU176" s="1004"/>
      <c r="AV176" s="1004"/>
      <c r="BN176" s="974">
        <f>I176</f>
        <v>2004</v>
      </c>
      <c r="BO176" s="974">
        <f>I176</f>
        <v>2004</v>
      </c>
      <c r="BQ176" s="974">
        <f>I176</f>
        <v>2004</v>
      </c>
      <c r="BU176" s="939">
        <f t="shared" si="61"/>
        <v>4008</v>
      </c>
      <c r="BV176" s="1222">
        <f t="shared" si="62"/>
        <v>2524905</v>
      </c>
      <c r="BW176" s="1018"/>
      <c r="BX176" s="1018"/>
      <c r="BY176" s="1018"/>
      <c r="BZ176" s="1018"/>
      <c r="CA176" s="856">
        <f t="shared" si="59"/>
        <v>295095</v>
      </c>
      <c r="CC176" s="964">
        <f t="shared" si="63"/>
        <v>0</v>
      </c>
      <c r="CD176" s="939">
        <f t="shared" si="64"/>
        <v>50564.5714285714</v>
      </c>
      <c r="CE176" s="1018"/>
      <c r="CF176" s="1018"/>
      <c r="CG176" s="1018"/>
      <c r="CH176" s="939">
        <f t="shared" si="60"/>
        <v>9435.4285714286</v>
      </c>
      <c r="CI176" s="1018"/>
    </row>
    <row r="177" s="974" customFormat="1" ht="31" customHeight="1" spans="1:87">
      <c r="A177" s="1228">
        <v>45834</v>
      </c>
      <c r="B177" s="1229" t="s">
        <v>733</v>
      </c>
      <c r="C177" s="1238" t="s">
        <v>720</v>
      </c>
      <c r="D177" s="1231">
        <v>4500171286</v>
      </c>
      <c r="E177" s="1229"/>
      <c r="F177" s="1231" t="s">
        <v>889</v>
      </c>
      <c r="G177" s="1004" t="s">
        <v>205</v>
      </c>
      <c r="H177" s="1004" t="s">
        <v>189</v>
      </c>
      <c r="I177" s="1004">
        <v>500</v>
      </c>
      <c r="J177" s="1004">
        <v>0</v>
      </c>
      <c r="K177" s="1004">
        <v>50</v>
      </c>
      <c r="L177" s="1232">
        <f t="shared" si="93"/>
        <v>10</v>
      </c>
      <c r="M177" s="1007">
        <v>45870</v>
      </c>
      <c r="N177" s="1007">
        <v>45866</v>
      </c>
      <c r="O177" s="1020"/>
      <c r="P177" s="1024" t="s">
        <v>86</v>
      </c>
      <c r="Q177" s="1004" t="s">
        <v>890</v>
      </c>
      <c r="R177" s="1009">
        <v>45845</v>
      </c>
      <c r="S177" s="1004" t="s">
        <v>98</v>
      </c>
      <c r="T177" s="1233">
        <v>45856</v>
      </c>
      <c r="U177" s="1233"/>
      <c r="V177" s="1234" t="s">
        <v>891</v>
      </c>
      <c r="W177" s="1007" t="s">
        <v>723</v>
      </c>
      <c r="X177" s="1235">
        <v>1.9605</v>
      </c>
      <c r="Y177" s="1236">
        <v>980.25</v>
      </c>
      <c r="Z177" s="1236"/>
      <c r="AA177" s="1004" t="s">
        <v>892</v>
      </c>
      <c r="AB177" s="1004" t="s">
        <v>210</v>
      </c>
      <c r="AC177" s="1004" t="s">
        <v>93</v>
      </c>
      <c r="AD177" s="1023" t="s">
        <v>94</v>
      </c>
      <c r="AE177" s="1004"/>
      <c r="AF177" s="1002">
        <v>500</v>
      </c>
      <c r="AG177" s="1002">
        <f t="shared" si="92"/>
        <v>0</v>
      </c>
      <c r="AH177" s="1237"/>
      <c r="AI177" s="1004"/>
      <c r="AJ177" s="1004"/>
      <c r="AK177" s="1004"/>
      <c r="AL177" s="1004">
        <v>500</v>
      </c>
      <c r="AM177" s="1004"/>
      <c r="AP177" s="1004">
        <v>500</v>
      </c>
      <c r="AQ177" s="1004"/>
      <c r="AS177" s="1004">
        <v>500</v>
      </c>
      <c r="AT177" s="1004"/>
      <c r="AU177" s="1004"/>
      <c r="AV177" s="1004"/>
      <c r="BF177" s="974">
        <v>20</v>
      </c>
      <c r="BU177" s="939">
        <f t="shared" si="61"/>
        <v>500</v>
      </c>
      <c r="BV177" s="1222">
        <f t="shared" si="62"/>
        <v>2525405</v>
      </c>
      <c r="BW177" s="1018"/>
      <c r="BX177" s="1018"/>
      <c r="BY177" s="1018"/>
      <c r="BZ177" s="1018"/>
      <c r="CA177" s="856">
        <f t="shared" si="59"/>
        <v>294595</v>
      </c>
      <c r="CC177" s="964">
        <f t="shared" si="63"/>
        <v>20</v>
      </c>
      <c r="CD177" s="939">
        <f t="shared" si="64"/>
        <v>50584.5714285714</v>
      </c>
      <c r="CE177" s="1018"/>
      <c r="CF177" s="1018"/>
      <c r="CG177" s="1018"/>
      <c r="CH177" s="939">
        <f t="shared" si="60"/>
        <v>9415.4285714286</v>
      </c>
      <c r="CI177" s="1018"/>
    </row>
    <row r="178" s="974" customFormat="1" ht="31" customHeight="1" spans="1:87">
      <c r="A178" s="1228">
        <v>45838</v>
      </c>
      <c r="B178" s="1229" t="s">
        <v>733</v>
      </c>
      <c r="C178" s="1238" t="s">
        <v>720</v>
      </c>
      <c r="D178" s="1231">
        <v>4500172103</v>
      </c>
      <c r="E178" s="1229"/>
      <c r="F178" s="1231" t="s">
        <v>893</v>
      </c>
      <c r="G178" s="1004" t="s">
        <v>205</v>
      </c>
      <c r="H178" s="1004" t="s">
        <v>189</v>
      </c>
      <c r="I178" s="1004">
        <v>2000</v>
      </c>
      <c r="J178" s="1004">
        <v>0</v>
      </c>
      <c r="K178" s="1004">
        <v>50</v>
      </c>
      <c r="L178" s="1232">
        <f t="shared" si="93"/>
        <v>40</v>
      </c>
      <c r="M178" s="1007">
        <v>45874</v>
      </c>
      <c r="N178" s="1007">
        <v>45870</v>
      </c>
      <c r="O178" s="1020"/>
      <c r="P178" s="1024" t="s">
        <v>86</v>
      </c>
      <c r="Q178" s="1004"/>
      <c r="R178" s="1009">
        <v>45845</v>
      </c>
      <c r="S178" s="1004" t="s">
        <v>98</v>
      </c>
      <c r="T178" s="1233">
        <v>45856</v>
      </c>
      <c r="U178" s="1233"/>
      <c r="V178" s="1234" t="s">
        <v>894</v>
      </c>
      <c r="W178" s="1007" t="s">
        <v>723</v>
      </c>
      <c r="X178" s="1235">
        <v>1.9605</v>
      </c>
      <c r="Y178" s="1236">
        <f>I178*X178</f>
        <v>3921</v>
      </c>
      <c r="Z178" s="1246"/>
      <c r="AA178" s="1247" t="s">
        <v>895</v>
      </c>
      <c r="AB178" s="1004" t="s">
        <v>210</v>
      </c>
      <c r="AC178" s="1004" t="s">
        <v>93</v>
      </c>
      <c r="AD178" s="1023" t="s">
        <v>94</v>
      </c>
      <c r="AE178" s="1004"/>
      <c r="AF178" s="1002">
        <v>2000</v>
      </c>
      <c r="AG178" s="1002">
        <f t="shared" si="92"/>
        <v>0</v>
      </c>
      <c r="AH178" s="1237"/>
      <c r="AI178" s="1004" t="s">
        <v>95</v>
      </c>
      <c r="AJ178" s="1004"/>
      <c r="AK178" s="1004">
        <f>I178</f>
        <v>2000</v>
      </c>
      <c r="AL178" s="1004"/>
      <c r="AM178" s="1004"/>
      <c r="AP178" s="1004">
        <f>I178</f>
        <v>2000</v>
      </c>
      <c r="AQ178" s="1004"/>
      <c r="AS178" s="1004">
        <f>I178</f>
        <v>2000</v>
      </c>
      <c r="AT178" s="1004"/>
      <c r="AU178" s="1004"/>
      <c r="AV178" s="1004"/>
      <c r="BF178" s="974">
        <f>I178/25</f>
        <v>80</v>
      </c>
      <c r="BU178" s="939">
        <f t="shared" si="61"/>
        <v>2000</v>
      </c>
      <c r="BV178" s="1222">
        <f t="shared" si="62"/>
        <v>2527405</v>
      </c>
      <c r="BW178" s="1018"/>
      <c r="BX178" s="1018"/>
      <c r="BY178" s="1018"/>
      <c r="BZ178" s="1018"/>
      <c r="CA178" s="856">
        <f t="shared" si="59"/>
        <v>292595</v>
      </c>
      <c r="CC178" s="964">
        <f t="shared" si="63"/>
        <v>80</v>
      </c>
      <c r="CD178" s="939">
        <f t="shared" si="64"/>
        <v>50664.5714285714</v>
      </c>
      <c r="CE178" s="1018"/>
      <c r="CF178" s="1018"/>
      <c r="CG178" s="1018"/>
      <c r="CH178" s="939">
        <f t="shared" si="60"/>
        <v>9335.4285714286</v>
      </c>
      <c r="CI178" s="1018"/>
    </row>
    <row r="179" s="974" customFormat="1" ht="31" customHeight="1" spans="1:87">
      <c r="A179" s="1228">
        <v>45838</v>
      </c>
      <c r="B179" s="1229" t="s">
        <v>896</v>
      </c>
      <c r="C179" s="1238" t="s">
        <v>125</v>
      </c>
      <c r="D179" s="1231">
        <v>4500171933</v>
      </c>
      <c r="E179" s="1229">
        <v>1617037</v>
      </c>
      <c r="F179" s="1231" t="s">
        <v>897</v>
      </c>
      <c r="G179" s="1004" t="s">
        <v>841</v>
      </c>
      <c r="H179" s="1004" t="s">
        <v>842</v>
      </c>
      <c r="I179" s="1004">
        <v>304</v>
      </c>
      <c r="J179" s="1004">
        <v>0</v>
      </c>
      <c r="K179" s="1004">
        <v>8</v>
      </c>
      <c r="L179" s="1232">
        <f t="shared" si="93"/>
        <v>38</v>
      </c>
      <c r="M179" s="1007">
        <v>45875</v>
      </c>
      <c r="N179" s="1007">
        <v>45871</v>
      </c>
      <c r="O179" s="1020"/>
      <c r="P179" s="1024" t="s">
        <v>86</v>
      </c>
      <c r="Q179" s="1004"/>
      <c r="R179" s="1009">
        <v>45839</v>
      </c>
      <c r="S179" s="1004" t="s">
        <v>98</v>
      </c>
      <c r="T179" s="1233" t="s">
        <v>898</v>
      </c>
      <c r="U179" s="1233"/>
      <c r="V179" s="1234" t="s">
        <v>899</v>
      </c>
      <c r="W179" s="1007" t="s">
        <v>900</v>
      </c>
      <c r="X179" s="1235">
        <v>3.5776</v>
      </c>
      <c r="Y179" s="1236">
        <f>X179*I179</f>
        <v>1087.5904</v>
      </c>
      <c r="Z179" s="1236"/>
      <c r="AA179" s="1004" t="s">
        <v>901</v>
      </c>
      <c r="AB179" s="1004" t="s">
        <v>902</v>
      </c>
      <c r="AC179" s="1004" t="s">
        <v>93</v>
      </c>
      <c r="AD179" s="1023" t="s">
        <v>94</v>
      </c>
      <c r="AE179" s="1004"/>
      <c r="AF179" s="1002">
        <v>304</v>
      </c>
      <c r="AG179" s="1002">
        <f t="shared" si="92"/>
        <v>0</v>
      </c>
      <c r="AH179" s="1237"/>
      <c r="AI179" s="1004"/>
      <c r="AJ179" s="1004"/>
      <c r="AK179" s="1004">
        <f>I179*3</f>
        <v>912</v>
      </c>
      <c r="AL179" s="1004"/>
      <c r="AM179" s="1004">
        <f>I179*3</f>
        <v>912</v>
      </c>
      <c r="AP179" s="1004"/>
      <c r="AQ179" s="1004"/>
      <c r="AS179" s="1004">
        <f>I179*3</f>
        <v>912</v>
      </c>
      <c r="AT179" s="1004"/>
      <c r="AU179" s="1004"/>
      <c r="AV179" s="1004"/>
      <c r="BR179" s="974">
        <f>I179</f>
        <v>304</v>
      </c>
      <c r="BS179" s="974">
        <f>I179</f>
        <v>304</v>
      </c>
      <c r="BT179" s="974">
        <f>I179</f>
        <v>304</v>
      </c>
      <c r="BU179" s="939">
        <f t="shared" si="61"/>
        <v>912</v>
      </c>
      <c r="BV179" s="1222">
        <f t="shared" si="62"/>
        <v>2528317</v>
      </c>
      <c r="BW179" s="1018"/>
      <c r="BX179" s="1018"/>
      <c r="BY179" s="1018"/>
      <c r="BZ179" s="1018"/>
      <c r="CA179" s="856">
        <f t="shared" si="59"/>
        <v>291683</v>
      </c>
      <c r="CC179" s="964">
        <f t="shared" si="63"/>
        <v>0</v>
      </c>
      <c r="CD179" s="939">
        <f t="shared" si="64"/>
        <v>50664.5714285714</v>
      </c>
      <c r="CE179" s="1018"/>
      <c r="CF179" s="1018"/>
      <c r="CG179" s="1018"/>
      <c r="CH179" s="939">
        <f t="shared" si="60"/>
        <v>9335.4285714286</v>
      </c>
      <c r="CI179" s="1018"/>
    </row>
    <row r="180" s="974" customFormat="1" ht="31" customHeight="1" spans="1:87">
      <c r="A180" s="1228">
        <v>45828</v>
      </c>
      <c r="B180" s="1229" t="s">
        <v>903</v>
      </c>
      <c r="C180" s="1238" t="s">
        <v>81</v>
      </c>
      <c r="D180" s="1231">
        <v>4500170750</v>
      </c>
      <c r="E180" s="1229"/>
      <c r="F180" s="1231" t="s">
        <v>904</v>
      </c>
      <c r="G180" s="1004" t="s">
        <v>205</v>
      </c>
      <c r="H180" s="1004" t="s">
        <v>189</v>
      </c>
      <c r="I180" s="1004">
        <v>800</v>
      </c>
      <c r="J180" s="1004">
        <v>0</v>
      </c>
      <c r="K180" s="1004">
        <v>50</v>
      </c>
      <c r="L180" s="1232">
        <f t="shared" si="93"/>
        <v>16</v>
      </c>
      <c r="M180" s="1007">
        <v>45877</v>
      </c>
      <c r="N180" s="1007">
        <v>45873</v>
      </c>
      <c r="O180" s="1020"/>
      <c r="P180" s="1024" t="s">
        <v>86</v>
      </c>
      <c r="Q180" s="1004" t="s">
        <v>905</v>
      </c>
      <c r="R180" s="1009">
        <v>45841</v>
      </c>
      <c r="S180" s="1004" t="s">
        <v>98</v>
      </c>
      <c r="T180" s="1233">
        <v>45849</v>
      </c>
      <c r="U180" s="1233"/>
      <c r="V180" s="1234" t="s">
        <v>906</v>
      </c>
      <c r="W180" s="1007" t="s">
        <v>119</v>
      </c>
      <c r="X180" s="1235">
        <v>1.9605</v>
      </c>
      <c r="Y180" s="1236">
        <f>I180*X180</f>
        <v>1568.4</v>
      </c>
      <c r="Z180" s="1248"/>
      <c r="AA180" s="1249" t="s">
        <v>907</v>
      </c>
      <c r="AB180" s="1004" t="s">
        <v>210</v>
      </c>
      <c r="AC180" s="1004" t="s">
        <v>93</v>
      </c>
      <c r="AD180" s="1023" t="s">
        <v>94</v>
      </c>
      <c r="AE180" s="1004"/>
      <c r="AF180" s="1002">
        <v>800</v>
      </c>
      <c r="AG180" s="1002">
        <f t="shared" si="92"/>
        <v>0</v>
      </c>
      <c r="AH180" s="1237"/>
      <c r="AI180" s="1004" t="s">
        <v>95</v>
      </c>
      <c r="AJ180" s="1004"/>
      <c r="AK180" s="1004">
        <f>I180</f>
        <v>800</v>
      </c>
      <c r="AL180" s="1004"/>
      <c r="AM180" s="1004"/>
      <c r="AP180" s="1004">
        <f>I180</f>
        <v>800</v>
      </c>
      <c r="AQ180" s="1004"/>
      <c r="AS180" s="1004">
        <f>I180</f>
        <v>800</v>
      </c>
      <c r="AT180" s="1004"/>
      <c r="AU180" s="1004"/>
      <c r="AV180" s="1004"/>
      <c r="BF180" s="974">
        <f>I180/25</f>
        <v>32</v>
      </c>
      <c r="BU180" s="939">
        <f t="shared" si="61"/>
        <v>800</v>
      </c>
      <c r="BV180" s="1222">
        <f t="shared" si="62"/>
        <v>2529117</v>
      </c>
      <c r="BW180" s="1018"/>
      <c r="BX180" s="1018"/>
      <c r="BY180" s="1018"/>
      <c r="BZ180" s="1018"/>
      <c r="CA180" s="856">
        <f t="shared" si="59"/>
        <v>290883</v>
      </c>
      <c r="CC180" s="964">
        <f t="shared" si="63"/>
        <v>32</v>
      </c>
      <c r="CD180" s="939">
        <f t="shared" si="64"/>
        <v>50696.5714285714</v>
      </c>
      <c r="CE180" s="1018"/>
      <c r="CF180" s="1018"/>
      <c r="CG180" s="1018"/>
      <c r="CH180" s="939">
        <f t="shared" si="60"/>
        <v>9303.4285714286</v>
      </c>
      <c r="CI180" s="1018"/>
    </row>
    <row r="181" s="974" customFormat="1" ht="31" customHeight="1" spans="1:87">
      <c r="A181" s="1228">
        <v>45838</v>
      </c>
      <c r="B181" s="1229" t="s">
        <v>908</v>
      </c>
      <c r="C181" s="1238" t="s">
        <v>81</v>
      </c>
      <c r="D181" s="1231">
        <v>4500169860</v>
      </c>
      <c r="E181" s="1229">
        <v>93902494</v>
      </c>
      <c r="F181" s="1231" t="s">
        <v>909</v>
      </c>
      <c r="G181" s="1004" t="s">
        <v>196</v>
      </c>
      <c r="H181" s="1004" t="s">
        <v>197</v>
      </c>
      <c r="I181" s="1004">
        <v>5256</v>
      </c>
      <c r="J181" s="1004">
        <v>0</v>
      </c>
      <c r="K181" s="1004">
        <v>12</v>
      </c>
      <c r="L181" s="1232">
        <f t="shared" ref="L181:L195" si="99">I181/K181</f>
        <v>438</v>
      </c>
      <c r="M181" s="1007">
        <v>45875</v>
      </c>
      <c r="N181" s="1007">
        <v>45871</v>
      </c>
      <c r="O181" s="1020"/>
      <c r="P181" s="1024" t="s">
        <v>86</v>
      </c>
      <c r="Q181" s="1004"/>
      <c r="R181" s="1009">
        <v>45838</v>
      </c>
      <c r="S181" s="1004" t="s">
        <v>98</v>
      </c>
      <c r="T181" s="1233">
        <v>45852</v>
      </c>
      <c r="U181" s="1233"/>
      <c r="V181" s="1234" t="s">
        <v>910</v>
      </c>
      <c r="W181" s="1007" t="s">
        <v>119</v>
      </c>
      <c r="X181" s="1235">
        <v>3.9945</v>
      </c>
      <c r="Y181" s="1236">
        <f t="shared" ref="Y181:Y195" si="100">I181*X181</f>
        <v>20995.092</v>
      </c>
      <c r="Z181" s="1236"/>
      <c r="AA181" s="1004" t="s">
        <v>911</v>
      </c>
      <c r="AB181" s="1004" t="s">
        <v>637</v>
      </c>
      <c r="AC181" s="1004" t="s">
        <v>93</v>
      </c>
      <c r="AD181" s="1023" t="s">
        <v>94</v>
      </c>
      <c r="AE181" s="1004"/>
      <c r="AF181" s="1002">
        <v>5256</v>
      </c>
      <c r="AG181" s="1002">
        <f t="shared" si="92"/>
        <v>0</v>
      </c>
      <c r="AH181" s="1237"/>
      <c r="AI181" s="1004" t="s">
        <v>95</v>
      </c>
      <c r="AJ181" s="1004"/>
      <c r="AK181" s="1004">
        <f t="shared" ref="AK181:AK191" si="101">I181*2</f>
        <v>10512</v>
      </c>
      <c r="AL181" s="1004"/>
      <c r="AM181" s="1004"/>
      <c r="AP181" s="1004">
        <f>I181*2</f>
        <v>10512</v>
      </c>
      <c r="AQ181" s="1004"/>
      <c r="AS181" s="1004">
        <f t="shared" ref="AS181:AS191" si="102">I181*2</f>
        <v>10512</v>
      </c>
      <c r="AT181" s="1004"/>
      <c r="AU181" s="1004"/>
      <c r="AV181" s="1004"/>
      <c r="BN181" s="974">
        <f t="shared" ref="BN181:BN191" si="103">I181</f>
        <v>5256</v>
      </c>
      <c r="BO181" s="974">
        <f t="shared" ref="BO181:BO191" si="104">I181</f>
        <v>5256</v>
      </c>
      <c r="BQ181" s="974">
        <f t="shared" ref="BQ181:BQ191" si="105">I181</f>
        <v>5256</v>
      </c>
      <c r="BU181" s="939">
        <f t="shared" si="61"/>
        <v>10512</v>
      </c>
      <c r="BV181" s="1222">
        <f t="shared" si="62"/>
        <v>2539629</v>
      </c>
      <c r="BW181" s="1018"/>
      <c r="BX181" s="1018"/>
      <c r="BY181" s="1018"/>
      <c r="BZ181" s="1018"/>
      <c r="CA181" s="856">
        <f t="shared" si="59"/>
        <v>280371</v>
      </c>
      <c r="CC181" s="964">
        <f t="shared" si="63"/>
        <v>0</v>
      </c>
      <c r="CD181" s="939">
        <f t="shared" si="64"/>
        <v>50696.5714285714</v>
      </c>
      <c r="CE181" s="1018"/>
      <c r="CF181" s="1018"/>
      <c r="CG181" s="1018"/>
      <c r="CH181" s="939">
        <f t="shared" si="60"/>
        <v>9303.4285714286</v>
      </c>
      <c r="CI181" s="1018"/>
    </row>
    <row r="182" s="974" customFormat="1" ht="31" customHeight="1" spans="1:87">
      <c r="A182" s="1228">
        <v>45838</v>
      </c>
      <c r="B182" s="1229" t="s">
        <v>908</v>
      </c>
      <c r="C182" s="1238" t="s">
        <v>81</v>
      </c>
      <c r="D182" s="1231">
        <v>4500169860</v>
      </c>
      <c r="E182" s="1229">
        <v>93902495</v>
      </c>
      <c r="F182" s="1231" t="s">
        <v>912</v>
      </c>
      <c r="G182" s="1004" t="s">
        <v>196</v>
      </c>
      <c r="H182" s="1004" t="s">
        <v>197</v>
      </c>
      <c r="I182" s="1004">
        <v>708</v>
      </c>
      <c r="J182" s="1004">
        <v>0</v>
      </c>
      <c r="K182" s="1004">
        <v>12</v>
      </c>
      <c r="L182" s="1232">
        <f t="shared" si="99"/>
        <v>59</v>
      </c>
      <c r="M182" s="1007">
        <v>45875</v>
      </c>
      <c r="N182" s="1007">
        <v>45871</v>
      </c>
      <c r="O182" s="1020"/>
      <c r="P182" s="1024" t="s">
        <v>86</v>
      </c>
      <c r="Q182" s="1004"/>
      <c r="R182" s="1009">
        <v>45838</v>
      </c>
      <c r="S182" s="1004" t="s">
        <v>98</v>
      </c>
      <c r="T182" s="1233">
        <v>45852</v>
      </c>
      <c r="U182" s="1233"/>
      <c r="V182" s="1234" t="s">
        <v>910</v>
      </c>
      <c r="W182" s="1007" t="s">
        <v>119</v>
      </c>
      <c r="X182" s="1235">
        <v>3.9945</v>
      </c>
      <c r="Y182" s="1236">
        <f t="shared" si="100"/>
        <v>2828.106</v>
      </c>
      <c r="Z182" s="1236"/>
      <c r="AA182" s="1004" t="s">
        <v>913</v>
      </c>
      <c r="AB182" s="1004" t="s">
        <v>637</v>
      </c>
      <c r="AC182" s="1004" t="s">
        <v>93</v>
      </c>
      <c r="AD182" s="1023" t="s">
        <v>94</v>
      </c>
      <c r="AE182" s="1004"/>
      <c r="AF182" s="1002">
        <v>708</v>
      </c>
      <c r="AG182" s="1002">
        <f t="shared" si="92"/>
        <v>0</v>
      </c>
      <c r="AH182" s="1237"/>
      <c r="AI182" s="1004"/>
      <c r="AJ182" s="1004"/>
      <c r="AK182" s="1004">
        <f t="shared" si="101"/>
        <v>1416</v>
      </c>
      <c r="AL182" s="1004"/>
      <c r="AM182" s="1004"/>
      <c r="AP182" s="1004">
        <f t="shared" ref="AP182:AP188" si="106">I182*2</f>
        <v>1416</v>
      </c>
      <c r="AQ182" s="1004"/>
      <c r="AS182" s="1004">
        <f t="shared" si="102"/>
        <v>1416</v>
      </c>
      <c r="AT182" s="1004"/>
      <c r="AU182" s="1004"/>
      <c r="AV182" s="1004"/>
      <c r="BN182" s="974">
        <f t="shared" si="103"/>
        <v>708</v>
      </c>
      <c r="BO182" s="974">
        <f t="shared" si="104"/>
        <v>708</v>
      </c>
      <c r="BQ182" s="974">
        <f t="shared" si="105"/>
        <v>708</v>
      </c>
      <c r="BU182" s="939">
        <f t="shared" si="61"/>
        <v>1416</v>
      </c>
      <c r="BV182" s="1222">
        <f t="shared" si="62"/>
        <v>2541045</v>
      </c>
      <c r="BW182" s="1018"/>
      <c r="BX182" s="1018"/>
      <c r="BY182" s="1018"/>
      <c r="BZ182" s="1018"/>
      <c r="CA182" s="856">
        <f t="shared" si="59"/>
        <v>278955</v>
      </c>
      <c r="CC182" s="964">
        <f t="shared" si="63"/>
        <v>0</v>
      </c>
      <c r="CD182" s="939">
        <f t="shared" si="64"/>
        <v>50696.5714285714</v>
      </c>
      <c r="CE182" s="1018"/>
      <c r="CF182" s="1018"/>
      <c r="CG182" s="1018"/>
      <c r="CH182" s="939">
        <f t="shared" si="60"/>
        <v>9303.4285714286</v>
      </c>
      <c r="CI182" s="1018"/>
    </row>
    <row r="183" s="974" customFormat="1" ht="31" customHeight="1" spans="1:87">
      <c r="A183" s="1228">
        <v>45838</v>
      </c>
      <c r="B183" s="1229" t="s">
        <v>908</v>
      </c>
      <c r="C183" s="1238" t="s">
        <v>81</v>
      </c>
      <c r="D183" s="1231">
        <v>4500169860</v>
      </c>
      <c r="E183" s="1229">
        <v>93677192</v>
      </c>
      <c r="F183" s="1231" t="s">
        <v>914</v>
      </c>
      <c r="G183" s="1004" t="s">
        <v>196</v>
      </c>
      <c r="H183" s="1004" t="s">
        <v>197</v>
      </c>
      <c r="I183" s="1004">
        <v>396</v>
      </c>
      <c r="J183" s="1004">
        <v>0</v>
      </c>
      <c r="K183" s="1004">
        <v>12</v>
      </c>
      <c r="L183" s="1232">
        <f t="shared" si="99"/>
        <v>33</v>
      </c>
      <c r="M183" s="1007">
        <v>45875</v>
      </c>
      <c r="N183" s="1007">
        <v>45871</v>
      </c>
      <c r="O183" s="1020"/>
      <c r="P183" s="1024" t="s">
        <v>86</v>
      </c>
      <c r="Q183" s="1004"/>
      <c r="R183" s="1009">
        <v>45838</v>
      </c>
      <c r="S183" s="1004" t="s">
        <v>98</v>
      </c>
      <c r="T183" s="1233">
        <v>45852</v>
      </c>
      <c r="U183" s="1233"/>
      <c r="V183" s="1234" t="s">
        <v>910</v>
      </c>
      <c r="W183" s="1007" t="s">
        <v>119</v>
      </c>
      <c r="X183" s="1235">
        <v>3.9945</v>
      </c>
      <c r="Y183" s="1236">
        <f t="shared" si="100"/>
        <v>1581.822</v>
      </c>
      <c r="Z183" s="1236"/>
      <c r="AA183" s="1004" t="s">
        <v>915</v>
      </c>
      <c r="AB183" s="1004" t="s">
        <v>637</v>
      </c>
      <c r="AC183" s="1004" t="s">
        <v>93</v>
      </c>
      <c r="AD183" s="1023" t="s">
        <v>94</v>
      </c>
      <c r="AE183" s="1004"/>
      <c r="AF183" s="1002">
        <v>396</v>
      </c>
      <c r="AG183" s="1002">
        <f t="shared" si="92"/>
        <v>0</v>
      </c>
      <c r="AH183" s="1237"/>
      <c r="AI183" s="1004"/>
      <c r="AJ183" s="1004"/>
      <c r="AK183" s="1004">
        <f t="shared" si="101"/>
        <v>792</v>
      </c>
      <c r="AL183" s="1004"/>
      <c r="AM183" s="1004"/>
      <c r="AP183" s="1004">
        <f t="shared" si="106"/>
        <v>792</v>
      </c>
      <c r="AQ183" s="1004"/>
      <c r="AS183" s="1004">
        <f t="shared" si="102"/>
        <v>792</v>
      </c>
      <c r="AT183" s="1004"/>
      <c r="AU183" s="1004"/>
      <c r="AV183" s="1004"/>
      <c r="BN183" s="974">
        <f t="shared" si="103"/>
        <v>396</v>
      </c>
      <c r="BO183" s="974">
        <f t="shared" si="104"/>
        <v>396</v>
      </c>
      <c r="BQ183" s="974">
        <f t="shared" si="105"/>
        <v>396</v>
      </c>
      <c r="BU183" s="939">
        <f t="shared" si="61"/>
        <v>792</v>
      </c>
      <c r="BV183" s="1222">
        <f t="shared" si="62"/>
        <v>2541837</v>
      </c>
      <c r="BW183" s="1018"/>
      <c r="BX183" s="1018"/>
      <c r="BY183" s="1018"/>
      <c r="BZ183" s="1018"/>
      <c r="CA183" s="856">
        <f t="shared" si="59"/>
        <v>278163</v>
      </c>
      <c r="CC183" s="964">
        <f t="shared" si="63"/>
        <v>0</v>
      </c>
      <c r="CD183" s="939">
        <f t="shared" si="64"/>
        <v>50696.5714285714</v>
      </c>
      <c r="CE183" s="1018"/>
      <c r="CF183" s="1018"/>
      <c r="CG183" s="1018"/>
      <c r="CH183" s="939">
        <f t="shared" si="60"/>
        <v>9303.4285714286</v>
      </c>
      <c r="CI183" s="1018"/>
    </row>
    <row r="184" s="974" customFormat="1" ht="31" customHeight="1" spans="1:87">
      <c r="A184" s="1228">
        <v>45838</v>
      </c>
      <c r="B184" s="1229" t="s">
        <v>908</v>
      </c>
      <c r="C184" s="1238" t="s">
        <v>81</v>
      </c>
      <c r="D184" s="1231">
        <v>4500169860</v>
      </c>
      <c r="E184" s="1229">
        <v>93677193</v>
      </c>
      <c r="F184" s="1231" t="s">
        <v>916</v>
      </c>
      <c r="G184" s="1004" t="s">
        <v>196</v>
      </c>
      <c r="H184" s="1004" t="s">
        <v>197</v>
      </c>
      <c r="I184" s="1004">
        <v>480</v>
      </c>
      <c r="J184" s="1004">
        <v>0</v>
      </c>
      <c r="K184" s="1004">
        <v>12</v>
      </c>
      <c r="L184" s="1232">
        <f t="shared" si="99"/>
        <v>40</v>
      </c>
      <c r="M184" s="1007">
        <v>45875</v>
      </c>
      <c r="N184" s="1007">
        <v>45871</v>
      </c>
      <c r="O184" s="1020"/>
      <c r="P184" s="1024" t="s">
        <v>86</v>
      </c>
      <c r="Q184" s="1004"/>
      <c r="R184" s="1009">
        <v>45838</v>
      </c>
      <c r="S184" s="1004" t="s">
        <v>98</v>
      </c>
      <c r="T184" s="1233">
        <v>45852</v>
      </c>
      <c r="U184" s="1233"/>
      <c r="V184" s="1234" t="s">
        <v>910</v>
      </c>
      <c r="W184" s="1007" t="s">
        <v>119</v>
      </c>
      <c r="X184" s="1235">
        <v>3.9945</v>
      </c>
      <c r="Y184" s="1236">
        <f t="shared" si="100"/>
        <v>1917.36</v>
      </c>
      <c r="Z184" s="1236"/>
      <c r="AA184" s="1004" t="s">
        <v>913</v>
      </c>
      <c r="AB184" s="1004" t="s">
        <v>637</v>
      </c>
      <c r="AC184" s="1004" t="s">
        <v>93</v>
      </c>
      <c r="AD184" s="1023" t="s">
        <v>94</v>
      </c>
      <c r="AE184" s="1004"/>
      <c r="AF184" s="1002">
        <v>480</v>
      </c>
      <c r="AG184" s="1002">
        <f t="shared" ref="AG181:AG195" si="107">AF184-I184</f>
        <v>0</v>
      </c>
      <c r="AH184" s="1237"/>
      <c r="AI184" s="1004"/>
      <c r="AJ184" s="1004"/>
      <c r="AK184" s="1004">
        <f t="shared" si="101"/>
        <v>960</v>
      </c>
      <c r="AL184" s="1004"/>
      <c r="AM184" s="1004"/>
      <c r="AP184" s="1004">
        <f t="shared" si="106"/>
        <v>960</v>
      </c>
      <c r="AQ184" s="1004"/>
      <c r="AS184" s="1004">
        <f t="shared" si="102"/>
        <v>960</v>
      </c>
      <c r="AT184" s="1004"/>
      <c r="AU184" s="1004"/>
      <c r="AV184" s="1004"/>
      <c r="BN184" s="974">
        <f t="shared" si="103"/>
        <v>480</v>
      </c>
      <c r="BO184" s="974">
        <f t="shared" si="104"/>
        <v>480</v>
      </c>
      <c r="BQ184" s="974">
        <f t="shared" si="105"/>
        <v>480</v>
      </c>
      <c r="BU184" s="939">
        <f t="shared" si="61"/>
        <v>960</v>
      </c>
      <c r="BV184" s="1222">
        <f t="shared" si="62"/>
        <v>2542797</v>
      </c>
      <c r="BW184" s="1018"/>
      <c r="BX184" s="1018"/>
      <c r="BY184" s="1018"/>
      <c r="BZ184" s="1018"/>
      <c r="CA184" s="856">
        <f t="shared" si="59"/>
        <v>277203</v>
      </c>
      <c r="CC184" s="964">
        <f t="shared" si="63"/>
        <v>0</v>
      </c>
      <c r="CD184" s="939">
        <f t="shared" si="64"/>
        <v>50696.5714285714</v>
      </c>
      <c r="CE184" s="1018"/>
      <c r="CF184" s="1018"/>
      <c r="CG184" s="1018"/>
      <c r="CH184" s="939">
        <f t="shared" si="60"/>
        <v>9303.4285714286</v>
      </c>
      <c r="CI184" s="1018"/>
    </row>
    <row r="185" s="974" customFormat="1" ht="31" customHeight="1" spans="1:87">
      <c r="A185" s="1228">
        <v>45838</v>
      </c>
      <c r="B185" s="1229" t="s">
        <v>908</v>
      </c>
      <c r="C185" s="1238" t="s">
        <v>81</v>
      </c>
      <c r="D185" s="1231">
        <v>4500169860</v>
      </c>
      <c r="E185" s="1229">
        <v>93902294</v>
      </c>
      <c r="F185" s="1231" t="s">
        <v>917</v>
      </c>
      <c r="G185" s="1004" t="s">
        <v>196</v>
      </c>
      <c r="H185" s="1004" t="s">
        <v>197</v>
      </c>
      <c r="I185" s="1004">
        <v>744</v>
      </c>
      <c r="J185" s="1004">
        <v>0</v>
      </c>
      <c r="K185" s="1004">
        <v>12</v>
      </c>
      <c r="L185" s="1232">
        <f t="shared" si="99"/>
        <v>62</v>
      </c>
      <c r="M185" s="1007">
        <v>45875</v>
      </c>
      <c r="N185" s="1007">
        <v>45871</v>
      </c>
      <c r="O185" s="1020"/>
      <c r="P185" s="1024" t="s">
        <v>86</v>
      </c>
      <c r="Q185" s="1004"/>
      <c r="R185" s="1009">
        <v>45838</v>
      </c>
      <c r="S185" s="1004" t="s">
        <v>98</v>
      </c>
      <c r="T185" s="1233">
        <v>45852</v>
      </c>
      <c r="U185" s="1233"/>
      <c r="V185" s="1234" t="s">
        <v>910</v>
      </c>
      <c r="W185" s="1007" t="s">
        <v>119</v>
      </c>
      <c r="X185" s="1235">
        <v>3.9945</v>
      </c>
      <c r="Y185" s="1236">
        <f t="shared" si="100"/>
        <v>2971.908</v>
      </c>
      <c r="Z185" s="1236"/>
      <c r="AA185" s="1004" t="s">
        <v>911</v>
      </c>
      <c r="AB185" s="1004" t="s">
        <v>637</v>
      </c>
      <c r="AC185" s="1004" t="s">
        <v>93</v>
      </c>
      <c r="AD185" s="1023" t="s">
        <v>94</v>
      </c>
      <c r="AE185" s="1004"/>
      <c r="AF185" s="1002">
        <v>744</v>
      </c>
      <c r="AG185" s="1002">
        <f t="shared" si="107"/>
        <v>0</v>
      </c>
      <c r="AH185" s="1237"/>
      <c r="AI185" s="1004"/>
      <c r="AJ185" s="1004"/>
      <c r="AK185" s="1004">
        <f t="shared" si="101"/>
        <v>1488</v>
      </c>
      <c r="AL185" s="1004"/>
      <c r="AM185" s="1004"/>
      <c r="AP185" s="1004">
        <f t="shared" si="106"/>
        <v>1488</v>
      </c>
      <c r="AQ185" s="1004"/>
      <c r="AS185" s="1004">
        <f t="shared" si="102"/>
        <v>1488</v>
      </c>
      <c r="AT185" s="1004"/>
      <c r="AU185" s="1004"/>
      <c r="AV185" s="1004"/>
      <c r="BN185" s="974">
        <f t="shared" si="103"/>
        <v>744</v>
      </c>
      <c r="BO185" s="974">
        <f t="shared" si="104"/>
        <v>744</v>
      </c>
      <c r="BQ185" s="974">
        <f t="shared" si="105"/>
        <v>744</v>
      </c>
      <c r="BU185" s="939">
        <f t="shared" si="61"/>
        <v>1488</v>
      </c>
      <c r="BV185" s="1222">
        <f t="shared" si="62"/>
        <v>2544285</v>
      </c>
      <c r="BW185" s="1018"/>
      <c r="BX185" s="1018"/>
      <c r="BY185" s="1018"/>
      <c r="BZ185" s="1018"/>
      <c r="CA185" s="856">
        <f t="shared" si="59"/>
        <v>275715</v>
      </c>
      <c r="CC185" s="964">
        <f t="shared" si="63"/>
        <v>0</v>
      </c>
      <c r="CD185" s="939">
        <f t="shared" si="64"/>
        <v>50696.5714285714</v>
      </c>
      <c r="CE185" s="1018"/>
      <c r="CF185" s="1018"/>
      <c r="CG185" s="1018"/>
      <c r="CH185" s="939">
        <f t="shared" si="60"/>
        <v>9303.4285714286</v>
      </c>
      <c r="CI185" s="1018"/>
    </row>
    <row r="186" s="974" customFormat="1" ht="31" customHeight="1" spans="1:87">
      <c r="A186" s="1228">
        <v>45838</v>
      </c>
      <c r="B186" s="1229" t="s">
        <v>908</v>
      </c>
      <c r="C186" s="1238" t="s">
        <v>81</v>
      </c>
      <c r="D186" s="1231">
        <v>4500169860</v>
      </c>
      <c r="E186" s="1229">
        <v>93902295</v>
      </c>
      <c r="F186" s="1231" t="s">
        <v>918</v>
      </c>
      <c r="G186" s="1004" t="s">
        <v>196</v>
      </c>
      <c r="H186" s="1004" t="s">
        <v>197</v>
      </c>
      <c r="I186" s="1004">
        <v>180</v>
      </c>
      <c r="J186" s="1004">
        <v>0</v>
      </c>
      <c r="K186" s="1004">
        <v>12</v>
      </c>
      <c r="L186" s="1232">
        <f t="shared" si="99"/>
        <v>15</v>
      </c>
      <c r="M186" s="1007">
        <v>45875</v>
      </c>
      <c r="N186" s="1007">
        <v>45871</v>
      </c>
      <c r="O186" s="1020"/>
      <c r="P186" s="1024" t="s">
        <v>86</v>
      </c>
      <c r="Q186" s="1004"/>
      <c r="R186" s="1009">
        <v>45838</v>
      </c>
      <c r="S186" s="1004" t="s">
        <v>98</v>
      </c>
      <c r="T186" s="1233">
        <v>45852</v>
      </c>
      <c r="U186" s="1233"/>
      <c r="V186" s="1234" t="s">
        <v>910</v>
      </c>
      <c r="W186" s="1007" t="s">
        <v>119</v>
      </c>
      <c r="X186" s="1235">
        <v>3.9945</v>
      </c>
      <c r="Y186" s="1236">
        <f t="shared" si="100"/>
        <v>719.01</v>
      </c>
      <c r="Z186" s="1236"/>
      <c r="AA186" s="1004" t="s">
        <v>913</v>
      </c>
      <c r="AB186" s="1004" t="s">
        <v>637</v>
      </c>
      <c r="AC186" s="1004" t="s">
        <v>93</v>
      </c>
      <c r="AD186" s="1023" t="s">
        <v>94</v>
      </c>
      <c r="AE186" s="1004"/>
      <c r="AF186" s="1002">
        <v>180</v>
      </c>
      <c r="AG186" s="1002">
        <f t="shared" si="107"/>
        <v>0</v>
      </c>
      <c r="AH186" s="1237"/>
      <c r="AI186" s="1004"/>
      <c r="AJ186" s="1004"/>
      <c r="AK186" s="1004">
        <f t="shared" si="101"/>
        <v>360</v>
      </c>
      <c r="AL186" s="1004"/>
      <c r="AM186" s="1004"/>
      <c r="AP186" s="1004">
        <f t="shared" si="106"/>
        <v>360</v>
      </c>
      <c r="AQ186" s="1004"/>
      <c r="AS186" s="1004">
        <f t="shared" si="102"/>
        <v>360</v>
      </c>
      <c r="AT186" s="1004"/>
      <c r="AU186" s="1004"/>
      <c r="AV186" s="1004"/>
      <c r="BN186" s="974">
        <f t="shared" si="103"/>
        <v>180</v>
      </c>
      <c r="BO186" s="974">
        <f t="shared" si="104"/>
        <v>180</v>
      </c>
      <c r="BQ186" s="974">
        <f t="shared" si="105"/>
        <v>180</v>
      </c>
      <c r="BU186" s="939">
        <f t="shared" si="61"/>
        <v>360</v>
      </c>
      <c r="BV186" s="1222">
        <f t="shared" si="62"/>
        <v>2544645</v>
      </c>
      <c r="BW186" s="1018"/>
      <c r="BX186" s="1018"/>
      <c r="BY186" s="1018"/>
      <c r="BZ186" s="1018"/>
      <c r="CA186" s="856">
        <f t="shared" si="59"/>
        <v>275355</v>
      </c>
      <c r="CC186" s="964">
        <f t="shared" si="63"/>
        <v>0</v>
      </c>
      <c r="CD186" s="939">
        <f t="shared" si="64"/>
        <v>50696.5714285714</v>
      </c>
      <c r="CE186" s="1018"/>
      <c r="CF186" s="1018"/>
      <c r="CG186" s="1018"/>
      <c r="CH186" s="939">
        <f t="shared" si="60"/>
        <v>9303.4285714286</v>
      </c>
      <c r="CI186" s="1018"/>
    </row>
    <row r="187" s="974" customFormat="1" ht="31" customHeight="1" spans="1:87">
      <c r="A187" s="1228">
        <v>45838</v>
      </c>
      <c r="B187" s="1229" t="s">
        <v>908</v>
      </c>
      <c r="C187" s="1238" t="s">
        <v>81</v>
      </c>
      <c r="D187" s="1231">
        <v>4500169860</v>
      </c>
      <c r="E187" s="1229">
        <v>93677092</v>
      </c>
      <c r="F187" s="1231" t="s">
        <v>919</v>
      </c>
      <c r="G187" s="1004" t="s">
        <v>196</v>
      </c>
      <c r="H187" s="1004" t="s">
        <v>197</v>
      </c>
      <c r="I187" s="1004">
        <v>120</v>
      </c>
      <c r="J187" s="1004">
        <v>0</v>
      </c>
      <c r="K187" s="1004">
        <v>12</v>
      </c>
      <c r="L187" s="1232">
        <f t="shared" si="99"/>
        <v>10</v>
      </c>
      <c r="M187" s="1007">
        <v>45875</v>
      </c>
      <c r="N187" s="1007">
        <v>45871</v>
      </c>
      <c r="O187" s="1020"/>
      <c r="P187" s="1024" t="s">
        <v>86</v>
      </c>
      <c r="Q187" s="1004"/>
      <c r="R187" s="1009">
        <v>45838</v>
      </c>
      <c r="S187" s="1004" t="s">
        <v>98</v>
      </c>
      <c r="T187" s="1233">
        <v>45852</v>
      </c>
      <c r="U187" s="1233"/>
      <c r="V187" s="1234" t="s">
        <v>910</v>
      </c>
      <c r="W187" s="1007" t="s">
        <v>119</v>
      </c>
      <c r="X187" s="1235">
        <v>3.9945</v>
      </c>
      <c r="Y187" s="1236">
        <f t="shared" si="100"/>
        <v>479.34</v>
      </c>
      <c r="Z187" s="1236"/>
      <c r="AA187" s="1004" t="s">
        <v>915</v>
      </c>
      <c r="AB187" s="1004" t="s">
        <v>637</v>
      </c>
      <c r="AC187" s="1004" t="s">
        <v>93</v>
      </c>
      <c r="AD187" s="1023" t="s">
        <v>94</v>
      </c>
      <c r="AE187" s="1004"/>
      <c r="AF187" s="1002">
        <v>120</v>
      </c>
      <c r="AG187" s="1002">
        <f t="shared" si="107"/>
        <v>0</v>
      </c>
      <c r="AH187" s="1237"/>
      <c r="AI187" s="1004"/>
      <c r="AJ187" s="1004"/>
      <c r="AK187" s="1004">
        <f t="shared" si="101"/>
        <v>240</v>
      </c>
      <c r="AL187" s="1004"/>
      <c r="AM187" s="1004"/>
      <c r="AP187" s="1004">
        <f t="shared" si="106"/>
        <v>240</v>
      </c>
      <c r="AQ187" s="1004"/>
      <c r="AS187" s="1004">
        <f t="shared" si="102"/>
        <v>240</v>
      </c>
      <c r="AT187" s="1004"/>
      <c r="AU187" s="1004"/>
      <c r="AV187" s="1004"/>
      <c r="BN187" s="974">
        <f t="shared" si="103"/>
        <v>120</v>
      </c>
      <c r="BO187" s="974">
        <f t="shared" si="104"/>
        <v>120</v>
      </c>
      <c r="BQ187" s="974">
        <f t="shared" si="105"/>
        <v>120</v>
      </c>
      <c r="BU187" s="939">
        <f t="shared" si="61"/>
        <v>240</v>
      </c>
      <c r="BV187" s="1222">
        <f t="shared" si="62"/>
        <v>2544885</v>
      </c>
      <c r="BW187" s="1018"/>
      <c r="BX187" s="1018"/>
      <c r="BY187" s="1018"/>
      <c r="BZ187" s="1018"/>
      <c r="CA187" s="856">
        <f t="shared" si="59"/>
        <v>275115</v>
      </c>
      <c r="CC187" s="964">
        <f t="shared" si="63"/>
        <v>0</v>
      </c>
      <c r="CD187" s="939">
        <f t="shared" si="64"/>
        <v>50696.5714285714</v>
      </c>
      <c r="CE187" s="1018"/>
      <c r="CF187" s="1018"/>
      <c r="CG187" s="1018"/>
      <c r="CH187" s="939">
        <f t="shared" si="60"/>
        <v>9303.4285714286</v>
      </c>
      <c r="CI187" s="1018"/>
    </row>
    <row r="188" s="974" customFormat="1" ht="31" customHeight="1" spans="1:87">
      <c r="A188" s="1228">
        <v>45838</v>
      </c>
      <c r="B188" s="1229" t="s">
        <v>908</v>
      </c>
      <c r="C188" s="1238" t="s">
        <v>81</v>
      </c>
      <c r="D188" s="1231">
        <v>4500169860</v>
      </c>
      <c r="E188" s="1229">
        <v>93677093</v>
      </c>
      <c r="F188" s="1231" t="s">
        <v>920</v>
      </c>
      <c r="G188" s="1004" t="s">
        <v>196</v>
      </c>
      <c r="H188" s="1004" t="s">
        <v>197</v>
      </c>
      <c r="I188" s="1004">
        <v>144</v>
      </c>
      <c r="J188" s="1004">
        <v>0</v>
      </c>
      <c r="K188" s="1004">
        <v>12</v>
      </c>
      <c r="L188" s="1232">
        <f t="shared" si="99"/>
        <v>12</v>
      </c>
      <c r="M188" s="1007">
        <v>45875</v>
      </c>
      <c r="N188" s="1007">
        <v>45871</v>
      </c>
      <c r="O188" s="1020"/>
      <c r="P188" s="1024" t="s">
        <v>86</v>
      </c>
      <c r="Q188" s="1004"/>
      <c r="R188" s="1009">
        <v>45838</v>
      </c>
      <c r="S188" s="1004" t="s">
        <v>98</v>
      </c>
      <c r="T188" s="1233">
        <v>45852</v>
      </c>
      <c r="U188" s="1233"/>
      <c r="V188" s="1234" t="s">
        <v>910</v>
      </c>
      <c r="W188" s="1007" t="s">
        <v>119</v>
      </c>
      <c r="X188" s="1235">
        <v>3.9945</v>
      </c>
      <c r="Y188" s="1236">
        <f t="shared" si="100"/>
        <v>575.208</v>
      </c>
      <c r="Z188" s="1236"/>
      <c r="AA188" s="1004" t="s">
        <v>913</v>
      </c>
      <c r="AB188" s="1004" t="s">
        <v>637</v>
      </c>
      <c r="AC188" s="1004" t="s">
        <v>93</v>
      </c>
      <c r="AD188" s="1023" t="s">
        <v>94</v>
      </c>
      <c r="AE188" s="1004"/>
      <c r="AF188" s="1002">
        <v>144</v>
      </c>
      <c r="AG188" s="1002">
        <f t="shared" si="107"/>
        <v>0</v>
      </c>
      <c r="AH188" s="1237"/>
      <c r="AI188" s="1004"/>
      <c r="AJ188" s="1004"/>
      <c r="AK188" s="1004">
        <f t="shared" si="101"/>
        <v>288</v>
      </c>
      <c r="AL188" s="1004"/>
      <c r="AM188" s="1004"/>
      <c r="AP188" s="1004">
        <f t="shared" si="106"/>
        <v>288</v>
      </c>
      <c r="AQ188" s="1004"/>
      <c r="AS188" s="1004">
        <f t="shared" si="102"/>
        <v>288</v>
      </c>
      <c r="AT188" s="1004"/>
      <c r="AU188" s="1004"/>
      <c r="AV188" s="1004"/>
      <c r="BN188" s="974">
        <f t="shared" si="103"/>
        <v>144</v>
      </c>
      <c r="BO188" s="974">
        <f t="shared" si="104"/>
        <v>144</v>
      </c>
      <c r="BQ188" s="974">
        <f t="shared" si="105"/>
        <v>144</v>
      </c>
      <c r="BU188" s="939">
        <f t="shared" si="61"/>
        <v>288</v>
      </c>
      <c r="BV188" s="1222">
        <f t="shared" si="62"/>
        <v>2545173</v>
      </c>
      <c r="BW188" s="1018"/>
      <c r="BX188" s="1018"/>
      <c r="BY188" s="1018"/>
      <c r="BZ188" s="1018"/>
      <c r="CA188" s="856">
        <f t="shared" si="59"/>
        <v>274827</v>
      </c>
      <c r="CC188" s="964">
        <f t="shared" si="63"/>
        <v>0</v>
      </c>
      <c r="CD188" s="939">
        <f t="shared" si="64"/>
        <v>50696.5714285714</v>
      </c>
      <c r="CE188" s="1018"/>
      <c r="CF188" s="1018"/>
      <c r="CG188" s="1018"/>
      <c r="CH188" s="939">
        <f t="shared" si="60"/>
        <v>9303.4285714286</v>
      </c>
      <c r="CI188" s="1018"/>
    </row>
    <row r="189" s="974" customFormat="1" ht="31" customHeight="1" spans="1:87">
      <c r="A189" s="1228">
        <v>45840</v>
      </c>
      <c r="B189" s="1229" t="s">
        <v>314</v>
      </c>
      <c r="C189" s="1238" t="s">
        <v>125</v>
      </c>
      <c r="D189" s="1231">
        <v>4500172365</v>
      </c>
      <c r="E189" s="1229" t="s">
        <v>921</v>
      </c>
      <c r="F189" s="1231" t="s">
        <v>922</v>
      </c>
      <c r="G189" s="1004" t="s">
        <v>196</v>
      </c>
      <c r="H189" s="1004" t="s">
        <v>197</v>
      </c>
      <c r="I189" s="1004">
        <v>996</v>
      </c>
      <c r="J189" s="1004">
        <v>0</v>
      </c>
      <c r="K189" s="1004">
        <v>12</v>
      </c>
      <c r="L189" s="1232">
        <f t="shared" si="99"/>
        <v>83</v>
      </c>
      <c r="M189" s="1007">
        <v>45876</v>
      </c>
      <c r="N189" s="1007">
        <v>45873</v>
      </c>
      <c r="O189" s="1020"/>
      <c r="P189" s="1024" t="s">
        <v>86</v>
      </c>
      <c r="Q189" s="1004"/>
      <c r="R189" s="1009">
        <v>45847</v>
      </c>
      <c r="S189" s="1004" t="s">
        <v>98</v>
      </c>
      <c r="T189" s="1233" t="s">
        <v>805</v>
      </c>
      <c r="U189" s="1233"/>
      <c r="V189" s="1234" t="s">
        <v>806</v>
      </c>
      <c r="W189" s="1007" t="s">
        <v>319</v>
      </c>
      <c r="X189" s="1235">
        <v>2.4244</v>
      </c>
      <c r="Y189" s="1236">
        <f t="shared" si="100"/>
        <v>2414.7024</v>
      </c>
      <c r="Z189" s="1236"/>
      <c r="AA189" s="1004" t="s">
        <v>923</v>
      </c>
      <c r="AB189" s="1004" t="s">
        <v>196</v>
      </c>
      <c r="AC189" s="1004" t="s">
        <v>93</v>
      </c>
      <c r="AD189" s="1023" t="s">
        <v>94</v>
      </c>
      <c r="AE189" s="1004"/>
      <c r="AF189" s="1002">
        <v>996</v>
      </c>
      <c r="AG189" s="1002">
        <f t="shared" si="107"/>
        <v>0</v>
      </c>
      <c r="AH189" s="1237"/>
      <c r="AI189" s="1004" t="s">
        <v>95</v>
      </c>
      <c r="AJ189" s="1004"/>
      <c r="AK189" s="1004">
        <f t="shared" si="101"/>
        <v>1992</v>
      </c>
      <c r="AL189" s="1004"/>
      <c r="AM189" s="1004"/>
      <c r="AN189" s="974">
        <f>I189*2</f>
        <v>1992</v>
      </c>
      <c r="AP189" s="1004"/>
      <c r="AQ189" s="1004"/>
      <c r="AS189" s="1004">
        <f t="shared" si="102"/>
        <v>1992</v>
      </c>
      <c r="AT189" s="1004"/>
      <c r="AU189" s="1004"/>
      <c r="AV189" s="1004"/>
      <c r="BN189" s="974">
        <f t="shared" si="103"/>
        <v>996</v>
      </c>
      <c r="BO189" s="974">
        <f t="shared" si="104"/>
        <v>996</v>
      </c>
      <c r="BQ189" s="974">
        <f t="shared" si="105"/>
        <v>996</v>
      </c>
      <c r="BU189" s="939">
        <f t="shared" si="61"/>
        <v>1992</v>
      </c>
      <c r="BV189" s="1222">
        <f t="shared" si="62"/>
        <v>2547165</v>
      </c>
      <c r="BW189" s="1018"/>
      <c r="BX189" s="1018"/>
      <c r="BY189" s="1018"/>
      <c r="BZ189" s="1018"/>
      <c r="CA189" s="856">
        <f t="shared" si="59"/>
        <v>272835</v>
      </c>
      <c r="CC189" s="964">
        <f t="shared" si="63"/>
        <v>0</v>
      </c>
      <c r="CD189" s="939">
        <f t="shared" si="64"/>
        <v>50696.5714285714</v>
      </c>
      <c r="CE189" s="1018"/>
      <c r="CF189" s="1018"/>
      <c r="CG189" s="1018"/>
      <c r="CH189" s="939">
        <f t="shared" si="60"/>
        <v>9303.4285714286</v>
      </c>
      <c r="CI189" s="1018"/>
    </row>
    <row r="190" s="974" customFormat="1" ht="31" customHeight="1" spans="1:87">
      <c r="A190" s="1228">
        <v>45840</v>
      </c>
      <c r="B190" s="1229" t="s">
        <v>314</v>
      </c>
      <c r="C190" s="1238" t="s">
        <v>125</v>
      </c>
      <c r="D190" s="1231">
        <v>4500172370</v>
      </c>
      <c r="E190" s="1229" t="s">
        <v>924</v>
      </c>
      <c r="F190" s="1231" t="s">
        <v>925</v>
      </c>
      <c r="G190" s="1004" t="s">
        <v>196</v>
      </c>
      <c r="H190" s="1004" t="s">
        <v>197</v>
      </c>
      <c r="I190" s="1004">
        <v>1200</v>
      </c>
      <c r="J190" s="1004">
        <v>0</v>
      </c>
      <c r="K190" s="1004">
        <v>12</v>
      </c>
      <c r="L190" s="1232">
        <f t="shared" si="99"/>
        <v>100</v>
      </c>
      <c r="M190" s="1007">
        <v>45876</v>
      </c>
      <c r="N190" s="1007">
        <v>45873</v>
      </c>
      <c r="O190" s="1020"/>
      <c r="P190" s="1024" t="s">
        <v>86</v>
      </c>
      <c r="Q190" s="1004"/>
      <c r="R190" s="1009">
        <v>45847</v>
      </c>
      <c r="S190" s="1004" t="s">
        <v>98</v>
      </c>
      <c r="T190" s="1233" t="s">
        <v>805</v>
      </c>
      <c r="U190" s="1233"/>
      <c r="V190" s="1234" t="s">
        <v>806</v>
      </c>
      <c r="W190" s="1007" t="s">
        <v>319</v>
      </c>
      <c r="X190" s="1235">
        <v>2.4244</v>
      </c>
      <c r="Y190" s="1236">
        <f t="shared" si="100"/>
        <v>2909.28</v>
      </c>
      <c r="Z190" s="1236"/>
      <c r="AA190" s="1004" t="s">
        <v>926</v>
      </c>
      <c r="AB190" s="1004" t="s">
        <v>196</v>
      </c>
      <c r="AC190" s="1004" t="s">
        <v>93</v>
      </c>
      <c r="AD190" s="1023" t="s">
        <v>94</v>
      </c>
      <c r="AE190" s="1004"/>
      <c r="AF190" s="1002">
        <v>1200</v>
      </c>
      <c r="AG190" s="1002">
        <f t="shared" si="107"/>
        <v>0</v>
      </c>
      <c r="AH190" s="1237"/>
      <c r="AI190" s="1004" t="s">
        <v>95</v>
      </c>
      <c r="AJ190" s="1004"/>
      <c r="AK190" s="1004">
        <f t="shared" si="101"/>
        <v>2400</v>
      </c>
      <c r="AL190" s="1004"/>
      <c r="AM190" s="1004"/>
      <c r="AN190" s="974">
        <f>I190*2</f>
        <v>2400</v>
      </c>
      <c r="AP190" s="1004"/>
      <c r="AQ190" s="1004"/>
      <c r="AS190" s="1004">
        <f t="shared" si="102"/>
        <v>2400</v>
      </c>
      <c r="AT190" s="1004"/>
      <c r="AU190" s="1004"/>
      <c r="AV190" s="1004"/>
      <c r="BN190" s="974">
        <f t="shared" si="103"/>
        <v>1200</v>
      </c>
      <c r="BO190" s="974">
        <f t="shared" si="104"/>
        <v>1200</v>
      </c>
      <c r="BQ190" s="974">
        <f t="shared" si="105"/>
        <v>1200</v>
      </c>
      <c r="BU190" s="939">
        <f t="shared" si="61"/>
        <v>2400</v>
      </c>
      <c r="BV190" s="1222">
        <f t="shared" si="62"/>
        <v>2549565</v>
      </c>
      <c r="BW190" s="1018"/>
      <c r="BX190" s="1018"/>
      <c r="BY190" s="1018"/>
      <c r="BZ190" s="1018"/>
      <c r="CA190" s="856">
        <f t="shared" si="59"/>
        <v>270435</v>
      </c>
      <c r="CC190" s="964">
        <f t="shared" si="63"/>
        <v>0</v>
      </c>
      <c r="CD190" s="939">
        <f t="shared" si="64"/>
        <v>50696.5714285714</v>
      </c>
      <c r="CE190" s="1018"/>
      <c r="CF190" s="1018"/>
      <c r="CG190" s="1018"/>
      <c r="CH190" s="939">
        <f t="shared" si="60"/>
        <v>9303.4285714286</v>
      </c>
      <c r="CI190" s="1018"/>
    </row>
    <row r="191" s="974" customFormat="1" ht="31" customHeight="1" spans="1:87">
      <c r="A191" s="1228">
        <v>45839</v>
      </c>
      <c r="B191" s="1229" t="s">
        <v>194</v>
      </c>
      <c r="C191" s="1238" t="s">
        <v>125</v>
      </c>
      <c r="D191" s="1231">
        <v>4500172252</v>
      </c>
      <c r="E191" s="1229">
        <v>60235864</v>
      </c>
      <c r="F191" s="1231" t="s">
        <v>927</v>
      </c>
      <c r="G191" s="1004" t="s">
        <v>196</v>
      </c>
      <c r="H191" s="1004" t="s">
        <v>197</v>
      </c>
      <c r="I191" s="1004">
        <v>2004</v>
      </c>
      <c r="J191" s="1004">
        <v>0</v>
      </c>
      <c r="K191" s="1004">
        <v>12</v>
      </c>
      <c r="L191" s="1232">
        <f t="shared" si="99"/>
        <v>167</v>
      </c>
      <c r="M191" s="1007">
        <v>45874</v>
      </c>
      <c r="N191" s="1007">
        <v>45870</v>
      </c>
      <c r="O191" s="1020"/>
      <c r="P191" s="1024" t="s">
        <v>86</v>
      </c>
      <c r="Q191" s="1004" t="s">
        <v>928</v>
      </c>
      <c r="R191" s="1009">
        <v>45846</v>
      </c>
      <c r="S191" s="1004" t="s">
        <v>98</v>
      </c>
      <c r="T191" s="1233">
        <v>45854</v>
      </c>
      <c r="U191" s="1233"/>
      <c r="V191" s="1234" t="s">
        <v>929</v>
      </c>
      <c r="W191" s="1007" t="s">
        <v>887</v>
      </c>
      <c r="X191" s="1235">
        <v>2.3946</v>
      </c>
      <c r="Y191" s="1236">
        <f t="shared" si="100"/>
        <v>4798.7784</v>
      </c>
      <c r="Z191" s="1236"/>
      <c r="AA191" s="1004" t="s">
        <v>930</v>
      </c>
      <c r="AB191" s="1004" t="s">
        <v>196</v>
      </c>
      <c r="AC191" s="1004" t="s">
        <v>93</v>
      </c>
      <c r="AD191" s="1023" t="s">
        <v>94</v>
      </c>
      <c r="AE191" s="1004"/>
      <c r="AF191" s="1002">
        <v>2004</v>
      </c>
      <c r="AG191" s="1002">
        <f t="shared" si="107"/>
        <v>0</v>
      </c>
      <c r="AH191" s="1237"/>
      <c r="AI191" s="1004" t="s">
        <v>95</v>
      </c>
      <c r="AJ191" s="1004"/>
      <c r="AK191" s="1004">
        <f t="shared" si="101"/>
        <v>4008</v>
      </c>
      <c r="AL191" s="1004"/>
      <c r="AM191" s="1004">
        <f>I191*2</f>
        <v>4008</v>
      </c>
      <c r="AP191" s="1004"/>
      <c r="AQ191" s="1004"/>
      <c r="AS191" s="1004">
        <f t="shared" si="102"/>
        <v>4008</v>
      </c>
      <c r="AT191" s="1004"/>
      <c r="AU191" s="1004"/>
      <c r="AV191" s="1004"/>
      <c r="BN191" s="974">
        <f t="shared" si="103"/>
        <v>2004</v>
      </c>
      <c r="BO191" s="974">
        <f t="shared" si="104"/>
        <v>2004</v>
      </c>
      <c r="BQ191" s="974">
        <f t="shared" si="105"/>
        <v>2004</v>
      </c>
      <c r="BU191" s="939">
        <f t="shared" si="61"/>
        <v>4008</v>
      </c>
      <c r="BV191" s="1222">
        <f t="shared" si="62"/>
        <v>2553573</v>
      </c>
      <c r="BW191" s="1018"/>
      <c r="BX191" s="1018"/>
      <c r="BY191" s="1018"/>
      <c r="BZ191" s="1018"/>
      <c r="CA191" s="856">
        <f t="shared" si="59"/>
        <v>266427</v>
      </c>
      <c r="CC191" s="964">
        <f t="shared" si="63"/>
        <v>0</v>
      </c>
      <c r="CD191" s="939">
        <f t="shared" si="64"/>
        <v>50696.5714285714</v>
      </c>
      <c r="CE191" s="1018"/>
      <c r="CF191" s="1018"/>
      <c r="CG191" s="1018"/>
      <c r="CH191" s="939">
        <f t="shared" si="60"/>
        <v>9303.4285714286</v>
      </c>
      <c r="CI191" s="1018"/>
    </row>
    <row r="192" s="974" customFormat="1" ht="31" customHeight="1" spans="1:87">
      <c r="A192" s="1228">
        <v>45797</v>
      </c>
      <c r="B192" s="1229" t="s">
        <v>931</v>
      </c>
      <c r="C192" s="1238" t="s">
        <v>272</v>
      </c>
      <c r="D192" s="1231">
        <v>4500166910</v>
      </c>
      <c r="E192" s="1229" t="s">
        <v>932</v>
      </c>
      <c r="F192" s="1231" t="s">
        <v>933</v>
      </c>
      <c r="G192" s="1004" t="s">
        <v>234</v>
      </c>
      <c r="H192" s="1004" t="s">
        <v>189</v>
      </c>
      <c r="I192" s="1004">
        <v>507</v>
      </c>
      <c r="J192" s="1004">
        <v>0</v>
      </c>
      <c r="K192" s="1004">
        <v>13</v>
      </c>
      <c r="L192" s="1232">
        <f t="shared" si="99"/>
        <v>39</v>
      </c>
      <c r="M192" s="1007">
        <v>45883</v>
      </c>
      <c r="N192" s="1007">
        <v>45880</v>
      </c>
      <c r="O192" s="1020"/>
      <c r="P192" s="1024" t="s">
        <v>86</v>
      </c>
      <c r="Q192" s="1004"/>
      <c r="R192" s="1009">
        <v>45797</v>
      </c>
      <c r="S192" s="1004" t="s">
        <v>88</v>
      </c>
      <c r="T192" s="1233" t="s">
        <v>805</v>
      </c>
      <c r="U192" s="1233"/>
      <c r="V192" s="1234" t="s">
        <v>934</v>
      </c>
      <c r="W192" s="1007" t="s">
        <v>592</v>
      </c>
      <c r="X192" s="1235">
        <v>0.0165</v>
      </c>
      <c r="Y192" s="1236">
        <f t="shared" si="100"/>
        <v>8.3655</v>
      </c>
      <c r="Z192" s="1236"/>
      <c r="AA192" s="1004" t="s">
        <v>935</v>
      </c>
      <c r="AB192" s="1004" t="s">
        <v>234</v>
      </c>
      <c r="AC192" s="1004" t="s">
        <v>93</v>
      </c>
      <c r="AD192" s="1023" t="s">
        <v>94</v>
      </c>
      <c r="AE192" s="1004"/>
      <c r="AF192" s="1002">
        <v>507</v>
      </c>
      <c r="AG192" s="1002">
        <f t="shared" si="107"/>
        <v>0</v>
      </c>
      <c r="AH192" s="1237"/>
      <c r="AI192" s="1004" t="s">
        <v>95</v>
      </c>
      <c r="AJ192" s="1004"/>
      <c r="AK192" s="1004">
        <f>I192</f>
        <v>507</v>
      </c>
      <c r="AL192" s="1004"/>
      <c r="AM192" s="1004">
        <f>I192</f>
        <v>507</v>
      </c>
      <c r="AP192" s="1004"/>
      <c r="AQ192" s="1004"/>
      <c r="AS192" s="1004">
        <f>I192</f>
        <v>507</v>
      </c>
      <c r="AT192" s="1004"/>
      <c r="AU192" s="1004"/>
      <c r="AV192" s="1004"/>
      <c r="BC192" s="974">
        <f>I192/13</f>
        <v>39</v>
      </c>
      <c r="BU192" s="939">
        <f t="shared" si="61"/>
        <v>507</v>
      </c>
      <c r="BV192" s="1222">
        <f t="shared" si="62"/>
        <v>2554080</v>
      </c>
      <c r="BW192" s="1018"/>
      <c r="BX192" s="1018"/>
      <c r="BY192" s="1018"/>
      <c r="BZ192" s="1018"/>
      <c r="CA192" s="856">
        <f t="shared" si="59"/>
        <v>265920</v>
      </c>
      <c r="CC192" s="964">
        <f t="shared" si="63"/>
        <v>0</v>
      </c>
      <c r="CD192" s="939">
        <f t="shared" si="64"/>
        <v>50696.5714285714</v>
      </c>
      <c r="CE192" s="1018"/>
      <c r="CF192" s="1018"/>
      <c r="CG192" s="1018"/>
      <c r="CH192" s="939">
        <f t="shared" si="60"/>
        <v>9303.4285714286</v>
      </c>
      <c r="CI192" s="1018"/>
    </row>
    <row r="193" s="974" customFormat="1" ht="31" customHeight="1" spans="1:87">
      <c r="A193" s="1228">
        <v>45853</v>
      </c>
      <c r="B193" s="1229" t="s">
        <v>903</v>
      </c>
      <c r="C193" s="1238" t="s">
        <v>81</v>
      </c>
      <c r="D193" s="1231">
        <v>4500173851</v>
      </c>
      <c r="E193" s="1229"/>
      <c r="F193" s="1231" t="s">
        <v>936</v>
      </c>
      <c r="G193" s="1004" t="s">
        <v>196</v>
      </c>
      <c r="H193" s="1004" t="s">
        <v>197</v>
      </c>
      <c r="I193" s="1004">
        <v>276</v>
      </c>
      <c r="J193" s="1004">
        <v>0</v>
      </c>
      <c r="K193" s="1004">
        <v>12</v>
      </c>
      <c r="L193" s="1232">
        <f t="shared" si="99"/>
        <v>23</v>
      </c>
      <c r="M193" s="1007">
        <v>45884</v>
      </c>
      <c r="N193" s="1007">
        <v>45880</v>
      </c>
      <c r="O193" s="1020"/>
      <c r="P193" s="1024" t="s">
        <v>86</v>
      </c>
      <c r="Q193" s="1004"/>
      <c r="R193" s="1009">
        <v>45853</v>
      </c>
      <c r="S193" s="1004" t="s">
        <v>98</v>
      </c>
      <c r="T193" s="1233" t="s">
        <v>805</v>
      </c>
      <c r="U193" s="1233"/>
      <c r="V193" s="1234" t="s">
        <v>937</v>
      </c>
      <c r="W193" s="1007" t="s">
        <v>119</v>
      </c>
      <c r="X193" s="1235">
        <v>4.0406</v>
      </c>
      <c r="Y193" s="1236">
        <f t="shared" si="100"/>
        <v>1115.2056</v>
      </c>
      <c r="Z193" s="1236"/>
      <c r="AA193" s="1004" t="s">
        <v>938</v>
      </c>
      <c r="AB193" s="1004" t="s">
        <v>637</v>
      </c>
      <c r="AC193" s="1004" t="s">
        <v>93</v>
      </c>
      <c r="AD193" s="1023" t="s">
        <v>94</v>
      </c>
      <c r="AE193" s="1004"/>
      <c r="AF193" s="1002">
        <v>276</v>
      </c>
      <c r="AG193" s="1002">
        <f t="shared" si="107"/>
        <v>0</v>
      </c>
      <c r="AH193" s="1237"/>
      <c r="AI193" s="1004" t="s">
        <v>95</v>
      </c>
      <c r="AJ193" s="1004"/>
      <c r="AK193" s="1004">
        <f>I193*2</f>
        <v>552</v>
      </c>
      <c r="AL193" s="1004"/>
      <c r="AM193" s="1004"/>
      <c r="AP193" s="1004">
        <f>I193*2</f>
        <v>552</v>
      </c>
      <c r="AQ193" s="1004"/>
      <c r="AS193" s="1004">
        <f>I193*2</f>
        <v>552</v>
      </c>
      <c r="AT193" s="1004"/>
      <c r="AU193" s="1004"/>
      <c r="AV193" s="1004"/>
      <c r="BN193" s="974">
        <f>I193</f>
        <v>276</v>
      </c>
      <c r="BO193" s="974">
        <f>I193</f>
        <v>276</v>
      </c>
      <c r="BQ193" s="974">
        <f>I193</f>
        <v>276</v>
      </c>
      <c r="BU193" s="939">
        <f t="shared" si="61"/>
        <v>552</v>
      </c>
      <c r="BV193" s="1222">
        <f t="shared" si="62"/>
        <v>2554632</v>
      </c>
      <c r="BW193" s="1018"/>
      <c r="BX193" s="1018"/>
      <c r="BY193" s="1018"/>
      <c r="BZ193" s="1018"/>
      <c r="CA193" s="856">
        <f t="shared" si="59"/>
        <v>265368</v>
      </c>
      <c r="CC193" s="964">
        <f t="shared" si="63"/>
        <v>0</v>
      </c>
      <c r="CD193" s="939">
        <f t="shared" si="64"/>
        <v>50696.5714285714</v>
      </c>
      <c r="CE193" s="1018"/>
      <c r="CF193" s="1018"/>
      <c r="CG193" s="1018"/>
      <c r="CH193" s="939">
        <f t="shared" si="60"/>
        <v>9303.4285714286</v>
      </c>
      <c r="CI193" s="1018"/>
    </row>
    <row r="194" s="974" customFormat="1" ht="31" customHeight="1" spans="1:87">
      <c r="A194" s="1228">
        <v>45800</v>
      </c>
      <c r="B194" s="1229" t="s">
        <v>263</v>
      </c>
      <c r="C194" s="1238" t="s">
        <v>264</v>
      </c>
      <c r="D194" s="1231">
        <v>4500167710</v>
      </c>
      <c r="E194" s="1229"/>
      <c r="F194" s="1231" t="s">
        <v>939</v>
      </c>
      <c r="G194" s="1004" t="s">
        <v>205</v>
      </c>
      <c r="H194" s="1004" t="s">
        <v>189</v>
      </c>
      <c r="I194" s="1004">
        <v>700</v>
      </c>
      <c r="J194" s="1004">
        <v>0</v>
      </c>
      <c r="K194" s="1004">
        <v>50</v>
      </c>
      <c r="L194" s="1232">
        <f t="shared" si="99"/>
        <v>14</v>
      </c>
      <c r="M194" s="1007">
        <v>45887</v>
      </c>
      <c r="N194" s="1007">
        <v>45883</v>
      </c>
      <c r="O194" s="1020"/>
      <c r="P194" s="1024" t="s">
        <v>86</v>
      </c>
      <c r="Q194" s="1020">
        <v>45912</v>
      </c>
      <c r="R194" s="1009">
        <v>45831</v>
      </c>
      <c r="S194" s="1004" t="s">
        <v>98</v>
      </c>
      <c r="T194" s="1233" t="s">
        <v>940</v>
      </c>
      <c r="U194" s="1233"/>
      <c r="V194" s="1234" t="s">
        <v>941</v>
      </c>
      <c r="W194" s="1007" t="s">
        <v>225</v>
      </c>
      <c r="X194" s="1235">
        <v>1.9605</v>
      </c>
      <c r="Y194" s="1236">
        <f t="shared" si="100"/>
        <v>1372.35</v>
      </c>
      <c r="Z194" s="1236"/>
      <c r="AA194" s="1004" t="s">
        <v>942</v>
      </c>
      <c r="AB194" s="1004" t="s">
        <v>210</v>
      </c>
      <c r="AC194" s="1004" t="s">
        <v>93</v>
      </c>
      <c r="AD194" s="1023" t="s">
        <v>94</v>
      </c>
      <c r="AE194" s="1004"/>
      <c r="AF194" s="1002">
        <v>700</v>
      </c>
      <c r="AG194" s="1002">
        <f t="shared" si="107"/>
        <v>0</v>
      </c>
      <c r="AH194" s="1237"/>
      <c r="AI194" s="1004" t="s">
        <v>95</v>
      </c>
      <c r="AJ194" s="1004"/>
      <c r="AK194" s="1004">
        <f>I194</f>
        <v>700</v>
      </c>
      <c r="AL194" s="1004"/>
      <c r="AM194" s="1004"/>
      <c r="AP194" s="1004">
        <f>I194</f>
        <v>700</v>
      </c>
      <c r="AQ194" s="1004"/>
      <c r="AS194" s="1004">
        <f>I194</f>
        <v>700</v>
      </c>
      <c r="AT194" s="1004"/>
      <c r="AU194" s="1004"/>
      <c r="AV194" s="1004"/>
      <c r="BE194" s="974">
        <f>I194/25</f>
        <v>28</v>
      </c>
      <c r="BU194" s="939">
        <f t="shared" si="61"/>
        <v>700</v>
      </c>
      <c r="BV194" s="1222">
        <f t="shared" si="62"/>
        <v>2555332</v>
      </c>
      <c r="BW194" s="1018"/>
      <c r="BX194" s="1018"/>
      <c r="BY194" s="1018"/>
      <c r="BZ194" s="1018"/>
      <c r="CA194" s="856">
        <f t="shared" si="59"/>
        <v>264668</v>
      </c>
      <c r="CC194" s="964">
        <f t="shared" si="63"/>
        <v>28</v>
      </c>
      <c r="CD194" s="939">
        <f t="shared" si="64"/>
        <v>50724.5714285714</v>
      </c>
      <c r="CE194" s="1018"/>
      <c r="CF194" s="1018"/>
      <c r="CG194" s="1018"/>
      <c r="CH194" s="939">
        <f t="shared" si="60"/>
        <v>9275.4285714286</v>
      </c>
      <c r="CI194" s="1018"/>
    </row>
    <row r="195" s="974" customFormat="1" ht="31" customHeight="1" spans="1:87">
      <c r="A195" s="1228">
        <v>45849</v>
      </c>
      <c r="B195" s="1229" t="s">
        <v>594</v>
      </c>
      <c r="C195" s="1238" t="s">
        <v>103</v>
      </c>
      <c r="D195" s="1231">
        <v>4500173446</v>
      </c>
      <c r="E195" s="1229" t="s">
        <v>943</v>
      </c>
      <c r="F195" s="1231" t="s">
        <v>944</v>
      </c>
      <c r="G195" s="1004" t="s">
        <v>196</v>
      </c>
      <c r="H195" s="1004" t="s">
        <v>197</v>
      </c>
      <c r="I195" s="1004">
        <v>492</v>
      </c>
      <c r="J195" s="1004">
        <v>0</v>
      </c>
      <c r="K195" s="1004">
        <v>12</v>
      </c>
      <c r="L195" s="1232">
        <f t="shared" si="99"/>
        <v>41</v>
      </c>
      <c r="M195" s="1007">
        <v>45888</v>
      </c>
      <c r="N195" s="1007">
        <v>45884</v>
      </c>
      <c r="O195" s="1020"/>
      <c r="P195" s="1024" t="s">
        <v>86</v>
      </c>
      <c r="Q195" s="1004"/>
      <c r="R195" s="1009" t="s">
        <v>597</v>
      </c>
      <c r="S195" s="1004" t="s">
        <v>88</v>
      </c>
      <c r="T195" s="1233">
        <v>45856</v>
      </c>
      <c r="U195" s="1233"/>
      <c r="V195" s="1234" t="s">
        <v>945</v>
      </c>
      <c r="W195" s="1007" t="s">
        <v>599</v>
      </c>
      <c r="X195" s="1235">
        <v>4.0406</v>
      </c>
      <c r="Y195" s="1236">
        <f t="shared" si="100"/>
        <v>1987.9752</v>
      </c>
      <c r="Z195" s="1236"/>
      <c r="AA195" s="1004" t="s">
        <v>946</v>
      </c>
      <c r="AB195" s="1004" t="s">
        <v>637</v>
      </c>
      <c r="AC195" s="1004" t="s">
        <v>93</v>
      </c>
      <c r="AD195" s="1023" t="s">
        <v>94</v>
      </c>
      <c r="AE195" s="1004"/>
      <c r="AF195" s="1002">
        <v>492</v>
      </c>
      <c r="AG195" s="1002">
        <f t="shared" si="107"/>
        <v>0</v>
      </c>
      <c r="AH195" s="1237"/>
      <c r="AI195" s="1004" t="s">
        <v>95</v>
      </c>
      <c r="AJ195" s="1004"/>
      <c r="AK195" s="1004">
        <f>I195*2</f>
        <v>984</v>
      </c>
      <c r="AL195" s="1004"/>
      <c r="AM195" s="1004"/>
      <c r="AP195" s="1004">
        <f>I195*2</f>
        <v>984</v>
      </c>
      <c r="AQ195" s="1004"/>
      <c r="AS195" s="1004">
        <f>I195*2</f>
        <v>984</v>
      </c>
      <c r="AT195" s="1004"/>
      <c r="AU195" s="1004"/>
      <c r="AV195" s="1004"/>
      <c r="BN195" s="974">
        <f>I195</f>
        <v>492</v>
      </c>
      <c r="BO195" s="974">
        <f>I195</f>
        <v>492</v>
      </c>
      <c r="BQ195" s="974">
        <f>I195</f>
        <v>492</v>
      </c>
      <c r="BU195" s="939">
        <f t="shared" si="61"/>
        <v>984</v>
      </c>
      <c r="BV195" s="1222">
        <f t="shared" si="62"/>
        <v>2556316</v>
      </c>
      <c r="BW195" s="1018"/>
      <c r="BX195" s="1018"/>
      <c r="BY195" s="1018"/>
      <c r="BZ195" s="1018"/>
      <c r="CA195" s="856">
        <f t="shared" ref="CA195:CA258" si="108">SUM(BX$1:CB$1)-BV195</f>
        <v>263684</v>
      </c>
      <c r="CC195" s="964">
        <f t="shared" si="63"/>
        <v>0</v>
      </c>
      <c r="CD195" s="939">
        <f t="shared" si="64"/>
        <v>50724.5714285714</v>
      </c>
      <c r="CE195" s="1018"/>
      <c r="CF195" s="1018"/>
      <c r="CG195" s="1018"/>
      <c r="CH195" s="939">
        <f t="shared" ref="CH195:CH258" si="109">$CF$1+$CG$1+$CH$1+$CI$1-CD195</f>
        <v>9275.4285714286</v>
      </c>
      <c r="CI195" s="1018"/>
    </row>
    <row r="196" s="974" customFormat="1" ht="31" customHeight="1" spans="1:87">
      <c r="A196" s="1228">
        <v>45855</v>
      </c>
      <c r="B196" s="1229" t="s">
        <v>578</v>
      </c>
      <c r="C196" s="1238" t="s">
        <v>125</v>
      </c>
      <c r="D196" s="1231">
        <v>4500174229</v>
      </c>
      <c r="E196" s="1419" t="s">
        <v>947</v>
      </c>
      <c r="F196" s="1231" t="s">
        <v>948</v>
      </c>
      <c r="G196" s="1004" t="s">
        <v>243</v>
      </c>
      <c r="H196" s="1004" t="s">
        <v>189</v>
      </c>
      <c r="I196" s="1004">
        <v>3456</v>
      </c>
      <c r="J196" s="1004">
        <v>0</v>
      </c>
      <c r="K196" s="1004">
        <v>1152</v>
      </c>
      <c r="L196" s="1232">
        <f t="shared" ref="L196:L255" si="110">I196/K196</f>
        <v>3</v>
      </c>
      <c r="M196" s="1007">
        <v>45889</v>
      </c>
      <c r="N196" s="1007">
        <v>45885</v>
      </c>
      <c r="O196" s="1020" t="s">
        <v>949</v>
      </c>
      <c r="P196" s="1024" t="s">
        <v>86</v>
      </c>
      <c r="Q196" s="1004"/>
      <c r="R196" s="1009" t="s">
        <v>296</v>
      </c>
      <c r="S196" s="1004" t="s">
        <v>98</v>
      </c>
      <c r="T196" s="1233">
        <v>45866</v>
      </c>
      <c r="U196" s="1233"/>
      <c r="V196" s="1234" t="s">
        <v>950</v>
      </c>
      <c r="W196" s="1007" t="s">
        <v>247</v>
      </c>
      <c r="X196" s="1235">
        <v>1296.6133</v>
      </c>
      <c r="Y196" s="1236">
        <f t="shared" ref="Y196:Y202" si="111">X196*L196</f>
        <v>3889.8399</v>
      </c>
      <c r="Z196" s="1236"/>
      <c r="AA196" s="1004" t="s">
        <v>951</v>
      </c>
      <c r="AB196" s="1004" t="s">
        <v>243</v>
      </c>
      <c r="AC196" s="1004" t="s">
        <v>93</v>
      </c>
      <c r="AD196" s="1023" t="s">
        <v>94</v>
      </c>
      <c r="AE196" s="1004"/>
      <c r="AF196" s="1002">
        <v>3456</v>
      </c>
      <c r="AG196" s="1002">
        <f t="shared" ref="AG196:AG222" si="112">AF196-I196</f>
        <v>0</v>
      </c>
      <c r="AH196" s="1237"/>
      <c r="AI196" s="1004"/>
      <c r="AJ196" s="1004"/>
      <c r="AK196" s="1004">
        <f t="shared" ref="AK196:AK204" si="113">I196</f>
        <v>3456</v>
      </c>
      <c r="AL196" s="1004"/>
      <c r="AM196" s="1004">
        <f t="shared" ref="AM196:AM204" si="114">I196</f>
        <v>3456</v>
      </c>
      <c r="AP196" s="1004"/>
      <c r="AQ196" s="1004"/>
      <c r="AS196" s="1004"/>
      <c r="AT196" s="1004"/>
      <c r="AU196" s="1004">
        <f t="shared" ref="AU196:AU202" si="115">I196</f>
        <v>3456</v>
      </c>
      <c r="AV196" s="1004"/>
      <c r="AZ196" s="974">
        <f t="shared" ref="AZ196:AZ202" si="116">I196/12</f>
        <v>288</v>
      </c>
      <c r="BU196" s="939">
        <f t="shared" ref="BU196:BU259" si="117">AK196+AL196</f>
        <v>3456</v>
      </c>
      <c r="BV196" s="1222">
        <f t="shared" ref="BV196:BV259" si="118">BV195+BU196</f>
        <v>2559772</v>
      </c>
      <c r="BW196" s="1018"/>
      <c r="BX196" s="1018"/>
      <c r="BY196" s="1018"/>
      <c r="BZ196" s="1018"/>
      <c r="CA196" s="856">
        <f t="shared" si="108"/>
        <v>260228</v>
      </c>
      <c r="CC196" s="964">
        <f t="shared" ref="CC196:CC259" si="119">AW196+AX196+BE196+BF196</f>
        <v>0</v>
      </c>
      <c r="CD196" s="939">
        <f t="shared" ref="CD196:CD259" si="120">CD195+CC196</f>
        <v>50724.5714285714</v>
      </c>
      <c r="CE196" s="1018"/>
      <c r="CF196" s="1018"/>
      <c r="CG196" s="1018"/>
      <c r="CH196" s="939">
        <f t="shared" si="109"/>
        <v>9275.4285714286</v>
      </c>
      <c r="CI196" s="1018"/>
    </row>
    <row r="197" s="974" customFormat="1" ht="31" customHeight="1" spans="1:87">
      <c r="A197" s="1228">
        <v>45855</v>
      </c>
      <c r="B197" s="1229" t="s">
        <v>578</v>
      </c>
      <c r="C197" s="1238" t="s">
        <v>125</v>
      </c>
      <c r="D197" s="1231">
        <v>4500174229</v>
      </c>
      <c r="E197" s="1419" t="s">
        <v>952</v>
      </c>
      <c r="F197" s="1231" t="s">
        <v>953</v>
      </c>
      <c r="G197" s="1004" t="s">
        <v>243</v>
      </c>
      <c r="H197" s="1004" t="s">
        <v>189</v>
      </c>
      <c r="I197" s="1004">
        <v>6912</v>
      </c>
      <c r="J197" s="1004">
        <v>0</v>
      </c>
      <c r="K197" s="1004">
        <v>1152</v>
      </c>
      <c r="L197" s="1232">
        <f t="shared" si="110"/>
        <v>6</v>
      </c>
      <c r="M197" s="1007">
        <v>45889</v>
      </c>
      <c r="N197" s="1007">
        <v>45885</v>
      </c>
      <c r="O197" s="1020" t="s">
        <v>949</v>
      </c>
      <c r="P197" s="1024" t="s">
        <v>86</v>
      </c>
      <c r="Q197" s="1004"/>
      <c r="R197" s="1009" t="s">
        <v>296</v>
      </c>
      <c r="S197" s="1004" t="s">
        <v>98</v>
      </c>
      <c r="T197" s="1233">
        <v>45866</v>
      </c>
      <c r="U197" s="1233"/>
      <c r="V197" s="1234" t="s">
        <v>950</v>
      </c>
      <c r="W197" s="1007" t="s">
        <v>247</v>
      </c>
      <c r="X197" s="1235">
        <v>1296.6133</v>
      </c>
      <c r="Y197" s="1236">
        <f t="shared" si="111"/>
        <v>7779.6798</v>
      </c>
      <c r="Z197" s="1236"/>
      <c r="AA197" s="1004" t="s">
        <v>954</v>
      </c>
      <c r="AB197" s="1004" t="s">
        <v>243</v>
      </c>
      <c r="AC197" s="1004" t="s">
        <v>93</v>
      </c>
      <c r="AD197" s="1023" t="s">
        <v>94</v>
      </c>
      <c r="AE197" s="1004"/>
      <c r="AF197" s="1002">
        <v>6912</v>
      </c>
      <c r="AG197" s="1002">
        <f t="shared" si="112"/>
        <v>0</v>
      </c>
      <c r="AH197" s="1237"/>
      <c r="AI197" s="1004"/>
      <c r="AJ197" s="1004"/>
      <c r="AK197" s="1004">
        <f t="shared" si="113"/>
        <v>6912</v>
      </c>
      <c r="AL197" s="1004"/>
      <c r="AM197" s="1004">
        <f t="shared" si="114"/>
        <v>6912</v>
      </c>
      <c r="AP197" s="1004"/>
      <c r="AQ197" s="1004"/>
      <c r="AS197" s="1004"/>
      <c r="AT197" s="1004"/>
      <c r="AU197" s="1004">
        <f t="shared" si="115"/>
        <v>6912</v>
      </c>
      <c r="AV197" s="1004"/>
      <c r="AZ197" s="974">
        <f t="shared" si="116"/>
        <v>576</v>
      </c>
      <c r="BU197" s="939">
        <f t="shared" si="117"/>
        <v>6912</v>
      </c>
      <c r="BV197" s="1222">
        <f t="shared" si="118"/>
        <v>2566684</v>
      </c>
      <c r="BW197" s="1018"/>
      <c r="BX197" s="1018"/>
      <c r="BY197" s="1018"/>
      <c r="BZ197" s="1018"/>
      <c r="CA197" s="856">
        <f t="shared" si="108"/>
        <v>253316</v>
      </c>
      <c r="CC197" s="964">
        <f t="shared" si="119"/>
        <v>0</v>
      </c>
      <c r="CD197" s="939">
        <f t="shared" si="120"/>
        <v>50724.5714285714</v>
      </c>
      <c r="CE197" s="1018"/>
      <c r="CF197" s="1018"/>
      <c r="CG197" s="1018"/>
      <c r="CH197" s="939">
        <f t="shared" si="109"/>
        <v>9275.4285714286</v>
      </c>
      <c r="CI197" s="1018"/>
    </row>
    <row r="198" s="974" customFormat="1" ht="31" customHeight="1" spans="1:87">
      <c r="A198" s="1228">
        <v>45855</v>
      </c>
      <c r="B198" s="1229" t="s">
        <v>578</v>
      </c>
      <c r="C198" s="1238" t="s">
        <v>125</v>
      </c>
      <c r="D198" s="1231">
        <v>4500174229</v>
      </c>
      <c r="E198" s="1419" t="s">
        <v>955</v>
      </c>
      <c r="F198" s="1231" t="s">
        <v>956</v>
      </c>
      <c r="G198" s="1004" t="s">
        <v>243</v>
      </c>
      <c r="H198" s="1004" t="s">
        <v>189</v>
      </c>
      <c r="I198" s="1004">
        <v>2304</v>
      </c>
      <c r="J198" s="1004">
        <v>0</v>
      </c>
      <c r="K198" s="1004">
        <v>1152</v>
      </c>
      <c r="L198" s="1232">
        <f t="shared" si="110"/>
        <v>2</v>
      </c>
      <c r="M198" s="1007">
        <v>45889</v>
      </c>
      <c r="N198" s="1007">
        <v>45885</v>
      </c>
      <c r="O198" s="1020" t="s">
        <v>949</v>
      </c>
      <c r="P198" s="1024" t="s">
        <v>86</v>
      </c>
      <c r="Q198" s="1004"/>
      <c r="R198" s="1009" t="s">
        <v>296</v>
      </c>
      <c r="S198" s="1004" t="s">
        <v>98</v>
      </c>
      <c r="T198" s="1233">
        <v>45866</v>
      </c>
      <c r="U198" s="1233"/>
      <c r="V198" s="1234" t="s">
        <v>950</v>
      </c>
      <c r="W198" s="1007" t="s">
        <v>247</v>
      </c>
      <c r="X198" s="1235">
        <v>1296.61</v>
      </c>
      <c r="Y198" s="1236">
        <f t="shared" si="111"/>
        <v>2593.22</v>
      </c>
      <c r="Z198" s="1236"/>
      <c r="AA198" s="1004" t="s">
        <v>957</v>
      </c>
      <c r="AB198" s="1004" t="s">
        <v>243</v>
      </c>
      <c r="AC198" s="1004" t="s">
        <v>93</v>
      </c>
      <c r="AD198" s="1023" t="s">
        <v>94</v>
      </c>
      <c r="AE198" s="1004"/>
      <c r="AF198" s="1002">
        <v>2304</v>
      </c>
      <c r="AG198" s="1002">
        <f t="shared" si="112"/>
        <v>0</v>
      </c>
      <c r="AH198" s="1237"/>
      <c r="AI198" s="1004"/>
      <c r="AJ198" s="1004"/>
      <c r="AK198" s="1004">
        <f t="shared" si="113"/>
        <v>2304</v>
      </c>
      <c r="AL198" s="1004"/>
      <c r="AM198" s="1004">
        <f t="shared" si="114"/>
        <v>2304</v>
      </c>
      <c r="AP198" s="1004"/>
      <c r="AQ198" s="1004"/>
      <c r="AS198" s="1004"/>
      <c r="AT198" s="1004"/>
      <c r="AU198" s="1004">
        <f t="shared" si="115"/>
        <v>2304</v>
      </c>
      <c r="AV198" s="1004"/>
      <c r="AZ198" s="974">
        <f t="shared" si="116"/>
        <v>192</v>
      </c>
      <c r="BU198" s="939">
        <f t="shared" si="117"/>
        <v>2304</v>
      </c>
      <c r="BV198" s="1222">
        <f t="shared" si="118"/>
        <v>2568988</v>
      </c>
      <c r="BW198" s="1018"/>
      <c r="BX198" s="1018"/>
      <c r="BY198" s="1018"/>
      <c r="BZ198" s="1018"/>
      <c r="CA198" s="856">
        <f t="shared" si="108"/>
        <v>251012</v>
      </c>
      <c r="CC198" s="964">
        <f t="shared" si="119"/>
        <v>0</v>
      </c>
      <c r="CD198" s="939">
        <f t="shared" si="120"/>
        <v>50724.5714285714</v>
      </c>
      <c r="CE198" s="1018"/>
      <c r="CF198" s="1018"/>
      <c r="CG198" s="1018"/>
      <c r="CH198" s="939">
        <f t="shared" si="109"/>
        <v>9275.4285714286</v>
      </c>
      <c r="CI198" s="1018"/>
    </row>
    <row r="199" s="974" customFormat="1" ht="31" customHeight="1" spans="1:87">
      <c r="A199" s="1228">
        <v>45855</v>
      </c>
      <c r="B199" s="1229" t="s">
        <v>578</v>
      </c>
      <c r="C199" s="1238" t="s">
        <v>125</v>
      </c>
      <c r="D199" s="1231">
        <v>4500174229</v>
      </c>
      <c r="E199" s="1419" t="s">
        <v>958</v>
      </c>
      <c r="F199" s="1231" t="s">
        <v>959</v>
      </c>
      <c r="G199" s="1004" t="s">
        <v>243</v>
      </c>
      <c r="H199" s="1004" t="s">
        <v>189</v>
      </c>
      <c r="I199" s="1004">
        <v>2304</v>
      </c>
      <c r="J199" s="1004">
        <v>0</v>
      </c>
      <c r="K199" s="1004">
        <v>1152</v>
      </c>
      <c r="L199" s="1232">
        <f t="shared" si="110"/>
        <v>2</v>
      </c>
      <c r="M199" s="1007">
        <v>45889</v>
      </c>
      <c r="N199" s="1007">
        <v>45885</v>
      </c>
      <c r="O199" s="1020" t="s">
        <v>960</v>
      </c>
      <c r="P199" s="1024" t="s">
        <v>86</v>
      </c>
      <c r="Q199" s="1004"/>
      <c r="R199" s="1009" t="s">
        <v>296</v>
      </c>
      <c r="S199" s="1004" t="s">
        <v>98</v>
      </c>
      <c r="T199" s="1233">
        <v>45866</v>
      </c>
      <c r="U199" s="1233"/>
      <c r="V199" s="1234" t="s">
        <v>950</v>
      </c>
      <c r="W199" s="1007" t="s">
        <v>247</v>
      </c>
      <c r="X199" s="1235">
        <v>1296.61</v>
      </c>
      <c r="Y199" s="1236">
        <f t="shared" si="111"/>
        <v>2593.22</v>
      </c>
      <c r="Z199" s="1236"/>
      <c r="AA199" s="1004" t="s">
        <v>961</v>
      </c>
      <c r="AB199" s="1004" t="s">
        <v>243</v>
      </c>
      <c r="AC199" s="1004" t="s">
        <v>93</v>
      </c>
      <c r="AD199" s="1023" t="s">
        <v>94</v>
      </c>
      <c r="AE199" s="1004"/>
      <c r="AF199" s="1022"/>
      <c r="AG199" s="1002">
        <f t="shared" si="112"/>
        <v>-2304</v>
      </c>
      <c r="AH199" s="1237"/>
      <c r="AI199" s="1004"/>
      <c r="AJ199" s="1004"/>
      <c r="AK199" s="1004">
        <f t="shared" si="113"/>
        <v>2304</v>
      </c>
      <c r="AL199" s="1004"/>
      <c r="AM199" s="1004">
        <f t="shared" si="114"/>
        <v>2304</v>
      </c>
      <c r="AP199" s="1004"/>
      <c r="AQ199" s="1004"/>
      <c r="AS199" s="1004"/>
      <c r="AT199" s="1004"/>
      <c r="AU199" s="1004">
        <f t="shared" si="115"/>
        <v>2304</v>
      </c>
      <c r="AV199" s="1004"/>
      <c r="AZ199" s="974">
        <f t="shared" si="116"/>
        <v>192</v>
      </c>
      <c r="BU199" s="939">
        <f t="shared" si="117"/>
        <v>2304</v>
      </c>
      <c r="BV199" s="1222">
        <f t="shared" si="118"/>
        <v>2571292</v>
      </c>
      <c r="BW199" s="1018"/>
      <c r="BX199" s="1018"/>
      <c r="BY199" s="1018"/>
      <c r="BZ199" s="1018"/>
      <c r="CA199" s="856">
        <f t="shared" si="108"/>
        <v>248708</v>
      </c>
      <c r="CC199" s="964">
        <f t="shared" si="119"/>
        <v>0</v>
      </c>
      <c r="CD199" s="939">
        <f t="shared" si="120"/>
        <v>50724.5714285714</v>
      </c>
      <c r="CE199" s="1018"/>
      <c r="CF199" s="1018"/>
      <c r="CG199" s="1018"/>
      <c r="CH199" s="939">
        <f t="shared" si="109"/>
        <v>9275.4285714286</v>
      </c>
      <c r="CI199" s="1018"/>
    </row>
    <row r="200" s="974" customFormat="1" ht="31" customHeight="1" spans="1:87">
      <c r="A200" s="1228">
        <v>45855</v>
      </c>
      <c r="B200" s="1229" t="s">
        <v>578</v>
      </c>
      <c r="C200" s="1238" t="s">
        <v>125</v>
      </c>
      <c r="D200" s="1231">
        <v>4500174229</v>
      </c>
      <c r="E200" s="1419" t="s">
        <v>962</v>
      </c>
      <c r="F200" s="1231" t="s">
        <v>963</v>
      </c>
      <c r="G200" s="1004" t="s">
        <v>243</v>
      </c>
      <c r="H200" s="1004" t="s">
        <v>189</v>
      </c>
      <c r="I200" s="1004">
        <v>1152</v>
      </c>
      <c r="J200" s="1004">
        <v>0</v>
      </c>
      <c r="K200" s="1004">
        <v>1152</v>
      </c>
      <c r="L200" s="1232">
        <f t="shared" si="110"/>
        <v>1</v>
      </c>
      <c r="M200" s="1007">
        <v>45889</v>
      </c>
      <c r="N200" s="1007">
        <v>45885</v>
      </c>
      <c r="O200" s="1020" t="s">
        <v>949</v>
      </c>
      <c r="P200" s="1024" t="s">
        <v>86</v>
      </c>
      <c r="Q200" s="1004"/>
      <c r="R200" s="1009" t="s">
        <v>296</v>
      </c>
      <c r="S200" s="1004" t="s">
        <v>98</v>
      </c>
      <c r="T200" s="1233">
        <v>45866</v>
      </c>
      <c r="U200" s="1233"/>
      <c r="V200" s="1234" t="s">
        <v>950</v>
      </c>
      <c r="W200" s="1007" t="s">
        <v>247</v>
      </c>
      <c r="X200" s="1235">
        <v>1296.61</v>
      </c>
      <c r="Y200" s="1236">
        <f t="shared" si="111"/>
        <v>1296.61</v>
      </c>
      <c r="Z200" s="1236"/>
      <c r="AA200" s="1004" t="s">
        <v>964</v>
      </c>
      <c r="AB200" s="1004" t="s">
        <v>243</v>
      </c>
      <c r="AC200" s="1004" t="s">
        <v>93</v>
      </c>
      <c r="AD200" s="1023" t="s">
        <v>94</v>
      </c>
      <c r="AE200" s="1004"/>
      <c r="AF200" s="1002">
        <v>1152</v>
      </c>
      <c r="AG200" s="1002">
        <f t="shared" si="112"/>
        <v>0</v>
      </c>
      <c r="AH200" s="1237"/>
      <c r="AI200" s="1004"/>
      <c r="AJ200" s="1004"/>
      <c r="AK200" s="1004">
        <f t="shared" si="113"/>
        <v>1152</v>
      </c>
      <c r="AL200" s="1004"/>
      <c r="AM200" s="1004">
        <f t="shared" si="114"/>
        <v>1152</v>
      </c>
      <c r="AP200" s="1004"/>
      <c r="AQ200" s="1004"/>
      <c r="AS200" s="1004"/>
      <c r="AT200" s="1004"/>
      <c r="AU200" s="1004">
        <f t="shared" si="115"/>
        <v>1152</v>
      </c>
      <c r="AV200" s="1004"/>
      <c r="AZ200" s="974">
        <f t="shared" si="116"/>
        <v>96</v>
      </c>
      <c r="BU200" s="939">
        <f t="shared" si="117"/>
        <v>1152</v>
      </c>
      <c r="BV200" s="1222">
        <f t="shared" si="118"/>
        <v>2572444</v>
      </c>
      <c r="BW200" s="1018"/>
      <c r="BX200" s="1018"/>
      <c r="BY200" s="1018"/>
      <c r="BZ200" s="1018"/>
      <c r="CA200" s="856">
        <f t="shared" si="108"/>
        <v>247556</v>
      </c>
      <c r="CC200" s="964">
        <f t="shared" si="119"/>
        <v>0</v>
      </c>
      <c r="CD200" s="939">
        <f t="shared" si="120"/>
        <v>50724.5714285714</v>
      </c>
      <c r="CE200" s="1018"/>
      <c r="CF200" s="1018"/>
      <c r="CG200" s="1018"/>
      <c r="CH200" s="939">
        <f t="shared" si="109"/>
        <v>9275.4285714286</v>
      </c>
      <c r="CI200" s="1018"/>
    </row>
    <row r="201" s="974" customFormat="1" ht="31" customHeight="1" spans="1:87">
      <c r="A201" s="1228">
        <v>45855</v>
      </c>
      <c r="B201" s="1229" t="s">
        <v>578</v>
      </c>
      <c r="C201" s="1238" t="s">
        <v>125</v>
      </c>
      <c r="D201" s="1231">
        <v>4500174229</v>
      </c>
      <c r="E201" s="1419" t="s">
        <v>965</v>
      </c>
      <c r="F201" s="1231" t="s">
        <v>966</v>
      </c>
      <c r="G201" s="1004" t="s">
        <v>243</v>
      </c>
      <c r="H201" s="1004" t="s">
        <v>189</v>
      </c>
      <c r="I201" s="1004">
        <v>1152</v>
      </c>
      <c r="J201" s="1004">
        <v>0</v>
      </c>
      <c r="K201" s="1004">
        <v>1152</v>
      </c>
      <c r="L201" s="1232">
        <f t="shared" si="110"/>
        <v>1</v>
      </c>
      <c r="M201" s="1007">
        <v>45889</v>
      </c>
      <c r="N201" s="1007">
        <v>45885</v>
      </c>
      <c r="O201" s="1020" t="s">
        <v>949</v>
      </c>
      <c r="P201" s="1024" t="s">
        <v>86</v>
      </c>
      <c r="Q201" s="1004"/>
      <c r="R201" s="1009" t="s">
        <v>296</v>
      </c>
      <c r="S201" s="1004" t="s">
        <v>98</v>
      </c>
      <c r="T201" s="1233">
        <v>45866</v>
      </c>
      <c r="U201" s="1233"/>
      <c r="V201" s="1234" t="s">
        <v>950</v>
      </c>
      <c r="W201" s="1007" t="s">
        <v>247</v>
      </c>
      <c r="X201" s="1235">
        <v>1296.61</v>
      </c>
      <c r="Y201" s="1236">
        <f t="shared" si="111"/>
        <v>1296.61</v>
      </c>
      <c r="Z201" s="1236"/>
      <c r="AA201" s="1004" t="s">
        <v>967</v>
      </c>
      <c r="AB201" s="1004" t="s">
        <v>243</v>
      </c>
      <c r="AC201" s="1004" t="s">
        <v>93</v>
      </c>
      <c r="AD201" s="1023" t="s">
        <v>94</v>
      </c>
      <c r="AE201" s="1004"/>
      <c r="AF201" s="1022"/>
      <c r="AG201" s="1002">
        <f t="shared" si="112"/>
        <v>-1152</v>
      </c>
      <c r="AH201" s="1237"/>
      <c r="AI201" s="1004"/>
      <c r="AJ201" s="1004"/>
      <c r="AK201" s="1004">
        <f t="shared" si="113"/>
        <v>1152</v>
      </c>
      <c r="AL201" s="1004"/>
      <c r="AM201" s="1004">
        <f t="shared" si="114"/>
        <v>1152</v>
      </c>
      <c r="AP201" s="1004"/>
      <c r="AQ201" s="1004"/>
      <c r="AS201" s="1004"/>
      <c r="AT201" s="1004"/>
      <c r="AU201" s="1004">
        <f t="shared" si="115"/>
        <v>1152</v>
      </c>
      <c r="AV201" s="1004"/>
      <c r="AZ201" s="974">
        <f t="shared" si="116"/>
        <v>96</v>
      </c>
      <c r="BU201" s="939">
        <f t="shared" si="117"/>
        <v>1152</v>
      </c>
      <c r="BV201" s="1222">
        <f t="shared" si="118"/>
        <v>2573596</v>
      </c>
      <c r="BW201" s="1018"/>
      <c r="BX201" s="1018"/>
      <c r="BY201" s="1018"/>
      <c r="BZ201" s="1018"/>
      <c r="CA201" s="856">
        <f t="shared" si="108"/>
        <v>246404</v>
      </c>
      <c r="CC201" s="964">
        <f t="shared" si="119"/>
        <v>0</v>
      </c>
      <c r="CD201" s="939">
        <f t="shared" si="120"/>
        <v>50724.5714285714</v>
      </c>
      <c r="CE201" s="1018"/>
      <c r="CF201" s="1018"/>
      <c r="CG201" s="1018"/>
      <c r="CH201" s="939">
        <f t="shared" si="109"/>
        <v>9275.4285714286</v>
      </c>
      <c r="CI201" s="1018"/>
    </row>
    <row r="202" s="974" customFormat="1" ht="31" customHeight="1" spans="1:87">
      <c r="A202" s="1228">
        <v>45855</v>
      </c>
      <c r="B202" s="1229" t="s">
        <v>578</v>
      </c>
      <c r="C202" s="1238" t="s">
        <v>125</v>
      </c>
      <c r="D202" s="1231">
        <v>4500174229</v>
      </c>
      <c r="E202" s="1419" t="s">
        <v>968</v>
      </c>
      <c r="F202" s="1231" t="s">
        <v>969</v>
      </c>
      <c r="G202" s="1004" t="s">
        <v>243</v>
      </c>
      <c r="H202" s="1004" t="s">
        <v>189</v>
      </c>
      <c r="I202" s="1004">
        <v>1152</v>
      </c>
      <c r="J202" s="1004">
        <v>0</v>
      </c>
      <c r="K202" s="1004">
        <v>1152</v>
      </c>
      <c r="L202" s="1232">
        <f t="shared" si="110"/>
        <v>1</v>
      </c>
      <c r="M202" s="1007">
        <v>45889</v>
      </c>
      <c r="N202" s="1007">
        <v>45885</v>
      </c>
      <c r="O202" s="1020" t="s">
        <v>949</v>
      </c>
      <c r="P202" s="1024" t="s">
        <v>86</v>
      </c>
      <c r="Q202" s="1004"/>
      <c r="R202" s="1009" t="s">
        <v>296</v>
      </c>
      <c r="S202" s="1004" t="s">
        <v>98</v>
      </c>
      <c r="T202" s="1233">
        <v>45866</v>
      </c>
      <c r="U202" s="1233"/>
      <c r="V202" s="1234" t="s">
        <v>950</v>
      </c>
      <c r="W202" s="1007" t="s">
        <v>247</v>
      </c>
      <c r="X202" s="1235">
        <v>1296.61</v>
      </c>
      <c r="Y202" s="1236">
        <f t="shared" si="111"/>
        <v>1296.61</v>
      </c>
      <c r="Z202" s="1236"/>
      <c r="AA202" s="1004" t="s">
        <v>970</v>
      </c>
      <c r="AB202" s="1004" t="s">
        <v>243</v>
      </c>
      <c r="AC202" s="1004" t="s">
        <v>93</v>
      </c>
      <c r="AD202" s="1023" t="s">
        <v>94</v>
      </c>
      <c r="AE202" s="1004"/>
      <c r="AF202" s="1022"/>
      <c r="AG202" s="1002">
        <f t="shared" si="112"/>
        <v>-1152</v>
      </c>
      <c r="AH202" s="1237"/>
      <c r="AI202" s="1004"/>
      <c r="AJ202" s="1004"/>
      <c r="AK202" s="1004">
        <f t="shared" si="113"/>
        <v>1152</v>
      </c>
      <c r="AL202" s="1004"/>
      <c r="AM202" s="1004">
        <f t="shared" si="114"/>
        <v>1152</v>
      </c>
      <c r="AP202" s="1004"/>
      <c r="AQ202" s="1004"/>
      <c r="AS202" s="1004"/>
      <c r="AT202" s="1004"/>
      <c r="AU202" s="1004">
        <f t="shared" si="115"/>
        <v>1152</v>
      </c>
      <c r="AV202" s="1004"/>
      <c r="AZ202" s="974">
        <f t="shared" si="116"/>
        <v>96</v>
      </c>
      <c r="BU202" s="939">
        <f t="shared" si="117"/>
        <v>1152</v>
      </c>
      <c r="BV202" s="1222">
        <f t="shared" si="118"/>
        <v>2574748</v>
      </c>
      <c r="BW202" s="1018"/>
      <c r="BX202" s="1018"/>
      <c r="BY202" s="1018"/>
      <c r="BZ202" s="1018"/>
      <c r="CA202" s="856">
        <f t="shared" si="108"/>
        <v>245252</v>
      </c>
      <c r="CC202" s="964">
        <f t="shared" si="119"/>
        <v>0</v>
      </c>
      <c r="CD202" s="939">
        <f t="shared" si="120"/>
        <v>50724.5714285714</v>
      </c>
      <c r="CE202" s="1018"/>
      <c r="CF202" s="1018"/>
      <c r="CG202" s="1018"/>
      <c r="CH202" s="939">
        <f t="shared" si="109"/>
        <v>9275.4285714286</v>
      </c>
      <c r="CI202" s="1018"/>
    </row>
    <row r="203" s="974" customFormat="1" ht="31" customHeight="1" spans="1:87">
      <c r="A203" s="1228">
        <v>45853</v>
      </c>
      <c r="B203" s="1229" t="s">
        <v>971</v>
      </c>
      <c r="C203" s="1238" t="s">
        <v>440</v>
      </c>
      <c r="D203" s="1231">
        <v>4500173241</v>
      </c>
      <c r="E203" s="1229" t="s">
        <v>972</v>
      </c>
      <c r="F203" s="1231" t="s">
        <v>973</v>
      </c>
      <c r="G203" s="1004" t="s">
        <v>188</v>
      </c>
      <c r="H203" s="1004" t="s">
        <v>189</v>
      </c>
      <c r="I203" s="1004">
        <v>468</v>
      </c>
      <c r="J203" s="1004">
        <v>0</v>
      </c>
      <c r="K203" s="1004">
        <v>52</v>
      </c>
      <c r="L203" s="1232">
        <f t="shared" si="110"/>
        <v>9</v>
      </c>
      <c r="M203" s="1007">
        <v>45894</v>
      </c>
      <c r="N203" s="1007">
        <v>45890</v>
      </c>
      <c r="O203" s="1020"/>
      <c r="P203" s="1024" t="s">
        <v>86</v>
      </c>
      <c r="Q203" s="1004"/>
      <c r="R203" s="1009">
        <v>45853</v>
      </c>
      <c r="S203" s="1004" t="s">
        <v>98</v>
      </c>
      <c r="T203" s="1233" t="s">
        <v>98</v>
      </c>
      <c r="U203" s="1233"/>
      <c r="V203" s="1234" t="s">
        <v>974</v>
      </c>
      <c r="W203" s="1007" t="s">
        <v>723</v>
      </c>
      <c r="X203" s="1235">
        <v>1.8632</v>
      </c>
      <c r="Y203" s="1236">
        <f>I203*X203</f>
        <v>871.9776</v>
      </c>
      <c r="Z203" s="1236"/>
      <c r="AA203" s="1004" t="s">
        <v>975</v>
      </c>
      <c r="AB203" s="1004" t="s">
        <v>188</v>
      </c>
      <c r="AC203" s="1004" t="s">
        <v>93</v>
      </c>
      <c r="AD203" s="1023" t="s">
        <v>94</v>
      </c>
      <c r="AE203" s="1004"/>
      <c r="AF203" s="1002">
        <v>468</v>
      </c>
      <c r="AG203" s="1002">
        <f t="shared" si="112"/>
        <v>0</v>
      </c>
      <c r="AH203" s="1237"/>
      <c r="AI203" s="1004" t="s">
        <v>98</v>
      </c>
      <c r="AJ203" s="1004"/>
      <c r="AK203" s="1004">
        <f t="shared" si="113"/>
        <v>468</v>
      </c>
      <c r="AL203" s="1004"/>
      <c r="AM203" s="1004">
        <f t="shared" si="114"/>
        <v>468</v>
      </c>
      <c r="AP203" s="1004"/>
      <c r="AQ203" s="1004"/>
      <c r="AS203" s="1004">
        <f>I203</f>
        <v>468</v>
      </c>
      <c r="AT203" s="1004"/>
      <c r="AU203" s="1004"/>
      <c r="AV203" s="1004"/>
      <c r="BC203" s="974">
        <f>I203/13</f>
        <v>36</v>
      </c>
      <c r="BU203" s="939">
        <f t="shared" si="117"/>
        <v>468</v>
      </c>
      <c r="BV203" s="1222">
        <f t="shared" si="118"/>
        <v>2575216</v>
      </c>
      <c r="BW203" s="1018"/>
      <c r="BX203" s="1018"/>
      <c r="BY203" s="1018"/>
      <c r="BZ203" s="1018"/>
      <c r="CA203" s="856">
        <f t="shared" si="108"/>
        <v>244784</v>
      </c>
      <c r="CC203" s="964">
        <f t="shared" si="119"/>
        <v>0</v>
      </c>
      <c r="CD203" s="939">
        <f t="shared" si="120"/>
        <v>50724.5714285714</v>
      </c>
      <c r="CE203" s="1018"/>
      <c r="CF203" s="1018"/>
      <c r="CG203" s="1018"/>
      <c r="CH203" s="939">
        <f t="shared" si="109"/>
        <v>9275.4285714286</v>
      </c>
      <c r="CI203" s="1018"/>
    </row>
    <row r="204" s="974" customFormat="1" ht="31" customHeight="1" spans="1:87">
      <c r="A204" s="1228">
        <v>45831</v>
      </c>
      <c r="B204" s="1229" t="s">
        <v>976</v>
      </c>
      <c r="C204" s="1238" t="s">
        <v>447</v>
      </c>
      <c r="D204" s="1231">
        <v>4500170921</v>
      </c>
      <c r="E204" s="1229"/>
      <c r="F204" s="1231" t="s">
        <v>977</v>
      </c>
      <c r="G204" s="1004" t="s">
        <v>188</v>
      </c>
      <c r="H204" s="1004" t="s">
        <v>189</v>
      </c>
      <c r="I204" s="1004">
        <v>2028</v>
      </c>
      <c r="J204" s="1004">
        <v>0</v>
      </c>
      <c r="K204" s="1004">
        <v>52</v>
      </c>
      <c r="L204" s="1232">
        <f t="shared" si="110"/>
        <v>39</v>
      </c>
      <c r="M204" s="1007">
        <v>45897</v>
      </c>
      <c r="N204" s="1007">
        <v>45894</v>
      </c>
      <c r="O204" s="1020"/>
      <c r="P204" s="1024" t="s">
        <v>86</v>
      </c>
      <c r="Q204" s="1004"/>
      <c r="R204" s="1009" t="s">
        <v>978</v>
      </c>
      <c r="S204" s="1004" t="s">
        <v>98</v>
      </c>
      <c r="T204" s="1233" t="s">
        <v>979</v>
      </c>
      <c r="U204" s="1233"/>
      <c r="V204" s="1234" t="s">
        <v>980</v>
      </c>
      <c r="W204" s="1007" t="s">
        <v>444</v>
      </c>
      <c r="X204" s="1235">
        <v>1.8478</v>
      </c>
      <c r="Y204" s="1236">
        <f>I204*X204</f>
        <v>3747.3384</v>
      </c>
      <c r="Z204" s="1236"/>
      <c r="AA204" s="1004" t="s">
        <v>981</v>
      </c>
      <c r="AB204" s="1004" t="s">
        <v>188</v>
      </c>
      <c r="AC204" s="1004" t="s">
        <v>93</v>
      </c>
      <c r="AD204" s="1023" t="s">
        <v>94</v>
      </c>
      <c r="AE204" s="1004"/>
      <c r="AF204" s="1002">
        <v>2028</v>
      </c>
      <c r="AG204" s="1002">
        <f t="shared" si="112"/>
        <v>0</v>
      </c>
      <c r="AH204" s="1237"/>
      <c r="AI204" s="1004" t="s">
        <v>95</v>
      </c>
      <c r="AJ204" s="1004"/>
      <c r="AK204" s="1004">
        <f t="shared" si="113"/>
        <v>2028</v>
      </c>
      <c r="AL204" s="1004"/>
      <c r="AM204" s="1004">
        <f t="shared" si="114"/>
        <v>2028</v>
      </c>
      <c r="AP204" s="1004"/>
      <c r="AQ204" s="1004"/>
      <c r="AS204" s="1004">
        <f>I204</f>
        <v>2028</v>
      </c>
      <c r="AT204" s="1004"/>
      <c r="AU204" s="1004"/>
      <c r="AV204" s="1004"/>
      <c r="BC204" s="974">
        <f>I204/13</f>
        <v>156</v>
      </c>
      <c r="BU204" s="939">
        <f t="shared" si="117"/>
        <v>2028</v>
      </c>
      <c r="BV204" s="1222">
        <f t="shared" si="118"/>
        <v>2577244</v>
      </c>
      <c r="BW204" s="1018"/>
      <c r="BX204" s="1018"/>
      <c r="BY204" s="1018"/>
      <c r="BZ204" s="1018"/>
      <c r="CA204" s="856">
        <f t="shared" si="108"/>
        <v>242756</v>
      </c>
      <c r="CC204" s="964">
        <f t="shared" si="119"/>
        <v>0</v>
      </c>
      <c r="CD204" s="939">
        <f t="shared" si="120"/>
        <v>50724.5714285714</v>
      </c>
      <c r="CE204" s="1018"/>
      <c r="CF204" s="1018"/>
      <c r="CG204" s="1018"/>
      <c r="CH204" s="939">
        <f t="shared" si="109"/>
        <v>9275.4285714286</v>
      </c>
      <c r="CI204" s="1018"/>
    </row>
    <row r="205" s="974" customFormat="1" ht="31" customHeight="1" spans="1:87">
      <c r="A205" s="1228">
        <v>45839</v>
      </c>
      <c r="B205" s="1229" t="s">
        <v>194</v>
      </c>
      <c r="C205" s="1238" t="s">
        <v>125</v>
      </c>
      <c r="D205" s="1231">
        <v>4500172260</v>
      </c>
      <c r="E205" s="1229">
        <v>60235775</v>
      </c>
      <c r="F205" s="1231" t="s">
        <v>982</v>
      </c>
      <c r="G205" s="1004" t="s">
        <v>196</v>
      </c>
      <c r="H205" s="1004" t="s">
        <v>197</v>
      </c>
      <c r="I205" s="1004">
        <v>2004</v>
      </c>
      <c r="J205" s="1004">
        <v>0</v>
      </c>
      <c r="K205" s="1004">
        <v>12</v>
      </c>
      <c r="L205" s="1232">
        <f t="shared" si="110"/>
        <v>167</v>
      </c>
      <c r="M205" s="1250">
        <v>45898</v>
      </c>
      <c r="N205" s="1250">
        <v>45894</v>
      </c>
      <c r="O205" s="1020"/>
      <c r="P205" s="1024" t="s">
        <v>86</v>
      </c>
      <c r="Q205" s="1004"/>
      <c r="R205" s="1009">
        <v>45860</v>
      </c>
      <c r="S205" s="1004" t="s">
        <v>98</v>
      </c>
      <c r="T205" s="1233" t="s">
        <v>199</v>
      </c>
      <c r="U205" s="1233"/>
      <c r="V205" s="1234" t="s">
        <v>886</v>
      </c>
      <c r="W205" s="1007" t="s">
        <v>887</v>
      </c>
      <c r="X205" s="1235">
        <v>2.4174</v>
      </c>
      <c r="Y205" s="1236">
        <f>I205*X205</f>
        <v>4844.4696</v>
      </c>
      <c r="Z205" s="1236"/>
      <c r="AA205" s="1004" t="s">
        <v>983</v>
      </c>
      <c r="AB205" s="1004" t="s">
        <v>984</v>
      </c>
      <c r="AC205" s="1004" t="s">
        <v>93</v>
      </c>
      <c r="AD205" s="1023" t="s">
        <v>94</v>
      </c>
      <c r="AE205" s="1004"/>
      <c r="AF205" s="1002">
        <v>2004</v>
      </c>
      <c r="AG205" s="1002">
        <f t="shared" si="112"/>
        <v>0</v>
      </c>
      <c r="AH205" s="1237"/>
      <c r="AI205" s="1004" t="s">
        <v>95</v>
      </c>
      <c r="AJ205" s="1004"/>
      <c r="AK205" s="1004">
        <f>I205*2</f>
        <v>4008</v>
      </c>
      <c r="AL205" s="1004"/>
      <c r="AM205" s="1004">
        <f>I205*2</f>
        <v>4008</v>
      </c>
      <c r="AP205" s="1004"/>
      <c r="AQ205" s="1004"/>
      <c r="AS205" s="1004">
        <f>I205*2</f>
        <v>4008</v>
      </c>
      <c r="AT205" s="1004"/>
      <c r="AU205" s="1004"/>
      <c r="AV205" s="1004"/>
      <c r="BN205" s="974">
        <f>I205</f>
        <v>2004</v>
      </c>
      <c r="BO205" s="974">
        <f>I205</f>
        <v>2004</v>
      </c>
      <c r="BQ205" s="974">
        <f>I205</f>
        <v>2004</v>
      </c>
      <c r="BU205" s="939">
        <f t="shared" si="117"/>
        <v>4008</v>
      </c>
      <c r="BV205" s="1222">
        <f t="shared" si="118"/>
        <v>2581252</v>
      </c>
      <c r="BW205" s="1018"/>
      <c r="BX205" s="1018"/>
      <c r="BY205" s="1018"/>
      <c r="BZ205" s="1018"/>
      <c r="CA205" s="856">
        <f t="shared" si="108"/>
        <v>238748</v>
      </c>
      <c r="CC205" s="964">
        <f t="shared" si="119"/>
        <v>0</v>
      </c>
      <c r="CD205" s="939">
        <f t="shared" si="120"/>
        <v>50724.5714285714</v>
      </c>
      <c r="CE205" s="1018"/>
      <c r="CF205" s="1018"/>
      <c r="CG205" s="1018"/>
      <c r="CH205" s="939">
        <f t="shared" si="109"/>
        <v>9275.4285714286</v>
      </c>
      <c r="CI205" s="1018"/>
    </row>
    <row r="206" s="974" customFormat="1" ht="31" customHeight="1" spans="1:87">
      <c r="A206" s="1228">
        <v>45860</v>
      </c>
      <c r="B206" s="1229" t="s">
        <v>896</v>
      </c>
      <c r="C206" s="1238" t="s">
        <v>125</v>
      </c>
      <c r="D206" s="1231">
        <v>4500174588</v>
      </c>
      <c r="E206" s="1229">
        <v>1617036</v>
      </c>
      <c r="F206" s="1231" t="s">
        <v>985</v>
      </c>
      <c r="G206" s="1004" t="s">
        <v>841</v>
      </c>
      <c r="H206" s="1004" t="s">
        <v>842</v>
      </c>
      <c r="I206" s="1004">
        <v>600</v>
      </c>
      <c r="J206" s="1004">
        <v>0</v>
      </c>
      <c r="K206" s="1004">
        <v>8</v>
      </c>
      <c r="L206" s="1232">
        <f t="shared" si="110"/>
        <v>75</v>
      </c>
      <c r="M206" s="1007">
        <v>45903</v>
      </c>
      <c r="N206" s="1007">
        <f>M206-4</f>
        <v>45899</v>
      </c>
      <c r="O206" s="1020"/>
      <c r="P206" s="1024" t="s">
        <v>86</v>
      </c>
      <c r="Q206" s="1004" t="s">
        <v>986</v>
      </c>
      <c r="R206" s="1009">
        <v>45876</v>
      </c>
      <c r="S206" s="1004" t="s">
        <v>98</v>
      </c>
      <c r="T206" s="1233">
        <v>45877</v>
      </c>
      <c r="U206" s="1233"/>
      <c r="V206" s="1234" t="s">
        <v>987</v>
      </c>
      <c r="W206" s="1007" t="s">
        <v>900</v>
      </c>
      <c r="X206" s="1235">
        <v>3.606</v>
      </c>
      <c r="Y206" s="1236">
        <f>X206*I206</f>
        <v>2163.6</v>
      </c>
      <c r="Z206" s="1236"/>
      <c r="AA206" s="1004" t="s">
        <v>988</v>
      </c>
      <c r="AB206" s="1004" t="s">
        <v>902</v>
      </c>
      <c r="AC206" s="1004" t="s">
        <v>93</v>
      </c>
      <c r="AD206" s="1023" t="s">
        <v>94</v>
      </c>
      <c r="AE206" s="1004"/>
      <c r="AF206" s="1002">
        <v>600</v>
      </c>
      <c r="AG206" s="1002">
        <f t="shared" si="112"/>
        <v>0</v>
      </c>
      <c r="AH206" s="1237"/>
      <c r="AI206" s="1004" t="s">
        <v>95</v>
      </c>
      <c r="AJ206" s="1004"/>
      <c r="AK206" s="1004">
        <f>I206*3</f>
        <v>1800</v>
      </c>
      <c r="AL206" s="1004"/>
      <c r="AM206" s="1004">
        <f>I206*3</f>
        <v>1800</v>
      </c>
      <c r="AP206" s="1004"/>
      <c r="AQ206" s="1004"/>
      <c r="AS206" s="1004">
        <f>I206*3</f>
        <v>1800</v>
      </c>
      <c r="AT206" s="1004"/>
      <c r="AU206" s="1004"/>
      <c r="AV206" s="1004"/>
      <c r="BR206" s="974">
        <f>I206</f>
        <v>600</v>
      </c>
      <c r="BS206" s="974">
        <f>I206</f>
        <v>600</v>
      </c>
      <c r="BT206" s="974">
        <f>I206</f>
        <v>600</v>
      </c>
      <c r="BU206" s="939">
        <f t="shared" si="117"/>
        <v>1800</v>
      </c>
      <c r="BV206" s="1222">
        <f t="shared" si="118"/>
        <v>2583052</v>
      </c>
      <c r="BW206" s="1018"/>
      <c r="BX206" s="1018"/>
      <c r="BY206" s="1018"/>
      <c r="BZ206" s="1018"/>
      <c r="CA206" s="856">
        <f t="shared" si="108"/>
        <v>236948</v>
      </c>
      <c r="CC206" s="964">
        <f t="shared" si="119"/>
        <v>0</v>
      </c>
      <c r="CD206" s="939">
        <f t="shared" si="120"/>
        <v>50724.5714285714</v>
      </c>
      <c r="CE206" s="1018"/>
      <c r="CF206" s="1018"/>
      <c r="CG206" s="1018"/>
      <c r="CH206" s="939">
        <f t="shared" si="109"/>
        <v>9275.4285714286</v>
      </c>
      <c r="CI206" s="1018"/>
    </row>
    <row r="207" s="974" customFormat="1" ht="31" customHeight="1" spans="1:87">
      <c r="A207" s="1228">
        <v>45861</v>
      </c>
      <c r="B207" s="1229" t="s">
        <v>896</v>
      </c>
      <c r="C207" s="1238" t="s">
        <v>125</v>
      </c>
      <c r="D207" s="1231">
        <v>4500174582</v>
      </c>
      <c r="E207" s="1229">
        <v>1617044</v>
      </c>
      <c r="F207" s="1231" t="s">
        <v>989</v>
      </c>
      <c r="G207" s="1004" t="s">
        <v>196</v>
      </c>
      <c r="H207" s="1004" t="s">
        <v>197</v>
      </c>
      <c r="I207" s="1004">
        <v>192</v>
      </c>
      <c r="J207" s="1004">
        <v>0</v>
      </c>
      <c r="K207" s="1004">
        <v>12</v>
      </c>
      <c r="L207" s="1232">
        <f t="shared" si="110"/>
        <v>16</v>
      </c>
      <c r="M207" s="1007">
        <v>45903</v>
      </c>
      <c r="N207" s="1007">
        <f>M207-4</f>
        <v>45899</v>
      </c>
      <c r="O207" s="1020"/>
      <c r="P207" s="1024" t="s">
        <v>86</v>
      </c>
      <c r="Q207" s="1004" t="s">
        <v>986</v>
      </c>
      <c r="R207" s="1009">
        <v>45876</v>
      </c>
      <c r="S207" s="1004" t="s">
        <v>98</v>
      </c>
      <c r="T207" s="1233">
        <v>45877</v>
      </c>
      <c r="U207" s="1233"/>
      <c r="V207" s="1234" t="s">
        <v>899</v>
      </c>
      <c r="W207" s="1007" t="s">
        <v>887</v>
      </c>
      <c r="X207" s="1235">
        <v>2.4244</v>
      </c>
      <c r="Y207" s="1236">
        <f>I207*X207</f>
        <v>465.4848</v>
      </c>
      <c r="Z207" s="1236"/>
      <c r="AA207" s="1004" t="s">
        <v>990</v>
      </c>
      <c r="AB207" s="1004" t="s">
        <v>984</v>
      </c>
      <c r="AC207" s="1004" t="s">
        <v>93</v>
      </c>
      <c r="AD207" s="1023" t="s">
        <v>94</v>
      </c>
      <c r="AE207" s="1004"/>
      <c r="AF207" s="1002">
        <v>192</v>
      </c>
      <c r="AG207" s="1002">
        <f t="shared" si="112"/>
        <v>0</v>
      </c>
      <c r="AH207" s="1237"/>
      <c r="AI207" s="1004" t="s">
        <v>95</v>
      </c>
      <c r="AJ207" s="1004"/>
      <c r="AK207" s="1004">
        <f>I207*2</f>
        <v>384</v>
      </c>
      <c r="AL207" s="1004"/>
      <c r="AM207" s="1004">
        <f>I207*2</f>
        <v>384</v>
      </c>
      <c r="AP207" s="1004"/>
      <c r="AQ207" s="1004"/>
      <c r="AS207" s="1004">
        <f>I207*2</f>
        <v>384</v>
      </c>
      <c r="AT207" s="1004"/>
      <c r="AU207" s="1004"/>
      <c r="AV207" s="1004"/>
      <c r="BN207" s="974">
        <f>I207</f>
        <v>192</v>
      </c>
      <c r="BO207" s="974">
        <f>I207</f>
        <v>192</v>
      </c>
      <c r="BQ207" s="974">
        <f>I207</f>
        <v>192</v>
      </c>
      <c r="BU207" s="939">
        <f t="shared" si="117"/>
        <v>384</v>
      </c>
      <c r="BV207" s="1222">
        <f t="shared" si="118"/>
        <v>2583436</v>
      </c>
      <c r="BW207" s="1018"/>
      <c r="BX207" s="1018"/>
      <c r="BY207" s="1018"/>
      <c r="BZ207" s="1018"/>
      <c r="CA207" s="856">
        <f t="shared" si="108"/>
        <v>236564</v>
      </c>
      <c r="CC207" s="964">
        <f t="shared" si="119"/>
        <v>0</v>
      </c>
      <c r="CD207" s="939">
        <f t="shared" si="120"/>
        <v>50724.5714285714</v>
      </c>
      <c r="CE207" s="1018"/>
      <c r="CF207" s="1018"/>
      <c r="CG207" s="1018"/>
      <c r="CH207" s="939">
        <f t="shared" si="109"/>
        <v>9275.4285714286</v>
      </c>
      <c r="CI207" s="1018"/>
    </row>
    <row r="208" s="974" customFormat="1" ht="31" customHeight="1" spans="1:87">
      <c r="A208" s="1228">
        <v>45861</v>
      </c>
      <c r="B208" s="1229" t="s">
        <v>896</v>
      </c>
      <c r="C208" s="1238" t="s">
        <v>125</v>
      </c>
      <c r="D208" s="1231">
        <v>4500174585</v>
      </c>
      <c r="E208" s="1229">
        <v>617043</v>
      </c>
      <c r="F208" s="1231" t="s">
        <v>991</v>
      </c>
      <c r="G208" s="1004" t="s">
        <v>196</v>
      </c>
      <c r="H208" s="1004" t="s">
        <v>197</v>
      </c>
      <c r="I208" s="1004">
        <v>408</v>
      </c>
      <c r="J208" s="1004">
        <v>0</v>
      </c>
      <c r="K208" s="1004">
        <v>12</v>
      </c>
      <c r="L208" s="1232">
        <f t="shared" si="110"/>
        <v>34</v>
      </c>
      <c r="M208" s="1007">
        <v>45903</v>
      </c>
      <c r="N208" s="1007">
        <f>M208-4</f>
        <v>45899</v>
      </c>
      <c r="O208" s="1020"/>
      <c r="P208" s="1024" t="s">
        <v>86</v>
      </c>
      <c r="Q208" s="1004" t="s">
        <v>986</v>
      </c>
      <c r="R208" s="1009">
        <v>45876</v>
      </c>
      <c r="S208" s="1004" t="s">
        <v>98</v>
      </c>
      <c r="T208" s="1233">
        <v>45877</v>
      </c>
      <c r="U208" s="1233"/>
      <c r="V208" s="1234" t="s">
        <v>899</v>
      </c>
      <c r="W208" s="1007" t="s">
        <v>887</v>
      </c>
      <c r="X208" s="1235">
        <v>2.4244</v>
      </c>
      <c r="Y208" s="1236">
        <f>I208*X208</f>
        <v>989.1552</v>
      </c>
      <c r="Z208" s="1236"/>
      <c r="AA208" s="1004" t="s">
        <v>992</v>
      </c>
      <c r="AB208" s="1004" t="s">
        <v>984</v>
      </c>
      <c r="AC208" s="1004" t="s">
        <v>93</v>
      </c>
      <c r="AD208" s="1023" t="s">
        <v>94</v>
      </c>
      <c r="AE208" s="1004"/>
      <c r="AF208" s="1002">
        <v>408</v>
      </c>
      <c r="AG208" s="1002">
        <f t="shared" si="112"/>
        <v>0</v>
      </c>
      <c r="AH208" s="1237"/>
      <c r="AI208" s="1004" t="s">
        <v>95</v>
      </c>
      <c r="AJ208" s="1004"/>
      <c r="AK208" s="1004">
        <f>I208*2</f>
        <v>816</v>
      </c>
      <c r="AL208" s="1004"/>
      <c r="AM208" s="1004">
        <f>I208*2</f>
        <v>816</v>
      </c>
      <c r="AP208" s="1004"/>
      <c r="AQ208" s="1004"/>
      <c r="AS208" s="1004">
        <f>I208*3</f>
        <v>1224</v>
      </c>
      <c r="AT208" s="1004"/>
      <c r="AU208" s="1004"/>
      <c r="AV208" s="1004"/>
      <c r="BN208" s="974">
        <f>I208</f>
        <v>408</v>
      </c>
      <c r="BO208" s="974">
        <f>I208</f>
        <v>408</v>
      </c>
      <c r="BQ208" s="974">
        <f>I208</f>
        <v>408</v>
      </c>
      <c r="BU208" s="939">
        <f t="shared" si="117"/>
        <v>816</v>
      </c>
      <c r="BV208" s="1222">
        <f t="shared" si="118"/>
        <v>2584252</v>
      </c>
      <c r="BW208" s="1018"/>
      <c r="BX208" s="1018"/>
      <c r="BY208" s="1018"/>
      <c r="BZ208" s="1018"/>
      <c r="CA208" s="856">
        <f t="shared" si="108"/>
        <v>235748</v>
      </c>
      <c r="CC208" s="964">
        <f t="shared" si="119"/>
        <v>0</v>
      </c>
      <c r="CD208" s="939">
        <f t="shared" si="120"/>
        <v>50724.5714285714</v>
      </c>
      <c r="CE208" s="1018"/>
      <c r="CF208" s="1018"/>
      <c r="CG208" s="1018"/>
      <c r="CH208" s="939">
        <f t="shared" si="109"/>
        <v>9275.4285714286</v>
      </c>
      <c r="CI208" s="1018"/>
    </row>
    <row r="209" s="974" customFormat="1" ht="31" customHeight="1" spans="1:87">
      <c r="A209" s="1228">
        <v>45863</v>
      </c>
      <c r="B209" s="1229" t="s">
        <v>761</v>
      </c>
      <c r="C209" s="1238" t="s">
        <v>632</v>
      </c>
      <c r="D209" s="1231">
        <v>4500175043</v>
      </c>
      <c r="E209" s="1229" t="s">
        <v>993</v>
      </c>
      <c r="F209" s="1231" t="s">
        <v>994</v>
      </c>
      <c r="G209" s="1004" t="s">
        <v>196</v>
      </c>
      <c r="H209" s="1004" t="s">
        <v>197</v>
      </c>
      <c r="I209" s="1004">
        <v>72</v>
      </c>
      <c r="J209" s="1004">
        <v>0</v>
      </c>
      <c r="K209" s="1004">
        <v>12</v>
      </c>
      <c r="L209" s="1232">
        <f t="shared" si="110"/>
        <v>6</v>
      </c>
      <c r="M209" s="1007">
        <v>45905</v>
      </c>
      <c r="N209" s="1007">
        <v>45901</v>
      </c>
      <c r="O209" s="1020"/>
      <c r="P209" s="1024" t="s">
        <v>86</v>
      </c>
      <c r="Q209" s="1004"/>
      <c r="R209" s="1009">
        <v>45863</v>
      </c>
      <c r="S209" s="1004" t="s">
        <v>88</v>
      </c>
      <c r="T209" s="1233">
        <v>45887</v>
      </c>
      <c r="U209" s="1233"/>
      <c r="V209" s="1234" t="s">
        <v>995</v>
      </c>
      <c r="W209" s="1007" t="s">
        <v>731</v>
      </c>
      <c r="X209" s="1235">
        <v>4.0406</v>
      </c>
      <c r="Y209" s="1236">
        <f t="shared" ref="Y209:Y215" si="121">I209*X209</f>
        <v>290.9232</v>
      </c>
      <c r="Z209" s="1236"/>
      <c r="AA209" s="1004" t="s">
        <v>996</v>
      </c>
      <c r="AB209" s="1004" t="s">
        <v>808</v>
      </c>
      <c r="AC209" s="1004" t="s">
        <v>93</v>
      </c>
      <c r="AD209" s="1023" t="s">
        <v>94</v>
      </c>
      <c r="AE209" s="1004"/>
      <c r="AF209" s="1002">
        <v>72</v>
      </c>
      <c r="AG209" s="1002">
        <f t="shared" si="112"/>
        <v>0</v>
      </c>
      <c r="AH209" s="1237"/>
      <c r="AI209" s="1004" t="s">
        <v>95</v>
      </c>
      <c r="AJ209" s="1004"/>
      <c r="AK209" s="1004"/>
      <c r="AL209" s="1004">
        <f t="shared" ref="AL209:AL215" si="122">I209</f>
        <v>72</v>
      </c>
      <c r="AM209" s="1004"/>
      <c r="AO209" s="974">
        <f>I209*2</f>
        <v>144</v>
      </c>
      <c r="AP209" s="1004"/>
      <c r="AQ209" s="1004"/>
      <c r="AS209" s="1004">
        <f t="shared" ref="AS208:AS215" si="123">I209*2</f>
        <v>144</v>
      </c>
      <c r="AT209" s="1004"/>
      <c r="AU209" s="1004"/>
      <c r="AV209" s="1004"/>
      <c r="BN209" s="974">
        <f t="shared" ref="BN209:BN215" si="124">I209</f>
        <v>72</v>
      </c>
      <c r="BO209" s="974">
        <f t="shared" ref="BO209:BO215" si="125">I209</f>
        <v>72</v>
      </c>
      <c r="BQ209" s="974">
        <f t="shared" ref="BQ209:BQ215" si="126">I209</f>
        <v>72</v>
      </c>
      <c r="BU209" s="939">
        <f t="shared" si="117"/>
        <v>72</v>
      </c>
      <c r="BV209" s="1222">
        <f t="shared" si="118"/>
        <v>2584324</v>
      </c>
      <c r="BW209" s="1018"/>
      <c r="BX209" s="1018"/>
      <c r="BY209" s="1018"/>
      <c r="BZ209" s="1018"/>
      <c r="CA209" s="856">
        <f t="shared" si="108"/>
        <v>235676</v>
      </c>
      <c r="CC209" s="964">
        <f t="shared" si="119"/>
        <v>0</v>
      </c>
      <c r="CD209" s="939">
        <f t="shared" si="120"/>
        <v>50724.5714285714</v>
      </c>
      <c r="CE209" s="1018"/>
      <c r="CF209" s="1018"/>
      <c r="CG209" s="1018"/>
      <c r="CH209" s="939">
        <f t="shared" si="109"/>
        <v>9275.4285714286</v>
      </c>
      <c r="CI209" s="1018"/>
    </row>
    <row r="210" s="974" customFormat="1" ht="31" customHeight="1" spans="1:87">
      <c r="A210" s="1228">
        <v>45863</v>
      </c>
      <c r="B210" s="1229" t="s">
        <v>761</v>
      </c>
      <c r="C210" s="1238" t="s">
        <v>632</v>
      </c>
      <c r="D210" s="1231">
        <v>4500175043</v>
      </c>
      <c r="E210" s="1229" t="s">
        <v>997</v>
      </c>
      <c r="F210" s="1231" t="s">
        <v>998</v>
      </c>
      <c r="G210" s="1004" t="s">
        <v>196</v>
      </c>
      <c r="H210" s="1004" t="s">
        <v>197</v>
      </c>
      <c r="I210" s="1004">
        <v>96</v>
      </c>
      <c r="J210" s="1004">
        <v>0</v>
      </c>
      <c r="K210" s="1004">
        <v>12</v>
      </c>
      <c r="L210" s="1232">
        <f t="shared" si="110"/>
        <v>8</v>
      </c>
      <c r="M210" s="1007">
        <v>45905</v>
      </c>
      <c r="N210" s="1007">
        <v>45901</v>
      </c>
      <c r="O210" s="1020"/>
      <c r="P210" s="1024" t="s">
        <v>86</v>
      </c>
      <c r="Q210" s="1004"/>
      <c r="R210" s="1009">
        <v>45863</v>
      </c>
      <c r="S210" s="1004" t="s">
        <v>88</v>
      </c>
      <c r="T210" s="1233">
        <v>45887</v>
      </c>
      <c r="U210" s="1233"/>
      <c r="V210" s="1234" t="s">
        <v>995</v>
      </c>
      <c r="W210" s="1007" t="s">
        <v>731</v>
      </c>
      <c r="X210" s="1235">
        <v>4.0406</v>
      </c>
      <c r="Y210" s="1236">
        <f t="shared" si="121"/>
        <v>387.8976</v>
      </c>
      <c r="Z210" s="1236"/>
      <c r="AA210" s="1004" t="s">
        <v>996</v>
      </c>
      <c r="AB210" s="1004" t="s">
        <v>808</v>
      </c>
      <c r="AC210" s="1004" t="s">
        <v>93</v>
      </c>
      <c r="AD210" s="1023" t="s">
        <v>94</v>
      </c>
      <c r="AE210" s="1004"/>
      <c r="AF210" s="1002">
        <v>96</v>
      </c>
      <c r="AG210" s="1002">
        <f t="shared" si="112"/>
        <v>0</v>
      </c>
      <c r="AH210" s="1237"/>
      <c r="AI210" s="1004" t="s">
        <v>95</v>
      </c>
      <c r="AJ210" s="1004"/>
      <c r="AK210" s="1004"/>
      <c r="AL210" s="1004">
        <f t="shared" si="122"/>
        <v>96</v>
      </c>
      <c r="AM210" s="1004"/>
      <c r="AO210" s="974">
        <f>I210*2</f>
        <v>192</v>
      </c>
      <c r="AP210" s="1004"/>
      <c r="AQ210" s="1004"/>
      <c r="AS210" s="1004">
        <f t="shared" si="123"/>
        <v>192</v>
      </c>
      <c r="AT210" s="1004"/>
      <c r="AU210" s="1004"/>
      <c r="AV210" s="1004"/>
      <c r="BN210" s="974">
        <f t="shared" si="124"/>
        <v>96</v>
      </c>
      <c r="BO210" s="974">
        <f t="shared" si="125"/>
        <v>96</v>
      </c>
      <c r="BQ210" s="974">
        <f t="shared" si="126"/>
        <v>96</v>
      </c>
      <c r="BU210" s="939">
        <f t="shared" si="117"/>
        <v>96</v>
      </c>
      <c r="BV210" s="1222">
        <f t="shared" si="118"/>
        <v>2584420</v>
      </c>
      <c r="BW210" s="1018"/>
      <c r="BX210" s="1018"/>
      <c r="BY210" s="1018"/>
      <c r="BZ210" s="1018"/>
      <c r="CA210" s="856">
        <f t="shared" si="108"/>
        <v>235580</v>
      </c>
      <c r="CC210" s="964">
        <f t="shared" si="119"/>
        <v>0</v>
      </c>
      <c r="CD210" s="939">
        <f t="shared" si="120"/>
        <v>50724.5714285714</v>
      </c>
      <c r="CE210" s="1018"/>
      <c r="CF210" s="1018"/>
      <c r="CG210" s="1018"/>
      <c r="CH210" s="939">
        <f t="shared" si="109"/>
        <v>9275.4285714286</v>
      </c>
      <c r="CI210" s="1018"/>
    </row>
    <row r="211" s="974" customFormat="1" ht="31" customHeight="1" spans="1:87">
      <c r="A211" s="1228">
        <v>45863</v>
      </c>
      <c r="B211" s="1229" t="s">
        <v>761</v>
      </c>
      <c r="C211" s="1238" t="s">
        <v>632</v>
      </c>
      <c r="D211" s="1231">
        <v>4500175043</v>
      </c>
      <c r="E211" s="1229" t="s">
        <v>999</v>
      </c>
      <c r="F211" s="1231" t="s">
        <v>1000</v>
      </c>
      <c r="G211" s="1004" t="s">
        <v>196</v>
      </c>
      <c r="H211" s="1004" t="s">
        <v>197</v>
      </c>
      <c r="I211" s="1004">
        <v>60</v>
      </c>
      <c r="J211" s="1004">
        <v>0</v>
      </c>
      <c r="K211" s="1004">
        <v>12</v>
      </c>
      <c r="L211" s="1232">
        <f t="shared" si="110"/>
        <v>5</v>
      </c>
      <c r="M211" s="1007">
        <v>45905</v>
      </c>
      <c r="N211" s="1007">
        <v>45901</v>
      </c>
      <c r="O211" s="1020"/>
      <c r="P211" s="1024" t="s">
        <v>86</v>
      </c>
      <c r="Q211" s="1004"/>
      <c r="R211" s="1009">
        <v>45863</v>
      </c>
      <c r="S211" s="1004" t="s">
        <v>88</v>
      </c>
      <c r="T211" s="1233">
        <v>45887</v>
      </c>
      <c r="U211" s="1233"/>
      <c r="V211" s="1234" t="s">
        <v>995</v>
      </c>
      <c r="W211" s="1007" t="s">
        <v>731</v>
      </c>
      <c r="X211" s="1235">
        <v>4.0406</v>
      </c>
      <c r="Y211" s="1236">
        <f t="shared" si="121"/>
        <v>242.436</v>
      </c>
      <c r="Z211" s="1236"/>
      <c r="AA211" s="1004" t="s">
        <v>996</v>
      </c>
      <c r="AB211" s="1004" t="s">
        <v>808</v>
      </c>
      <c r="AC211" s="1004" t="s">
        <v>93</v>
      </c>
      <c r="AD211" s="1023" t="s">
        <v>94</v>
      </c>
      <c r="AE211" s="1004"/>
      <c r="AF211" s="1002">
        <v>60</v>
      </c>
      <c r="AG211" s="1002">
        <f t="shared" si="112"/>
        <v>0</v>
      </c>
      <c r="AH211" s="1237"/>
      <c r="AI211" s="1004" t="s">
        <v>95</v>
      </c>
      <c r="AJ211" s="1004"/>
      <c r="AK211" s="1004"/>
      <c r="AL211" s="1004">
        <f t="shared" si="122"/>
        <v>60</v>
      </c>
      <c r="AM211" s="1004"/>
      <c r="AO211" s="974">
        <f t="shared" ref="AO210:AO215" si="127">I211*2</f>
        <v>120</v>
      </c>
      <c r="AP211" s="1004"/>
      <c r="AQ211" s="1004"/>
      <c r="AS211" s="1004">
        <f t="shared" si="123"/>
        <v>120</v>
      </c>
      <c r="AT211" s="1004"/>
      <c r="AU211" s="1004"/>
      <c r="AV211" s="1004"/>
      <c r="BN211" s="974">
        <f t="shared" si="124"/>
        <v>60</v>
      </c>
      <c r="BO211" s="974">
        <f t="shared" si="125"/>
        <v>60</v>
      </c>
      <c r="BQ211" s="974">
        <f t="shared" si="126"/>
        <v>60</v>
      </c>
      <c r="BU211" s="939">
        <f t="shared" si="117"/>
        <v>60</v>
      </c>
      <c r="BV211" s="1222">
        <f t="shared" si="118"/>
        <v>2584480</v>
      </c>
      <c r="BW211" s="1018"/>
      <c r="BX211" s="1018"/>
      <c r="BY211" s="1018"/>
      <c r="BZ211" s="1018"/>
      <c r="CA211" s="856">
        <f t="shared" si="108"/>
        <v>235520</v>
      </c>
      <c r="CC211" s="964">
        <f t="shared" si="119"/>
        <v>0</v>
      </c>
      <c r="CD211" s="939">
        <f t="shared" si="120"/>
        <v>50724.5714285714</v>
      </c>
      <c r="CE211" s="1018"/>
      <c r="CF211" s="1018"/>
      <c r="CG211" s="1018"/>
      <c r="CH211" s="939">
        <f t="shared" si="109"/>
        <v>9275.4285714286</v>
      </c>
      <c r="CI211" s="1018"/>
    </row>
    <row r="212" s="974" customFormat="1" ht="31" customHeight="1" spans="1:87">
      <c r="A212" s="1228">
        <v>45863</v>
      </c>
      <c r="B212" s="1229" t="s">
        <v>761</v>
      </c>
      <c r="C212" s="1238" t="s">
        <v>632</v>
      </c>
      <c r="D212" s="1231">
        <v>4500175043</v>
      </c>
      <c r="E212" s="1229" t="s">
        <v>1001</v>
      </c>
      <c r="F212" s="1231" t="s">
        <v>1002</v>
      </c>
      <c r="G212" s="1004" t="s">
        <v>196</v>
      </c>
      <c r="H212" s="1004" t="s">
        <v>197</v>
      </c>
      <c r="I212" s="1004">
        <v>24</v>
      </c>
      <c r="J212" s="1004">
        <v>0</v>
      </c>
      <c r="K212" s="1004">
        <v>12</v>
      </c>
      <c r="L212" s="1232">
        <f t="shared" si="110"/>
        <v>2</v>
      </c>
      <c r="M212" s="1007">
        <v>45905</v>
      </c>
      <c r="N212" s="1007">
        <v>45901</v>
      </c>
      <c r="O212" s="1020"/>
      <c r="P212" s="1024" t="s">
        <v>86</v>
      </c>
      <c r="Q212" s="1004"/>
      <c r="R212" s="1009">
        <v>45863</v>
      </c>
      <c r="S212" s="1004" t="s">
        <v>88</v>
      </c>
      <c r="T212" s="1233">
        <v>45887</v>
      </c>
      <c r="U212" s="1233"/>
      <c r="V212" s="1234" t="s">
        <v>995</v>
      </c>
      <c r="W212" s="1007" t="s">
        <v>731</v>
      </c>
      <c r="X212" s="1235">
        <v>4.0406</v>
      </c>
      <c r="Y212" s="1236">
        <f t="shared" si="121"/>
        <v>96.9744</v>
      </c>
      <c r="Z212" s="1236"/>
      <c r="AA212" s="1004" t="s">
        <v>996</v>
      </c>
      <c r="AB212" s="1004" t="s">
        <v>808</v>
      </c>
      <c r="AC212" s="1004" t="s">
        <v>93</v>
      </c>
      <c r="AD212" s="1023" t="s">
        <v>94</v>
      </c>
      <c r="AE212" s="1004"/>
      <c r="AF212" s="1002">
        <v>24</v>
      </c>
      <c r="AG212" s="1002">
        <f t="shared" si="112"/>
        <v>0</v>
      </c>
      <c r="AH212" s="1237"/>
      <c r="AI212" s="1004" t="s">
        <v>95</v>
      </c>
      <c r="AJ212" s="1004"/>
      <c r="AK212" s="1004"/>
      <c r="AL212" s="1004">
        <f t="shared" si="122"/>
        <v>24</v>
      </c>
      <c r="AM212" s="1004"/>
      <c r="AO212" s="974">
        <f t="shared" si="127"/>
        <v>48</v>
      </c>
      <c r="AP212" s="1004"/>
      <c r="AQ212" s="1004"/>
      <c r="AS212" s="1004">
        <f t="shared" si="123"/>
        <v>48</v>
      </c>
      <c r="AT212" s="1004"/>
      <c r="AU212" s="1004"/>
      <c r="AV212" s="1004"/>
      <c r="BN212" s="974">
        <f t="shared" si="124"/>
        <v>24</v>
      </c>
      <c r="BO212" s="974">
        <f t="shared" si="125"/>
        <v>24</v>
      </c>
      <c r="BQ212" s="974">
        <f t="shared" si="126"/>
        <v>24</v>
      </c>
      <c r="BU212" s="939">
        <f t="shared" si="117"/>
        <v>24</v>
      </c>
      <c r="BV212" s="1222">
        <f t="shared" si="118"/>
        <v>2584504</v>
      </c>
      <c r="BW212" s="1018"/>
      <c r="BX212" s="1018"/>
      <c r="BY212" s="1018"/>
      <c r="BZ212" s="1018"/>
      <c r="CA212" s="856">
        <f t="shared" si="108"/>
        <v>235496</v>
      </c>
      <c r="CC212" s="964">
        <f t="shared" si="119"/>
        <v>0</v>
      </c>
      <c r="CD212" s="939">
        <f t="shared" si="120"/>
        <v>50724.5714285714</v>
      </c>
      <c r="CE212" s="1018"/>
      <c r="CF212" s="1018"/>
      <c r="CG212" s="1018"/>
      <c r="CH212" s="939">
        <f t="shared" si="109"/>
        <v>9275.4285714286</v>
      </c>
      <c r="CI212" s="1018"/>
    </row>
    <row r="213" s="974" customFormat="1" ht="31" customHeight="1" spans="1:87">
      <c r="A213" s="1228">
        <v>45863</v>
      </c>
      <c r="B213" s="1229" t="s">
        <v>761</v>
      </c>
      <c r="C213" s="1238" t="s">
        <v>632</v>
      </c>
      <c r="D213" s="1231">
        <v>4500175043</v>
      </c>
      <c r="E213" s="1229" t="s">
        <v>1003</v>
      </c>
      <c r="F213" s="1231" t="s">
        <v>1004</v>
      </c>
      <c r="G213" s="1004" t="s">
        <v>196</v>
      </c>
      <c r="H213" s="1004" t="s">
        <v>197</v>
      </c>
      <c r="I213" s="1004">
        <v>12</v>
      </c>
      <c r="J213" s="1004">
        <v>0</v>
      </c>
      <c r="K213" s="1004">
        <v>12</v>
      </c>
      <c r="L213" s="1232">
        <f t="shared" si="110"/>
        <v>1</v>
      </c>
      <c r="M213" s="1007">
        <v>45905</v>
      </c>
      <c r="N213" s="1007">
        <v>45901</v>
      </c>
      <c r="O213" s="1020"/>
      <c r="P213" s="1024" t="s">
        <v>86</v>
      </c>
      <c r="Q213" s="1004"/>
      <c r="R213" s="1009">
        <v>45863</v>
      </c>
      <c r="S213" s="1004" t="s">
        <v>88</v>
      </c>
      <c r="T213" s="1233">
        <v>45887</v>
      </c>
      <c r="U213" s="1233"/>
      <c r="V213" s="1234" t="s">
        <v>995</v>
      </c>
      <c r="W213" s="1007" t="s">
        <v>731</v>
      </c>
      <c r="X213" s="1235">
        <v>4.0406</v>
      </c>
      <c r="Y213" s="1236">
        <f t="shared" si="121"/>
        <v>48.4872</v>
      </c>
      <c r="Z213" s="1236"/>
      <c r="AA213" s="1004" t="s">
        <v>996</v>
      </c>
      <c r="AB213" s="1004" t="s">
        <v>808</v>
      </c>
      <c r="AC213" s="1004" t="s">
        <v>93</v>
      </c>
      <c r="AD213" s="1023" t="s">
        <v>94</v>
      </c>
      <c r="AE213" s="1004"/>
      <c r="AF213" s="1002">
        <v>12</v>
      </c>
      <c r="AG213" s="1002">
        <f t="shared" si="112"/>
        <v>0</v>
      </c>
      <c r="AH213" s="1237"/>
      <c r="AI213" s="1004" t="s">
        <v>95</v>
      </c>
      <c r="AJ213" s="1004"/>
      <c r="AK213" s="1004"/>
      <c r="AL213" s="1004">
        <f t="shared" si="122"/>
        <v>12</v>
      </c>
      <c r="AM213" s="1004"/>
      <c r="AO213" s="974">
        <f t="shared" si="127"/>
        <v>24</v>
      </c>
      <c r="AP213" s="1004"/>
      <c r="AQ213" s="1004"/>
      <c r="AS213" s="1004">
        <f t="shared" si="123"/>
        <v>24</v>
      </c>
      <c r="AT213" s="1004"/>
      <c r="AU213" s="1004"/>
      <c r="AV213" s="1004"/>
      <c r="BN213" s="974">
        <f t="shared" si="124"/>
        <v>12</v>
      </c>
      <c r="BO213" s="974">
        <f t="shared" si="125"/>
        <v>12</v>
      </c>
      <c r="BQ213" s="974">
        <f t="shared" si="126"/>
        <v>12</v>
      </c>
      <c r="BU213" s="939">
        <f t="shared" si="117"/>
        <v>12</v>
      </c>
      <c r="BV213" s="1222">
        <f t="shared" si="118"/>
        <v>2584516</v>
      </c>
      <c r="BW213" s="1018"/>
      <c r="BX213" s="1018"/>
      <c r="BY213" s="1018"/>
      <c r="BZ213" s="1018"/>
      <c r="CA213" s="856">
        <f t="shared" si="108"/>
        <v>235484</v>
      </c>
      <c r="CC213" s="964">
        <f t="shared" si="119"/>
        <v>0</v>
      </c>
      <c r="CD213" s="939">
        <f t="shared" si="120"/>
        <v>50724.5714285714</v>
      </c>
      <c r="CE213" s="1018"/>
      <c r="CF213" s="1018"/>
      <c r="CG213" s="1018"/>
      <c r="CH213" s="939">
        <f t="shared" si="109"/>
        <v>9275.4285714286</v>
      </c>
      <c r="CI213" s="1018"/>
    </row>
    <row r="214" s="974" customFormat="1" ht="31" customHeight="1" spans="1:87">
      <c r="A214" s="1228">
        <v>45863</v>
      </c>
      <c r="B214" s="1229" t="s">
        <v>761</v>
      </c>
      <c r="C214" s="1238" t="s">
        <v>632</v>
      </c>
      <c r="D214" s="1231">
        <v>4500175043</v>
      </c>
      <c r="E214" s="1229" t="s">
        <v>1005</v>
      </c>
      <c r="F214" s="1231" t="s">
        <v>1006</v>
      </c>
      <c r="G214" s="1004" t="s">
        <v>196</v>
      </c>
      <c r="H214" s="1004" t="s">
        <v>197</v>
      </c>
      <c r="I214" s="1004">
        <v>36</v>
      </c>
      <c r="J214" s="1004">
        <v>0</v>
      </c>
      <c r="K214" s="1004">
        <v>12</v>
      </c>
      <c r="L214" s="1232">
        <f t="shared" si="110"/>
        <v>3</v>
      </c>
      <c r="M214" s="1007">
        <v>45905</v>
      </c>
      <c r="N214" s="1007">
        <v>45901</v>
      </c>
      <c r="O214" s="1020"/>
      <c r="P214" s="1024" t="s">
        <v>86</v>
      </c>
      <c r="Q214" s="1004"/>
      <c r="R214" s="1009">
        <v>45863</v>
      </c>
      <c r="S214" s="1004" t="s">
        <v>88</v>
      </c>
      <c r="T214" s="1233">
        <v>45887</v>
      </c>
      <c r="U214" s="1233"/>
      <c r="V214" s="1234" t="s">
        <v>995</v>
      </c>
      <c r="W214" s="1007" t="s">
        <v>731</v>
      </c>
      <c r="X214" s="1235">
        <v>4.0406</v>
      </c>
      <c r="Y214" s="1236">
        <f t="shared" si="121"/>
        <v>145.4616</v>
      </c>
      <c r="Z214" s="1236"/>
      <c r="AA214" s="1004" t="s">
        <v>996</v>
      </c>
      <c r="AB214" s="1004" t="s">
        <v>808</v>
      </c>
      <c r="AC214" s="1004" t="s">
        <v>93</v>
      </c>
      <c r="AD214" s="1023" t="s">
        <v>94</v>
      </c>
      <c r="AE214" s="1004"/>
      <c r="AF214" s="1002">
        <v>36</v>
      </c>
      <c r="AG214" s="1002">
        <f t="shared" si="112"/>
        <v>0</v>
      </c>
      <c r="AH214" s="1237"/>
      <c r="AI214" s="1004" t="s">
        <v>95</v>
      </c>
      <c r="AJ214" s="1004"/>
      <c r="AK214" s="1004"/>
      <c r="AL214" s="1004">
        <f t="shared" si="122"/>
        <v>36</v>
      </c>
      <c r="AM214" s="1004"/>
      <c r="AO214" s="974">
        <f t="shared" si="127"/>
        <v>72</v>
      </c>
      <c r="AP214" s="1004"/>
      <c r="AQ214" s="1004"/>
      <c r="AS214" s="1004">
        <f t="shared" si="123"/>
        <v>72</v>
      </c>
      <c r="AT214" s="1004"/>
      <c r="AU214" s="1004"/>
      <c r="AV214" s="1004"/>
      <c r="BN214" s="974">
        <f t="shared" si="124"/>
        <v>36</v>
      </c>
      <c r="BO214" s="974">
        <f t="shared" si="125"/>
        <v>36</v>
      </c>
      <c r="BQ214" s="974">
        <f t="shared" si="126"/>
        <v>36</v>
      </c>
      <c r="BU214" s="939">
        <f t="shared" si="117"/>
        <v>36</v>
      </c>
      <c r="BV214" s="1222">
        <f t="shared" si="118"/>
        <v>2584552</v>
      </c>
      <c r="BW214" s="1018"/>
      <c r="BX214" s="1018"/>
      <c r="BY214" s="1018"/>
      <c r="BZ214" s="1018"/>
      <c r="CA214" s="856">
        <f t="shared" si="108"/>
        <v>235448</v>
      </c>
      <c r="CC214" s="964">
        <f t="shared" si="119"/>
        <v>0</v>
      </c>
      <c r="CD214" s="939">
        <f t="shared" si="120"/>
        <v>50724.5714285714</v>
      </c>
      <c r="CE214" s="1018"/>
      <c r="CF214" s="1018"/>
      <c r="CG214" s="1018"/>
      <c r="CH214" s="939">
        <f t="shared" si="109"/>
        <v>9275.4285714286</v>
      </c>
      <c r="CI214" s="1018"/>
    </row>
    <row r="215" s="974" customFormat="1" ht="31" customHeight="1" spans="1:87">
      <c r="A215" s="1228">
        <v>45863</v>
      </c>
      <c r="B215" s="1229" t="s">
        <v>761</v>
      </c>
      <c r="C215" s="1238" t="s">
        <v>632</v>
      </c>
      <c r="D215" s="1231">
        <v>4500175043</v>
      </c>
      <c r="E215" s="1229" t="s">
        <v>1007</v>
      </c>
      <c r="F215" s="1231" t="s">
        <v>1008</v>
      </c>
      <c r="G215" s="1004" t="s">
        <v>196</v>
      </c>
      <c r="H215" s="1004" t="s">
        <v>197</v>
      </c>
      <c r="I215" s="1004">
        <v>48</v>
      </c>
      <c r="J215" s="1004">
        <v>0</v>
      </c>
      <c r="K215" s="1004">
        <v>12</v>
      </c>
      <c r="L215" s="1232">
        <f t="shared" si="110"/>
        <v>4</v>
      </c>
      <c r="M215" s="1007">
        <v>45905</v>
      </c>
      <c r="N215" s="1007">
        <v>45901</v>
      </c>
      <c r="O215" s="1020"/>
      <c r="P215" s="1024" t="s">
        <v>86</v>
      </c>
      <c r="Q215" s="1004"/>
      <c r="R215" s="1009">
        <v>45863</v>
      </c>
      <c r="S215" s="1004" t="s">
        <v>88</v>
      </c>
      <c r="T215" s="1233">
        <v>45887</v>
      </c>
      <c r="U215" s="1233"/>
      <c r="V215" s="1234" t="s">
        <v>995</v>
      </c>
      <c r="W215" s="1007" t="s">
        <v>731</v>
      </c>
      <c r="X215" s="1235">
        <v>4.0406</v>
      </c>
      <c r="Y215" s="1236">
        <f t="shared" si="121"/>
        <v>193.9488</v>
      </c>
      <c r="Z215" s="1236"/>
      <c r="AA215" s="1004" t="s">
        <v>996</v>
      </c>
      <c r="AB215" s="1004" t="s">
        <v>808</v>
      </c>
      <c r="AC215" s="1004" t="s">
        <v>93</v>
      </c>
      <c r="AD215" s="1023" t="s">
        <v>94</v>
      </c>
      <c r="AE215" s="1004"/>
      <c r="AF215" s="1002">
        <v>48</v>
      </c>
      <c r="AG215" s="1002">
        <f t="shared" si="112"/>
        <v>0</v>
      </c>
      <c r="AH215" s="1237"/>
      <c r="AI215" s="1004" t="s">
        <v>95</v>
      </c>
      <c r="AJ215" s="1004"/>
      <c r="AK215" s="1004"/>
      <c r="AL215" s="1004">
        <f t="shared" si="122"/>
        <v>48</v>
      </c>
      <c r="AM215" s="1004"/>
      <c r="AO215" s="974">
        <f t="shared" si="127"/>
        <v>96</v>
      </c>
      <c r="AP215" s="1004"/>
      <c r="AQ215" s="1004"/>
      <c r="AS215" s="1004">
        <f t="shared" si="123"/>
        <v>96</v>
      </c>
      <c r="AT215" s="1004"/>
      <c r="AU215" s="1004"/>
      <c r="AV215" s="1004"/>
      <c r="BN215" s="974">
        <f t="shared" si="124"/>
        <v>48</v>
      </c>
      <c r="BO215" s="974">
        <f t="shared" si="125"/>
        <v>48</v>
      </c>
      <c r="BQ215" s="974">
        <f t="shared" si="126"/>
        <v>48</v>
      </c>
      <c r="BU215" s="939">
        <f t="shared" si="117"/>
        <v>48</v>
      </c>
      <c r="BV215" s="1222">
        <f t="shared" si="118"/>
        <v>2584600</v>
      </c>
      <c r="BW215" s="1018"/>
      <c r="BX215" s="1018"/>
      <c r="BY215" s="1018"/>
      <c r="BZ215" s="1018"/>
      <c r="CA215" s="856">
        <f t="shared" si="108"/>
        <v>235400</v>
      </c>
      <c r="CC215" s="964">
        <f t="shared" si="119"/>
        <v>0</v>
      </c>
      <c r="CD215" s="939">
        <f t="shared" si="120"/>
        <v>50724.5714285714</v>
      </c>
      <c r="CE215" s="1018"/>
      <c r="CF215" s="1018"/>
      <c r="CG215" s="1018"/>
      <c r="CH215" s="939">
        <f t="shared" si="109"/>
        <v>9275.4285714286</v>
      </c>
      <c r="CI215" s="1018"/>
    </row>
    <row r="216" s="859" customFormat="1" ht="32" customHeight="1" spans="1:87">
      <c r="A216" s="985">
        <v>45875</v>
      </c>
      <c r="B216" s="988" t="s">
        <v>578</v>
      </c>
      <c r="C216" s="954" t="s">
        <v>125</v>
      </c>
      <c r="D216" s="987">
        <v>4500175910</v>
      </c>
      <c r="E216" s="1420" t="s">
        <v>1009</v>
      </c>
      <c r="F216" s="1251" t="s">
        <v>1010</v>
      </c>
      <c r="G216" s="951" t="s">
        <v>243</v>
      </c>
      <c r="H216" s="951" t="s">
        <v>189</v>
      </c>
      <c r="I216" s="951">
        <v>1152</v>
      </c>
      <c r="J216" s="951">
        <v>0</v>
      </c>
      <c r="K216" s="951">
        <v>1152</v>
      </c>
      <c r="L216" s="1252">
        <f t="shared" si="110"/>
        <v>1</v>
      </c>
      <c r="M216" s="956">
        <v>45903</v>
      </c>
      <c r="N216" s="956">
        <f>M216-4</f>
        <v>45899</v>
      </c>
      <c r="O216" s="1253" t="s">
        <v>1011</v>
      </c>
      <c r="P216" s="980" t="s">
        <v>86</v>
      </c>
      <c r="Q216" s="951" t="s">
        <v>1012</v>
      </c>
      <c r="R216" s="958" t="s">
        <v>296</v>
      </c>
      <c r="S216" s="951" t="s">
        <v>98</v>
      </c>
      <c r="T216" s="992">
        <v>45880</v>
      </c>
      <c r="U216" s="992"/>
      <c r="V216" s="952" t="s">
        <v>1013</v>
      </c>
      <c r="W216" s="956" t="s">
        <v>247</v>
      </c>
      <c r="X216" s="952">
        <v>1312.51</v>
      </c>
      <c r="Y216" s="1254">
        <f t="shared" ref="Y216:Y222" si="128">X216*L216</f>
        <v>1312.51</v>
      </c>
      <c r="Z216" s="1254"/>
      <c r="AA216" s="951" t="s">
        <v>1014</v>
      </c>
      <c r="AB216" s="951" t="s">
        <v>243</v>
      </c>
      <c r="AC216" s="951" t="s">
        <v>93</v>
      </c>
      <c r="AD216" s="990" t="s">
        <v>94</v>
      </c>
      <c r="AE216" s="951"/>
      <c r="AF216" s="949">
        <v>1152</v>
      </c>
      <c r="AG216" s="949">
        <f t="shared" si="112"/>
        <v>0</v>
      </c>
      <c r="AH216" s="1255"/>
      <c r="AI216" s="951" t="s">
        <v>1015</v>
      </c>
      <c r="AJ216" s="951"/>
      <c r="AK216" s="951">
        <f t="shared" ref="AK216:AK222" si="129">I216</f>
        <v>1152</v>
      </c>
      <c r="AL216" s="951"/>
      <c r="AM216" s="951">
        <f t="shared" ref="AM216:AM222" si="130">I216</f>
        <v>1152</v>
      </c>
      <c r="AP216" s="951"/>
      <c r="AQ216" s="951"/>
      <c r="AR216" s="1256"/>
      <c r="AS216" s="951"/>
      <c r="AT216" s="951"/>
      <c r="AU216" s="951">
        <f>I216</f>
        <v>1152</v>
      </c>
      <c r="AV216" s="951"/>
      <c r="AZ216" s="859">
        <f t="shared" ref="AZ216:AZ222" si="131">I216/12</f>
        <v>96</v>
      </c>
      <c r="BE216" s="962"/>
      <c r="BU216" s="939">
        <f t="shared" si="117"/>
        <v>1152</v>
      </c>
      <c r="BV216" s="1222">
        <f t="shared" si="118"/>
        <v>2585752</v>
      </c>
      <c r="BW216" s="963"/>
      <c r="BX216" s="963"/>
      <c r="BY216" s="963"/>
      <c r="BZ216" s="963"/>
      <c r="CA216" s="856">
        <f t="shared" si="108"/>
        <v>234248</v>
      </c>
      <c r="CC216" s="964">
        <f t="shared" si="119"/>
        <v>0</v>
      </c>
      <c r="CD216" s="939">
        <f t="shared" si="120"/>
        <v>50724.5714285714</v>
      </c>
      <c r="CE216" s="963"/>
      <c r="CF216" s="963"/>
      <c r="CG216" s="963"/>
      <c r="CH216" s="939">
        <f t="shared" si="109"/>
        <v>9275.4285714286</v>
      </c>
      <c r="CI216" s="963"/>
    </row>
    <row r="217" s="859" customFormat="1" ht="32" customHeight="1" spans="1:87">
      <c r="A217" s="985">
        <v>45875</v>
      </c>
      <c r="B217" s="988" t="s">
        <v>578</v>
      </c>
      <c r="C217" s="954" t="s">
        <v>125</v>
      </c>
      <c r="D217" s="987">
        <v>4500175910</v>
      </c>
      <c r="E217" s="1420" t="s">
        <v>1016</v>
      </c>
      <c r="F217" s="1251" t="s">
        <v>1017</v>
      </c>
      <c r="G217" s="951" t="s">
        <v>243</v>
      </c>
      <c r="H217" s="951" t="s">
        <v>189</v>
      </c>
      <c r="I217" s="951">
        <v>1152</v>
      </c>
      <c r="J217" s="951">
        <v>0</v>
      </c>
      <c r="K217" s="951">
        <v>1152</v>
      </c>
      <c r="L217" s="1252">
        <f t="shared" si="110"/>
        <v>1</v>
      </c>
      <c r="M217" s="956">
        <v>45903</v>
      </c>
      <c r="N217" s="956">
        <f>M217-4</f>
        <v>45899</v>
      </c>
      <c r="O217" s="1253" t="s">
        <v>1011</v>
      </c>
      <c r="P217" s="980" t="s">
        <v>86</v>
      </c>
      <c r="Q217" s="951" t="s">
        <v>1012</v>
      </c>
      <c r="R217" s="958" t="s">
        <v>296</v>
      </c>
      <c r="S217" s="951" t="s">
        <v>98</v>
      </c>
      <c r="T217" s="992">
        <v>45880</v>
      </c>
      <c r="U217" s="992"/>
      <c r="V217" s="952" t="s">
        <v>1013</v>
      </c>
      <c r="W217" s="956" t="s">
        <v>247</v>
      </c>
      <c r="X217" s="952">
        <v>1312.51</v>
      </c>
      <c r="Y217" s="1254">
        <f t="shared" si="128"/>
        <v>1312.51</v>
      </c>
      <c r="Z217" s="1254"/>
      <c r="AA217" s="951" t="s">
        <v>1018</v>
      </c>
      <c r="AB217" s="951" t="s">
        <v>243</v>
      </c>
      <c r="AC217" s="951" t="s">
        <v>93</v>
      </c>
      <c r="AD217" s="990" t="s">
        <v>94</v>
      </c>
      <c r="AE217" s="951"/>
      <c r="AF217" s="1257"/>
      <c r="AG217" s="949">
        <f t="shared" si="112"/>
        <v>-1152</v>
      </c>
      <c r="AH217" s="1255"/>
      <c r="AI217" s="951" t="s">
        <v>1015</v>
      </c>
      <c r="AJ217" s="951"/>
      <c r="AK217" s="951">
        <f t="shared" si="129"/>
        <v>1152</v>
      </c>
      <c r="AL217" s="951"/>
      <c r="AM217" s="951">
        <f t="shared" si="130"/>
        <v>1152</v>
      </c>
      <c r="AP217" s="951"/>
      <c r="AQ217" s="951"/>
      <c r="AR217" s="1256"/>
      <c r="AS217" s="951"/>
      <c r="AT217" s="951"/>
      <c r="AU217" s="951">
        <f>I217</f>
        <v>1152</v>
      </c>
      <c r="AV217" s="951"/>
      <c r="AZ217" s="859">
        <f t="shared" si="131"/>
        <v>96</v>
      </c>
      <c r="BE217" s="962"/>
      <c r="BU217" s="939">
        <f t="shared" si="117"/>
        <v>1152</v>
      </c>
      <c r="BV217" s="1222">
        <f t="shared" si="118"/>
        <v>2586904</v>
      </c>
      <c r="BW217" s="963"/>
      <c r="BX217" s="963"/>
      <c r="BY217" s="963"/>
      <c r="BZ217" s="963"/>
      <c r="CA217" s="856">
        <f t="shared" si="108"/>
        <v>233096</v>
      </c>
      <c r="CC217" s="964">
        <f t="shared" si="119"/>
        <v>0</v>
      </c>
      <c r="CD217" s="939">
        <f t="shared" si="120"/>
        <v>50724.5714285714</v>
      </c>
      <c r="CE217" s="963"/>
      <c r="CF217" s="963"/>
      <c r="CG217" s="963"/>
      <c r="CH217" s="939">
        <f t="shared" si="109"/>
        <v>9275.4285714286</v>
      </c>
      <c r="CI217" s="963"/>
    </row>
    <row r="218" s="859" customFormat="1" ht="32" customHeight="1" spans="1:87">
      <c r="A218" s="985">
        <v>45875</v>
      </c>
      <c r="B218" s="988" t="s">
        <v>578</v>
      </c>
      <c r="C218" s="954" t="s">
        <v>125</v>
      </c>
      <c r="D218" s="987">
        <v>4500175910</v>
      </c>
      <c r="E218" s="1420" t="s">
        <v>1019</v>
      </c>
      <c r="F218" s="1251" t="s">
        <v>1020</v>
      </c>
      <c r="G218" s="951" t="s">
        <v>243</v>
      </c>
      <c r="H218" s="951" t="s">
        <v>189</v>
      </c>
      <c r="I218" s="951">
        <v>1152</v>
      </c>
      <c r="J218" s="951">
        <v>0</v>
      </c>
      <c r="K218" s="951">
        <v>1152</v>
      </c>
      <c r="L218" s="1252">
        <f t="shared" si="110"/>
        <v>1</v>
      </c>
      <c r="M218" s="956">
        <v>45903</v>
      </c>
      <c r="N218" s="956">
        <f>M218-4</f>
        <v>45899</v>
      </c>
      <c r="O218" s="1253" t="s">
        <v>1011</v>
      </c>
      <c r="P218" s="980" t="s">
        <v>86</v>
      </c>
      <c r="Q218" s="951" t="s">
        <v>1012</v>
      </c>
      <c r="R218" s="958" t="s">
        <v>296</v>
      </c>
      <c r="S218" s="951" t="s">
        <v>98</v>
      </c>
      <c r="T218" s="992">
        <v>45880</v>
      </c>
      <c r="U218" s="992"/>
      <c r="V218" s="952" t="s">
        <v>1013</v>
      </c>
      <c r="W218" s="956" t="s">
        <v>247</v>
      </c>
      <c r="X218" s="952">
        <v>1312.51</v>
      </c>
      <c r="Y218" s="1254">
        <f t="shared" si="128"/>
        <v>1312.51</v>
      </c>
      <c r="Z218" s="1254"/>
      <c r="AA218" s="951" t="s">
        <v>1021</v>
      </c>
      <c r="AB218" s="951" t="s">
        <v>243</v>
      </c>
      <c r="AC218" s="951" t="s">
        <v>93</v>
      </c>
      <c r="AD218" s="990" t="s">
        <v>94</v>
      </c>
      <c r="AE218" s="951"/>
      <c r="AF218" s="1257"/>
      <c r="AG218" s="949">
        <f t="shared" si="112"/>
        <v>-1152</v>
      </c>
      <c r="AH218" s="1255"/>
      <c r="AI218" s="951" t="s">
        <v>1015</v>
      </c>
      <c r="AJ218" s="951"/>
      <c r="AK218" s="951">
        <f t="shared" si="129"/>
        <v>1152</v>
      </c>
      <c r="AL218" s="951"/>
      <c r="AM218" s="951">
        <f t="shared" si="130"/>
        <v>1152</v>
      </c>
      <c r="AP218" s="951"/>
      <c r="AQ218" s="951"/>
      <c r="AR218" s="1256"/>
      <c r="AS218" s="951"/>
      <c r="AT218" s="951"/>
      <c r="AU218" s="951">
        <f>I218</f>
        <v>1152</v>
      </c>
      <c r="AV218" s="951"/>
      <c r="AZ218" s="859">
        <f t="shared" si="131"/>
        <v>96</v>
      </c>
      <c r="BE218" s="962"/>
      <c r="BU218" s="939">
        <f t="shared" si="117"/>
        <v>1152</v>
      </c>
      <c r="BV218" s="1222">
        <f t="shared" si="118"/>
        <v>2588056</v>
      </c>
      <c r="BW218" s="963"/>
      <c r="BX218" s="963"/>
      <c r="BY218" s="963"/>
      <c r="BZ218" s="963"/>
      <c r="CA218" s="856">
        <f t="shared" si="108"/>
        <v>231944</v>
      </c>
      <c r="CC218" s="964">
        <f t="shared" si="119"/>
        <v>0</v>
      </c>
      <c r="CD218" s="939">
        <f t="shared" si="120"/>
        <v>50724.5714285714</v>
      </c>
      <c r="CE218" s="963"/>
      <c r="CF218" s="963"/>
      <c r="CG218" s="963"/>
      <c r="CH218" s="939">
        <f t="shared" si="109"/>
        <v>9275.4285714286</v>
      </c>
      <c r="CI218" s="963"/>
    </row>
    <row r="219" s="859" customFormat="1" ht="32" customHeight="1" spans="1:87">
      <c r="A219" s="985">
        <v>45884</v>
      </c>
      <c r="B219" s="988" t="s">
        <v>578</v>
      </c>
      <c r="C219" s="954" t="s">
        <v>125</v>
      </c>
      <c r="D219" s="987">
        <v>4500176989</v>
      </c>
      <c r="E219" s="1420" t="s">
        <v>1022</v>
      </c>
      <c r="F219" s="987" t="s">
        <v>1023</v>
      </c>
      <c r="G219" s="951" t="s">
        <v>243</v>
      </c>
      <c r="H219" s="951" t="s">
        <v>189</v>
      </c>
      <c r="I219" s="951">
        <v>1152</v>
      </c>
      <c r="J219" s="951">
        <v>0</v>
      </c>
      <c r="K219" s="951">
        <v>1152</v>
      </c>
      <c r="L219" s="1252">
        <f t="shared" si="110"/>
        <v>1</v>
      </c>
      <c r="M219" s="956">
        <v>45911</v>
      </c>
      <c r="N219" s="956">
        <v>45908</v>
      </c>
      <c r="O219" s="980" t="s">
        <v>1024</v>
      </c>
      <c r="P219" s="980" t="s">
        <v>86</v>
      </c>
      <c r="Q219" s="951"/>
      <c r="R219" s="958" t="s">
        <v>296</v>
      </c>
      <c r="S219" s="951" t="s">
        <v>98</v>
      </c>
      <c r="T219" s="992">
        <v>45894</v>
      </c>
      <c r="U219" s="992"/>
      <c r="V219" s="952" t="s">
        <v>1025</v>
      </c>
      <c r="W219" s="956" t="s">
        <v>247</v>
      </c>
      <c r="X219" s="952">
        <v>1308.57</v>
      </c>
      <c r="Y219" s="1254">
        <f t="shared" si="128"/>
        <v>1308.57</v>
      </c>
      <c r="Z219" s="1254"/>
      <c r="AA219" s="951" t="s">
        <v>1026</v>
      </c>
      <c r="AB219" s="951" t="s">
        <v>1027</v>
      </c>
      <c r="AC219" s="951" t="s">
        <v>93</v>
      </c>
      <c r="AD219" s="990" t="s">
        <v>94</v>
      </c>
      <c r="AE219" s="951"/>
      <c r="AF219" s="1257"/>
      <c r="AG219" s="949">
        <f t="shared" si="112"/>
        <v>-1152</v>
      </c>
      <c r="AH219" s="1255"/>
      <c r="AI219" s="951" t="s">
        <v>1028</v>
      </c>
      <c r="AJ219" s="951"/>
      <c r="AK219" s="951">
        <f t="shared" si="129"/>
        <v>1152</v>
      </c>
      <c r="AL219" s="951"/>
      <c r="AM219" s="951">
        <f t="shared" si="130"/>
        <v>1152</v>
      </c>
      <c r="AP219" s="951"/>
      <c r="AQ219" s="951"/>
      <c r="AR219" s="1256"/>
      <c r="AS219" s="951">
        <f>I219</f>
        <v>1152</v>
      </c>
      <c r="AT219" s="951"/>
      <c r="AU219" s="951"/>
      <c r="AV219" s="951"/>
      <c r="AZ219" s="859">
        <f t="shared" si="131"/>
        <v>96</v>
      </c>
      <c r="BE219" s="962"/>
      <c r="BU219" s="939">
        <f t="shared" si="117"/>
        <v>1152</v>
      </c>
      <c r="BV219" s="1222">
        <f t="shared" si="118"/>
        <v>2589208</v>
      </c>
      <c r="BW219" s="963"/>
      <c r="BX219" s="963"/>
      <c r="BY219" s="963"/>
      <c r="BZ219" s="963"/>
      <c r="CA219" s="856">
        <f t="shared" si="108"/>
        <v>230792</v>
      </c>
      <c r="CC219" s="964">
        <f t="shared" si="119"/>
        <v>0</v>
      </c>
      <c r="CD219" s="939">
        <f t="shared" si="120"/>
        <v>50724.5714285714</v>
      </c>
      <c r="CE219" s="963"/>
      <c r="CF219" s="963"/>
      <c r="CG219" s="963"/>
      <c r="CH219" s="939">
        <f t="shared" si="109"/>
        <v>9275.4285714286</v>
      </c>
      <c r="CI219" s="963"/>
    </row>
    <row r="220" s="859" customFormat="1" ht="32" customHeight="1" spans="1:87">
      <c r="A220" s="985">
        <v>45884</v>
      </c>
      <c r="B220" s="988" t="s">
        <v>578</v>
      </c>
      <c r="C220" s="954" t="s">
        <v>125</v>
      </c>
      <c r="D220" s="987">
        <v>4500176989</v>
      </c>
      <c r="E220" s="1420" t="s">
        <v>1029</v>
      </c>
      <c r="F220" s="987" t="s">
        <v>1030</v>
      </c>
      <c r="G220" s="951" t="s">
        <v>243</v>
      </c>
      <c r="H220" s="951" t="s">
        <v>189</v>
      </c>
      <c r="I220" s="951">
        <v>1152</v>
      </c>
      <c r="J220" s="951">
        <v>0</v>
      </c>
      <c r="K220" s="951">
        <v>1152</v>
      </c>
      <c r="L220" s="1252">
        <f t="shared" si="110"/>
        <v>1</v>
      </c>
      <c r="M220" s="956">
        <v>45911</v>
      </c>
      <c r="N220" s="956">
        <v>45908</v>
      </c>
      <c r="O220" s="980" t="s">
        <v>1024</v>
      </c>
      <c r="P220" s="980" t="s">
        <v>86</v>
      </c>
      <c r="Q220" s="951"/>
      <c r="R220" s="958" t="s">
        <v>296</v>
      </c>
      <c r="S220" s="951" t="s">
        <v>98</v>
      </c>
      <c r="T220" s="992">
        <v>45894</v>
      </c>
      <c r="U220" s="992"/>
      <c r="V220" s="952" t="s">
        <v>1025</v>
      </c>
      <c r="W220" s="956" t="s">
        <v>247</v>
      </c>
      <c r="X220" s="952">
        <v>1308.57</v>
      </c>
      <c r="Y220" s="1254">
        <f t="shared" si="128"/>
        <v>1308.57</v>
      </c>
      <c r="Z220" s="1254"/>
      <c r="AA220" s="951" t="s">
        <v>1031</v>
      </c>
      <c r="AB220" s="951" t="s">
        <v>1027</v>
      </c>
      <c r="AC220" s="951" t="s">
        <v>93</v>
      </c>
      <c r="AD220" s="990" t="s">
        <v>94</v>
      </c>
      <c r="AE220" s="951"/>
      <c r="AF220" s="1257"/>
      <c r="AG220" s="949">
        <f t="shared" si="112"/>
        <v>-1152</v>
      </c>
      <c r="AH220" s="1255"/>
      <c r="AI220" s="951" t="s">
        <v>1028</v>
      </c>
      <c r="AJ220" s="951"/>
      <c r="AK220" s="951">
        <f t="shared" si="129"/>
        <v>1152</v>
      </c>
      <c r="AL220" s="951"/>
      <c r="AM220" s="951">
        <f t="shared" si="130"/>
        <v>1152</v>
      </c>
      <c r="AP220" s="951"/>
      <c r="AQ220" s="951"/>
      <c r="AR220" s="1256"/>
      <c r="AS220" s="951">
        <f>I220</f>
        <v>1152</v>
      </c>
      <c r="AT220" s="951"/>
      <c r="AU220" s="951"/>
      <c r="AV220" s="951"/>
      <c r="AZ220" s="859">
        <f t="shared" si="131"/>
        <v>96</v>
      </c>
      <c r="BE220" s="962"/>
      <c r="BU220" s="939">
        <f t="shared" si="117"/>
        <v>1152</v>
      </c>
      <c r="BV220" s="1222">
        <f t="shared" si="118"/>
        <v>2590360</v>
      </c>
      <c r="BW220" s="963"/>
      <c r="BX220" s="963"/>
      <c r="BY220" s="963"/>
      <c r="BZ220" s="963"/>
      <c r="CA220" s="856">
        <f t="shared" si="108"/>
        <v>229640</v>
      </c>
      <c r="CC220" s="964">
        <f t="shared" si="119"/>
        <v>0</v>
      </c>
      <c r="CD220" s="939">
        <f t="shared" si="120"/>
        <v>50724.5714285714</v>
      </c>
      <c r="CE220" s="963"/>
      <c r="CF220" s="963"/>
      <c r="CG220" s="963"/>
      <c r="CH220" s="939">
        <f t="shared" si="109"/>
        <v>9275.4285714286</v>
      </c>
      <c r="CI220" s="963"/>
    </row>
    <row r="221" s="859" customFormat="1" ht="32" customHeight="1" spans="1:87">
      <c r="A221" s="985">
        <v>45884</v>
      </c>
      <c r="B221" s="988" t="s">
        <v>578</v>
      </c>
      <c r="C221" s="954" t="s">
        <v>125</v>
      </c>
      <c r="D221" s="987">
        <v>4500176989</v>
      </c>
      <c r="E221" s="1420" t="s">
        <v>1032</v>
      </c>
      <c r="F221" s="987" t="s">
        <v>1033</v>
      </c>
      <c r="G221" s="951" t="s">
        <v>243</v>
      </c>
      <c r="H221" s="951" t="s">
        <v>189</v>
      </c>
      <c r="I221" s="951">
        <v>1152</v>
      </c>
      <c r="J221" s="951">
        <v>0</v>
      </c>
      <c r="K221" s="951">
        <v>1152</v>
      </c>
      <c r="L221" s="1252">
        <f t="shared" si="110"/>
        <v>1</v>
      </c>
      <c r="M221" s="956">
        <v>45911</v>
      </c>
      <c r="N221" s="956">
        <v>45908</v>
      </c>
      <c r="O221" s="980" t="s">
        <v>1024</v>
      </c>
      <c r="P221" s="980" t="s">
        <v>86</v>
      </c>
      <c r="Q221" s="951"/>
      <c r="R221" s="958" t="s">
        <v>296</v>
      </c>
      <c r="S221" s="951" t="s">
        <v>98</v>
      </c>
      <c r="T221" s="992">
        <v>45894</v>
      </c>
      <c r="U221" s="992"/>
      <c r="V221" s="952" t="s">
        <v>1025</v>
      </c>
      <c r="W221" s="956" t="s">
        <v>247</v>
      </c>
      <c r="X221" s="952">
        <v>1308.57</v>
      </c>
      <c r="Y221" s="1254">
        <f t="shared" si="128"/>
        <v>1308.57</v>
      </c>
      <c r="Z221" s="1254"/>
      <c r="AA221" s="951" t="s">
        <v>1034</v>
      </c>
      <c r="AB221" s="951" t="s">
        <v>1027</v>
      </c>
      <c r="AC221" s="951" t="s">
        <v>93</v>
      </c>
      <c r="AD221" s="990" t="s">
        <v>94</v>
      </c>
      <c r="AE221" s="951"/>
      <c r="AF221" s="1257"/>
      <c r="AG221" s="949">
        <f t="shared" si="112"/>
        <v>-1152</v>
      </c>
      <c r="AH221" s="1255"/>
      <c r="AI221" s="951" t="s">
        <v>1028</v>
      </c>
      <c r="AJ221" s="951"/>
      <c r="AK221" s="951">
        <f t="shared" si="129"/>
        <v>1152</v>
      </c>
      <c r="AL221" s="951"/>
      <c r="AM221" s="951">
        <f t="shared" si="130"/>
        <v>1152</v>
      </c>
      <c r="AP221" s="951"/>
      <c r="AQ221" s="951"/>
      <c r="AR221" s="1256"/>
      <c r="AS221" s="951">
        <f>I221</f>
        <v>1152</v>
      </c>
      <c r="AT221" s="951"/>
      <c r="AU221" s="951"/>
      <c r="AV221" s="951"/>
      <c r="AZ221" s="859">
        <f t="shared" si="131"/>
        <v>96</v>
      </c>
      <c r="BE221" s="962"/>
      <c r="BU221" s="939">
        <f t="shared" si="117"/>
        <v>1152</v>
      </c>
      <c r="BV221" s="1222">
        <f t="shared" si="118"/>
        <v>2591512</v>
      </c>
      <c r="BW221" s="963"/>
      <c r="BX221" s="963"/>
      <c r="BY221" s="963"/>
      <c r="BZ221" s="963"/>
      <c r="CA221" s="856">
        <f t="shared" si="108"/>
        <v>228488</v>
      </c>
      <c r="CC221" s="964">
        <f t="shared" si="119"/>
        <v>0</v>
      </c>
      <c r="CD221" s="939">
        <f t="shared" si="120"/>
        <v>50724.5714285714</v>
      </c>
      <c r="CE221" s="963"/>
      <c r="CF221" s="963"/>
      <c r="CG221" s="963"/>
      <c r="CH221" s="939">
        <f t="shared" si="109"/>
        <v>9275.4285714286</v>
      </c>
      <c r="CI221" s="963"/>
    </row>
    <row r="222" s="859" customFormat="1" ht="32" customHeight="1" spans="1:87">
      <c r="A222" s="985">
        <v>45884</v>
      </c>
      <c r="B222" s="988" t="s">
        <v>578</v>
      </c>
      <c r="C222" s="954" t="s">
        <v>125</v>
      </c>
      <c r="D222" s="987">
        <v>4500176989</v>
      </c>
      <c r="E222" s="1420" t="s">
        <v>1035</v>
      </c>
      <c r="F222" s="987" t="s">
        <v>1036</v>
      </c>
      <c r="G222" s="951" t="s">
        <v>243</v>
      </c>
      <c r="H222" s="951" t="s">
        <v>189</v>
      </c>
      <c r="I222" s="951">
        <v>1152</v>
      </c>
      <c r="J222" s="951">
        <v>0</v>
      </c>
      <c r="K222" s="951">
        <v>1152</v>
      </c>
      <c r="L222" s="1252">
        <f t="shared" si="110"/>
        <v>1</v>
      </c>
      <c r="M222" s="956">
        <v>45911</v>
      </c>
      <c r="N222" s="956">
        <v>45908</v>
      </c>
      <c r="O222" s="980" t="s">
        <v>1024</v>
      </c>
      <c r="P222" s="980" t="s">
        <v>86</v>
      </c>
      <c r="Q222" s="951"/>
      <c r="R222" s="958" t="s">
        <v>296</v>
      </c>
      <c r="S222" s="951" t="s">
        <v>98</v>
      </c>
      <c r="T222" s="992">
        <v>45894</v>
      </c>
      <c r="U222" s="992"/>
      <c r="V222" s="952" t="s">
        <v>1025</v>
      </c>
      <c r="W222" s="956" t="s">
        <v>247</v>
      </c>
      <c r="X222" s="952">
        <v>1308.57</v>
      </c>
      <c r="Y222" s="1254">
        <f t="shared" si="128"/>
        <v>1308.57</v>
      </c>
      <c r="Z222" s="1254"/>
      <c r="AA222" s="951" t="s">
        <v>1037</v>
      </c>
      <c r="AB222" s="951" t="s">
        <v>1027</v>
      </c>
      <c r="AC222" s="951" t="s">
        <v>93</v>
      </c>
      <c r="AD222" s="990" t="s">
        <v>94</v>
      </c>
      <c r="AE222" s="951"/>
      <c r="AF222" s="990"/>
      <c r="AG222" s="949">
        <f t="shared" si="112"/>
        <v>-1152</v>
      </c>
      <c r="AH222" s="1255"/>
      <c r="AI222" s="951" t="s">
        <v>1028</v>
      </c>
      <c r="AJ222" s="951"/>
      <c r="AK222" s="951">
        <f t="shared" si="129"/>
        <v>1152</v>
      </c>
      <c r="AL222" s="951"/>
      <c r="AM222" s="951">
        <f t="shared" si="130"/>
        <v>1152</v>
      </c>
      <c r="AP222" s="951"/>
      <c r="AQ222" s="951"/>
      <c r="AR222" s="1256"/>
      <c r="AS222" s="951">
        <f>I222</f>
        <v>1152</v>
      </c>
      <c r="AT222" s="951"/>
      <c r="AU222" s="951"/>
      <c r="AV222" s="951"/>
      <c r="AZ222" s="859">
        <f t="shared" si="131"/>
        <v>96</v>
      </c>
      <c r="BE222" s="962"/>
      <c r="BU222" s="939">
        <f t="shared" si="117"/>
        <v>1152</v>
      </c>
      <c r="BV222" s="1222">
        <f t="shared" si="118"/>
        <v>2592664</v>
      </c>
      <c r="BW222" s="963"/>
      <c r="BX222" s="963"/>
      <c r="BY222" s="963"/>
      <c r="BZ222" s="963"/>
      <c r="CA222" s="856">
        <f t="shared" si="108"/>
        <v>227336</v>
      </c>
      <c r="CC222" s="964">
        <f t="shared" si="119"/>
        <v>0</v>
      </c>
      <c r="CD222" s="939">
        <f t="shared" si="120"/>
        <v>50724.5714285714</v>
      </c>
      <c r="CE222" s="963"/>
      <c r="CF222" s="963"/>
      <c r="CG222" s="963"/>
      <c r="CH222" s="939">
        <f t="shared" si="109"/>
        <v>9275.4285714286</v>
      </c>
      <c r="CI222" s="963"/>
    </row>
    <row r="223" s="964" customFormat="1" ht="32" customHeight="1" spans="1:87">
      <c r="A223" s="1258">
        <v>45884</v>
      </c>
      <c r="B223" s="1259"/>
      <c r="C223" s="1036"/>
      <c r="D223" s="1260" t="s">
        <v>1038</v>
      </c>
      <c r="E223" s="1259"/>
      <c r="F223" s="1261"/>
      <c r="G223" s="307" t="s">
        <v>213</v>
      </c>
      <c r="H223" s="307" t="s">
        <v>189</v>
      </c>
      <c r="I223" s="307" t="s">
        <v>1039</v>
      </c>
      <c r="J223" s="307">
        <v>0</v>
      </c>
      <c r="K223" s="307">
        <v>24</v>
      </c>
      <c r="L223" s="1262" t="e">
        <f t="shared" si="110"/>
        <v>#VALUE!</v>
      </c>
      <c r="M223" s="1188">
        <v>45902</v>
      </c>
      <c r="N223" s="1188">
        <f>M223-4</f>
        <v>45898</v>
      </c>
      <c r="O223" s="1263"/>
      <c r="P223" s="1264"/>
      <c r="Q223" s="307"/>
      <c r="R223" s="1265" t="s">
        <v>97</v>
      </c>
      <c r="S223" s="307" t="s">
        <v>98</v>
      </c>
      <c r="T223" s="307" t="s">
        <v>98</v>
      </c>
      <c r="U223" s="307"/>
      <c r="V223" s="1266" t="s">
        <v>1040</v>
      </c>
      <c r="W223" s="1188" t="s">
        <v>100</v>
      </c>
      <c r="X223" s="1266"/>
      <c r="Y223" s="1267"/>
      <c r="Z223" s="1267"/>
      <c r="AA223" s="307" t="s">
        <v>1041</v>
      </c>
      <c r="AB223" s="307"/>
      <c r="AC223" s="1004" t="s">
        <v>743</v>
      </c>
      <c r="AD223" s="1268"/>
      <c r="AE223" s="307"/>
      <c r="AF223" s="307">
        <v>30</v>
      </c>
      <c r="AG223" s="1184">
        <v>0</v>
      </c>
      <c r="AH223" s="1269"/>
      <c r="AI223" s="307"/>
      <c r="AJ223" s="307"/>
      <c r="AK223" s="307"/>
      <c r="AL223" s="307"/>
      <c r="AM223" s="1194"/>
      <c r="AP223" s="307"/>
      <c r="AQ223" s="307"/>
      <c r="AR223" s="1270"/>
      <c r="AS223" s="307"/>
      <c r="AT223" s="307"/>
      <c r="AU223" s="307"/>
      <c r="AV223" s="307"/>
      <c r="BE223" s="1194"/>
      <c r="BU223" s="939">
        <f t="shared" si="117"/>
        <v>0</v>
      </c>
      <c r="BV223" s="1222">
        <f t="shared" si="118"/>
        <v>2592664</v>
      </c>
      <c r="BW223" s="308"/>
      <c r="BX223" s="308"/>
      <c r="BY223" s="308"/>
      <c r="BZ223" s="308"/>
      <c r="CA223" s="856">
        <f t="shared" si="108"/>
        <v>227336</v>
      </c>
      <c r="CC223" s="964">
        <f t="shared" si="119"/>
        <v>0</v>
      </c>
      <c r="CD223" s="939">
        <f t="shared" si="120"/>
        <v>50724.5714285714</v>
      </c>
      <c r="CE223" s="308"/>
      <c r="CF223" s="308"/>
      <c r="CG223" s="308"/>
      <c r="CH223" s="939">
        <f t="shared" si="109"/>
        <v>9275.4285714286</v>
      </c>
      <c r="CI223" s="308"/>
    </row>
    <row r="224" s="859" customFormat="1" ht="32" customHeight="1" spans="1:87">
      <c r="A224" s="985">
        <v>45862</v>
      </c>
      <c r="B224" s="988" t="s">
        <v>1042</v>
      </c>
      <c r="C224" s="954" t="s">
        <v>125</v>
      </c>
      <c r="D224" s="987">
        <v>4500174780</v>
      </c>
      <c r="E224" s="988">
        <v>70072708</v>
      </c>
      <c r="F224" s="1251" t="s">
        <v>1043</v>
      </c>
      <c r="G224" s="951" t="s">
        <v>196</v>
      </c>
      <c r="H224" s="951" t="s">
        <v>197</v>
      </c>
      <c r="I224" s="951">
        <v>600</v>
      </c>
      <c r="J224" s="951">
        <v>0</v>
      </c>
      <c r="K224" s="951">
        <v>12</v>
      </c>
      <c r="L224" s="1252">
        <f t="shared" si="110"/>
        <v>50</v>
      </c>
      <c r="M224" s="956">
        <v>45918</v>
      </c>
      <c r="N224" s="956">
        <v>45915</v>
      </c>
      <c r="O224" s="980"/>
      <c r="P224" s="1271" t="s">
        <v>86</v>
      </c>
      <c r="Q224" s="951"/>
      <c r="R224" s="992">
        <v>45883</v>
      </c>
      <c r="S224" s="951" t="s">
        <v>98</v>
      </c>
      <c r="T224" s="992">
        <v>45894</v>
      </c>
      <c r="U224" s="992"/>
      <c r="V224" s="952" t="s">
        <v>1044</v>
      </c>
      <c r="W224" s="956" t="s">
        <v>291</v>
      </c>
      <c r="X224" s="952">
        <v>2.4015</v>
      </c>
      <c r="Y224" s="1254">
        <f>I224*X224</f>
        <v>1440.9</v>
      </c>
      <c r="Z224" s="1254"/>
      <c r="AA224" s="951" t="s">
        <v>1045</v>
      </c>
      <c r="AB224" s="1272" t="s">
        <v>984</v>
      </c>
      <c r="AC224" s="951" t="s">
        <v>93</v>
      </c>
      <c r="AD224" s="990" t="s">
        <v>94</v>
      </c>
      <c r="AE224" s="951"/>
      <c r="AF224" s="951">
        <v>600</v>
      </c>
      <c r="AG224" s="949">
        <f t="shared" ref="AG209:AG236" si="132">AF224-I224</f>
        <v>0</v>
      </c>
      <c r="AH224" s="1255"/>
      <c r="AI224" s="951" t="s">
        <v>95</v>
      </c>
      <c r="AJ224" s="951"/>
      <c r="AK224" s="951">
        <f>I224*2</f>
        <v>1200</v>
      </c>
      <c r="AL224" s="951"/>
      <c r="AM224" s="962">
        <f>I224*2</f>
        <v>1200</v>
      </c>
      <c r="AP224" s="951"/>
      <c r="AQ224" s="951"/>
      <c r="AS224" s="951">
        <f>I224*2</f>
        <v>1200</v>
      </c>
      <c r="AT224" s="951"/>
      <c r="AU224" s="951"/>
      <c r="AV224" s="951"/>
      <c r="BE224" s="962"/>
      <c r="BN224" s="859">
        <f>I224</f>
        <v>600</v>
      </c>
      <c r="BO224" s="859">
        <f>I224</f>
        <v>600</v>
      </c>
      <c r="BQ224" s="859">
        <f>I224</f>
        <v>600</v>
      </c>
      <c r="BU224" s="939">
        <f t="shared" si="117"/>
        <v>1200</v>
      </c>
      <c r="BV224" s="1222">
        <f t="shared" si="118"/>
        <v>2593864</v>
      </c>
      <c r="BW224" s="963"/>
      <c r="BX224" s="963"/>
      <c r="BY224" s="963"/>
      <c r="BZ224" s="963"/>
      <c r="CA224" s="856">
        <f t="shared" si="108"/>
        <v>226136</v>
      </c>
      <c r="CC224" s="964">
        <f t="shared" si="119"/>
        <v>0</v>
      </c>
      <c r="CD224" s="939">
        <f t="shared" si="120"/>
        <v>50724.5714285714</v>
      </c>
      <c r="CE224" s="963"/>
      <c r="CF224" s="963"/>
      <c r="CG224" s="963"/>
      <c r="CH224" s="939">
        <f t="shared" si="109"/>
        <v>9275.4285714286</v>
      </c>
      <c r="CI224" s="963"/>
    </row>
    <row r="225" s="859" customFormat="1" ht="32" customHeight="1" spans="1:87">
      <c r="A225" s="985">
        <v>45880</v>
      </c>
      <c r="B225" s="988" t="s">
        <v>605</v>
      </c>
      <c r="C225" s="954" t="s">
        <v>125</v>
      </c>
      <c r="D225" s="987">
        <v>4500176521</v>
      </c>
      <c r="E225" s="988" t="s">
        <v>1046</v>
      </c>
      <c r="F225" s="1251" t="s">
        <v>1047</v>
      </c>
      <c r="G225" s="951" t="s">
        <v>205</v>
      </c>
      <c r="H225" s="951" t="s">
        <v>189</v>
      </c>
      <c r="I225" s="951">
        <v>1800</v>
      </c>
      <c r="J225" s="951">
        <v>0</v>
      </c>
      <c r="K225" s="951">
        <v>50</v>
      </c>
      <c r="L225" s="1252">
        <f t="shared" si="110"/>
        <v>36</v>
      </c>
      <c r="M225" s="956">
        <v>45918</v>
      </c>
      <c r="N225" s="956">
        <v>45915</v>
      </c>
      <c r="O225" s="980"/>
      <c r="P225" s="1271" t="s">
        <v>86</v>
      </c>
      <c r="Q225" s="951"/>
      <c r="R225" s="992">
        <v>45888</v>
      </c>
      <c r="S225" s="951" t="s">
        <v>98</v>
      </c>
      <c r="T225" s="951" t="s">
        <v>98</v>
      </c>
      <c r="U225" s="951"/>
      <c r="V225" s="952" t="s">
        <v>1048</v>
      </c>
      <c r="W225" s="956" t="s">
        <v>1049</v>
      </c>
      <c r="X225" s="1273">
        <v>1.1763</v>
      </c>
      <c r="Y225" s="1254">
        <f>I225*X225</f>
        <v>2117.34</v>
      </c>
      <c r="Z225" s="1254"/>
      <c r="AA225" s="951" t="s">
        <v>1050</v>
      </c>
      <c r="AB225" s="951" t="s">
        <v>205</v>
      </c>
      <c r="AC225" s="951" t="s">
        <v>93</v>
      </c>
      <c r="AD225" s="990" t="s">
        <v>94</v>
      </c>
      <c r="AE225" s="951"/>
      <c r="AF225" s="951">
        <v>1800</v>
      </c>
      <c r="AG225" s="949">
        <f t="shared" si="132"/>
        <v>0</v>
      </c>
      <c r="AH225" s="1255"/>
      <c r="AI225" s="951" t="s">
        <v>98</v>
      </c>
      <c r="AJ225" s="951"/>
      <c r="AK225" s="951">
        <f>I225</f>
        <v>1800</v>
      </c>
      <c r="AL225" s="951"/>
      <c r="AM225" s="962">
        <f>I225*2</f>
        <v>3600</v>
      </c>
      <c r="AP225" s="951"/>
      <c r="AQ225" s="951"/>
      <c r="AR225" s="1256"/>
      <c r="AS225" s="951">
        <f>I225</f>
        <v>1800</v>
      </c>
      <c r="AT225" s="951"/>
      <c r="AU225" s="951"/>
      <c r="AV225" s="951"/>
      <c r="BE225" s="962">
        <f>I225/25</f>
        <v>72</v>
      </c>
      <c r="BU225" s="939">
        <f t="shared" si="117"/>
        <v>1800</v>
      </c>
      <c r="BV225" s="1222">
        <f t="shared" si="118"/>
        <v>2595664</v>
      </c>
      <c r="BW225" s="963"/>
      <c r="BX225" s="963"/>
      <c r="BY225" s="963"/>
      <c r="BZ225" s="963"/>
      <c r="CA225" s="856">
        <f t="shared" si="108"/>
        <v>224336</v>
      </c>
      <c r="CC225" s="964">
        <f t="shared" si="119"/>
        <v>72</v>
      </c>
      <c r="CD225" s="939">
        <f t="shared" si="120"/>
        <v>50796.5714285714</v>
      </c>
      <c r="CE225" s="963"/>
      <c r="CF225" s="963"/>
      <c r="CG225" s="963"/>
      <c r="CH225" s="939">
        <f t="shared" si="109"/>
        <v>9203.4285714286</v>
      </c>
      <c r="CI225" s="963"/>
    </row>
    <row r="226" s="859" customFormat="1" ht="32" customHeight="1" spans="1:87">
      <c r="A226" s="985">
        <v>45874</v>
      </c>
      <c r="B226" s="988" t="s">
        <v>1051</v>
      </c>
      <c r="C226" s="954" t="s">
        <v>125</v>
      </c>
      <c r="D226" s="987">
        <v>4500175977</v>
      </c>
      <c r="E226" s="988" t="s">
        <v>1052</v>
      </c>
      <c r="F226" s="1251" t="s">
        <v>1053</v>
      </c>
      <c r="G226" s="951" t="s">
        <v>205</v>
      </c>
      <c r="H226" s="951" t="s">
        <v>189</v>
      </c>
      <c r="I226" s="1272">
        <v>700</v>
      </c>
      <c r="J226" s="951">
        <v>0</v>
      </c>
      <c r="K226" s="951">
        <v>50</v>
      </c>
      <c r="L226" s="1252">
        <f t="shared" si="110"/>
        <v>14</v>
      </c>
      <c r="M226" s="956">
        <v>45919</v>
      </c>
      <c r="N226" s="956">
        <v>45915</v>
      </c>
      <c r="O226" s="980"/>
      <c r="P226" s="1271" t="s">
        <v>86</v>
      </c>
      <c r="Q226" s="951"/>
      <c r="R226" s="992">
        <v>45883</v>
      </c>
      <c r="S226" s="951" t="s">
        <v>98</v>
      </c>
      <c r="T226" s="951" t="s">
        <v>98</v>
      </c>
      <c r="U226" s="951"/>
      <c r="V226" s="952" t="s">
        <v>1054</v>
      </c>
      <c r="W226" s="956" t="s">
        <v>238</v>
      </c>
      <c r="X226" s="952">
        <v>1.1763</v>
      </c>
      <c r="Y226" s="1254">
        <v>764.595</v>
      </c>
      <c r="Z226" s="1254"/>
      <c r="AA226" s="951" t="s">
        <v>1055</v>
      </c>
      <c r="AB226" s="951" t="s">
        <v>205</v>
      </c>
      <c r="AC226" s="951" t="s">
        <v>93</v>
      </c>
      <c r="AD226" s="990" t="s">
        <v>94</v>
      </c>
      <c r="AE226" s="951"/>
      <c r="AF226" s="951">
        <v>700</v>
      </c>
      <c r="AG226" s="949">
        <f t="shared" si="132"/>
        <v>0</v>
      </c>
      <c r="AH226" s="1255"/>
      <c r="AI226" s="951" t="s">
        <v>98</v>
      </c>
      <c r="AJ226" s="951"/>
      <c r="AK226" s="951">
        <v>650</v>
      </c>
      <c r="AL226" s="951"/>
      <c r="AM226" s="962">
        <f>I226</f>
        <v>700</v>
      </c>
      <c r="AP226" s="951"/>
      <c r="AQ226" s="951"/>
      <c r="AR226" s="1256"/>
      <c r="AS226" s="962">
        <f>I226</f>
        <v>700</v>
      </c>
      <c r="AT226" s="951"/>
      <c r="AU226" s="951"/>
      <c r="AV226" s="951"/>
      <c r="BE226" s="962">
        <f>I226/25</f>
        <v>28</v>
      </c>
      <c r="BU226" s="939">
        <f t="shared" si="117"/>
        <v>650</v>
      </c>
      <c r="BV226" s="1222">
        <f t="shared" si="118"/>
        <v>2596314</v>
      </c>
      <c r="BW226" s="963"/>
      <c r="BX226" s="963"/>
      <c r="BY226" s="963"/>
      <c r="BZ226" s="963"/>
      <c r="CA226" s="856">
        <f t="shared" si="108"/>
        <v>223686</v>
      </c>
      <c r="CC226" s="964">
        <f t="shared" si="119"/>
        <v>28</v>
      </c>
      <c r="CD226" s="939">
        <f t="shared" si="120"/>
        <v>50824.5714285714</v>
      </c>
      <c r="CE226" s="963"/>
      <c r="CF226" s="963"/>
      <c r="CG226" s="963"/>
      <c r="CH226" s="939">
        <f t="shared" si="109"/>
        <v>9175.4285714286</v>
      </c>
      <c r="CI226" s="963"/>
    </row>
    <row r="227" s="859" customFormat="1" ht="32" customHeight="1" spans="1:87">
      <c r="A227" s="985">
        <v>45876</v>
      </c>
      <c r="B227" s="988" t="s">
        <v>601</v>
      </c>
      <c r="C227" s="954" t="s">
        <v>440</v>
      </c>
      <c r="D227" s="987">
        <v>4500176300</v>
      </c>
      <c r="E227" s="988" t="s">
        <v>1056</v>
      </c>
      <c r="F227" s="1251" t="s">
        <v>1057</v>
      </c>
      <c r="G227" s="951" t="s">
        <v>205</v>
      </c>
      <c r="H227" s="951" t="s">
        <v>189</v>
      </c>
      <c r="I227" s="951">
        <v>400</v>
      </c>
      <c r="J227" s="951">
        <v>0</v>
      </c>
      <c r="K227" s="951">
        <v>50</v>
      </c>
      <c r="L227" s="1252">
        <f t="shared" si="110"/>
        <v>8</v>
      </c>
      <c r="M227" s="956">
        <v>45922</v>
      </c>
      <c r="N227" s="956">
        <v>45918</v>
      </c>
      <c r="O227" s="980"/>
      <c r="P227" s="1271" t="s">
        <v>86</v>
      </c>
      <c r="Q227" s="951"/>
      <c r="R227" s="992">
        <v>45876</v>
      </c>
      <c r="S227" s="992" t="s">
        <v>98</v>
      </c>
      <c r="T227" s="992" t="s">
        <v>98</v>
      </c>
      <c r="U227" s="992"/>
      <c r="V227" s="952" t="s">
        <v>1058</v>
      </c>
      <c r="W227" s="956" t="s">
        <v>1059</v>
      </c>
      <c r="X227" s="1273">
        <v>1.9605</v>
      </c>
      <c r="Y227" s="1254">
        <f t="shared" ref="Y227:Y236" si="133">I227*X227</f>
        <v>784.2</v>
      </c>
      <c r="Z227" s="1254"/>
      <c r="AA227" s="1274" t="s">
        <v>1060</v>
      </c>
      <c r="AB227" s="951" t="s">
        <v>205</v>
      </c>
      <c r="AC227" s="951" t="s">
        <v>93</v>
      </c>
      <c r="AD227" s="990" t="s">
        <v>94</v>
      </c>
      <c r="AE227" s="951"/>
      <c r="AF227" s="951">
        <v>400</v>
      </c>
      <c r="AG227" s="949">
        <f t="shared" si="132"/>
        <v>0</v>
      </c>
      <c r="AH227" s="1255"/>
      <c r="AI227" s="951" t="s">
        <v>98</v>
      </c>
      <c r="AJ227" s="951"/>
      <c r="AK227" s="951">
        <f>I227</f>
        <v>400</v>
      </c>
      <c r="AL227" s="951"/>
      <c r="AM227" s="962">
        <f>I227</f>
        <v>400</v>
      </c>
      <c r="AP227" s="962"/>
      <c r="AQ227" s="951"/>
      <c r="AS227" s="951">
        <f t="shared" ref="AS227:AS232" si="134">I227</f>
        <v>400</v>
      </c>
      <c r="AT227" s="951"/>
      <c r="AU227" s="951"/>
      <c r="AV227" s="951"/>
      <c r="BE227" s="962">
        <f>I227/25</f>
        <v>16</v>
      </c>
      <c r="BU227" s="939">
        <f t="shared" si="117"/>
        <v>400</v>
      </c>
      <c r="BV227" s="1222">
        <f t="shared" si="118"/>
        <v>2596714</v>
      </c>
      <c r="BW227" s="963"/>
      <c r="BX227" s="963"/>
      <c r="BY227" s="963"/>
      <c r="BZ227" s="963"/>
      <c r="CA227" s="856">
        <f t="shared" si="108"/>
        <v>223286</v>
      </c>
      <c r="CC227" s="964">
        <f t="shared" si="119"/>
        <v>16</v>
      </c>
      <c r="CD227" s="939">
        <f t="shared" si="120"/>
        <v>50840.5714285714</v>
      </c>
      <c r="CE227" s="963"/>
      <c r="CF227" s="963"/>
      <c r="CG227" s="963"/>
      <c r="CH227" s="939">
        <f t="shared" si="109"/>
        <v>9159.4285714286</v>
      </c>
      <c r="CI227" s="963"/>
    </row>
    <row r="228" s="859" customFormat="1" ht="32" customHeight="1" spans="1:87">
      <c r="A228" s="985">
        <v>45897</v>
      </c>
      <c r="B228" s="988" t="s">
        <v>413</v>
      </c>
      <c r="C228" s="954" t="s">
        <v>414</v>
      </c>
      <c r="D228" s="987">
        <v>4500178155</v>
      </c>
      <c r="E228" s="988"/>
      <c r="F228" s="1251" t="s">
        <v>1061</v>
      </c>
      <c r="G228" s="951" t="s">
        <v>188</v>
      </c>
      <c r="H228" s="951" t="s">
        <v>189</v>
      </c>
      <c r="I228" s="951">
        <v>1508</v>
      </c>
      <c r="J228" s="951">
        <v>0</v>
      </c>
      <c r="K228" s="951">
        <v>52</v>
      </c>
      <c r="L228" s="1252">
        <f t="shared" si="110"/>
        <v>29</v>
      </c>
      <c r="M228" s="956">
        <v>45944</v>
      </c>
      <c r="N228" s="956">
        <v>45940</v>
      </c>
      <c r="O228" s="980"/>
      <c r="P228" s="1271" t="s">
        <v>86</v>
      </c>
      <c r="Q228" s="951"/>
      <c r="R228" s="992">
        <v>45897</v>
      </c>
      <c r="S228" s="992" t="s">
        <v>98</v>
      </c>
      <c r="T228" s="992">
        <v>45909</v>
      </c>
      <c r="U228" s="992"/>
      <c r="V228" s="1275" t="s">
        <v>1062</v>
      </c>
      <c r="W228" s="956" t="s">
        <v>418</v>
      </c>
      <c r="X228" s="952">
        <v>1.8632</v>
      </c>
      <c r="Y228" s="1254">
        <f t="shared" si="133"/>
        <v>2809.7056</v>
      </c>
      <c r="Z228" s="1254"/>
      <c r="AA228" s="951" t="s">
        <v>1063</v>
      </c>
      <c r="AB228" s="951" t="s">
        <v>188</v>
      </c>
      <c r="AC228" s="951" t="s">
        <v>93</v>
      </c>
      <c r="AD228" s="990" t="s">
        <v>94</v>
      </c>
      <c r="AE228" s="951"/>
      <c r="AF228" s="951">
        <v>1508</v>
      </c>
      <c r="AG228" s="949">
        <f t="shared" si="132"/>
        <v>0</v>
      </c>
      <c r="AH228" s="1255"/>
      <c r="AI228" s="951" t="s">
        <v>95</v>
      </c>
      <c r="AJ228" s="951"/>
      <c r="AK228" s="951">
        <f>I228</f>
        <v>1508</v>
      </c>
      <c r="AL228" s="951"/>
      <c r="AM228" s="962">
        <f>I228</f>
        <v>1508</v>
      </c>
      <c r="AP228" s="951"/>
      <c r="AQ228" s="951"/>
      <c r="AR228" s="1256"/>
      <c r="AS228" s="951">
        <f t="shared" si="134"/>
        <v>1508</v>
      </c>
      <c r="AT228" s="951"/>
      <c r="AU228" s="951"/>
      <c r="AV228" s="951"/>
      <c r="BC228" s="859">
        <f>I228/13</f>
        <v>116</v>
      </c>
      <c r="BE228" s="962"/>
      <c r="BU228" s="939">
        <f t="shared" si="117"/>
        <v>1508</v>
      </c>
      <c r="BV228" s="1222">
        <f t="shared" si="118"/>
        <v>2598222</v>
      </c>
      <c r="BW228" s="963"/>
      <c r="BX228" s="963"/>
      <c r="BY228" s="963"/>
      <c r="BZ228" s="963"/>
      <c r="CA228" s="856">
        <f t="shared" si="108"/>
        <v>221778</v>
      </c>
      <c r="CC228" s="964">
        <f t="shared" si="119"/>
        <v>0</v>
      </c>
      <c r="CD228" s="939">
        <f t="shared" si="120"/>
        <v>50840.5714285714</v>
      </c>
      <c r="CE228" s="963"/>
      <c r="CF228" s="963"/>
      <c r="CG228" s="963"/>
      <c r="CH228" s="939">
        <f t="shared" si="109"/>
        <v>9159.4285714286</v>
      </c>
      <c r="CI228" s="963"/>
    </row>
    <row r="229" s="859" customFormat="1" ht="32" customHeight="1" spans="1:87">
      <c r="A229" s="985">
        <v>45876</v>
      </c>
      <c r="B229" s="988" t="s">
        <v>1042</v>
      </c>
      <c r="C229" s="954" t="s">
        <v>125</v>
      </c>
      <c r="D229" s="987">
        <v>4500176169</v>
      </c>
      <c r="E229" s="988">
        <v>70072713</v>
      </c>
      <c r="F229" s="1251" t="s">
        <v>1064</v>
      </c>
      <c r="G229" s="951" t="s">
        <v>196</v>
      </c>
      <c r="H229" s="951" t="s">
        <v>197</v>
      </c>
      <c r="I229" s="951">
        <v>600</v>
      </c>
      <c r="J229" s="951">
        <v>0</v>
      </c>
      <c r="K229" s="951">
        <v>12</v>
      </c>
      <c r="L229" s="1252">
        <f t="shared" si="110"/>
        <v>50</v>
      </c>
      <c r="M229" s="956">
        <v>45943</v>
      </c>
      <c r="N229" s="956">
        <v>45939</v>
      </c>
      <c r="O229" s="980"/>
      <c r="P229" s="1271" t="s">
        <v>86</v>
      </c>
      <c r="Q229" s="951"/>
      <c r="R229" s="992">
        <v>45904</v>
      </c>
      <c r="S229" s="992" t="s">
        <v>98</v>
      </c>
      <c r="T229" s="992" t="s">
        <v>98</v>
      </c>
      <c r="U229" s="992"/>
      <c r="V229" s="952" t="s">
        <v>1065</v>
      </c>
      <c r="W229" s="956" t="s">
        <v>291</v>
      </c>
      <c r="X229" s="952">
        <v>2.4244</v>
      </c>
      <c r="Y229" s="1254">
        <f t="shared" si="133"/>
        <v>1454.64</v>
      </c>
      <c r="Z229" s="1254"/>
      <c r="AA229" s="951" t="s">
        <v>1066</v>
      </c>
      <c r="AB229" s="951" t="s">
        <v>984</v>
      </c>
      <c r="AC229" s="951" t="s">
        <v>93</v>
      </c>
      <c r="AD229" s="990" t="s">
        <v>94</v>
      </c>
      <c r="AE229" s="951"/>
      <c r="AF229" s="951">
        <f>600</f>
        <v>600</v>
      </c>
      <c r="AG229" s="949">
        <f t="shared" si="132"/>
        <v>0</v>
      </c>
      <c r="AH229" s="1255"/>
      <c r="AI229" s="951" t="s">
        <v>95</v>
      </c>
      <c r="AJ229" s="951"/>
      <c r="AK229" s="951">
        <f>I229*2</f>
        <v>1200</v>
      </c>
      <c r="AL229" s="951"/>
      <c r="AM229" s="962">
        <f>I229*2</f>
        <v>1200</v>
      </c>
      <c r="AP229" s="951"/>
      <c r="AQ229" s="951"/>
      <c r="AR229" s="1256"/>
      <c r="AS229" s="951">
        <f>I229*2</f>
        <v>1200</v>
      </c>
      <c r="AT229" s="951"/>
      <c r="AU229" s="951"/>
      <c r="AV229" s="951"/>
      <c r="BE229" s="962"/>
      <c r="BN229" s="859">
        <f>I229</f>
        <v>600</v>
      </c>
      <c r="BO229" s="859">
        <f>I229</f>
        <v>600</v>
      </c>
      <c r="BQ229" s="859">
        <f>I229</f>
        <v>600</v>
      </c>
      <c r="BU229" s="939">
        <f t="shared" si="117"/>
        <v>1200</v>
      </c>
      <c r="BV229" s="1222">
        <f t="shared" si="118"/>
        <v>2599422</v>
      </c>
      <c r="BW229" s="963"/>
      <c r="BX229" s="963"/>
      <c r="BY229" s="963"/>
      <c r="BZ229" s="963"/>
      <c r="CA229" s="856">
        <f t="shared" si="108"/>
        <v>220578</v>
      </c>
      <c r="CC229" s="964">
        <f t="shared" si="119"/>
        <v>0</v>
      </c>
      <c r="CD229" s="939">
        <f t="shared" si="120"/>
        <v>50840.5714285714</v>
      </c>
      <c r="CE229" s="963"/>
      <c r="CF229" s="963"/>
      <c r="CG229" s="963"/>
      <c r="CH229" s="939">
        <f t="shared" si="109"/>
        <v>9159.4285714286</v>
      </c>
      <c r="CI229" s="963"/>
    </row>
    <row r="230" s="859" customFormat="1" ht="32" customHeight="1" spans="1:87">
      <c r="A230" s="985">
        <v>45890</v>
      </c>
      <c r="B230" s="988" t="s">
        <v>1067</v>
      </c>
      <c r="C230" s="954" t="s">
        <v>1068</v>
      </c>
      <c r="D230" s="987">
        <v>4500177504</v>
      </c>
      <c r="E230" s="988" t="s">
        <v>1069</v>
      </c>
      <c r="F230" s="1251" t="s">
        <v>1070</v>
      </c>
      <c r="G230" s="951" t="s">
        <v>196</v>
      </c>
      <c r="H230" s="951" t="s">
        <v>197</v>
      </c>
      <c r="I230" s="951">
        <v>732</v>
      </c>
      <c r="J230" s="951">
        <v>0</v>
      </c>
      <c r="K230" s="951">
        <v>12</v>
      </c>
      <c r="L230" s="1252">
        <f t="shared" si="110"/>
        <v>61</v>
      </c>
      <c r="M230" s="956">
        <v>45946</v>
      </c>
      <c r="N230" s="956">
        <v>45943</v>
      </c>
      <c r="O230" s="980"/>
      <c r="P230" s="1271" t="s">
        <v>86</v>
      </c>
      <c r="Q230" s="951"/>
      <c r="R230" s="992" t="s">
        <v>1071</v>
      </c>
      <c r="S230" s="951" t="s">
        <v>88</v>
      </c>
      <c r="T230" s="992" t="s">
        <v>1072</v>
      </c>
      <c r="U230" s="992"/>
      <c r="V230" s="1275" t="s">
        <v>1073</v>
      </c>
      <c r="W230" s="956" t="s">
        <v>599</v>
      </c>
      <c r="X230" s="952">
        <v>4.0406</v>
      </c>
      <c r="Y230" s="1254">
        <f t="shared" si="133"/>
        <v>2957.7192</v>
      </c>
      <c r="Z230" s="1254"/>
      <c r="AA230" s="951" t="s">
        <v>1074</v>
      </c>
      <c r="AB230" s="951" t="s">
        <v>637</v>
      </c>
      <c r="AC230" s="951" t="s">
        <v>93</v>
      </c>
      <c r="AD230" s="990" t="s">
        <v>94</v>
      </c>
      <c r="AE230" s="951"/>
      <c r="AF230" s="951">
        <f>720+12</f>
        <v>732</v>
      </c>
      <c r="AG230" s="949">
        <f t="shared" si="132"/>
        <v>0</v>
      </c>
      <c r="AH230" s="1255"/>
      <c r="AI230" s="951"/>
      <c r="AJ230" s="951"/>
      <c r="AK230" s="951">
        <f>I230*2</f>
        <v>1464</v>
      </c>
      <c r="AL230" s="951"/>
      <c r="AM230" s="962"/>
      <c r="AP230" s="951">
        <f>I230*2</f>
        <v>1464</v>
      </c>
      <c r="AQ230" s="951"/>
      <c r="AR230" s="1256"/>
      <c r="AS230" s="951">
        <f>I230*2</f>
        <v>1464</v>
      </c>
      <c r="AT230" s="951"/>
      <c r="AU230" s="951"/>
      <c r="AV230" s="951"/>
      <c r="BE230" s="962"/>
      <c r="BN230" s="859">
        <f>I230</f>
        <v>732</v>
      </c>
      <c r="BO230" s="859">
        <f>I230</f>
        <v>732</v>
      </c>
      <c r="BQ230" s="859">
        <f>I230</f>
        <v>732</v>
      </c>
      <c r="BU230" s="939">
        <f t="shared" si="117"/>
        <v>1464</v>
      </c>
      <c r="BV230" s="1222">
        <f t="shared" si="118"/>
        <v>2600886</v>
      </c>
      <c r="BW230" s="963"/>
      <c r="BX230" s="963"/>
      <c r="BY230" s="963"/>
      <c r="BZ230" s="963"/>
      <c r="CA230" s="856">
        <f t="shared" si="108"/>
        <v>219114</v>
      </c>
      <c r="CC230" s="964">
        <f t="shared" si="119"/>
        <v>0</v>
      </c>
      <c r="CD230" s="939">
        <f t="shared" si="120"/>
        <v>50840.5714285714</v>
      </c>
      <c r="CE230" s="963"/>
      <c r="CF230" s="963"/>
      <c r="CG230" s="963"/>
      <c r="CH230" s="939">
        <f t="shared" si="109"/>
        <v>9159.4285714286</v>
      </c>
      <c r="CI230" s="963"/>
    </row>
    <row r="231" s="859" customFormat="1" ht="32" customHeight="1" spans="1:87">
      <c r="A231" s="985">
        <v>45902</v>
      </c>
      <c r="B231" s="988" t="s">
        <v>1075</v>
      </c>
      <c r="C231" s="954" t="s">
        <v>103</v>
      </c>
      <c r="D231" s="987">
        <v>4500178312</v>
      </c>
      <c r="E231" s="988" t="s">
        <v>1076</v>
      </c>
      <c r="F231" s="1251" t="s">
        <v>1077</v>
      </c>
      <c r="G231" s="951" t="s">
        <v>205</v>
      </c>
      <c r="H231" s="951" t="s">
        <v>189</v>
      </c>
      <c r="I231" s="951">
        <v>650</v>
      </c>
      <c r="J231" s="951">
        <v>0</v>
      </c>
      <c r="K231" s="951">
        <v>50</v>
      </c>
      <c r="L231" s="1252">
        <f t="shared" si="110"/>
        <v>13</v>
      </c>
      <c r="M231" s="956">
        <v>45950</v>
      </c>
      <c r="N231" s="956">
        <v>45946</v>
      </c>
      <c r="O231" s="980"/>
      <c r="P231" s="1271" t="s">
        <v>86</v>
      </c>
      <c r="Q231" s="951"/>
      <c r="R231" s="992">
        <v>45898</v>
      </c>
      <c r="S231" s="992" t="s">
        <v>98</v>
      </c>
      <c r="T231" s="992" t="s">
        <v>98</v>
      </c>
      <c r="U231" s="992"/>
      <c r="V231" s="952" t="s">
        <v>1078</v>
      </c>
      <c r="W231" s="956" t="s">
        <v>1079</v>
      </c>
      <c r="X231" s="1273">
        <v>1.996</v>
      </c>
      <c r="Y231" s="1254">
        <f t="shared" si="133"/>
        <v>1297.4</v>
      </c>
      <c r="Z231" s="1254"/>
      <c r="AA231" s="951" t="s">
        <v>1080</v>
      </c>
      <c r="AB231" s="951" t="s">
        <v>210</v>
      </c>
      <c r="AC231" s="951" t="s">
        <v>93</v>
      </c>
      <c r="AD231" s="990" t="s">
        <v>94</v>
      </c>
      <c r="AE231" s="951"/>
      <c r="AF231" s="951">
        <v>650</v>
      </c>
      <c r="AG231" s="949">
        <f t="shared" si="132"/>
        <v>0</v>
      </c>
      <c r="AH231" s="1255"/>
      <c r="AI231" s="951" t="s">
        <v>95</v>
      </c>
      <c r="AJ231" s="951"/>
      <c r="AK231" s="951">
        <f>I231</f>
        <v>650</v>
      </c>
      <c r="AL231" s="951"/>
      <c r="AM231" s="962"/>
      <c r="AP231" s="951">
        <f>I231</f>
        <v>650</v>
      </c>
      <c r="AQ231" s="951"/>
      <c r="AR231" s="1256"/>
      <c r="AS231" s="951">
        <f t="shared" si="134"/>
        <v>650</v>
      </c>
      <c r="AT231" s="951"/>
      <c r="AU231" s="951"/>
      <c r="AV231" s="951"/>
      <c r="BE231" s="962"/>
      <c r="BF231" s="859">
        <f>I231/25</f>
        <v>26</v>
      </c>
      <c r="BU231" s="939">
        <f t="shared" si="117"/>
        <v>650</v>
      </c>
      <c r="BV231" s="1222">
        <f t="shared" si="118"/>
        <v>2601536</v>
      </c>
      <c r="BW231" s="963"/>
      <c r="BX231" s="963"/>
      <c r="BY231" s="963"/>
      <c r="BZ231" s="963"/>
      <c r="CA231" s="856">
        <f t="shared" si="108"/>
        <v>218464</v>
      </c>
      <c r="CC231" s="964">
        <f t="shared" si="119"/>
        <v>26</v>
      </c>
      <c r="CD231" s="939">
        <f t="shared" si="120"/>
        <v>50866.5714285714</v>
      </c>
      <c r="CE231" s="963"/>
      <c r="CF231" s="963"/>
      <c r="CG231" s="963"/>
      <c r="CH231" s="939">
        <f t="shared" si="109"/>
        <v>9133.4285714286</v>
      </c>
      <c r="CI231" s="963"/>
    </row>
    <row r="232" s="859" customFormat="1" ht="32" customHeight="1" spans="1:87">
      <c r="A232" s="985">
        <v>45912</v>
      </c>
      <c r="B232" s="988" t="s">
        <v>232</v>
      </c>
      <c r="C232" s="954" t="s">
        <v>125</v>
      </c>
      <c r="D232" s="987">
        <v>4500179366</v>
      </c>
      <c r="E232" s="988" t="s">
        <v>1081</v>
      </c>
      <c r="F232" s="1251" t="s">
        <v>1082</v>
      </c>
      <c r="G232" s="951" t="s">
        <v>234</v>
      </c>
      <c r="H232" s="951" t="s">
        <v>189</v>
      </c>
      <c r="I232" s="951">
        <v>520</v>
      </c>
      <c r="J232" s="951">
        <v>0</v>
      </c>
      <c r="K232" s="951">
        <v>13</v>
      </c>
      <c r="L232" s="1252">
        <f t="shared" si="110"/>
        <v>40</v>
      </c>
      <c r="M232" s="956">
        <v>45953</v>
      </c>
      <c r="N232" s="956">
        <v>45950</v>
      </c>
      <c r="O232" s="980"/>
      <c r="P232" s="1271" t="s">
        <v>86</v>
      </c>
      <c r="Q232" s="967">
        <v>45954</v>
      </c>
      <c r="R232" s="992">
        <v>45920</v>
      </c>
      <c r="S232" s="992" t="s">
        <v>98</v>
      </c>
      <c r="T232" s="992" t="s">
        <v>98</v>
      </c>
      <c r="U232" s="992"/>
      <c r="V232" s="952" t="s">
        <v>1083</v>
      </c>
      <c r="W232" s="956" t="s">
        <v>1049</v>
      </c>
      <c r="X232" s="1273">
        <v>1.1204</v>
      </c>
      <c r="Y232" s="1254">
        <f t="shared" si="133"/>
        <v>582.608</v>
      </c>
      <c r="Z232" s="1254"/>
      <c r="AA232" s="951" t="s">
        <v>1084</v>
      </c>
      <c r="AB232" s="1276" t="s">
        <v>234</v>
      </c>
      <c r="AC232" s="951" t="s">
        <v>93</v>
      </c>
      <c r="AD232" s="990" t="s">
        <v>94</v>
      </c>
      <c r="AE232" s="951"/>
      <c r="AF232" s="951">
        <v>520</v>
      </c>
      <c r="AG232" s="949">
        <f t="shared" si="132"/>
        <v>0</v>
      </c>
      <c r="AH232" s="1255"/>
      <c r="AI232" s="951"/>
      <c r="AJ232" s="951"/>
      <c r="AK232" s="951">
        <f>I232</f>
        <v>520</v>
      </c>
      <c r="AL232" s="951"/>
      <c r="AM232" s="951">
        <f>I232</f>
        <v>520</v>
      </c>
      <c r="AP232" s="951"/>
      <c r="AQ232" s="951"/>
      <c r="AR232" s="1256"/>
      <c r="AS232" s="951">
        <f t="shared" si="134"/>
        <v>520</v>
      </c>
      <c r="AT232" s="951"/>
      <c r="AU232" s="951"/>
      <c r="AV232" s="951"/>
      <c r="BC232" s="859">
        <f>I232/13</f>
        <v>40</v>
      </c>
      <c r="BE232" s="962"/>
      <c r="BU232" s="939">
        <f t="shared" si="117"/>
        <v>520</v>
      </c>
      <c r="BV232" s="1222">
        <f t="shared" si="118"/>
        <v>2602056</v>
      </c>
      <c r="BW232" s="963"/>
      <c r="BX232" s="963"/>
      <c r="BY232" s="963"/>
      <c r="BZ232" s="963"/>
      <c r="CA232" s="856">
        <f t="shared" si="108"/>
        <v>217944</v>
      </c>
      <c r="CC232" s="964">
        <f t="shared" si="119"/>
        <v>0</v>
      </c>
      <c r="CD232" s="939">
        <f t="shared" si="120"/>
        <v>50866.5714285714</v>
      </c>
      <c r="CE232" s="963"/>
      <c r="CF232" s="963"/>
      <c r="CG232" s="963"/>
      <c r="CH232" s="939">
        <f t="shared" si="109"/>
        <v>9133.4285714286</v>
      </c>
      <c r="CI232" s="963"/>
    </row>
    <row r="233" s="857" customFormat="1" ht="32" customHeight="1" spans="1:87">
      <c r="A233" s="1044">
        <v>45960</v>
      </c>
      <c r="B233" s="1048"/>
      <c r="C233" s="928"/>
      <c r="D233" s="1047" t="s">
        <v>1085</v>
      </c>
      <c r="E233" s="1048"/>
      <c r="F233" s="1277"/>
      <c r="G233" s="926" t="s">
        <v>758</v>
      </c>
      <c r="H233" s="926"/>
      <c r="I233" s="926" t="s">
        <v>740</v>
      </c>
      <c r="J233" s="926">
        <v>0</v>
      </c>
      <c r="K233" s="926">
        <v>24</v>
      </c>
      <c r="L233" s="1201" t="e">
        <f t="shared" si="110"/>
        <v>#VALUE!</v>
      </c>
      <c r="M233" s="930">
        <v>45971</v>
      </c>
      <c r="N233" s="930">
        <v>45967</v>
      </c>
      <c r="O233" s="937"/>
      <c r="P233" s="1278"/>
      <c r="Q233" s="1041"/>
      <c r="R233" s="1037"/>
      <c r="S233" s="1037"/>
      <c r="T233" s="1037"/>
      <c r="U233" s="1037"/>
      <c r="V233" s="933" t="s">
        <v>1086</v>
      </c>
      <c r="W233" s="930" t="s">
        <v>100</v>
      </c>
      <c r="X233" s="1220"/>
      <c r="Y233" s="1204"/>
      <c r="Z233" s="1204"/>
      <c r="AA233" s="926"/>
      <c r="AB233" s="1279"/>
      <c r="AC233" s="1004" t="s">
        <v>743</v>
      </c>
      <c r="AD233" s="1040"/>
      <c r="AE233" s="926"/>
      <c r="AF233" s="926">
        <v>15</v>
      </c>
      <c r="AG233" s="924">
        <v>0</v>
      </c>
      <c r="AH233" s="938"/>
      <c r="AI233" s="926"/>
      <c r="AJ233" s="926"/>
      <c r="AK233" s="926"/>
      <c r="AL233" s="926"/>
      <c r="AM233" s="926"/>
      <c r="AP233" s="926"/>
      <c r="AQ233" s="926"/>
      <c r="AR233" s="1280"/>
      <c r="AS233" s="926"/>
      <c r="AT233" s="926"/>
      <c r="AU233" s="926"/>
      <c r="AV233" s="926"/>
      <c r="BE233" s="858"/>
      <c r="BU233" s="939">
        <f t="shared" si="117"/>
        <v>0</v>
      </c>
      <c r="BV233" s="1222">
        <f t="shared" si="118"/>
        <v>2602056</v>
      </c>
      <c r="BW233" s="939"/>
      <c r="BX233" s="939"/>
      <c r="BY233" s="939"/>
      <c r="BZ233" s="939"/>
      <c r="CA233" s="856">
        <f t="shared" si="108"/>
        <v>217944</v>
      </c>
      <c r="CC233" s="964">
        <f t="shared" si="119"/>
        <v>0</v>
      </c>
      <c r="CD233" s="939">
        <f t="shared" si="120"/>
        <v>50866.5714285714</v>
      </c>
      <c r="CE233" s="939"/>
      <c r="CF233" s="939"/>
      <c r="CG233" s="939"/>
      <c r="CH233" s="939">
        <f t="shared" si="109"/>
        <v>9133.4285714286</v>
      </c>
      <c r="CI233" s="939"/>
    </row>
    <row r="234" s="974" customFormat="1" ht="32" customHeight="1" spans="1:87">
      <c r="A234" s="1281">
        <v>45880</v>
      </c>
      <c r="B234" s="1282" t="s">
        <v>1042</v>
      </c>
      <c r="C234" s="1003" t="s">
        <v>125</v>
      </c>
      <c r="D234" s="1283">
        <v>4500176581</v>
      </c>
      <c r="E234" s="1282">
        <v>70072716</v>
      </c>
      <c r="F234" s="1284" t="s">
        <v>1087</v>
      </c>
      <c r="G234" s="1004" t="s">
        <v>196</v>
      </c>
      <c r="H234" s="1004" t="s">
        <v>197</v>
      </c>
      <c r="I234" s="1004">
        <v>600</v>
      </c>
      <c r="J234" s="1004">
        <v>0</v>
      </c>
      <c r="K234" s="1004">
        <v>12</v>
      </c>
      <c r="L234" s="1232">
        <f t="shared" si="110"/>
        <v>50</v>
      </c>
      <c r="M234" s="1007">
        <v>45981</v>
      </c>
      <c r="N234" s="1007">
        <v>45978</v>
      </c>
      <c r="O234" s="1024"/>
      <c r="P234" s="1285" t="s">
        <v>86</v>
      </c>
      <c r="Q234" s="1004"/>
      <c r="R234" s="1035">
        <v>45946</v>
      </c>
      <c r="S234" s="1035" t="s">
        <v>98</v>
      </c>
      <c r="T234" s="1035" t="s">
        <v>199</v>
      </c>
      <c r="U234" s="1035"/>
      <c r="V234" s="1010" t="s">
        <v>1088</v>
      </c>
      <c r="W234" s="1007" t="s">
        <v>291</v>
      </c>
      <c r="X234" s="1010">
        <v>2.4015</v>
      </c>
      <c r="Y234" s="1236">
        <f>I234*X234</f>
        <v>1440.9</v>
      </c>
      <c r="Z234" s="1236"/>
      <c r="AA234" s="1004" t="s">
        <v>1089</v>
      </c>
      <c r="AB234" s="1004" t="s">
        <v>984</v>
      </c>
      <c r="AC234" s="1004" t="s">
        <v>93</v>
      </c>
      <c r="AD234" s="1023" t="s">
        <v>94</v>
      </c>
      <c r="AE234" s="1004"/>
      <c r="AF234" s="1004">
        <f>516+84</f>
        <v>600</v>
      </c>
      <c r="AG234" s="1002">
        <f>AF234-I234</f>
        <v>0</v>
      </c>
      <c r="AH234" s="1055"/>
      <c r="AI234" s="1004" t="s">
        <v>95</v>
      </c>
      <c r="AJ234" s="1004"/>
      <c r="AK234" s="1004">
        <f>I234*2</f>
        <v>1200</v>
      </c>
      <c r="AL234" s="1004"/>
      <c r="AM234" s="1016">
        <f>I234*2</f>
        <v>1200</v>
      </c>
      <c r="AP234" s="1004"/>
      <c r="AQ234" s="1004"/>
      <c r="AR234" s="1286"/>
      <c r="AS234" s="951">
        <f>I234*2</f>
        <v>1200</v>
      </c>
      <c r="AT234" s="1004"/>
      <c r="AU234" s="1004"/>
      <c r="AV234" s="1004"/>
      <c r="BE234" s="1016"/>
      <c r="BN234" s="974">
        <f>I234</f>
        <v>600</v>
      </c>
      <c r="BO234" s="974">
        <f>I234</f>
        <v>600</v>
      </c>
      <c r="BQ234" s="974">
        <f>I234</f>
        <v>600</v>
      </c>
      <c r="BU234" s="939">
        <f t="shared" si="117"/>
        <v>1200</v>
      </c>
      <c r="BV234" s="1222">
        <f t="shared" si="118"/>
        <v>2603256</v>
      </c>
      <c r="BW234" s="1018"/>
      <c r="BX234" s="1018"/>
      <c r="BY234" s="1018"/>
      <c r="BZ234" s="1018"/>
      <c r="CA234" s="856">
        <f t="shared" si="108"/>
        <v>216744</v>
      </c>
      <c r="CC234" s="964">
        <f t="shared" si="119"/>
        <v>0</v>
      </c>
      <c r="CD234" s="939">
        <f t="shared" si="120"/>
        <v>50866.5714285714</v>
      </c>
      <c r="CE234" s="1018"/>
      <c r="CF234" s="1018"/>
      <c r="CG234" s="1018"/>
      <c r="CH234" s="939">
        <f t="shared" si="109"/>
        <v>9133.4285714286</v>
      </c>
      <c r="CI234" s="1018"/>
    </row>
    <row r="235" s="974" customFormat="1" ht="32" customHeight="1" spans="1:87">
      <c r="A235" s="1281">
        <v>45953</v>
      </c>
      <c r="B235" s="1282" t="s">
        <v>1090</v>
      </c>
      <c r="C235" s="1003" t="s">
        <v>125</v>
      </c>
      <c r="D235" s="1283">
        <v>4500182963</v>
      </c>
      <c r="E235" s="1282">
        <v>4559334965</v>
      </c>
      <c r="F235" s="1283" t="s">
        <v>1091</v>
      </c>
      <c r="G235" s="1004" t="s">
        <v>353</v>
      </c>
      <c r="H235" s="1004" t="s">
        <v>189</v>
      </c>
      <c r="I235" s="1004">
        <v>2622</v>
      </c>
      <c r="J235" s="1004">
        <v>0</v>
      </c>
      <c r="K235" s="1004">
        <v>6</v>
      </c>
      <c r="L235" s="1232">
        <f t="shared" si="110"/>
        <v>437</v>
      </c>
      <c r="M235" s="1007">
        <v>45995</v>
      </c>
      <c r="N235" s="1007">
        <v>45992</v>
      </c>
      <c r="O235" s="1287"/>
      <c r="P235" s="1285" t="s">
        <v>86</v>
      </c>
      <c r="Q235" s="1004"/>
      <c r="R235" s="1035">
        <v>45953</v>
      </c>
      <c r="S235" s="1004" t="s">
        <v>98</v>
      </c>
      <c r="T235" s="1233" t="s">
        <v>1092</v>
      </c>
      <c r="U235" s="1233"/>
      <c r="V235" s="1288" t="s">
        <v>1093</v>
      </c>
      <c r="W235" s="1007" t="s">
        <v>217</v>
      </c>
      <c r="X235" s="1235">
        <v>1.1527</v>
      </c>
      <c r="Y235" s="1236">
        <f>I235*X235</f>
        <v>3022.3794</v>
      </c>
      <c r="Z235" s="1236"/>
      <c r="AA235" s="1004" t="s">
        <v>1094</v>
      </c>
      <c r="AB235" s="1004" t="s">
        <v>353</v>
      </c>
      <c r="AC235" s="1004" t="s">
        <v>93</v>
      </c>
      <c r="AD235" s="1023" t="s">
        <v>94</v>
      </c>
      <c r="AE235" s="1004"/>
      <c r="AF235" s="1004">
        <v>2622</v>
      </c>
      <c r="AG235" s="1002">
        <f>AF235-I235</f>
        <v>0</v>
      </c>
      <c r="AH235" s="1055"/>
      <c r="AI235" s="1004" t="s">
        <v>95</v>
      </c>
      <c r="AJ235" s="1004"/>
      <c r="AK235" s="1004">
        <f>I235</f>
        <v>2622</v>
      </c>
      <c r="AL235" s="1004"/>
      <c r="AM235" s="1004">
        <f>I235</f>
        <v>2622</v>
      </c>
      <c r="AP235" s="1004"/>
      <c r="AQ235" s="1004"/>
      <c r="AR235" s="1286"/>
      <c r="AS235" s="1004">
        <f>I235</f>
        <v>2622</v>
      </c>
      <c r="AT235" s="1004"/>
      <c r="AU235" s="1004"/>
      <c r="AV235" s="1004"/>
      <c r="BB235" s="974">
        <f>I235/6</f>
        <v>437</v>
      </c>
      <c r="BE235" s="1016"/>
      <c r="BU235" s="939">
        <f t="shared" si="117"/>
        <v>2622</v>
      </c>
      <c r="BV235" s="1222">
        <f t="shared" si="118"/>
        <v>2605878</v>
      </c>
      <c r="BW235" s="1018"/>
      <c r="BX235" s="1018"/>
      <c r="BY235" s="1018"/>
      <c r="BZ235" s="1018"/>
      <c r="CA235" s="856">
        <f t="shared" si="108"/>
        <v>214122</v>
      </c>
      <c r="CC235" s="964">
        <f t="shared" si="119"/>
        <v>0</v>
      </c>
      <c r="CD235" s="939">
        <f t="shared" si="120"/>
        <v>50866.5714285714</v>
      </c>
      <c r="CE235" s="1018"/>
      <c r="CF235" s="1018"/>
      <c r="CG235" s="1018"/>
      <c r="CH235" s="939">
        <f t="shared" si="109"/>
        <v>9133.4285714286</v>
      </c>
      <c r="CI235" s="1018"/>
    </row>
    <row r="236" s="974" customFormat="1" ht="32" customHeight="1" spans="1:87">
      <c r="A236" s="1281">
        <v>45953</v>
      </c>
      <c r="B236" s="1282" t="s">
        <v>1090</v>
      </c>
      <c r="C236" s="1003" t="s">
        <v>125</v>
      </c>
      <c r="D236" s="1283">
        <v>4500182963</v>
      </c>
      <c r="E236" s="1282">
        <v>4559335091</v>
      </c>
      <c r="F236" s="1283" t="s">
        <v>1095</v>
      </c>
      <c r="G236" s="1004" t="s">
        <v>353</v>
      </c>
      <c r="H236" s="1004" t="s">
        <v>189</v>
      </c>
      <c r="I236" s="1004">
        <v>2208</v>
      </c>
      <c r="J236" s="1004">
        <v>0</v>
      </c>
      <c r="K236" s="1004">
        <v>6</v>
      </c>
      <c r="L236" s="1232">
        <f t="shared" si="110"/>
        <v>368</v>
      </c>
      <c r="M236" s="1007">
        <v>45995</v>
      </c>
      <c r="N236" s="1007">
        <v>45992</v>
      </c>
      <c r="O236" s="1287"/>
      <c r="P236" s="1285" t="s">
        <v>86</v>
      </c>
      <c r="Q236" s="1004"/>
      <c r="R236" s="1035">
        <v>45953</v>
      </c>
      <c r="S236" s="1004" t="s">
        <v>98</v>
      </c>
      <c r="T236" s="1233" t="s">
        <v>1092</v>
      </c>
      <c r="U236" s="1233"/>
      <c r="V236" s="1288" t="s">
        <v>1093</v>
      </c>
      <c r="W236" s="1007" t="s">
        <v>217</v>
      </c>
      <c r="X236" s="1235">
        <v>1.1527</v>
      </c>
      <c r="Y236" s="1236">
        <f>I236*X236</f>
        <v>2545.1616</v>
      </c>
      <c r="Z236" s="1236"/>
      <c r="AA236" s="1004" t="s">
        <v>1096</v>
      </c>
      <c r="AB236" s="1004" t="s">
        <v>353</v>
      </c>
      <c r="AC236" s="1004" t="s">
        <v>93</v>
      </c>
      <c r="AD236" s="1023" t="s">
        <v>94</v>
      </c>
      <c r="AE236" s="1004"/>
      <c r="AF236" s="1004">
        <v>2208</v>
      </c>
      <c r="AG236" s="1002">
        <f>AF236-I236</f>
        <v>0</v>
      </c>
      <c r="AH236" s="1055"/>
      <c r="AI236" s="1004" t="s">
        <v>95</v>
      </c>
      <c r="AJ236" s="1004"/>
      <c r="AK236" s="1004">
        <f>I236</f>
        <v>2208</v>
      </c>
      <c r="AL236" s="1004"/>
      <c r="AM236" s="1004">
        <f>I236</f>
        <v>2208</v>
      </c>
      <c r="AP236" s="1004"/>
      <c r="AQ236" s="1004"/>
      <c r="AR236" s="1286"/>
      <c r="AS236" s="1004">
        <f>I236</f>
        <v>2208</v>
      </c>
      <c r="AT236" s="1004"/>
      <c r="AU236" s="1004"/>
      <c r="AV236" s="1004"/>
      <c r="BB236" s="974">
        <f>I236/6</f>
        <v>368</v>
      </c>
      <c r="BE236" s="1016"/>
      <c r="BU236" s="939">
        <f t="shared" si="117"/>
        <v>2208</v>
      </c>
      <c r="BV236" s="1222">
        <f t="shared" si="118"/>
        <v>2608086</v>
      </c>
      <c r="BW236" s="1018"/>
      <c r="BX236" s="1018"/>
      <c r="BY236" s="1018"/>
      <c r="BZ236" s="1018"/>
      <c r="CA236" s="856">
        <f t="shared" si="108"/>
        <v>211914</v>
      </c>
      <c r="CC236" s="964">
        <f t="shared" si="119"/>
        <v>0</v>
      </c>
      <c r="CD236" s="939">
        <f t="shared" si="120"/>
        <v>50866.5714285714</v>
      </c>
      <c r="CE236" s="1018"/>
      <c r="CF236" s="1018"/>
      <c r="CG236" s="1018"/>
      <c r="CH236" s="939">
        <f t="shared" si="109"/>
        <v>9133.4285714286</v>
      </c>
      <c r="CI236" s="1018"/>
    </row>
    <row r="237" s="974" customFormat="1" ht="32" customHeight="1" spans="1:87">
      <c r="A237" s="1281">
        <v>45950</v>
      </c>
      <c r="B237" s="1282" t="s">
        <v>1097</v>
      </c>
      <c r="C237" s="1003" t="s">
        <v>1098</v>
      </c>
      <c r="D237" s="1283">
        <v>4500182298</v>
      </c>
      <c r="E237" s="1282" t="s">
        <v>1099</v>
      </c>
      <c r="F237" s="1284" t="s">
        <v>1100</v>
      </c>
      <c r="G237" s="1004" t="s">
        <v>234</v>
      </c>
      <c r="H237" s="1004" t="s">
        <v>189</v>
      </c>
      <c r="I237" s="1004">
        <v>6006</v>
      </c>
      <c r="J237" s="1004">
        <v>0</v>
      </c>
      <c r="K237" s="1004">
        <v>13</v>
      </c>
      <c r="L237" s="1232">
        <f t="shared" si="110"/>
        <v>462</v>
      </c>
      <c r="M237" s="1007">
        <v>45985</v>
      </c>
      <c r="N237" s="1007">
        <v>45981</v>
      </c>
      <c r="O237" s="1024"/>
      <c r="P237" s="1285" t="s">
        <v>86</v>
      </c>
      <c r="Q237" s="1004"/>
      <c r="R237" s="1035">
        <v>45960</v>
      </c>
      <c r="S237" s="1035" t="s">
        <v>98</v>
      </c>
      <c r="T237" s="1289" t="s">
        <v>1101</v>
      </c>
      <c r="U237" s="1289"/>
      <c r="V237" s="1010" t="s">
        <v>1102</v>
      </c>
      <c r="W237" s="1007" t="s">
        <v>1059</v>
      </c>
      <c r="X237" s="1235">
        <v>1.8558</v>
      </c>
      <c r="Y237" s="1236">
        <f>I237*X237</f>
        <v>11145.9348</v>
      </c>
      <c r="Z237" s="1236"/>
      <c r="AA237" s="1004" t="s">
        <v>1103</v>
      </c>
      <c r="AB237" s="1004" t="s">
        <v>234</v>
      </c>
      <c r="AC237" s="1004" t="s">
        <v>93</v>
      </c>
      <c r="AD237" s="1023" t="s">
        <v>94</v>
      </c>
      <c r="AE237" s="1004"/>
      <c r="AF237" s="1004">
        <v>6006</v>
      </c>
      <c r="AG237" s="1002">
        <f>AF237-I237</f>
        <v>0</v>
      </c>
      <c r="AH237" s="1055"/>
      <c r="AI237" s="1004" t="s">
        <v>95</v>
      </c>
      <c r="AJ237" s="1004"/>
      <c r="AK237" s="1004">
        <f>I237</f>
        <v>6006</v>
      </c>
      <c r="AL237" s="1004"/>
      <c r="AM237" s="1016">
        <f>I237</f>
        <v>6006</v>
      </c>
      <c r="AP237" s="1004"/>
      <c r="AQ237" s="1004"/>
      <c r="AR237" s="1286"/>
      <c r="AS237" s="1004">
        <f>I237</f>
        <v>6006</v>
      </c>
      <c r="AT237" s="1004"/>
      <c r="AU237" s="1004"/>
      <c r="AV237" s="1004"/>
      <c r="BC237" s="974">
        <f>I237/13</f>
        <v>462</v>
      </c>
      <c r="BE237" s="1016"/>
      <c r="BU237" s="939">
        <f t="shared" si="117"/>
        <v>6006</v>
      </c>
      <c r="BV237" s="1222">
        <f t="shared" si="118"/>
        <v>2614092</v>
      </c>
      <c r="BW237" s="1018"/>
      <c r="BX237" s="1018"/>
      <c r="BY237" s="1018"/>
      <c r="BZ237" s="1018"/>
      <c r="CA237" s="856">
        <f t="shared" si="108"/>
        <v>205908</v>
      </c>
      <c r="CC237" s="964">
        <f t="shared" si="119"/>
        <v>0</v>
      </c>
      <c r="CD237" s="939">
        <f t="shared" si="120"/>
        <v>50866.5714285714</v>
      </c>
      <c r="CE237" s="1018"/>
      <c r="CF237" s="1018"/>
      <c r="CG237" s="1018"/>
      <c r="CH237" s="939">
        <f t="shared" si="109"/>
        <v>9133.4285714286</v>
      </c>
      <c r="CI237" s="1018"/>
    </row>
    <row r="238" s="974" customFormat="1" ht="32" customHeight="1" spans="1:87">
      <c r="A238" s="1281">
        <v>45953</v>
      </c>
      <c r="B238" s="1282" t="s">
        <v>1090</v>
      </c>
      <c r="C238" s="1003" t="s">
        <v>125</v>
      </c>
      <c r="D238" s="1283">
        <v>4500182963</v>
      </c>
      <c r="E238" s="1282">
        <v>4559335111</v>
      </c>
      <c r="F238" s="1283" t="s">
        <v>1104</v>
      </c>
      <c r="G238" s="1004" t="s">
        <v>353</v>
      </c>
      <c r="H238" s="1004" t="s">
        <v>189</v>
      </c>
      <c r="I238" s="1004">
        <v>2544</v>
      </c>
      <c r="J238" s="1004">
        <v>0</v>
      </c>
      <c r="K238" s="1004">
        <v>6</v>
      </c>
      <c r="L238" s="1232">
        <f t="shared" si="110"/>
        <v>424</v>
      </c>
      <c r="M238" s="1007">
        <v>45995</v>
      </c>
      <c r="N238" s="1007">
        <v>45992</v>
      </c>
      <c r="O238" s="1024"/>
      <c r="P238" s="1285" t="s">
        <v>86</v>
      </c>
      <c r="Q238" s="1004"/>
      <c r="R238" s="1035">
        <v>45953</v>
      </c>
      <c r="S238" s="1004" t="s">
        <v>98</v>
      </c>
      <c r="T238" s="1233" t="s">
        <v>1092</v>
      </c>
      <c r="U238" s="1233"/>
      <c r="V238" s="1288" t="s">
        <v>1093</v>
      </c>
      <c r="W238" s="1007" t="s">
        <v>217</v>
      </c>
      <c r="X238" s="1235">
        <v>1.1527</v>
      </c>
      <c r="Y238" s="1236">
        <f t="shared" ref="Y238:Y254" si="135">I238*X238</f>
        <v>2932.4688</v>
      </c>
      <c r="Z238" s="1236"/>
      <c r="AA238" s="1004" t="s">
        <v>1105</v>
      </c>
      <c r="AB238" s="1004" t="s">
        <v>353</v>
      </c>
      <c r="AC238" s="1004" t="s">
        <v>93</v>
      </c>
      <c r="AD238" s="1023" t="s">
        <v>94</v>
      </c>
      <c r="AE238" s="1004"/>
      <c r="AF238" s="1004">
        <v>2544</v>
      </c>
      <c r="AG238" s="1002">
        <f t="shared" ref="AG238:AG301" si="136">AF238-I238</f>
        <v>0</v>
      </c>
      <c r="AH238" s="1055"/>
      <c r="AI238" s="1004" t="s">
        <v>95</v>
      </c>
      <c r="AJ238" s="1004"/>
      <c r="AK238" s="1004">
        <f t="shared" ref="AK238:AK246" si="137">I238</f>
        <v>2544</v>
      </c>
      <c r="AL238" s="1004"/>
      <c r="AM238" s="1004">
        <f t="shared" ref="AM238:AM245" si="138">I238</f>
        <v>2544</v>
      </c>
      <c r="AP238" s="1004"/>
      <c r="AQ238" s="1004"/>
      <c r="AR238" s="1286"/>
      <c r="AS238" s="1004">
        <f t="shared" ref="AS238:AS246" si="139">I238</f>
        <v>2544</v>
      </c>
      <c r="AT238" s="1004"/>
      <c r="AU238" s="1004"/>
      <c r="AV238" s="1004"/>
      <c r="BB238" s="974">
        <f t="shared" ref="BB238:BB244" si="140">I238/6</f>
        <v>424</v>
      </c>
      <c r="BE238" s="1016"/>
      <c r="BU238" s="939">
        <f t="shared" si="117"/>
        <v>2544</v>
      </c>
      <c r="BV238" s="1222">
        <f t="shared" si="118"/>
        <v>2616636</v>
      </c>
      <c r="BW238" s="1018"/>
      <c r="BX238" s="1018"/>
      <c r="BY238" s="1018"/>
      <c r="BZ238" s="1018"/>
      <c r="CA238" s="856">
        <f t="shared" si="108"/>
        <v>203364</v>
      </c>
      <c r="CC238" s="964">
        <f t="shared" si="119"/>
        <v>0</v>
      </c>
      <c r="CD238" s="939">
        <f t="shared" si="120"/>
        <v>50866.5714285714</v>
      </c>
      <c r="CE238" s="1018"/>
      <c r="CF238" s="1018"/>
      <c r="CG238" s="1018"/>
      <c r="CH238" s="939">
        <f t="shared" si="109"/>
        <v>9133.4285714286</v>
      </c>
      <c r="CI238" s="1018"/>
    </row>
    <row r="239" s="974" customFormat="1" ht="32" customHeight="1" spans="1:87">
      <c r="A239" s="1281">
        <v>45953</v>
      </c>
      <c r="B239" s="1282" t="s">
        <v>1090</v>
      </c>
      <c r="C239" s="1003" t="s">
        <v>125</v>
      </c>
      <c r="D239" s="1283">
        <v>4500182963</v>
      </c>
      <c r="E239" s="1282">
        <v>4559334570</v>
      </c>
      <c r="F239" s="1283" t="s">
        <v>1106</v>
      </c>
      <c r="G239" s="1004" t="s">
        <v>353</v>
      </c>
      <c r="H239" s="1004" t="s">
        <v>189</v>
      </c>
      <c r="I239" s="1004">
        <v>3426</v>
      </c>
      <c r="J239" s="1004">
        <v>0</v>
      </c>
      <c r="K239" s="1004">
        <v>6</v>
      </c>
      <c r="L239" s="1232">
        <f t="shared" si="110"/>
        <v>571</v>
      </c>
      <c r="M239" s="1007">
        <v>45995</v>
      </c>
      <c r="N239" s="1007">
        <v>45992</v>
      </c>
      <c r="O239" s="1024"/>
      <c r="P239" s="1285" t="s">
        <v>86</v>
      </c>
      <c r="Q239" s="1004"/>
      <c r="R239" s="1035">
        <v>45953</v>
      </c>
      <c r="S239" s="1004" t="s">
        <v>98</v>
      </c>
      <c r="T239" s="1233" t="s">
        <v>1092</v>
      </c>
      <c r="U239" s="1233"/>
      <c r="V239" s="1288" t="s">
        <v>1093</v>
      </c>
      <c r="W239" s="1007" t="s">
        <v>217</v>
      </c>
      <c r="X239" s="1235">
        <v>1.1493</v>
      </c>
      <c r="Y239" s="1236">
        <f t="shared" si="135"/>
        <v>3937.5018</v>
      </c>
      <c r="Z239" s="1236"/>
      <c r="AA239" s="1004" t="s">
        <v>1107</v>
      </c>
      <c r="AB239" s="1004" t="s">
        <v>353</v>
      </c>
      <c r="AC239" s="1004" t="s">
        <v>93</v>
      </c>
      <c r="AD239" s="1023" t="s">
        <v>94</v>
      </c>
      <c r="AE239" s="1004"/>
      <c r="AF239" s="1004">
        <v>3426</v>
      </c>
      <c r="AG239" s="1002">
        <f t="shared" si="136"/>
        <v>0</v>
      </c>
      <c r="AH239" s="1055"/>
      <c r="AI239" s="1004" t="s">
        <v>95</v>
      </c>
      <c r="AJ239" s="1004"/>
      <c r="AK239" s="1004">
        <f t="shared" si="137"/>
        <v>3426</v>
      </c>
      <c r="AL239" s="1004"/>
      <c r="AM239" s="1004">
        <f t="shared" si="138"/>
        <v>3426</v>
      </c>
      <c r="AP239" s="1004"/>
      <c r="AQ239" s="1004"/>
      <c r="AR239" s="1286"/>
      <c r="AS239" s="1004">
        <f t="shared" si="139"/>
        <v>3426</v>
      </c>
      <c r="AT239" s="1004"/>
      <c r="AU239" s="1004"/>
      <c r="AV239" s="1004"/>
      <c r="BB239" s="974">
        <f t="shared" si="140"/>
        <v>571</v>
      </c>
      <c r="BE239" s="1016"/>
      <c r="BU239" s="939">
        <f t="shared" si="117"/>
        <v>3426</v>
      </c>
      <c r="BV239" s="1222">
        <f t="shared" si="118"/>
        <v>2620062</v>
      </c>
      <c r="BW239" s="1018"/>
      <c r="BX239" s="1018"/>
      <c r="BY239" s="1018"/>
      <c r="BZ239" s="1018"/>
      <c r="CA239" s="856">
        <f t="shared" si="108"/>
        <v>199938</v>
      </c>
      <c r="CC239" s="964">
        <f t="shared" si="119"/>
        <v>0</v>
      </c>
      <c r="CD239" s="939">
        <f t="shared" si="120"/>
        <v>50866.5714285714</v>
      </c>
      <c r="CE239" s="1018"/>
      <c r="CF239" s="1018"/>
      <c r="CG239" s="1018"/>
      <c r="CH239" s="939">
        <f t="shared" si="109"/>
        <v>9133.4285714286</v>
      </c>
      <c r="CI239" s="1018"/>
    </row>
    <row r="240" s="974" customFormat="1" ht="32" customHeight="1" spans="1:87">
      <c r="A240" s="1281">
        <v>45953</v>
      </c>
      <c r="B240" s="1282" t="s">
        <v>1090</v>
      </c>
      <c r="C240" s="1003" t="s">
        <v>125</v>
      </c>
      <c r="D240" s="1283">
        <v>4500182963</v>
      </c>
      <c r="E240" s="1282">
        <v>4559334848</v>
      </c>
      <c r="F240" s="1283" t="s">
        <v>1108</v>
      </c>
      <c r="G240" s="1004" t="s">
        <v>353</v>
      </c>
      <c r="H240" s="1004" t="s">
        <v>189</v>
      </c>
      <c r="I240" s="1004">
        <v>2694</v>
      </c>
      <c r="J240" s="1004">
        <v>0</v>
      </c>
      <c r="K240" s="1004">
        <v>6</v>
      </c>
      <c r="L240" s="1232">
        <f t="shared" si="110"/>
        <v>449</v>
      </c>
      <c r="M240" s="1007">
        <v>45995</v>
      </c>
      <c r="N240" s="1007">
        <v>45992</v>
      </c>
      <c r="O240" s="1024"/>
      <c r="P240" s="1285" t="s">
        <v>86</v>
      </c>
      <c r="Q240" s="1004"/>
      <c r="R240" s="1035">
        <v>45953</v>
      </c>
      <c r="S240" s="1004" t="s">
        <v>98</v>
      </c>
      <c r="T240" s="1233" t="s">
        <v>1092</v>
      </c>
      <c r="U240" s="1233"/>
      <c r="V240" s="1288" t="s">
        <v>1093</v>
      </c>
      <c r="W240" s="1007" t="s">
        <v>217</v>
      </c>
      <c r="X240" s="1235">
        <v>1.1527</v>
      </c>
      <c r="Y240" s="1236">
        <f t="shared" si="135"/>
        <v>3105.3738</v>
      </c>
      <c r="Z240" s="1236"/>
      <c r="AA240" s="1004" t="s">
        <v>1109</v>
      </c>
      <c r="AB240" s="1004" t="s">
        <v>353</v>
      </c>
      <c r="AC240" s="1004" t="s">
        <v>93</v>
      </c>
      <c r="AD240" s="1023" t="s">
        <v>94</v>
      </c>
      <c r="AE240" s="1004"/>
      <c r="AF240" s="1004">
        <v>2694</v>
      </c>
      <c r="AG240" s="1002">
        <f t="shared" si="136"/>
        <v>0</v>
      </c>
      <c r="AH240" s="1055"/>
      <c r="AI240" s="1004" t="s">
        <v>95</v>
      </c>
      <c r="AJ240" s="1004"/>
      <c r="AK240" s="1004">
        <f t="shared" si="137"/>
        <v>2694</v>
      </c>
      <c r="AL240" s="1004"/>
      <c r="AM240" s="1004">
        <f t="shared" si="138"/>
        <v>2694</v>
      </c>
      <c r="AP240" s="1004"/>
      <c r="AQ240" s="1004"/>
      <c r="AR240" s="1286"/>
      <c r="AS240" s="1004">
        <f t="shared" si="139"/>
        <v>2694</v>
      </c>
      <c r="AT240" s="1004"/>
      <c r="AU240" s="1004"/>
      <c r="AV240" s="1004"/>
      <c r="BB240" s="974">
        <f t="shared" si="140"/>
        <v>449</v>
      </c>
      <c r="BE240" s="1016"/>
      <c r="BU240" s="939">
        <f t="shared" si="117"/>
        <v>2694</v>
      </c>
      <c r="BV240" s="1222">
        <f t="shared" si="118"/>
        <v>2622756</v>
      </c>
      <c r="BW240" s="1018"/>
      <c r="BX240" s="1018"/>
      <c r="BY240" s="1018"/>
      <c r="BZ240" s="1018"/>
      <c r="CA240" s="856">
        <f t="shared" si="108"/>
        <v>197244</v>
      </c>
      <c r="CC240" s="964">
        <f t="shared" si="119"/>
        <v>0</v>
      </c>
      <c r="CD240" s="939">
        <f t="shared" si="120"/>
        <v>50866.5714285714</v>
      </c>
      <c r="CE240" s="1018"/>
      <c r="CF240" s="1018"/>
      <c r="CG240" s="1018"/>
      <c r="CH240" s="939">
        <f t="shared" si="109"/>
        <v>9133.4285714286</v>
      </c>
      <c r="CI240" s="1018"/>
    </row>
    <row r="241" s="974" customFormat="1" ht="32" customHeight="1" spans="1:87">
      <c r="A241" s="1281">
        <v>45953</v>
      </c>
      <c r="B241" s="1282" t="s">
        <v>1090</v>
      </c>
      <c r="C241" s="1003" t="s">
        <v>125</v>
      </c>
      <c r="D241" s="1283">
        <v>4500182963</v>
      </c>
      <c r="E241" s="1282">
        <v>4559335069</v>
      </c>
      <c r="F241" s="1283" t="s">
        <v>1110</v>
      </c>
      <c r="G241" s="1004" t="s">
        <v>353</v>
      </c>
      <c r="H241" s="1004" t="s">
        <v>189</v>
      </c>
      <c r="I241" s="1004">
        <v>2202</v>
      </c>
      <c r="J241" s="1004">
        <v>0</v>
      </c>
      <c r="K241" s="1004">
        <v>6</v>
      </c>
      <c r="L241" s="1232">
        <f t="shared" si="110"/>
        <v>367</v>
      </c>
      <c r="M241" s="1007">
        <v>45995</v>
      </c>
      <c r="N241" s="1007">
        <v>45992</v>
      </c>
      <c r="O241" s="1024"/>
      <c r="P241" s="1285" t="s">
        <v>86</v>
      </c>
      <c r="Q241" s="1004"/>
      <c r="R241" s="1035">
        <v>45953</v>
      </c>
      <c r="S241" s="1004" t="s">
        <v>98</v>
      </c>
      <c r="T241" s="1233" t="s">
        <v>1092</v>
      </c>
      <c r="U241" s="1233"/>
      <c r="V241" s="1288" t="s">
        <v>1093</v>
      </c>
      <c r="W241" s="1007" t="s">
        <v>217</v>
      </c>
      <c r="X241" s="1235">
        <v>1.1527</v>
      </c>
      <c r="Y241" s="1236">
        <f t="shared" si="135"/>
        <v>2538.2454</v>
      </c>
      <c r="Z241" s="1236"/>
      <c r="AA241" s="1004" t="s">
        <v>1111</v>
      </c>
      <c r="AB241" s="1004" t="s">
        <v>353</v>
      </c>
      <c r="AC241" s="1004" t="s">
        <v>93</v>
      </c>
      <c r="AD241" s="1023" t="s">
        <v>94</v>
      </c>
      <c r="AE241" s="1004"/>
      <c r="AF241" s="1004">
        <v>2202</v>
      </c>
      <c r="AG241" s="1002">
        <f t="shared" si="136"/>
        <v>0</v>
      </c>
      <c r="AH241" s="1055"/>
      <c r="AI241" s="1004" t="s">
        <v>95</v>
      </c>
      <c r="AJ241" s="1004"/>
      <c r="AK241" s="1004">
        <f t="shared" si="137"/>
        <v>2202</v>
      </c>
      <c r="AL241" s="1004"/>
      <c r="AM241" s="1004">
        <f t="shared" si="138"/>
        <v>2202</v>
      </c>
      <c r="AP241" s="1004"/>
      <c r="AQ241" s="1004"/>
      <c r="AR241" s="1286"/>
      <c r="AS241" s="1004">
        <f t="shared" si="139"/>
        <v>2202</v>
      </c>
      <c r="AT241" s="1004"/>
      <c r="AU241" s="1004"/>
      <c r="AV241" s="1004"/>
      <c r="BB241" s="974">
        <f t="shared" si="140"/>
        <v>367</v>
      </c>
      <c r="BE241" s="1016"/>
      <c r="BU241" s="939">
        <f t="shared" si="117"/>
        <v>2202</v>
      </c>
      <c r="BV241" s="1222">
        <f t="shared" si="118"/>
        <v>2624958</v>
      </c>
      <c r="BW241" s="1018"/>
      <c r="BX241" s="1018"/>
      <c r="BY241" s="1018"/>
      <c r="BZ241" s="1018"/>
      <c r="CA241" s="856">
        <f t="shared" si="108"/>
        <v>195042</v>
      </c>
      <c r="CC241" s="964">
        <f t="shared" si="119"/>
        <v>0</v>
      </c>
      <c r="CD241" s="939">
        <f t="shared" si="120"/>
        <v>50866.5714285714</v>
      </c>
      <c r="CE241" s="1018"/>
      <c r="CF241" s="1018"/>
      <c r="CG241" s="1018"/>
      <c r="CH241" s="939">
        <f t="shared" si="109"/>
        <v>9133.4285714286</v>
      </c>
      <c r="CI241" s="1018"/>
    </row>
    <row r="242" s="974" customFormat="1" ht="32" customHeight="1" spans="1:87">
      <c r="A242" s="1281">
        <v>45953</v>
      </c>
      <c r="B242" s="1282" t="s">
        <v>1090</v>
      </c>
      <c r="C242" s="1003" t="s">
        <v>125</v>
      </c>
      <c r="D242" s="1283">
        <v>4500182963</v>
      </c>
      <c r="E242" s="1282">
        <v>4559334865</v>
      </c>
      <c r="F242" s="1283" t="s">
        <v>1112</v>
      </c>
      <c r="G242" s="1004" t="s">
        <v>353</v>
      </c>
      <c r="H242" s="1004" t="s">
        <v>189</v>
      </c>
      <c r="I242" s="1004">
        <v>924</v>
      </c>
      <c r="J242" s="1004">
        <v>0</v>
      </c>
      <c r="K242" s="1004">
        <v>6</v>
      </c>
      <c r="L242" s="1232">
        <f t="shared" si="110"/>
        <v>154</v>
      </c>
      <c r="M242" s="1007">
        <v>45995</v>
      </c>
      <c r="N242" s="1007">
        <v>45992</v>
      </c>
      <c r="O242" s="1024"/>
      <c r="P242" s="1285" t="s">
        <v>86</v>
      </c>
      <c r="Q242" s="1004"/>
      <c r="R242" s="1035">
        <v>45953</v>
      </c>
      <c r="S242" s="1004" t="s">
        <v>98</v>
      </c>
      <c r="T242" s="1233" t="s">
        <v>1092</v>
      </c>
      <c r="U242" s="1233"/>
      <c r="V242" s="1288" t="s">
        <v>1093</v>
      </c>
      <c r="W242" s="1007" t="s">
        <v>217</v>
      </c>
      <c r="X242" s="1235">
        <v>1.1527</v>
      </c>
      <c r="Y242" s="1236">
        <f t="shared" si="135"/>
        <v>1065.0948</v>
      </c>
      <c r="Z242" s="1236"/>
      <c r="AA242" s="1004" t="s">
        <v>1113</v>
      </c>
      <c r="AB242" s="1004" t="s">
        <v>353</v>
      </c>
      <c r="AC242" s="1004" t="s">
        <v>93</v>
      </c>
      <c r="AD242" s="1023" t="s">
        <v>94</v>
      </c>
      <c r="AE242" s="1004"/>
      <c r="AF242" s="1004">
        <v>924</v>
      </c>
      <c r="AG242" s="1002">
        <f t="shared" si="136"/>
        <v>0</v>
      </c>
      <c r="AH242" s="1055"/>
      <c r="AI242" s="1004" t="s">
        <v>95</v>
      </c>
      <c r="AJ242" s="1004"/>
      <c r="AK242" s="1004">
        <f t="shared" si="137"/>
        <v>924</v>
      </c>
      <c r="AL242" s="1004"/>
      <c r="AM242" s="1004">
        <f t="shared" si="138"/>
        <v>924</v>
      </c>
      <c r="AP242" s="1004"/>
      <c r="AQ242" s="1004"/>
      <c r="AR242" s="1286"/>
      <c r="AS242" s="1004">
        <f t="shared" si="139"/>
        <v>924</v>
      </c>
      <c r="AT242" s="1004"/>
      <c r="AU242" s="1004"/>
      <c r="AV242" s="1004"/>
      <c r="BB242" s="974">
        <f t="shared" si="140"/>
        <v>154</v>
      </c>
      <c r="BE242" s="1016"/>
      <c r="BU242" s="939">
        <f t="shared" si="117"/>
        <v>924</v>
      </c>
      <c r="BV242" s="1222">
        <f t="shared" si="118"/>
        <v>2625882</v>
      </c>
      <c r="BW242" s="1018"/>
      <c r="BX242" s="1018"/>
      <c r="BY242" s="1018"/>
      <c r="BZ242" s="1018"/>
      <c r="CA242" s="856">
        <f t="shared" si="108"/>
        <v>194118</v>
      </c>
      <c r="CC242" s="964">
        <f t="shared" si="119"/>
        <v>0</v>
      </c>
      <c r="CD242" s="939">
        <f t="shared" si="120"/>
        <v>50866.5714285714</v>
      </c>
      <c r="CE242" s="1018"/>
      <c r="CF242" s="1018"/>
      <c r="CG242" s="1018"/>
      <c r="CH242" s="939">
        <f t="shared" si="109"/>
        <v>9133.4285714286</v>
      </c>
      <c r="CI242" s="1018"/>
    </row>
    <row r="243" s="974" customFormat="1" ht="32" customHeight="1" spans="1:87">
      <c r="A243" s="1281">
        <v>45953</v>
      </c>
      <c r="B243" s="1282" t="s">
        <v>1090</v>
      </c>
      <c r="C243" s="1003" t="s">
        <v>125</v>
      </c>
      <c r="D243" s="1283">
        <v>4500182963</v>
      </c>
      <c r="E243" s="1282">
        <v>4559335082</v>
      </c>
      <c r="F243" s="1283" t="s">
        <v>1114</v>
      </c>
      <c r="G243" s="1004" t="s">
        <v>353</v>
      </c>
      <c r="H243" s="1004" t="s">
        <v>189</v>
      </c>
      <c r="I243" s="1004">
        <v>3246</v>
      </c>
      <c r="J243" s="1004">
        <v>0</v>
      </c>
      <c r="K243" s="1004">
        <v>6</v>
      </c>
      <c r="L243" s="1232">
        <f t="shared" si="110"/>
        <v>541</v>
      </c>
      <c r="M243" s="1007">
        <v>45995</v>
      </c>
      <c r="N243" s="1007">
        <v>45992</v>
      </c>
      <c r="O243" s="1024"/>
      <c r="P243" s="1285" t="s">
        <v>86</v>
      </c>
      <c r="Q243" s="1004"/>
      <c r="R243" s="1035">
        <v>45953</v>
      </c>
      <c r="S243" s="1004" t="s">
        <v>98</v>
      </c>
      <c r="T243" s="1233" t="s">
        <v>1092</v>
      </c>
      <c r="U243" s="1233"/>
      <c r="V243" s="1288" t="s">
        <v>1093</v>
      </c>
      <c r="W243" s="1007" t="s">
        <v>217</v>
      </c>
      <c r="X243" s="1235">
        <v>1.1493</v>
      </c>
      <c r="Y243" s="1236">
        <f t="shared" si="135"/>
        <v>3730.6278</v>
      </c>
      <c r="Z243" s="1236"/>
      <c r="AA243" s="1004" t="s">
        <v>1115</v>
      </c>
      <c r="AB243" s="1004" t="s">
        <v>353</v>
      </c>
      <c r="AC243" s="1004" t="s">
        <v>93</v>
      </c>
      <c r="AD243" s="1023" t="s">
        <v>94</v>
      </c>
      <c r="AE243" s="1004"/>
      <c r="AF243" s="1004">
        <v>3246</v>
      </c>
      <c r="AG243" s="1002">
        <f t="shared" si="136"/>
        <v>0</v>
      </c>
      <c r="AH243" s="1055"/>
      <c r="AI243" s="1004" t="s">
        <v>95</v>
      </c>
      <c r="AJ243" s="1004"/>
      <c r="AK243" s="1004">
        <f t="shared" si="137"/>
        <v>3246</v>
      </c>
      <c r="AL243" s="1004"/>
      <c r="AM243" s="1004">
        <f t="shared" si="138"/>
        <v>3246</v>
      </c>
      <c r="AP243" s="1004"/>
      <c r="AQ243" s="1004"/>
      <c r="AR243" s="1286"/>
      <c r="AS243" s="1004">
        <f t="shared" si="139"/>
        <v>3246</v>
      </c>
      <c r="AT243" s="1004"/>
      <c r="AU243" s="1004"/>
      <c r="AV243" s="1004"/>
      <c r="BB243" s="974">
        <f t="shared" si="140"/>
        <v>541</v>
      </c>
      <c r="BE243" s="1016"/>
      <c r="BU243" s="939">
        <f t="shared" si="117"/>
        <v>3246</v>
      </c>
      <c r="BV243" s="1222">
        <f t="shared" si="118"/>
        <v>2629128</v>
      </c>
      <c r="BW243" s="1018"/>
      <c r="BX243" s="1018"/>
      <c r="BY243" s="1018"/>
      <c r="BZ243" s="1018"/>
      <c r="CA243" s="856">
        <f t="shared" si="108"/>
        <v>190872</v>
      </c>
      <c r="CC243" s="964">
        <f t="shared" si="119"/>
        <v>0</v>
      </c>
      <c r="CD243" s="939">
        <f t="shared" si="120"/>
        <v>50866.5714285714</v>
      </c>
      <c r="CE243" s="1018"/>
      <c r="CF243" s="1018"/>
      <c r="CG243" s="1018"/>
      <c r="CH243" s="939">
        <f t="shared" si="109"/>
        <v>9133.4285714286</v>
      </c>
      <c r="CI243" s="1018"/>
    </row>
    <row r="244" s="974" customFormat="1" ht="32" customHeight="1" spans="1:87">
      <c r="A244" s="1281">
        <v>45953</v>
      </c>
      <c r="B244" s="1282" t="s">
        <v>1090</v>
      </c>
      <c r="C244" s="1003" t="s">
        <v>125</v>
      </c>
      <c r="D244" s="1283">
        <v>4500182963</v>
      </c>
      <c r="E244" s="1282">
        <v>4559334515</v>
      </c>
      <c r="F244" s="1283" t="s">
        <v>1116</v>
      </c>
      <c r="G244" s="1004" t="s">
        <v>353</v>
      </c>
      <c r="H244" s="1004" t="s">
        <v>189</v>
      </c>
      <c r="I244" s="1004">
        <v>1944</v>
      </c>
      <c r="J244" s="1004">
        <v>0</v>
      </c>
      <c r="K244" s="1004">
        <v>6</v>
      </c>
      <c r="L244" s="1232">
        <f t="shared" si="110"/>
        <v>324</v>
      </c>
      <c r="M244" s="1007">
        <v>45995</v>
      </c>
      <c r="N244" s="1007">
        <v>45992</v>
      </c>
      <c r="O244" s="1024"/>
      <c r="P244" s="1285" t="s">
        <v>86</v>
      </c>
      <c r="Q244" s="1004"/>
      <c r="R244" s="1035">
        <v>45953</v>
      </c>
      <c r="S244" s="1004" t="s">
        <v>98</v>
      </c>
      <c r="T244" s="1233" t="s">
        <v>1092</v>
      </c>
      <c r="U244" s="1233"/>
      <c r="V244" s="1288" t="s">
        <v>1093</v>
      </c>
      <c r="W244" s="1007" t="s">
        <v>217</v>
      </c>
      <c r="X244" s="1235">
        <v>1.1527</v>
      </c>
      <c r="Y244" s="1236">
        <f t="shared" si="135"/>
        <v>2240.8488</v>
      </c>
      <c r="Z244" s="1236"/>
      <c r="AA244" s="1004" t="s">
        <v>1117</v>
      </c>
      <c r="AB244" s="1004" t="s">
        <v>353</v>
      </c>
      <c r="AC244" s="1004" t="s">
        <v>93</v>
      </c>
      <c r="AD244" s="1023" t="s">
        <v>94</v>
      </c>
      <c r="AE244" s="1004"/>
      <c r="AF244" s="1004">
        <f>1926+18</f>
        <v>1944</v>
      </c>
      <c r="AG244" s="1002">
        <f t="shared" si="136"/>
        <v>0</v>
      </c>
      <c r="AH244" s="1055"/>
      <c r="AI244" s="1004" t="s">
        <v>95</v>
      </c>
      <c r="AJ244" s="1004"/>
      <c r="AK244" s="1004">
        <f t="shared" si="137"/>
        <v>1944</v>
      </c>
      <c r="AL244" s="1004"/>
      <c r="AM244" s="1004">
        <f t="shared" si="138"/>
        <v>1944</v>
      </c>
      <c r="AP244" s="1004"/>
      <c r="AQ244" s="1004"/>
      <c r="AR244" s="1286"/>
      <c r="AS244" s="1004">
        <f t="shared" si="139"/>
        <v>1944</v>
      </c>
      <c r="AT244" s="1004"/>
      <c r="AU244" s="1004"/>
      <c r="AV244" s="1004"/>
      <c r="BB244" s="974">
        <f t="shared" si="140"/>
        <v>324</v>
      </c>
      <c r="BE244" s="1016"/>
      <c r="BU244" s="939">
        <f t="shared" si="117"/>
        <v>1944</v>
      </c>
      <c r="BV244" s="1222">
        <f t="shared" si="118"/>
        <v>2631072</v>
      </c>
      <c r="BW244" s="1018"/>
      <c r="BX244" s="1018"/>
      <c r="BY244" s="1018"/>
      <c r="BZ244" s="1018"/>
      <c r="CA244" s="856">
        <f t="shared" si="108"/>
        <v>188928</v>
      </c>
      <c r="CC244" s="964">
        <f t="shared" si="119"/>
        <v>0</v>
      </c>
      <c r="CD244" s="939">
        <f t="shared" si="120"/>
        <v>50866.5714285714</v>
      </c>
      <c r="CE244" s="1018"/>
      <c r="CF244" s="1018"/>
      <c r="CG244" s="1018"/>
      <c r="CH244" s="939">
        <f t="shared" si="109"/>
        <v>9133.4285714286</v>
      </c>
      <c r="CI244" s="1018"/>
    </row>
    <row r="245" s="974" customFormat="1" ht="32" customHeight="1" spans="1:87">
      <c r="A245" s="1281">
        <v>45965</v>
      </c>
      <c r="B245" s="1282" t="s">
        <v>194</v>
      </c>
      <c r="C245" s="1003" t="s">
        <v>125</v>
      </c>
      <c r="D245" s="1283">
        <v>4500184367</v>
      </c>
      <c r="E245" s="1282">
        <v>60260987</v>
      </c>
      <c r="F245" s="1283" t="s">
        <v>1118</v>
      </c>
      <c r="G245" s="1004" t="s">
        <v>196</v>
      </c>
      <c r="H245" s="1004" t="s">
        <v>197</v>
      </c>
      <c r="I245" s="1004">
        <v>2004</v>
      </c>
      <c r="J245" s="1004">
        <v>0</v>
      </c>
      <c r="K245" s="1004">
        <v>12</v>
      </c>
      <c r="L245" s="1232">
        <f t="shared" si="110"/>
        <v>167</v>
      </c>
      <c r="M245" s="1007">
        <v>45996</v>
      </c>
      <c r="N245" s="1007">
        <v>45992</v>
      </c>
      <c r="O245" s="1024"/>
      <c r="P245" s="1285" t="s">
        <v>86</v>
      </c>
      <c r="Q245" s="1004"/>
      <c r="R245" s="1035">
        <v>45965</v>
      </c>
      <c r="S245" s="1004" t="s">
        <v>98</v>
      </c>
      <c r="T245" s="1233" t="s">
        <v>389</v>
      </c>
      <c r="U245" s="1233"/>
      <c r="V245" s="1010" t="s">
        <v>1119</v>
      </c>
      <c r="W245" s="1007" t="s">
        <v>887</v>
      </c>
      <c r="X245" s="1010">
        <v>2.3946</v>
      </c>
      <c r="Y245" s="1236">
        <f t="shared" si="135"/>
        <v>4798.7784</v>
      </c>
      <c r="Z245" s="1236"/>
      <c r="AA245" s="1004" t="s">
        <v>1120</v>
      </c>
      <c r="AB245" s="1004" t="s">
        <v>984</v>
      </c>
      <c r="AC245" s="1004" t="s">
        <v>93</v>
      </c>
      <c r="AD245" s="1023" t="s">
        <v>94</v>
      </c>
      <c r="AE245" s="1004"/>
      <c r="AF245" s="1004">
        <v>2004</v>
      </c>
      <c r="AG245" s="1002">
        <f t="shared" si="136"/>
        <v>0</v>
      </c>
      <c r="AH245" s="1055"/>
      <c r="AI245" s="1004" t="s">
        <v>95</v>
      </c>
      <c r="AJ245" s="1004"/>
      <c r="AK245" s="1004">
        <f>I245*2</f>
        <v>4008</v>
      </c>
      <c r="AL245" s="1004"/>
      <c r="AM245" s="1004">
        <f>I245*2</f>
        <v>4008</v>
      </c>
      <c r="AP245" s="1004"/>
      <c r="AQ245" s="1004"/>
      <c r="AR245" s="1286"/>
      <c r="AS245" s="951">
        <f>I245*2</f>
        <v>4008</v>
      </c>
      <c r="AT245" s="1004"/>
      <c r="AU245" s="1004"/>
      <c r="AV245" s="1004"/>
      <c r="BE245" s="1016"/>
      <c r="BN245" s="974">
        <f>I245</f>
        <v>2004</v>
      </c>
      <c r="BO245" s="974">
        <f>I245</f>
        <v>2004</v>
      </c>
      <c r="BQ245" s="974">
        <f>I245</f>
        <v>2004</v>
      </c>
      <c r="BU245" s="939">
        <f t="shared" si="117"/>
        <v>4008</v>
      </c>
      <c r="BV245" s="1222">
        <f t="shared" si="118"/>
        <v>2635080</v>
      </c>
      <c r="BW245" s="1018"/>
      <c r="BX245" s="1018"/>
      <c r="BY245" s="1018"/>
      <c r="BZ245" s="1018"/>
      <c r="CA245" s="856">
        <f t="shared" si="108"/>
        <v>184920</v>
      </c>
      <c r="CC245" s="964">
        <f t="shared" si="119"/>
        <v>0</v>
      </c>
      <c r="CD245" s="939">
        <f t="shared" si="120"/>
        <v>50866.5714285714</v>
      </c>
      <c r="CE245" s="1018"/>
      <c r="CF245" s="1018"/>
      <c r="CG245" s="1018"/>
      <c r="CH245" s="939">
        <f t="shared" si="109"/>
        <v>9133.4285714286</v>
      </c>
      <c r="CI245" s="1018"/>
    </row>
    <row r="246" s="974" customFormat="1" ht="32" customHeight="1" spans="1:87">
      <c r="A246" s="1281">
        <v>45930</v>
      </c>
      <c r="B246" s="1282" t="s">
        <v>1121</v>
      </c>
      <c r="C246" s="1003" t="s">
        <v>342</v>
      </c>
      <c r="D246" s="1283">
        <v>4500181141</v>
      </c>
      <c r="E246" s="1282" t="s">
        <v>1122</v>
      </c>
      <c r="F246" s="1284" t="s">
        <v>1123</v>
      </c>
      <c r="G246" s="1004" t="s">
        <v>205</v>
      </c>
      <c r="H246" s="1004" t="s">
        <v>189</v>
      </c>
      <c r="I246" s="1004">
        <v>400</v>
      </c>
      <c r="J246" s="1004">
        <v>0</v>
      </c>
      <c r="K246" s="1004">
        <v>50</v>
      </c>
      <c r="L246" s="1232">
        <f t="shared" si="110"/>
        <v>8</v>
      </c>
      <c r="M246" s="1007">
        <v>45996</v>
      </c>
      <c r="N246" s="1007">
        <v>45992</v>
      </c>
      <c r="O246" s="1024"/>
      <c r="P246" s="1285" t="s">
        <v>86</v>
      </c>
      <c r="Q246" s="1004"/>
      <c r="R246" s="1035">
        <v>45930</v>
      </c>
      <c r="S246" s="1035" t="s">
        <v>98</v>
      </c>
      <c r="T246" s="1290" t="s">
        <v>1124</v>
      </c>
      <c r="U246" s="1290"/>
      <c r="V246" s="1010" t="s">
        <v>1125</v>
      </c>
      <c r="W246" s="1007" t="s">
        <v>225</v>
      </c>
      <c r="X246" s="1235">
        <v>1.9605</v>
      </c>
      <c r="Y246" s="1236">
        <f t="shared" si="135"/>
        <v>784.2</v>
      </c>
      <c r="Z246" s="1236"/>
      <c r="AA246" s="1004" t="s">
        <v>1126</v>
      </c>
      <c r="AB246" s="1004" t="s">
        <v>210</v>
      </c>
      <c r="AC246" s="1004" t="s">
        <v>93</v>
      </c>
      <c r="AD246" s="1023" t="s">
        <v>94</v>
      </c>
      <c r="AE246" s="1004"/>
      <c r="AF246" s="1004">
        <v>400</v>
      </c>
      <c r="AG246" s="1002">
        <f t="shared" si="136"/>
        <v>0</v>
      </c>
      <c r="AH246" s="1055"/>
      <c r="AI246" s="1004" t="s">
        <v>95</v>
      </c>
      <c r="AJ246" s="1004"/>
      <c r="AK246" s="1004">
        <f t="shared" si="137"/>
        <v>400</v>
      </c>
      <c r="AL246" s="1004"/>
      <c r="AM246" s="1016"/>
      <c r="AP246" s="1004">
        <f>I246</f>
        <v>400</v>
      </c>
      <c r="AQ246" s="1004"/>
      <c r="AR246" s="1286"/>
      <c r="AS246" s="1004">
        <f t="shared" si="139"/>
        <v>400</v>
      </c>
      <c r="AT246" s="1004"/>
      <c r="AU246" s="1004"/>
      <c r="AV246" s="1004"/>
      <c r="BE246" s="1016"/>
      <c r="BF246" s="974">
        <f>I246/25</f>
        <v>16</v>
      </c>
      <c r="BU246" s="939">
        <f t="shared" si="117"/>
        <v>400</v>
      </c>
      <c r="BV246" s="1222">
        <f t="shared" si="118"/>
        <v>2635480</v>
      </c>
      <c r="BW246" s="1018"/>
      <c r="BX246" s="1018"/>
      <c r="BY246" s="1018"/>
      <c r="BZ246" s="1018"/>
      <c r="CA246" s="856">
        <f t="shared" si="108"/>
        <v>184520</v>
      </c>
      <c r="CC246" s="964">
        <f t="shared" si="119"/>
        <v>16</v>
      </c>
      <c r="CD246" s="939">
        <f t="shared" si="120"/>
        <v>50882.5714285714</v>
      </c>
      <c r="CE246" s="1018"/>
      <c r="CF246" s="1018"/>
      <c r="CG246" s="1018"/>
      <c r="CH246" s="939">
        <f t="shared" si="109"/>
        <v>9117.4285714286</v>
      </c>
      <c r="CI246" s="1018"/>
    </row>
    <row r="247" s="974" customFormat="1" ht="32" customHeight="1" spans="1:87">
      <c r="A247" s="1281">
        <v>45960</v>
      </c>
      <c r="B247" s="1282" t="s">
        <v>314</v>
      </c>
      <c r="C247" s="1003" t="s">
        <v>125</v>
      </c>
      <c r="D247" s="1283">
        <v>4500183797</v>
      </c>
      <c r="E247" s="1282" t="s">
        <v>1127</v>
      </c>
      <c r="F247" s="1284" t="s">
        <v>1128</v>
      </c>
      <c r="G247" s="1004" t="s">
        <v>196</v>
      </c>
      <c r="H247" s="1004" t="s">
        <v>197</v>
      </c>
      <c r="I247" s="1004">
        <v>996</v>
      </c>
      <c r="J247" s="1004">
        <v>0</v>
      </c>
      <c r="K247" s="1004">
        <v>12</v>
      </c>
      <c r="L247" s="1232">
        <f t="shared" si="110"/>
        <v>83</v>
      </c>
      <c r="M247" s="1007">
        <v>45996</v>
      </c>
      <c r="N247" s="1007">
        <v>45992</v>
      </c>
      <c r="O247" s="1024"/>
      <c r="P247" s="1285" t="s">
        <v>86</v>
      </c>
      <c r="Q247" s="1004"/>
      <c r="R247" s="1035">
        <v>45965</v>
      </c>
      <c r="S247" s="1035" t="s">
        <v>98</v>
      </c>
      <c r="T247" s="1291" t="s">
        <v>1129</v>
      </c>
      <c r="U247" s="1291"/>
      <c r="V247" s="1010" t="s">
        <v>1130</v>
      </c>
      <c r="W247" s="1007" t="s">
        <v>319</v>
      </c>
      <c r="X247" s="1010">
        <v>2.4244</v>
      </c>
      <c r="Y247" s="1236">
        <f t="shared" si="135"/>
        <v>2414.7024</v>
      </c>
      <c r="Z247" s="1236"/>
      <c r="AA247" s="1004" t="s">
        <v>1131</v>
      </c>
      <c r="AB247" s="1004" t="s">
        <v>984</v>
      </c>
      <c r="AC247" s="1004" t="s">
        <v>93</v>
      </c>
      <c r="AD247" s="1023" t="s">
        <v>94</v>
      </c>
      <c r="AE247" s="1004"/>
      <c r="AF247" s="1004">
        <v>996</v>
      </c>
      <c r="AG247" s="1002">
        <f t="shared" si="136"/>
        <v>0</v>
      </c>
      <c r="AH247" s="1055"/>
      <c r="AI247" s="1004" t="s">
        <v>95</v>
      </c>
      <c r="AJ247" s="1004"/>
      <c r="AK247" s="1004">
        <f>I247*2</f>
        <v>1992</v>
      </c>
      <c r="AL247" s="1004"/>
      <c r="AM247" s="1016">
        <f>I247*2</f>
        <v>1992</v>
      </c>
      <c r="AP247" s="1004"/>
      <c r="AQ247" s="1004"/>
      <c r="AS247" s="951">
        <f>I247*2</f>
        <v>1992</v>
      </c>
      <c r="AT247" s="1004"/>
      <c r="AU247" s="1004"/>
      <c r="AV247" s="1004"/>
      <c r="BE247" s="1016"/>
      <c r="BN247" s="974">
        <f>I247</f>
        <v>996</v>
      </c>
      <c r="BO247" s="974">
        <f>I247</f>
        <v>996</v>
      </c>
      <c r="BQ247" s="974">
        <f>I247</f>
        <v>996</v>
      </c>
      <c r="BU247" s="939">
        <f t="shared" si="117"/>
        <v>1992</v>
      </c>
      <c r="BV247" s="1222">
        <f t="shared" si="118"/>
        <v>2637472</v>
      </c>
      <c r="BW247" s="1018"/>
      <c r="BX247" s="1018"/>
      <c r="BY247" s="1018"/>
      <c r="BZ247" s="1018"/>
      <c r="CA247" s="856">
        <f t="shared" si="108"/>
        <v>182528</v>
      </c>
      <c r="CC247" s="964">
        <f t="shared" si="119"/>
        <v>0</v>
      </c>
      <c r="CD247" s="939">
        <f t="shared" si="120"/>
        <v>50882.5714285714</v>
      </c>
      <c r="CE247" s="1018"/>
      <c r="CF247" s="1018"/>
      <c r="CG247" s="1018"/>
      <c r="CH247" s="939">
        <f t="shared" si="109"/>
        <v>9117.4285714286</v>
      </c>
      <c r="CI247" s="1018"/>
    </row>
    <row r="248" s="974" customFormat="1" ht="32" customHeight="1" spans="1:87">
      <c r="A248" s="1281">
        <v>45960</v>
      </c>
      <c r="B248" s="1282" t="s">
        <v>314</v>
      </c>
      <c r="C248" s="1003" t="s">
        <v>125</v>
      </c>
      <c r="D248" s="1283">
        <v>4500183798</v>
      </c>
      <c r="E248" s="1282" t="s">
        <v>1132</v>
      </c>
      <c r="F248" s="1284" t="s">
        <v>1133</v>
      </c>
      <c r="G248" s="1004" t="s">
        <v>196</v>
      </c>
      <c r="H248" s="1004" t="s">
        <v>197</v>
      </c>
      <c r="I248" s="1004">
        <v>1200</v>
      </c>
      <c r="J248" s="1004">
        <v>0</v>
      </c>
      <c r="K248" s="1004">
        <v>12</v>
      </c>
      <c r="L248" s="1232">
        <f t="shared" si="110"/>
        <v>100</v>
      </c>
      <c r="M248" s="1007">
        <v>45996</v>
      </c>
      <c r="N248" s="1007">
        <v>45992</v>
      </c>
      <c r="O248" s="1024"/>
      <c r="P248" s="1285" t="s">
        <v>86</v>
      </c>
      <c r="Q248" s="1004"/>
      <c r="R248" s="1035">
        <v>45965</v>
      </c>
      <c r="S248" s="1035" t="s">
        <v>98</v>
      </c>
      <c r="T248" s="1291" t="s">
        <v>1129</v>
      </c>
      <c r="U248" s="1291"/>
      <c r="V248" s="1010" t="s">
        <v>1130</v>
      </c>
      <c r="W248" s="1007" t="s">
        <v>319</v>
      </c>
      <c r="X248" s="1010">
        <v>2.4244</v>
      </c>
      <c r="Y248" s="1236">
        <f t="shared" si="135"/>
        <v>2909.28</v>
      </c>
      <c r="Z248" s="1236"/>
      <c r="AA248" s="1004" t="s">
        <v>1134</v>
      </c>
      <c r="AB248" s="1004" t="s">
        <v>984</v>
      </c>
      <c r="AC248" s="1004" t="s">
        <v>93</v>
      </c>
      <c r="AD248" s="1023" t="s">
        <v>94</v>
      </c>
      <c r="AE248" s="1004"/>
      <c r="AF248" s="1004">
        <v>1200</v>
      </c>
      <c r="AG248" s="1002">
        <f t="shared" si="136"/>
        <v>0</v>
      </c>
      <c r="AH248" s="1055"/>
      <c r="AI248" s="1004" t="s">
        <v>95</v>
      </c>
      <c r="AJ248" s="1004"/>
      <c r="AK248" s="1004">
        <f>I248*2</f>
        <v>2400</v>
      </c>
      <c r="AL248" s="1004"/>
      <c r="AM248" s="1016">
        <f>I248*2</f>
        <v>2400</v>
      </c>
      <c r="AP248" s="1004"/>
      <c r="AQ248" s="1004"/>
      <c r="AS248" s="951">
        <f>I248*2</f>
        <v>2400</v>
      </c>
      <c r="AT248" s="1004"/>
      <c r="AU248" s="1004"/>
      <c r="AV248" s="1004"/>
      <c r="BE248" s="1016"/>
      <c r="BN248" s="974">
        <f>I248</f>
        <v>1200</v>
      </c>
      <c r="BO248" s="974">
        <f>I248</f>
        <v>1200</v>
      </c>
      <c r="BQ248" s="974">
        <f>I248</f>
        <v>1200</v>
      </c>
      <c r="BU248" s="939">
        <f t="shared" si="117"/>
        <v>2400</v>
      </c>
      <c r="BV248" s="1222">
        <f t="shared" si="118"/>
        <v>2639872</v>
      </c>
      <c r="BW248" s="1018"/>
      <c r="BX248" s="1018"/>
      <c r="BY248" s="1018"/>
      <c r="BZ248" s="1018"/>
      <c r="CA248" s="856">
        <f t="shared" si="108"/>
        <v>180128</v>
      </c>
      <c r="CC248" s="964">
        <f t="shared" si="119"/>
        <v>0</v>
      </c>
      <c r="CD248" s="939">
        <f t="shared" si="120"/>
        <v>50882.5714285714</v>
      </c>
      <c r="CE248" s="1018"/>
      <c r="CF248" s="1018"/>
      <c r="CG248" s="1018"/>
      <c r="CH248" s="939">
        <f t="shared" si="109"/>
        <v>9117.4285714286</v>
      </c>
      <c r="CI248" s="1018"/>
    </row>
    <row r="249" s="974" customFormat="1" ht="32" customHeight="1" spans="1:87">
      <c r="A249" s="1281">
        <v>45968</v>
      </c>
      <c r="B249" s="1282" t="s">
        <v>1135</v>
      </c>
      <c r="C249" s="1003" t="s">
        <v>1136</v>
      </c>
      <c r="D249" s="1283">
        <v>4500184858</v>
      </c>
      <c r="E249" s="1282"/>
      <c r="F249" s="1283" t="s">
        <v>1137</v>
      </c>
      <c r="G249" s="1004" t="s">
        <v>205</v>
      </c>
      <c r="H249" s="1004" t="s">
        <v>189</v>
      </c>
      <c r="I249" s="1004">
        <v>250</v>
      </c>
      <c r="J249" s="1004">
        <v>0</v>
      </c>
      <c r="K249" s="1004">
        <v>50</v>
      </c>
      <c r="L249" s="1232">
        <f t="shared" si="110"/>
        <v>5</v>
      </c>
      <c r="M249" s="1007">
        <v>45999</v>
      </c>
      <c r="N249" s="1007">
        <v>45995</v>
      </c>
      <c r="O249" s="1024"/>
      <c r="P249" s="1285" t="s">
        <v>86</v>
      </c>
      <c r="Q249" s="1004"/>
      <c r="R249" s="1035">
        <v>45968</v>
      </c>
      <c r="S249" s="1004" t="s">
        <v>98</v>
      </c>
      <c r="T249" s="1233" t="s">
        <v>98</v>
      </c>
      <c r="U249" s="1233"/>
      <c r="V249" s="1010" t="s">
        <v>974</v>
      </c>
      <c r="W249" s="1007" t="s">
        <v>1059</v>
      </c>
      <c r="X249" s="1235">
        <v>1.9438</v>
      </c>
      <c r="Y249" s="1236">
        <f t="shared" si="135"/>
        <v>485.95</v>
      </c>
      <c r="Z249" s="1236"/>
      <c r="AA249" s="1004" t="s">
        <v>1138</v>
      </c>
      <c r="AB249" s="1004" t="s">
        <v>205</v>
      </c>
      <c r="AC249" s="1004" t="s">
        <v>93</v>
      </c>
      <c r="AD249" s="1023" t="s">
        <v>94</v>
      </c>
      <c r="AE249" s="1004"/>
      <c r="AF249" s="1004">
        <v>250</v>
      </c>
      <c r="AG249" s="1002">
        <f t="shared" si="136"/>
        <v>0</v>
      </c>
      <c r="AH249" s="1055"/>
      <c r="AI249" s="1004" t="s">
        <v>98</v>
      </c>
      <c r="AJ249" s="1004"/>
      <c r="AK249" s="1004">
        <f>I249</f>
        <v>250</v>
      </c>
      <c r="AL249" s="1004"/>
      <c r="AM249" s="1016">
        <f>I249</f>
        <v>250</v>
      </c>
      <c r="AP249" s="1004"/>
      <c r="AQ249" s="1004"/>
      <c r="AR249" s="1292"/>
      <c r="AS249" s="1004">
        <f>I249</f>
        <v>250</v>
      </c>
      <c r="AT249" s="1004"/>
      <c r="AU249" s="1004"/>
      <c r="AV249" s="1004"/>
      <c r="BE249" s="1016">
        <f>I249/25</f>
        <v>10</v>
      </c>
      <c r="BU249" s="939">
        <f t="shared" si="117"/>
        <v>250</v>
      </c>
      <c r="BV249" s="1222">
        <f t="shared" si="118"/>
        <v>2640122</v>
      </c>
      <c r="BW249" s="1018"/>
      <c r="BX249" s="1018"/>
      <c r="BY249" s="1018"/>
      <c r="BZ249" s="1018"/>
      <c r="CA249" s="856">
        <f t="shared" si="108"/>
        <v>179878</v>
      </c>
      <c r="CC249" s="964">
        <f t="shared" si="119"/>
        <v>10</v>
      </c>
      <c r="CD249" s="939">
        <f t="shared" si="120"/>
        <v>50892.5714285714</v>
      </c>
      <c r="CE249" s="1018"/>
      <c r="CF249" s="1018"/>
      <c r="CG249" s="1018"/>
      <c r="CH249" s="939">
        <f t="shared" si="109"/>
        <v>9107.4285714286</v>
      </c>
      <c r="CI249" s="1018"/>
    </row>
    <row r="250" s="974" customFormat="1" ht="32" customHeight="1" spans="1:87">
      <c r="A250" s="1281">
        <v>45968</v>
      </c>
      <c r="B250" s="1282" t="s">
        <v>761</v>
      </c>
      <c r="C250" s="1003" t="s">
        <v>632</v>
      </c>
      <c r="D250" s="1283">
        <v>4500184839</v>
      </c>
      <c r="E250" s="1282" t="s">
        <v>1139</v>
      </c>
      <c r="F250" s="1283" t="s">
        <v>1140</v>
      </c>
      <c r="G250" s="1004" t="s">
        <v>196</v>
      </c>
      <c r="H250" s="1004" t="s">
        <v>197</v>
      </c>
      <c r="I250" s="1004">
        <v>12</v>
      </c>
      <c r="J250" s="1004">
        <v>0</v>
      </c>
      <c r="K250" s="1004">
        <v>12</v>
      </c>
      <c r="L250" s="1232">
        <f t="shared" si="110"/>
        <v>1</v>
      </c>
      <c r="M250" s="1007">
        <v>46009</v>
      </c>
      <c r="N250" s="1007">
        <v>46006</v>
      </c>
      <c r="O250" s="1024"/>
      <c r="P250" s="1285" t="s">
        <v>86</v>
      </c>
      <c r="Q250" s="1004"/>
      <c r="R250" s="1035">
        <v>45968</v>
      </c>
      <c r="S250" s="1004" t="s">
        <v>98</v>
      </c>
      <c r="T250" s="1233" t="s">
        <v>98</v>
      </c>
      <c r="U250" s="1233"/>
      <c r="V250" s="1010" t="s">
        <v>1141</v>
      </c>
      <c r="W250" s="1007" t="s">
        <v>731</v>
      </c>
      <c r="X250" s="1010">
        <v>4.1214</v>
      </c>
      <c r="Y250" s="1236">
        <f t="shared" si="135"/>
        <v>49.4568</v>
      </c>
      <c r="Z250" s="1236"/>
      <c r="AA250" s="1004" t="s">
        <v>1142</v>
      </c>
      <c r="AB250" s="1004" t="s">
        <v>808</v>
      </c>
      <c r="AC250" s="1004" t="s">
        <v>93</v>
      </c>
      <c r="AD250" s="1023" t="s">
        <v>94</v>
      </c>
      <c r="AE250" s="1004"/>
      <c r="AF250" s="1004">
        <v>12</v>
      </c>
      <c r="AG250" s="1002">
        <f t="shared" si="136"/>
        <v>0</v>
      </c>
      <c r="AH250" s="1055"/>
      <c r="AI250" s="1004" t="s">
        <v>95</v>
      </c>
      <c r="AJ250" s="1004"/>
      <c r="AK250" s="1004">
        <f t="shared" ref="AK250:AK255" si="141">I250*2</f>
        <v>24</v>
      </c>
      <c r="AL250" s="1004"/>
      <c r="AM250" s="1016"/>
      <c r="AO250" s="974">
        <f>I250*2</f>
        <v>24</v>
      </c>
      <c r="AP250" s="1004"/>
      <c r="AQ250" s="1004"/>
      <c r="AR250" s="1286"/>
      <c r="AS250" s="951">
        <f>I250*2</f>
        <v>24</v>
      </c>
      <c r="AT250" s="1004"/>
      <c r="AU250" s="1004"/>
      <c r="AV250" s="1004"/>
      <c r="BE250" s="1016"/>
      <c r="BN250" s="974">
        <f>I250</f>
        <v>12</v>
      </c>
      <c r="BO250" s="974">
        <f>I250</f>
        <v>12</v>
      </c>
      <c r="BQ250" s="974">
        <f>I250</f>
        <v>12</v>
      </c>
      <c r="BU250" s="939">
        <f t="shared" si="117"/>
        <v>24</v>
      </c>
      <c r="BV250" s="1222">
        <f t="shared" si="118"/>
        <v>2640146</v>
      </c>
      <c r="BW250" s="1018"/>
      <c r="BX250" s="1018"/>
      <c r="BY250" s="1018"/>
      <c r="BZ250" s="1018"/>
      <c r="CA250" s="856">
        <f t="shared" si="108"/>
        <v>179854</v>
      </c>
      <c r="CC250" s="964">
        <f t="shared" si="119"/>
        <v>0</v>
      </c>
      <c r="CD250" s="939">
        <f t="shared" si="120"/>
        <v>50892.5714285714</v>
      </c>
      <c r="CE250" s="1018"/>
      <c r="CF250" s="1018"/>
      <c r="CG250" s="1018"/>
      <c r="CH250" s="939">
        <f t="shared" si="109"/>
        <v>9107.4285714286</v>
      </c>
      <c r="CI250" s="1018"/>
    </row>
    <row r="251" s="974" customFormat="1" ht="32" customHeight="1" spans="1:87">
      <c r="A251" s="1281">
        <v>45968</v>
      </c>
      <c r="B251" s="1282" t="s">
        <v>761</v>
      </c>
      <c r="C251" s="1003" t="s">
        <v>632</v>
      </c>
      <c r="D251" s="1283">
        <v>4500184839</v>
      </c>
      <c r="E251" s="1282" t="s">
        <v>1143</v>
      </c>
      <c r="F251" s="1283" t="s">
        <v>1144</v>
      </c>
      <c r="G251" s="1004" t="s">
        <v>196</v>
      </c>
      <c r="H251" s="1004" t="s">
        <v>197</v>
      </c>
      <c r="I251" s="1004">
        <v>24</v>
      </c>
      <c r="J251" s="1004">
        <v>0</v>
      </c>
      <c r="K251" s="1004">
        <v>12</v>
      </c>
      <c r="L251" s="1232">
        <f t="shared" si="110"/>
        <v>2</v>
      </c>
      <c r="M251" s="1007">
        <v>46009</v>
      </c>
      <c r="N251" s="1007">
        <v>46006</v>
      </c>
      <c r="O251" s="1024"/>
      <c r="P251" s="1285" t="s">
        <v>86</v>
      </c>
      <c r="Q251" s="1004"/>
      <c r="R251" s="1035">
        <v>45968</v>
      </c>
      <c r="S251" s="1004" t="s">
        <v>98</v>
      </c>
      <c r="T251" s="1233" t="s">
        <v>98</v>
      </c>
      <c r="U251" s="1233"/>
      <c r="V251" s="1010" t="s">
        <v>1141</v>
      </c>
      <c r="W251" s="1007" t="s">
        <v>731</v>
      </c>
      <c r="X251" s="1010">
        <v>4.1214</v>
      </c>
      <c r="Y251" s="1236">
        <f t="shared" si="135"/>
        <v>98.9136</v>
      </c>
      <c r="Z251" s="1236"/>
      <c r="AA251" s="1004" t="s">
        <v>1142</v>
      </c>
      <c r="AB251" s="1004" t="s">
        <v>808</v>
      </c>
      <c r="AC251" s="1004" t="s">
        <v>93</v>
      </c>
      <c r="AD251" s="1023" t="s">
        <v>94</v>
      </c>
      <c r="AE251" s="1004"/>
      <c r="AF251" s="1004">
        <v>24</v>
      </c>
      <c r="AG251" s="1002">
        <f t="shared" si="136"/>
        <v>0</v>
      </c>
      <c r="AH251" s="1055"/>
      <c r="AI251" s="1004" t="s">
        <v>95</v>
      </c>
      <c r="AJ251" s="1004"/>
      <c r="AK251" s="1004">
        <f t="shared" si="141"/>
        <v>48</v>
      </c>
      <c r="AL251" s="1004"/>
      <c r="AM251" s="1016"/>
      <c r="AO251" s="974">
        <f>I251*2</f>
        <v>48</v>
      </c>
      <c r="AP251" s="1004"/>
      <c r="AQ251" s="1004"/>
      <c r="AR251" s="1286"/>
      <c r="AS251" s="951">
        <f>I251*2</f>
        <v>48</v>
      </c>
      <c r="AT251" s="1004"/>
      <c r="AU251" s="1004"/>
      <c r="AV251" s="1004"/>
      <c r="BE251" s="1016"/>
      <c r="BN251" s="974">
        <f>I251</f>
        <v>24</v>
      </c>
      <c r="BO251" s="974">
        <f>I251</f>
        <v>24</v>
      </c>
      <c r="BQ251" s="974">
        <f>I251</f>
        <v>24</v>
      </c>
      <c r="BU251" s="939">
        <f t="shared" si="117"/>
        <v>48</v>
      </c>
      <c r="BV251" s="1222">
        <f t="shared" si="118"/>
        <v>2640194</v>
      </c>
      <c r="BW251" s="1018"/>
      <c r="BX251" s="1018"/>
      <c r="BY251" s="1018"/>
      <c r="BZ251" s="1018"/>
      <c r="CA251" s="856">
        <f t="shared" si="108"/>
        <v>179806</v>
      </c>
      <c r="CC251" s="964">
        <f t="shared" si="119"/>
        <v>0</v>
      </c>
      <c r="CD251" s="939">
        <f t="shared" si="120"/>
        <v>50892.5714285714</v>
      </c>
      <c r="CE251" s="1018"/>
      <c r="CF251" s="1018"/>
      <c r="CG251" s="1018"/>
      <c r="CH251" s="939">
        <f t="shared" si="109"/>
        <v>9107.4285714286</v>
      </c>
      <c r="CI251" s="1018"/>
    </row>
    <row r="252" s="974" customFormat="1" ht="32" customHeight="1" spans="1:87">
      <c r="A252" s="1281">
        <v>45968</v>
      </c>
      <c r="B252" s="1282" t="s">
        <v>761</v>
      </c>
      <c r="C252" s="1003" t="s">
        <v>632</v>
      </c>
      <c r="D252" s="1283">
        <v>4500184839</v>
      </c>
      <c r="E252" s="1282" t="s">
        <v>1145</v>
      </c>
      <c r="F252" s="1283" t="s">
        <v>1146</v>
      </c>
      <c r="G252" s="1004" t="s">
        <v>196</v>
      </c>
      <c r="H252" s="1004" t="s">
        <v>197</v>
      </c>
      <c r="I252" s="1004">
        <v>48</v>
      </c>
      <c r="J252" s="1004">
        <v>0</v>
      </c>
      <c r="K252" s="1004">
        <v>12</v>
      </c>
      <c r="L252" s="1232">
        <f t="shared" si="110"/>
        <v>4</v>
      </c>
      <c r="M252" s="1007">
        <v>46009</v>
      </c>
      <c r="N252" s="1007">
        <v>46006</v>
      </c>
      <c r="O252" s="1024"/>
      <c r="P252" s="1285" t="s">
        <v>86</v>
      </c>
      <c r="Q252" s="1004"/>
      <c r="R252" s="1035">
        <v>45968</v>
      </c>
      <c r="S252" s="1004" t="s">
        <v>98</v>
      </c>
      <c r="T252" s="1233" t="s">
        <v>98</v>
      </c>
      <c r="U252" s="1233"/>
      <c r="V252" s="1010" t="s">
        <v>1141</v>
      </c>
      <c r="W252" s="1007" t="s">
        <v>731</v>
      </c>
      <c r="X252" s="1010">
        <v>4.1214</v>
      </c>
      <c r="Y252" s="1236">
        <f t="shared" si="135"/>
        <v>197.8272</v>
      </c>
      <c r="Z252" s="1236"/>
      <c r="AA252" s="1004" t="s">
        <v>1142</v>
      </c>
      <c r="AB252" s="1004" t="s">
        <v>808</v>
      </c>
      <c r="AC252" s="1004" t="s">
        <v>93</v>
      </c>
      <c r="AD252" s="1023" t="s">
        <v>94</v>
      </c>
      <c r="AE252" s="1004"/>
      <c r="AF252" s="1004">
        <v>48</v>
      </c>
      <c r="AG252" s="1002">
        <f t="shared" si="136"/>
        <v>0</v>
      </c>
      <c r="AH252" s="1055"/>
      <c r="AI252" s="1004" t="s">
        <v>95</v>
      </c>
      <c r="AJ252" s="1004"/>
      <c r="AK252" s="1004">
        <f t="shared" si="141"/>
        <v>96</v>
      </c>
      <c r="AL252" s="1004"/>
      <c r="AM252" s="1016"/>
      <c r="AO252" s="974">
        <f>I252*2</f>
        <v>96</v>
      </c>
      <c r="AP252" s="1004"/>
      <c r="AQ252" s="1004"/>
      <c r="AR252" s="1286"/>
      <c r="AS252" s="951">
        <f>I252*2</f>
        <v>96</v>
      </c>
      <c r="AT252" s="1004"/>
      <c r="AU252" s="1004"/>
      <c r="AV252" s="1004"/>
      <c r="BE252" s="1016"/>
      <c r="BN252" s="974">
        <f>I252</f>
        <v>48</v>
      </c>
      <c r="BO252" s="974">
        <f>I252</f>
        <v>48</v>
      </c>
      <c r="BQ252" s="974">
        <f>I252</f>
        <v>48</v>
      </c>
      <c r="BU252" s="939">
        <f t="shared" si="117"/>
        <v>96</v>
      </c>
      <c r="BV252" s="1222">
        <f t="shared" si="118"/>
        <v>2640290</v>
      </c>
      <c r="BW252" s="1018"/>
      <c r="BX252" s="1018"/>
      <c r="BY252" s="1018"/>
      <c r="BZ252" s="1018"/>
      <c r="CA252" s="856">
        <f t="shared" si="108"/>
        <v>179710</v>
      </c>
      <c r="CC252" s="964">
        <f t="shared" si="119"/>
        <v>0</v>
      </c>
      <c r="CD252" s="939">
        <f t="shared" si="120"/>
        <v>50892.5714285714</v>
      </c>
      <c r="CE252" s="1018"/>
      <c r="CF252" s="1018"/>
      <c r="CG252" s="1018"/>
      <c r="CH252" s="939">
        <f t="shared" si="109"/>
        <v>9107.4285714286</v>
      </c>
      <c r="CI252" s="1018"/>
    </row>
    <row r="253" s="974" customFormat="1" ht="32" customHeight="1" spans="1:87">
      <c r="A253" s="1281">
        <v>45968</v>
      </c>
      <c r="B253" s="1282" t="s">
        <v>761</v>
      </c>
      <c r="C253" s="1003" t="s">
        <v>632</v>
      </c>
      <c r="D253" s="1283">
        <v>4500184839</v>
      </c>
      <c r="E253" s="1282" t="s">
        <v>1147</v>
      </c>
      <c r="F253" s="1283" t="s">
        <v>1148</v>
      </c>
      <c r="G253" s="1004" t="s">
        <v>196</v>
      </c>
      <c r="H253" s="1004" t="s">
        <v>197</v>
      </c>
      <c r="I253" s="1004">
        <v>12</v>
      </c>
      <c r="J253" s="1004">
        <v>0</v>
      </c>
      <c r="K253" s="1004">
        <v>12</v>
      </c>
      <c r="L253" s="1232">
        <f t="shared" si="110"/>
        <v>1</v>
      </c>
      <c r="M253" s="1007">
        <v>46009</v>
      </c>
      <c r="N253" s="1007">
        <v>46006</v>
      </c>
      <c r="O253" s="1024"/>
      <c r="P253" s="1285" t="s">
        <v>86</v>
      </c>
      <c r="Q253" s="1004"/>
      <c r="R253" s="1035">
        <v>45968</v>
      </c>
      <c r="S253" s="1004" t="s">
        <v>98</v>
      </c>
      <c r="T253" s="1233" t="s">
        <v>98</v>
      </c>
      <c r="U253" s="1233"/>
      <c r="V253" s="1010" t="s">
        <v>1141</v>
      </c>
      <c r="W253" s="1007" t="s">
        <v>731</v>
      </c>
      <c r="X253" s="1010">
        <v>4.1214</v>
      </c>
      <c r="Y253" s="1236">
        <f t="shared" si="135"/>
        <v>49.4568</v>
      </c>
      <c r="Z253" s="1236"/>
      <c r="AA253" s="1004" t="s">
        <v>1142</v>
      </c>
      <c r="AB253" s="1004" t="s">
        <v>808</v>
      </c>
      <c r="AC253" s="1004" t="s">
        <v>93</v>
      </c>
      <c r="AD253" s="1023" t="s">
        <v>94</v>
      </c>
      <c r="AE253" s="1004"/>
      <c r="AF253" s="1002">
        <v>12</v>
      </c>
      <c r="AG253" s="1002">
        <f t="shared" si="136"/>
        <v>0</v>
      </c>
      <c r="AH253" s="1055"/>
      <c r="AI253" s="1004" t="s">
        <v>95</v>
      </c>
      <c r="AJ253" s="1004"/>
      <c r="AK253" s="1004">
        <f t="shared" si="141"/>
        <v>24</v>
      </c>
      <c r="AL253" s="1004"/>
      <c r="AM253" s="1016"/>
      <c r="AO253" s="974">
        <f>I253*2</f>
        <v>24</v>
      </c>
      <c r="AP253" s="1004"/>
      <c r="AQ253" s="1004"/>
      <c r="AR253" s="1286"/>
      <c r="AS253" s="951">
        <f>I253*2</f>
        <v>24</v>
      </c>
      <c r="AT253" s="1004"/>
      <c r="AU253" s="1004"/>
      <c r="AV253" s="1004"/>
      <c r="BE253" s="1016"/>
      <c r="BN253" s="974">
        <f>I253</f>
        <v>12</v>
      </c>
      <c r="BO253" s="974">
        <f>I253</f>
        <v>12</v>
      </c>
      <c r="BQ253" s="974">
        <f>I253</f>
        <v>12</v>
      </c>
      <c r="BU253" s="939">
        <f t="shared" si="117"/>
        <v>24</v>
      </c>
      <c r="BV253" s="1222">
        <f t="shared" si="118"/>
        <v>2640314</v>
      </c>
      <c r="BW253" s="1018"/>
      <c r="BX253" s="1018"/>
      <c r="BY253" s="1018"/>
      <c r="BZ253" s="1018"/>
      <c r="CA253" s="856">
        <f t="shared" si="108"/>
        <v>179686</v>
      </c>
      <c r="CC253" s="964">
        <f t="shared" si="119"/>
        <v>0</v>
      </c>
      <c r="CD253" s="939">
        <f t="shared" si="120"/>
        <v>50892.5714285714</v>
      </c>
      <c r="CE253" s="1018"/>
      <c r="CF253" s="1018"/>
      <c r="CG253" s="1018"/>
      <c r="CH253" s="939">
        <f t="shared" si="109"/>
        <v>9107.4285714286</v>
      </c>
      <c r="CI253" s="1018"/>
    </row>
    <row r="254" s="974" customFormat="1" ht="32" customHeight="1" spans="1:87">
      <c r="A254" s="1281">
        <v>45968</v>
      </c>
      <c r="B254" s="1282" t="s">
        <v>761</v>
      </c>
      <c r="C254" s="1003" t="s">
        <v>632</v>
      </c>
      <c r="D254" s="1283">
        <v>4500184839</v>
      </c>
      <c r="E254" s="1282" t="s">
        <v>1149</v>
      </c>
      <c r="F254" s="1283" t="s">
        <v>1150</v>
      </c>
      <c r="G254" s="1004" t="s">
        <v>196</v>
      </c>
      <c r="H254" s="1004" t="s">
        <v>197</v>
      </c>
      <c r="I254" s="1004">
        <v>12</v>
      </c>
      <c r="J254" s="1004">
        <v>0</v>
      </c>
      <c r="K254" s="1004">
        <v>12</v>
      </c>
      <c r="L254" s="1232">
        <f t="shared" si="110"/>
        <v>1</v>
      </c>
      <c r="M254" s="1007">
        <v>46009</v>
      </c>
      <c r="N254" s="1007">
        <v>46006</v>
      </c>
      <c r="O254" s="1024"/>
      <c r="P254" s="1285" t="s">
        <v>86</v>
      </c>
      <c r="Q254" s="1004"/>
      <c r="R254" s="1035">
        <v>45968</v>
      </c>
      <c r="S254" s="1004" t="s">
        <v>98</v>
      </c>
      <c r="T254" s="1233" t="s">
        <v>98</v>
      </c>
      <c r="U254" s="1233"/>
      <c r="V254" s="1010" t="s">
        <v>1141</v>
      </c>
      <c r="W254" s="1007" t="s">
        <v>731</v>
      </c>
      <c r="X254" s="1010">
        <v>4.1214</v>
      </c>
      <c r="Y254" s="1236">
        <f t="shared" si="135"/>
        <v>49.4568</v>
      </c>
      <c r="Z254" s="1236"/>
      <c r="AA254" s="1004" t="s">
        <v>1142</v>
      </c>
      <c r="AB254" s="1004" t="s">
        <v>808</v>
      </c>
      <c r="AC254" s="1004" t="s">
        <v>93</v>
      </c>
      <c r="AD254" s="1023" t="s">
        <v>94</v>
      </c>
      <c r="AE254" s="1004"/>
      <c r="AF254" s="1023"/>
      <c r="AG254" s="1002">
        <f t="shared" si="136"/>
        <v>-12</v>
      </c>
      <c r="AH254" s="1055"/>
      <c r="AI254" s="1004" t="s">
        <v>95</v>
      </c>
      <c r="AJ254" s="1004"/>
      <c r="AK254" s="1004">
        <f t="shared" si="141"/>
        <v>24</v>
      </c>
      <c r="AL254" s="1004"/>
      <c r="AM254" s="1016"/>
      <c r="AO254" s="974">
        <f>I254*2</f>
        <v>24</v>
      </c>
      <c r="AP254" s="1004"/>
      <c r="AQ254" s="1004"/>
      <c r="AR254" s="1286"/>
      <c r="AS254" s="951">
        <f>I254*2</f>
        <v>24</v>
      </c>
      <c r="AT254" s="1004"/>
      <c r="AU254" s="1004"/>
      <c r="AV254" s="1004"/>
      <c r="BE254" s="1016"/>
      <c r="BN254" s="974">
        <f>I254</f>
        <v>12</v>
      </c>
      <c r="BO254" s="974">
        <f>I254</f>
        <v>12</v>
      </c>
      <c r="BQ254" s="974">
        <f>I254</f>
        <v>12</v>
      </c>
      <c r="BU254" s="939">
        <f t="shared" si="117"/>
        <v>24</v>
      </c>
      <c r="BV254" s="1222">
        <f t="shared" si="118"/>
        <v>2640338</v>
      </c>
      <c r="BW254" s="1018"/>
      <c r="BX254" s="1018"/>
      <c r="BY254" s="1018"/>
      <c r="BZ254" s="1018"/>
      <c r="CA254" s="856">
        <f t="shared" si="108"/>
        <v>179662</v>
      </c>
      <c r="CC254" s="964">
        <f t="shared" si="119"/>
        <v>0</v>
      </c>
      <c r="CD254" s="939">
        <f t="shared" si="120"/>
        <v>50892.5714285714</v>
      </c>
      <c r="CE254" s="1018"/>
      <c r="CF254" s="1018"/>
      <c r="CG254" s="1018"/>
      <c r="CH254" s="939">
        <f t="shared" si="109"/>
        <v>9107.4285714286</v>
      </c>
      <c r="CI254" s="1018"/>
    </row>
    <row r="255" s="974" customFormat="1" ht="32" customHeight="1" spans="1:87">
      <c r="A255" s="1281">
        <v>45967</v>
      </c>
      <c r="B255" s="1282" t="s">
        <v>1151</v>
      </c>
      <c r="C255" s="1003" t="s">
        <v>125</v>
      </c>
      <c r="D255" s="1283">
        <v>4500184568</v>
      </c>
      <c r="E255" s="1058">
        <v>1800111582</v>
      </c>
      <c r="F255" s="1283" t="s">
        <v>1152</v>
      </c>
      <c r="G255" s="1004" t="s">
        <v>489</v>
      </c>
      <c r="H255" s="1293" t="s">
        <v>1153</v>
      </c>
      <c r="I255" s="1004">
        <v>2250</v>
      </c>
      <c r="J255" s="1004">
        <v>0</v>
      </c>
      <c r="K255" s="1004">
        <v>30</v>
      </c>
      <c r="L255" s="1232">
        <f t="shared" si="110"/>
        <v>75</v>
      </c>
      <c r="M255" s="1056">
        <v>46013</v>
      </c>
      <c r="N255" s="1056">
        <v>46009</v>
      </c>
      <c r="O255" s="1024"/>
      <c r="P255" s="1285" t="s">
        <v>86</v>
      </c>
      <c r="Q255" s="1004"/>
      <c r="R255" s="1035">
        <v>45982</v>
      </c>
      <c r="S255" s="1004" t="s">
        <v>98</v>
      </c>
      <c r="T255" s="1233" t="s">
        <v>98</v>
      </c>
      <c r="U255" s="1233"/>
      <c r="V255" s="1010" t="s">
        <v>1154</v>
      </c>
      <c r="W255" s="1007" t="s">
        <v>283</v>
      </c>
      <c r="X255" s="1235">
        <v>42.9196</v>
      </c>
      <c r="Y255" s="1236">
        <f>X255*L255</f>
        <v>3218.97</v>
      </c>
      <c r="Z255" s="1236"/>
      <c r="AA255" s="1004" t="s">
        <v>1155</v>
      </c>
      <c r="AB255" s="1004" t="s">
        <v>489</v>
      </c>
      <c r="AC255" s="1004" t="s">
        <v>93</v>
      </c>
      <c r="AD255" s="1023" t="s">
        <v>94</v>
      </c>
      <c r="AE255" s="1004"/>
      <c r="AF255" s="1004">
        <v>2250</v>
      </c>
      <c r="AG255" s="1002">
        <f t="shared" si="136"/>
        <v>0</v>
      </c>
      <c r="AH255" s="1055"/>
      <c r="AI255" s="1004" t="s">
        <v>98</v>
      </c>
      <c r="AJ255" s="1004"/>
      <c r="AK255" s="1004">
        <f>I255</f>
        <v>2250</v>
      </c>
      <c r="AL255" s="1004"/>
      <c r="AM255" s="1004">
        <f>I255</f>
        <v>2250</v>
      </c>
      <c r="AP255" s="1004"/>
      <c r="AQ255" s="1004"/>
      <c r="AR255" s="1292"/>
      <c r="AS255" s="1004">
        <f>I255</f>
        <v>2250</v>
      </c>
      <c r="AT255" s="1004"/>
      <c r="AU255" s="1004"/>
      <c r="AV255" s="1004"/>
      <c r="BE255" s="1016"/>
      <c r="BJ255" s="974">
        <f>I255/30</f>
        <v>75</v>
      </c>
      <c r="BU255" s="939">
        <f t="shared" si="117"/>
        <v>2250</v>
      </c>
      <c r="BV255" s="1222">
        <f t="shared" si="118"/>
        <v>2642588</v>
      </c>
      <c r="BW255" s="1018"/>
      <c r="BX255" s="1018"/>
      <c r="BY255" s="1018"/>
      <c r="BZ255" s="1018"/>
      <c r="CA255" s="856">
        <f t="shared" si="108"/>
        <v>177412</v>
      </c>
      <c r="CC255" s="964">
        <f t="shared" si="119"/>
        <v>0</v>
      </c>
      <c r="CD255" s="939">
        <f t="shared" si="120"/>
        <v>50892.5714285714</v>
      </c>
      <c r="CE255" s="1018"/>
      <c r="CF255" s="1018"/>
      <c r="CG255" s="1018"/>
      <c r="CH255" s="939">
        <f t="shared" si="109"/>
        <v>9107.4285714286</v>
      </c>
      <c r="CI255" s="1018"/>
    </row>
    <row r="256" s="974" customFormat="1" ht="32" customHeight="1" spans="1:87">
      <c r="A256" s="1281">
        <v>45912</v>
      </c>
      <c r="B256" s="1282" t="s">
        <v>341</v>
      </c>
      <c r="C256" s="1003" t="s">
        <v>342</v>
      </c>
      <c r="D256" s="1283">
        <v>4500179365</v>
      </c>
      <c r="E256" s="1282" t="s">
        <v>1156</v>
      </c>
      <c r="F256" s="1284" t="s">
        <v>1157</v>
      </c>
      <c r="G256" s="1004" t="s">
        <v>205</v>
      </c>
      <c r="H256" s="1004" t="s">
        <v>189</v>
      </c>
      <c r="I256" s="1004">
        <v>3600</v>
      </c>
      <c r="J256" s="1004">
        <v>0</v>
      </c>
      <c r="K256" s="1004">
        <v>50</v>
      </c>
      <c r="L256" s="1232">
        <f t="shared" ref="L256:L319" si="142">I256/K256</f>
        <v>72</v>
      </c>
      <c r="M256" s="1007">
        <v>46016</v>
      </c>
      <c r="N256" s="1007">
        <v>46013</v>
      </c>
      <c r="O256" s="1024"/>
      <c r="P256" s="1285" t="s">
        <v>86</v>
      </c>
      <c r="Q256" s="1004"/>
      <c r="R256" s="1035">
        <v>45919</v>
      </c>
      <c r="S256" s="1035" t="s">
        <v>98</v>
      </c>
      <c r="T256" s="1035" t="s">
        <v>1158</v>
      </c>
      <c r="U256" s="1035"/>
      <c r="V256" s="1010" t="s">
        <v>1159</v>
      </c>
      <c r="W256" s="1007" t="s">
        <v>225</v>
      </c>
      <c r="X256" s="1235">
        <v>1.9548</v>
      </c>
      <c r="Y256" s="1236">
        <f t="shared" ref="Y256:Y309" si="143">I256*X256</f>
        <v>7037.28</v>
      </c>
      <c r="Z256" s="1236"/>
      <c r="AA256" s="1004" t="s">
        <v>1160</v>
      </c>
      <c r="AB256" s="1004" t="s">
        <v>210</v>
      </c>
      <c r="AC256" s="1004" t="s">
        <v>93</v>
      </c>
      <c r="AD256" s="1023" t="s">
        <v>94</v>
      </c>
      <c r="AE256" s="1004"/>
      <c r="AF256" s="1004">
        <f>50+3550</f>
        <v>3600</v>
      </c>
      <c r="AG256" s="1002">
        <f t="shared" si="136"/>
        <v>0</v>
      </c>
      <c r="AH256" s="1055"/>
      <c r="AI256" s="1004" t="s">
        <v>95</v>
      </c>
      <c r="AJ256" s="1004"/>
      <c r="AK256" s="1004">
        <f>I256</f>
        <v>3600</v>
      </c>
      <c r="AL256" s="1004"/>
      <c r="AM256" s="1016"/>
      <c r="AP256" s="1004">
        <f>I256</f>
        <v>3600</v>
      </c>
      <c r="AQ256" s="1004"/>
      <c r="AR256" s="1286"/>
      <c r="AS256" s="1004">
        <f>I256</f>
        <v>3600</v>
      </c>
      <c r="AT256" s="1004"/>
      <c r="AU256" s="1004"/>
      <c r="AV256" s="1004"/>
      <c r="BE256" s="1016"/>
      <c r="BF256" s="974">
        <f>I256/25</f>
        <v>144</v>
      </c>
      <c r="BU256" s="1018">
        <f t="shared" si="117"/>
        <v>3600</v>
      </c>
      <c r="BV256" s="1018">
        <f t="shared" si="118"/>
        <v>2646188</v>
      </c>
      <c r="BW256" s="1018"/>
      <c r="BX256" s="1018"/>
      <c r="BY256" s="1018"/>
      <c r="BZ256" s="1018"/>
      <c r="CA256" s="974">
        <f t="shared" si="108"/>
        <v>173812</v>
      </c>
      <c r="CC256" s="974">
        <f t="shared" si="119"/>
        <v>144</v>
      </c>
      <c r="CD256" s="939">
        <f t="shared" ref="CD256:CD305" si="144">CD255+CC256</f>
        <v>51036.5714285714</v>
      </c>
      <c r="CE256" s="1018"/>
      <c r="CF256" s="1018"/>
      <c r="CG256" s="1018"/>
      <c r="CH256" s="1018">
        <f t="shared" si="109"/>
        <v>8963.4285714286</v>
      </c>
      <c r="CI256" s="1018"/>
    </row>
    <row r="257" s="974" customFormat="1" ht="32" customHeight="1" spans="1:87">
      <c r="A257" s="1281">
        <v>45960</v>
      </c>
      <c r="B257" s="1282" t="s">
        <v>314</v>
      </c>
      <c r="C257" s="1003" t="s">
        <v>125</v>
      </c>
      <c r="D257" s="1283">
        <v>4500183810</v>
      </c>
      <c r="E257" s="1282" t="s">
        <v>1161</v>
      </c>
      <c r="F257" s="1284" t="s">
        <v>1162</v>
      </c>
      <c r="G257" s="1004" t="s">
        <v>196</v>
      </c>
      <c r="H257" s="1004" t="s">
        <v>197</v>
      </c>
      <c r="I257" s="1004">
        <v>996</v>
      </c>
      <c r="J257" s="1004">
        <v>0</v>
      </c>
      <c r="K257" s="1004">
        <v>12</v>
      </c>
      <c r="L257" s="1232">
        <f t="shared" si="142"/>
        <v>83</v>
      </c>
      <c r="M257" s="1007">
        <v>46022</v>
      </c>
      <c r="N257" s="1007">
        <v>46018</v>
      </c>
      <c r="O257" s="1024"/>
      <c r="P257" s="1285" t="s">
        <v>86</v>
      </c>
      <c r="Q257" s="1004"/>
      <c r="R257" s="1035">
        <v>45965</v>
      </c>
      <c r="S257" s="1035" t="s">
        <v>98</v>
      </c>
      <c r="T257" s="1035" t="s">
        <v>1163</v>
      </c>
      <c r="U257" s="1035"/>
      <c r="V257" s="1010" t="s">
        <v>1164</v>
      </c>
      <c r="W257" s="1007" t="s">
        <v>319</v>
      </c>
      <c r="X257" s="1235">
        <v>2.4244</v>
      </c>
      <c r="Y257" s="1236">
        <f t="shared" si="143"/>
        <v>2414.7024</v>
      </c>
      <c r="Z257" s="1236"/>
      <c r="AA257" s="1004"/>
      <c r="AB257" s="1004" t="s">
        <v>984</v>
      </c>
      <c r="AC257" s="1004" t="s">
        <v>93</v>
      </c>
      <c r="AD257" s="1023" t="s">
        <v>94</v>
      </c>
      <c r="AE257" s="1004"/>
      <c r="AF257" s="1004">
        <v>996</v>
      </c>
      <c r="AG257" s="1002">
        <f t="shared" si="136"/>
        <v>0</v>
      </c>
      <c r="AH257" s="1055"/>
      <c r="AI257" s="1004" t="s">
        <v>95</v>
      </c>
      <c r="AJ257" s="1004"/>
      <c r="AK257" s="1004">
        <f t="shared" ref="AK257:AK271" si="145">I257*2</f>
        <v>1992</v>
      </c>
      <c r="AL257" s="1004"/>
      <c r="AM257" s="1016">
        <f t="shared" ref="AM257:AM263" si="146">I257*2</f>
        <v>1992</v>
      </c>
      <c r="AP257" s="1004"/>
      <c r="AQ257" s="1004"/>
      <c r="AS257" s="951">
        <f t="shared" ref="AS257:AS271" si="147">I257*2</f>
        <v>1992</v>
      </c>
      <c r="AT257" s="1004"/>
      <c r="AU257" s="1004"/>
      <c r="AV257" s="1004"/>
      <c r="BE257" s="1016"/>
      <c r="BN257" s="974">
        <f t="shared" ref="BN257:BN272" si="148">I257</f>
        <v>996</v>
      </c>
      <c r="BP257" s="974">
        <f t="shared" ref="BP257:BP264" si="149">I257</f>
        <v>996</v>
      </c>
      <c r="BQ257" s="974">
        <f t="shared" ref="BQ257:BQ272" si="150">I257</f>
        <v>996</v>
      </c>
      <c r="BU257" s="1018">
        <f t="shared" si="117"/>
        <v>1992</v>
      </c>
      <c r="BV257" s="1018">
        <f t="shared" si="118"/>
        <v>2648180</v>
      </c>
      <c r="BW257" s="1018"/>
      <c r="BX257" s="1018"/>
      <c r="BY257" s="1018"/>
      <c r="BZ257" s="1018"/>
      <c r="CA257" s="974">
        <f t="shared" si="108"/>
        <v>171820</v>
      </c>
      <c r="CC257" s="974">
        <f t="shared" si="119"/>
        <v>0</v>
      </c>
      <c r="CD257" s="939">
        <f t="shared" si="144"/>
        <v>51036.5714285714</v>
      </c>
      <c r="CE257" s="1018"/>
      <c r="CF257" s="1018"/>
      <c r="CG257" s="1018"/>
      <c r="CH257" s="1018">
        <f t="shared" si="109"/>
        <v>8963.4285714286</v>
      </c>
      <c r="CI257" s="1018"/>
    </row>
    <row r="258" s="974" customFormat="1" ht="32" customHeight="1" spans="1:87">
      <c r="A258" s="1281">
        <v>45960</v>
      </c>
      <c r="B258" s="1282" t="s">
        <v>314</v>
      </c>
      <c r="C258" s="1003" t="s">
        <v>125</v>
      </c>
      <c r="D258" s="1283">
        <v>4500183806</v>
      </c>
      <c r="E258" s="1282" t="s">
        <v>1165</v>
      </c>
      <c r="F258" s="1284" t="s">
        <v>1166</v>
      </c>
      <c r="G258" s="1004" t="s">
        <v>196</v>
      </c>
      <c r="H258" s="1004" t="s">
        <v>197</v>
      </c>
      <c r="I258" s="1004">
        <v>804</v>
      </c>
      <c r="J258" s="1004">
        <v>0</v>
      </c>
      <c r="K258" s="1004">
        <v>12</v>
      </c>
      <c r="L258" s="1232">
        <f t="shared" si="142"/>
        <v>67</v>
      </c>
      <c r="M258" s="1007">
        <v>46022</v>
      </c>
      <c r="N258" s="1007">
        <v>46018</v>
      </c>
      <c r="O258" s="1024"/>
      <c r="P258" s="1285" t="s">
        <v>86</v>
      </c>
      <c r="Q258" s="1004"/>
      <c r="R258" s="1035">
        <v>45965</v>
      </c>
      <c r="S258" s="1035" t="s">
        <v>98</v>
      </c>
      <c r="T258" s="1035" t="s">
        <v>1163</v>
      </c>
      <c r="U258" s="1035"/>
      <c r="V258" s="1010" t="s">
        <v>1167</v>
      </c>
      <c r="W258" s="1007" t="s">
        <v>319</v>
      </c>
      <c r="X258" s="1235">
        <v>2.4244</v>
      </c>
      <c r="Y258" s="1236">
        <f t="shared" si="143"/>
        <v>1949.2176</v>
      </c>
      <c r="Z258" s="1236"/>
      <c r="AA258" s="1004"/>
      <c r="AB258" s="1004" t="s">
        <v>984</v>
      </c>
      <c r="AC258" s="1004" t="s">
        <v>93</v>
      </c>
      <c r="AD258" s="1023" t="s">
        <v>94</v>
      </c>
      <c r="AE258" s="1004"/>
      <c r="AF258" s="1004">
        <v>804</v>
      </c>
      <c r="AG258" s="1002">
        <f t="shared" si="136"/>
        <v>0</v>
      </c>
      <c r="AH258" s="1055"/>
      <c r="AI258" s="1004" t="s">
        <v>95</v>
      </c>
      <c r="AJ258" s="1004"/>
      <c r="AK258" s="1004">
        <f t="shared" si="145"/>
        <v>1608</v>
      </c>
      <c r="AL258" s="1004"/>
      <c r="AM258" s="1016">
        <f t="shared" si="146"/>
        <v>1608</v>
      </c>
      <c r="AP258" s="1004"/>
      <c r="AQ258" s="1004"/>
      <c r="AS258" s="951">
        <f t="shared" si="147"/>
        <v>1608</v>
      </c>
      <c r="AT258" s="1004"/>
      <c r="AU258" s="1004"/>
      <c r="AV258" s="1004"/>
      <c r="BE258" s="1016"/>
      <c r="BN258" s="974">
        <f t="shared" si="148"/>
        <v>804</v>
      </c>
      <c r="BP258" s="974">
        <f t="shared" si="149"/>
        <v>804</v>
      </c>
      <c r="BQ258" s="974">
        <f t="shared" si="150"/>
        <v>804</v>
      </c>
      <c r="BU258" s="1018">
        <f t="shared" si="117"/>
        <v>1608</v>
      </c>
      <c r="BV258" s="1018">
        <f t="shared" si="118"/>
        <v>2649788</v>
      </c>
      <c r="BW258" s="1018"/>
      <c r="BX258" s="1018"/>
      <c r="BY258" s="1018"/>
      <c r="BZ258" s="1018"/>
      <c r="CA258" s="974">
        <f t="shared" si="108"/>
        <v>170212</v>
      </c>
      <c r="CC258" s="974">
        <f t="shared" si="119"/>
        <v>0</v>
      </c>
      <c r="CD258" s="939">
        <f t="shared" si="144"/>
        <v>51036.5714285714</v>
      </c>
      <c r="CE258" s="1018"/>
      <c r="CF258" s="1018"/>
      <c r="CG258" s="1018"/>
      <c r="CH258" s="1018">
        <f t="shared" si="109"/>
        <v>8963.4285714286</v>
      </c>
      <c r="CI258" s="1018"/>
    </row>
    <row r="259" s="974" customFormat="1" ht="32" customHeight="1" spans="1:87">
      <c r="A259" s="1281">
        <v>45975</v>
      </c>
      <c r="B259" s="1282" t="s">
        <v>194</v>
      </c>
      <c r="C259" s="1003" t="s">
        <v>125</v>
      </c>
      <c r="D259" s="1283">
        <v>4500185285</v>
      </c>
      <c r="E259" s="1282">
        <v>60261180</v>
      </c>
      <c r="F259" s="1284" t="s">
        <v>1168</v>
      </c>
      <c r="G259" s="1004" t="s">
        <v>196</v>
      </c>
      <c r="H259" s="1004" t="s">
        <v>197</v>
      </c>
      <c r="I259" s="1004">
        <v>2004</v>
      </c>
      <c r="J259" s="1004">
        <v>0</v>
      </c>
      <c r="K259" s="1004">
        <v>12</v>
      </c>
      <c r="L259" s="1232">
        <f t="shared" si="142"/>
        <v>167</v>
      </c>
      <c r="M259" s="1007">
        <v>46024</v>
      </c>
      <c r="N259" s="1007">
        <f>M259-4</f>
        <v>46020</v>
      </c>
      <c r="O259" s="1024"/>
      <c r="P259" s="1285" t="s">
        <v>86</v>
      </c>
      <c r="Q259" s="1004"/>
      <c r="R259" s="1035">
        <v>45975</v>
      </c>
      <c r="S259" s="1035" t="s">
        <v>98</v>
      </c>
      <c r="T259" s="1035" t="s">
        <v>389</v>
      </c>
      <c r="U259" s="1035"/>
      <c r="V259" s="1010" t="s">
        <v>1169</v>
      </c>
      <c r="W259" s="1007" t="s">
        <v>887</v>
      </c>
      <c r="X259" s="1235">
        <v>2.4174</v>
      </c>
      <c r="Y259" s="1236">
        <f t="shared" si="143"/>
        <v>4844.4696</v>
      </c>
      <c r="Z259" s="1236"/>
      <c r="AA259" s="1004"/>
      <c r="AB259" s="1004" t="s">
        <v>984</v>
      </c>
      <c r="AC259" s="1004" t="s">
        <v>93</v>
      </c>
      <c r="AD259" s="1023" t="s">
        <v>94</v>
      </c>
      <c r="AE259" s="1004"/>
      <c r="AF259" s="1004">
        <v>2004</v>
      </c>
      <c r="AG259" s="1002">
        <f t="shared" si="136"/>
        <v>0</v>
      </c>
      <c r="AH259" s="1055"/>
      <c r="AI259" s="1004" t="s">
        <v>95</v>
      </c>
      <c r="AJ259" s="1004"/>
      <c r="AK259" s="1004">
        <f t="shared" si="145"/>
        <v>4008</v>
      </c>
      <c r="AL259" s="1004"/>
      <c r="AM259" s="1016">
        <f t="shared" si="146"/>
        <v>4008</v>
      </c>
      <c r="AP259" s="1004"/>
      <c r="AQ259" s="1004"/>
      <c r="AR259" s="1286"/>
      <c r="AS259" s="951">
        <f t="shared" si="147"/>
        <v>4008</v>
      </c>
      <c r="AT259" s="1004"/>
      <c r="AU259" s="1004"/>
      <c r="AV259" s="1004"/>
      <c r="BE259" s="1016"/>
      <c r="BN259" s="974">
        <f t="shared" si="148"/>
        <v>2004</v>
      </c>
      <c r="BP259" s="974">
        <f t="shared" si="149"/>
        <v>2004</v>
      </c>
      <c r="BQ259" s="974">
        <f t="shared" si="150"/>
        <v>2004</v>
      </c>
      <c r="BU259" s="1018">
        <f t="shared" si="117"/>
        <v>4008</v>
      </c>
      <c r="BV259" s="1018">
        <f t="shared" si="118"/>
        <v>2653796</v>
      </c>
      <c r="BW259" s="1018"/>
      <c r="BX259" s="1018"/>
      <c r="BY259" s="1018"/>
      <c r="BZ259" s="1018"/>
      <c r="CA259" s="974">
        <f t="shared" ref="CA259:CA286" si="151">SUM(BX$1:CB$1)-BV259</f>
        <v>166204</v>
      </c>
      <c r="CC259" s="974">
        <f t="shared" si="119"/>
        <v>0</v>
      </c>
      <c r="CD259" s="939">
        <f t="shared" si="144"/>
        <v>51036.5714285714</v>
      </c>
      <c r="CE259" s="1018"/>
      <c r="CF259" s="1018"/>
      <c r="CG259" s="1018"/>
      <c r="CH259" s="1018">
        <f t="shared" ref="CH259:CH312" si="152">$CF$1+$CG$1+$CH$1+$CI$1-CD259</f>
        <v>8963.4285714286</v>
      </c>
      <c r="CI259" s="1018"/>
    </row>
    <row r="260" s="974" customFormat="1" ht="32" customHeight="1" spans="1:87">
      <c r="A260" s="1281">
        <v>45988</v>
      </c>
      <c r="B260" s="1282" t="s">
        <v>314</v>
      </c>
      <c r="C260" s="1003" t="s">
        <v>125</v>
      </c>
      <c r="D260" s="1283">
        <v>4500187228</v>
      </c>
      <c r="E260" s="1282">
        <v>765819</v>
      </c>
      <c r="F260" s="1284" t="s">
        <v>1170</v>
      </c>
      <c r="G260" s="1004" t="s">
        <v>196</v>
      </c>
      <c r="H260" s="1004" t="s">
        <v>197</v>
      </c>
      <c r="I260" s="1004">
        <v>804</v>
      </c>
      <c r="J260" s="1004">
        <v>0</v>
      </c>
      <c r="K260" s="1004">
        <v>12</v>
      </c>
      <c r="L260" s="1232">
        <f t="shared" si="142"/>
        <v>67</v>
      </c>
      <c r="M260" s="1007">
        <v>46029</v>
      </c>
      <c r="N260" s="1007">
        <v>46025</v>
      </c>
      <c r="O260" s="1024"/>
      <c r="P260" s="1285" t="s">
        <v>86</v>
      </c>
      <c r="Q260" s="1004"/>
      <c r="R260" s="1035">
        <v>45988</v>
      </c>
      <c r="S260" s="1035" t="s">
        <v>98</v>
      </c>
      <c r="T260" s="1035" t="s">
        <v>1171</v>
      </c>
      <c r="U260" s="1035"/>
      <c r="V260" s="1010" t="s">
        <v>1172</v>
      </c>
      <c r="W260" s="1007" t="s">
        <v>319</v>
      </c>
      <c r="X260" s="1235">
        <v>2.4015</v>
      </c>
      <c r="Y260" s="1236">
        <f t="shared" si="143"/>
        <v>1930.806</v>
      </c>
      <c r="Z260" s="1236"/>
      <c r="AA260" s="1004"/>
      <c r="AB260" s="1004" t="s">
        <v>984</v>
      </c>
      <c r="AC260" s="1004" t="s">
        <v>93</v>
      </c>
      <c r="AD260" s="1023" t="s">
        <v>94</v>
      </c>
      <c r="AE260" s="1004"/>
      <c r="AF260" s="1004">
        <v>804</v>
      </c>
      <c r="AG260" s="1002">
        <f t="shared" si="136"/>
        <v>0</v>
      </c>
      <c r="AH260" s="1055"/>
      <c r="AI260" s="1004" t="s">
        <v>95</v>
      </c>
      <c r="AJ260" s="1004"/>
      <c r="AK260" s="1004">
        <f t="shared" si="145"/>
        <v>1608</v>
      </c>
      <c r="AL260" s="1004"/>
      <c r="AM260" s="1016">
        <f t="shared" si="146"/>
        <v>1608</v>
      </c>
      <c r="AP260" s="1004"/>
      <c r="AQ260" s="1004"/>
      <c r="AS260" s="951">
        <f t="shared" si="147"/>
        <v>1608</v>
      </c>
      <c r="AT260" s="1004"/>
      <c r="AU260" s="1004"/>
      <c r="AV260" s="1004"/>
      <c r="BE260" s="1016"/>
      <c r="BN260" s="974">
        <f t="shared" si="148"/>
        <v>804</v>
      </c>
      <c r="BP260" s="974">
        <f t="shared" si="149"/>
        <v>804</v>
      </c>
      <c r="BQ260" s="974">
        <f t="shared" si="150"/>
        <v>804</v>
      </c>
      <c r="BU260" s="1018">
        <f t="shared" ref="BU260:BU296" si="153">AK260+AL260</f>
        <v>1608</v>
      </c>
      <c r="BV260" s="1018">
        <f>BV266+BU260</f>
        <v>2656628</v>
      </c>
      <c r="BW260" s="1018"/>
      <c r="BX260" s="1018"/>
      <c r="BY260" s="1018"/>
      <c r="BZ260" s="1018"/>
      <c r="CA260" s="974">
        <f t="shared" si="151"/>
        <v>163372</v>
      </c>
      <c r="CC260" s="974">
        <f t="shared" ref="CC260:CC268" si="154">AW260+AX260+BE260+BF260</f>
        <v>0</v>
      </c>
      <c r="CD260" s="939">
        <f t="shared" si="144"/>
        <v>51036.5714285714</v>
      </c>
      <c r="CE260" s="1018"/>
      <c r="CF260" s="1018"/>
      <c r="CG260" s="1018"/>
      <c r="CH260" s="1018">
        <f t="shared" si="152"/>
        <v>8963.4285714286</v>
      </c>
      <c r="CI260" s="1018"/>
    </row>
    <row r="261" s="974" customFormat="1" ht="32" customHeight="1" spans="1:87">
      <c r="A261" s="1281">
        <v>45988</v>
      </c>
      <c r="B261" s="1282" t="s">
        <v>314</v>
      </c>
      <c r="C261" s="1003" t="s">
        <v>125</v>
      </c>
      <c r="D261" s="1283">
        <v>4500187232</v>
      </c>
      <c r="E261" s="1282">
        <v>765820</v>
      </c>
      <c r="F261" s="1284" t="s">
        <v>1173</v>
      </c>
      <c r="G261" s="1004" t="s">
        <v>196</v>
      </c>
      <c r="H261" s="1004" t="s">
        <v>197</v>
      </c>
      <c r="I261" s="1004">
        <v>996</v>
      </c>
      <c r="J261" s="1004">
        <v>0</v>
      </c>
      <c r="K261" s="1004">
        <v>12</v>
      </c>
      <c r="L261" s="1232">
        <f t="shared" si="142"/>
        <v>83</v>
      </c>
      <c r="M261" s="1007">
        <v>46029</v>
      </c>
      <c r="N261" s="1007">
        <v>46025</v>
      </c>
      <c r="O261" s="1024"/>
      <c r="P261" s="1285" t="s">
        <v>86</v>
      </c>
      <c r="Q261" s="1004"/>
      <c r="R261" s="1035">
        <v>45988</v>
      </c>
      <c r="S261" s="1035" t="s">
        <v>98</v>
      </c>
      <c r="T261" s="1035" t="s">
        <v>1171</v>
      </c>
      <c r="U261" s="1035"/>
      <c r="V261" s="1010" t="s">
        <v>1174</v>
      </c>
      <c r="W261" s="1007" t="s">
        <v>319</v>
      </c>
      <c r="X261" s="1235">
        <v>2.4015</v>
      </c>
      <c r="Y261" s="1236">
        <f t="shared" si="143"/>
        <v>2391.894</v>
      </c>
      <c r="Z261" s="1236"/>
      <c r="AA261" s="1004"/>
      <c r="AB261" s="1004" t="s">
        <v>984</v>
      </c>
      <c r="AC261" s="1004" t="s">
        <v>93</v>
      </c>
      <c r="AD261" s="1023" t="s">
        <v>94</v>
      </c>
      <c r="AE261" s="1004"/>
      <c r="AF261" s="1002">
        <v>996</v>
      </c>
      <c r="AG261" s="1002">
        <f t="shared" si="136"/>
        <v>0</v>
      </c>
      <c r="AH261" s="1055"/>
      <c r="AI261" s="1004" t="s">
        <v>95</v>
      </c>
      <c r="AJ261" s="1004"/>
      <c r="AK261" s="1004">
        <f t="shared" si="145"/>
        <v>1992</v>
      </c>
      <c r="AL261" s="1004"/>
      <c r="AM261" s="1016">
        <f t="shared" si="146"/>
        <v>1992</v>
      </c>
      <c r="AP261" s="1004"/>
      <c r="AQ261" s="1004"/>
      <c r="AS261" s="951">
        <f t="shared" si="147"/>
        <v>1992</v>
      </c>
      <c r="AT261" s="1004"/>
      <c r="AU261" s="1004"/>
      <c r="AV261" s="1004"/>
      <c r="BE261" s="1016"/>
      <c r="BN261" s="974">
        <f t="shared" si="148"/>
        <v>996</v>
      </c>
      <c r="BP261" s="974">
        <f t="shared" si="149"/>
        <v>996</v>
      </c>
      <c r="BQ261" s="974">
        <f t="shared" si="150"/>
        <v>996</v>
      </c>
      <c r="BU261" s="1018">
        <f t="shared" si="153"/>
        <v>1992</v>
      </c>
      <c r="BV261" s="1018">
        <f>BV260+BU261</f>
        <v>2658620</v>
      </c>
      <c r="BW261" s="1018"/>
      <c r="BX261" s="1018"/>
      <c r="BY261" s="1018"/>
      <c r="BZ261" s="1018"/>
      <c r="CA261" s="974">
        <f t="shared" si="151"/>
        <v>161380</v>
      </c>
      <c r="CC261" s="974">
        <f t="shared" si="154"/>
        <v>0</v>
      </c>
      <c r="CD261" s="939">
        <f t="shared" si="144"/>
        <v>51036.5714285714</v>
      </c>
      <c r="CE261" s="1018"/>
      <c r="CF261" s="1018"/>
      <c r="CG261" s="1018"/>
      <c r="CH261" s="1018">
        <f t="shared" si="152"/>
        <v>8963.4285714286</v>
      </c>
      <c r="CI261" s="1018"/>
    </row>
    <row r="262" s="974" customFormat="1" ht="32" customHeight="1" spans="1:87">
      <c r="A262" s="1281">
        <v>45988</v>
      </c>
      <c r="B262" s="1282" t="s">
        <v>314</v>
      </c>
      <c r="C262" s="1003" t="s">
        <v>125</v>
      </c>
      <c r="D262" s="1283">
        <v>4500187231</v>
      </c>
      <c r="E262" s="1282">
        <v>770791</v>
      </c>
      <c r="F262" s="1284" t="s">
        <v>1175</v>
      </c>
      <c r="G262" s="1004" t="s">
        <v>196</v>
      </c>
      <c r="H262" s="1004" t="s">
        <v>197</v>
      </c>
      <c r="I262" s="1004">
        <v>996</v>
      </c>
      <c r="J262" s="1004">
        <v>0</v>
      </c>
      <c r="K262" s="1004">
        <v>12</v>
      </c>
      <c r="L262" s="1232">
        <f t="shared" si="142"/>
        <v>83</v>
      </c>
      <c r="M262" s="1007">
        <v>46029</v>
      </c>
      <c r="N262" s="1007">
        <v>46025</v>
      </c>
      <c r="O262" s="1024"/>
      <c r="P262" s="1285" t="s">
        <v>86</v>
      </c>
      <c r="Q262" s="1004"/>
      <c r="R262" s="1035">
        <v>45988</v>
      </c>
      <c r="S262" s="1035" t="s">
        <v>98</v>
      </c>
      <c r="T262" s="1035" t="s">
        <v>1171</v>
      </c>
      <c r="U262" s="1035"/>
      <c r="V262" s="1010" t="s">
        <v>1176</v>
      </c>
      <c r="W262" s="1007" t="s">
        <v>319</v>
      </c>
      <c r="X262" s="1235">
        <v>2.4244</v>
      </c>
      <c r="Y262" s="1236">
        <f t="shared" si="143"/>
        <v>2414.7024</v>
      </c>
      <c r="Z262" s="1236"/>
      <c r="AA262" s="1004"/>
      <c r="AB262" s="1004" t="s">
        <v>984</v>
      </c>
      <c r="AC262" s="1004" t="s">
        <v>93</v>
      </c>
      <c r="AD262" s="1023" t="s">
        <v>94</v>
      </c>
      <c r="AE262" s="1004"/>
      <c r="AF262" s="1023"/>
      <c r="AG262" s="1002">
        <f t="shared" si="136"/>
        <v>-996</v>
      </c>
      <c r="AH262" s="1055"/>
      <c r="AI262" s="1004" t="s">
        <v>95</v>
      </c>
      <c r="AJ262" s="1004"/>
      <c r="AK262" s="1004">
        <f t="shared" si="145"/>
        <v>1992</v>
      </c>
      <c r="AL262" s="1004"/>
      <c r="AM262" s="1016">
        <f t="shared" si="146"/>
        <v>1992</v>
      </c>
      <c r="AP262" s="1004"/>
      <c r="AQ262" s="1004"/>
      <c r="AS262" s="951">
        <f t="shared" si="147"/>
        <v>1992</v>
      </c>
      <c r="AT262" s="1004"/>
      <c r="AU262" s="1004"/>
      <c r="AV262" s="1004"/>
      <c r="BE262" s="1016"/>
      <c r="BN262" s="974">
        <f t="shared" si="148"/>
        <v>996</v>
      </c>
      <c r="BP262" s="974">
        <f t="shared" si="149"/>
        <v>996</v>
      </c>
      <c r="BQ262" s="974">
        <f t="shared" si="150"/>
        <v>996</v>
      </c>
      <c r="BU262" s="1018">
        <f t="shared" si="153"/>
        <v>1992</v>
      </c>
      <c r="BV262" s="1018">
        <f>BV261+BU262</f>
        <v>2660612</v>
      </c>
      <c r="BW262" s="1018"/>
      <c r="BX262" s="1018"/>
      <c r="BY262" s="1018"/>
      <c r="BZ262" s="1018"/>
      <c r="CA262" s="974">
        <f t="shared" si="151"/>
        <v>159388</v>
      </c>
      <c r="CC262" s="974">
        <f t="shared" si="154"/>
        <v>0</v>
      </c>
      <c r="CD262" s="939">
        <f t="shared" si="144"/>
        <v>51036.5714285714</v>
      </c>
      <c r="CE262" s="1018"/>
      <c r="CF262" s="1018"/>
      <c r="CG262" s="1018"/>
      <c r="CH262" s="1018">
        <f t="shared" si="152"/>
        <v>8963.4285714286</v>
      </c>
      <c r="CI262" s="1018"/>
    </row>
    <row r="263" s="974" customFormat="1" ht="32" customHeight="1" spans="1:87">
      <c r="A263" s="1281">
        <v>45988</v>
      </c>
      <c r="B263" s="1282" t="s">
        <v>314</v>
      </c>
      <c r="C263" s="1003" t="s">
        <v>125</v>
      </c>
      <c r="D263" s="1283">
        <v>4500187236</v>
      </c>
      <c r="E263" s="1282">
        <v>770793</v>
      </c>
      <c r="F263" s="1284" t="s">
        <v>1177</v>
      </c>
      <c r="G263" s="1004" t="s">
        <v>196</v>
      </c>
      <c r="H263" s="1004" t="s">
        <v>197</v>
      </c>
      <c r="I263" s="1004">
        <v>1200</v>
      </c>
      <c r="J263" s="1004">
        <v>0</v>
      </c>
      <c r="K263" s="1004">
        <v>12</v>
      </c>
      <c r="L263" s="1232">
        <f t="shared" si="142"/>
        <v>100</v>
      </c>
      <c r="M263" s="1007">
        <v>46029</v>
      </c>
      <c r="N263" s="1007">
        <v>46025</v>
      </c>
      <c r="O263" s="1024"/>
      <c r="P263" s="1285" t="s">
        <v>86</v>
      </c>
      <c r="Q263" s="1004"/>
      <c r="R263" s="1035">
        <v>45988</v>
      </c>
      <c r="S263" s="1035" t="s">
        <v>98</v>
      </c>
      <c r="T263" s="1035" t="s">
        <v>1171</v>
      </c>
      <c r="U263" s="1035"/>
      <c r="V263" s="1010" t="s">
        <v>1178</v>
      </c>
      <c r="W263" s="1007" t="s">
        <v>319</v>
      </c>
      <c r="X263" s="1235">
        <v>2.4244</v>
      </c>
      <c r="Y263" s="1236">
        <f t="shared" si="143"/>
        <v>2909.28</v>
      </c>
      <c r="Z263" s="1236"/>
      <c r="AA263" s="1004"/>
      <c r="AB263" s="1004" t="s">
        <v>984</v>
      </c>
      <c r="AC263" s="1004" t="s">
        <v>93</v>
      </c>
      <c r="AD263" s="1023" t="s">
        <v>94</v>
      </c>
      <c r="AE263" s="1004"/>
      <c r="AF263" s="1004">
        <v>1200</v>
      </c>
      <c r="AG263" s="1002">
        <f t="shared" si="136"/>
        <v>0</v>
      </c>
      <c r="AH263" s="1055"/>
      <c r="AI263" s="1004" t="s">
        <v>95</v>
      </c>
      <c r="AJ263" s="1004"/>
      <c r="AK263" s="1004">
        <f t="shared" si="145"/>
        <v>2400</v>
      </c>
      <c r="AL263" s="1004"/>
      <c r="AM263" s="1016">
        <f t="shared" si="146"/>
        <v>2400</v>
      </c>
      <c r="AP263" s="1004"/>
      <c r="AQ263" s="1004"/>
      <c r="AS263" s="951">
        <f t="shared" si="147"/>
        <v>2400</v>
      </c>
      <c r="AT263" s="1004"/>
      <c r="AU263" s="1004"/>
      <c r="AV263" s="1004"/>
      <c r="BE263" s="1016"/>
      <c r="BN263" s="974">
        <f t="shared" si="148"/>
        <v>1200</v>
      </c>
      <c r="BP263" s="974">
        <f t="shared" si="149"/>
        <v>1200</v>
      </c>
      <c r="BQ263" s="974">
        <f t="shared" si="150"/>
        <v>1200</v>
      </c>
      <c r="BU263" s="1018">
        <f t="shared" si="153"/>
        <v>2400</v>
      </c>
      <c r="BV263" s="1018">
        <f>BV262+BU263</f>
        <v>2663012</v>
      </c>
      <c r="BW263" s="1018"/>
      <c r="BX263" s="1018"/>
      <c r="BY263" s="1018"/>
      <c r="BZ263" s="1018"/>
      <c r="CA263" s="974">
        <f t="shared" si="151"/>
        <v>156988</v>
      </c>
      <c r="CC263" s="974">
        <f t="shared" si="154"/>
        <v>0</v>
      </c>
      <c r="CD263" s="939">
        <f t="shared" si="144"/>
        <v>51036.5714285714</v>
      </c>
      <c r="CE263" s="1018"/>
      <c r="CF263" s="1018"/>
      <c r="CG263" s="1018"/>
      <c r="CH263" s="1018">
        <f t="shared" si="152"/>
        <v>8963.4285714286</v>
      </c>
      <c r="CI263" s="1018"/>
    </row>
    <row r="264" s="974" customFormat="1" ht="32" customHeight="1" spans="1:87">
      <c r="A264" s="1281">
        <v>45982</v>
      </c>
      <c r="B264" s="1282" t="s">
        <v>761</v>
      </c>
      <c r="C264" s="1003" t="s">
        <v>632</v>
      </c>
      <c r="D264" s="1283">
        <v>4500186530</v>
      </c>
      <c r="E264" s="1282" t="s">
        <v>1179</v>
      </c>
      <c r="F264" s="1284" t="s">
        <v>1180</v>
      </c>
      <c r="G264" s="1004" t="s">
        <v>196</v>
      </c>
      <c r="H264" s="1004" t="s">
        <v>197</v>
      </c>
      <c r="I264" s="1004">
        <v>12</v>
      </c>
      <c r="J264" s="1004">
        <v>0</v>
      </c>
      <c r="K264" s="1004">
        <v>12</v>
      </c>
      <c r="L264" s="1232">
        <f t="shared" si="142"/>
        <v>1</v>
      </c>
      <c r="M264" s="1007">
        <v>46031</v>
      </c>
      <c r="N264" s="1007">
        <v>46027</v>
      </c>
      <c r="O264" s="1024"/>
      <c r="P264" s="1285" t="s">
        <v>86</v>
      </c>
      <c r="Q264" s="1004"/>
      <c r="R264" s="1035">
        <v>45982</v>
      </c>
      <c r="S264" s="1035" t="s">
        <v>88</v>
      </c>
      <c r="T264" s="1035" t="s">
        <v>1181</v>
      </c>
      <c r="U264" s="1035"/>
      <c r="V264" s="1010" t="s">
        <v>1182</v>
      </c>
      <c r="W264" s="1007" t="s">
        <v>731</v>
      </c>
      <c r="X264" s="1235">
        <v>4.1214</v>
      </c>
      <c r="Y264" s="1236">
        <f t="shared" si="143"/>
        <v>49.4568</v>
      </c>
      <c r="Z264" s="1236"/>
      <c r="AA264" s="1004"/>
      <c r="AB264" s="1004" t="s">
        <v>808</v>
      </c>
      <c r="AC264" s="1004" t="s">
        <v>93</v>
      </c>
      <c r="AD264" s="1023" t="s">
        <v>94</v>
      </c>
      <c r="AE264" s="1004"/>
      <c r="AF264" s="1004">
        <v>12</v>
      </c>
      <c r="AG264" s="1002">
        <f t="shared" si="136"/>
        <v>0</v>
      </c>
      <c r="AH264" s="1055"/>
      <c r="AI264" s="1004" t="s">
        <v>95</v>
      </c>
      <c r="AJ264" s="1004"/>
      <c r="AK264" s="1004">
        <f t="shared" si="145"/>
        <v>24</v>
      </c>
      <c r="AL264" s="1004"/>
      <c r="AM264" s="1016"/>
      <c r="AO264" s="974">
        <f>I264*2</f>
        <v>24</v>
      </c>
      <c r="AP264" s="1004"/>
      <c r="AQ264" s="1004"/>
      <c r="AR264" s="1286"/>
      <c r="AS264" s="951">
        <f t="shared" si="147"/>
        <v>24</v>
      </c>
      <c r="AT264" s="1004"/>
      <c r="AU264" s="1004"/>
      <c r="AV264" s="1004"/>
      <c r="BE264" s="1016"/>
      <c r="BN264" s="974">
        <f t="shared" si="148"/>
        <v>12</v>
      </c>
      <c r="BP264" s="974">
        <f t="shared" si="149"/>
        <v>12</v>
      </c>
      <c r="BQ264" s="974">
        <f t="shared" si="150"/>
        <v>12</v>
      </c>
      <c r="BU264" s="1018">
        <f t="shared" si="153"/>
        <v>24</v>
      </c>
      <c r="BV264" s="1018">
        <f>BV263+BU264</f>
        <v>2663036</v>
      </c>
      <c r="BW264" s="1018"/>
      <c r="BX264" s="1018"/>
      <c r="BY264" s="1018"/>
      <c r="BZ264" s="1018"/>
      <c r="CA264" s="974">
        <f t="shared" si="151"/>
        <v>156964</v>
      </c>
      <c r="CC264" s="974">
        <f t="shared" si="154"/>
        <v>0</v>
      </c>
      <c r="CD264" s="939">
        <f t="shared" si="144"/>
        <v>51036.5714285714</v>
      </c>
      <c r="CE264" s="1018"/>
      <c r="CF264" s="1018"/>
      <c r="CG264" s="1018"/>
      <c r="CH264" s="1018">
        <f t="shared" si="152"/>
        <v>8963.4285714286</v>
      </c>
      <c r="CI264" s="1018"/>
    </row>
    <row r="265" s="974" customFormat="1" ht="32" customHeight="1" spans="1:87">
      <c r="A265" s="1281">
        <v>45971</v>
      </c>
      <c r="B265" s="1282" t="s">
        <v>785</v>
      </c>
      <c r="C265" s="1003" t="s">
        <v>125</v>
      </c>
      <c r="D265" s="1283">
        <v>4500184640</v>
      </c>
      <c r="E265" s="1282" t="s">
        <v>1183</v>
      </c>
      <c r="F265" s="1284" t="s">
        <v>1184</v>
      </c>
      <c r="G265" s="1004" t="s">
        <v>196</v>
      </c>
      <c r="H265" s="1004" t="s">
        <v>197</v>
      </c>
      <c r="I265" s="1004">
        <v>48</v>
      </c>
      <c r="J265" s="1004">
        <v>0</v>
      </c>
      <c r="K265" s="1004">
        <v>12</v>
      </c>
      <c r="L265" s="1232">
        <f t="shared" si="142"/>
        <v>4</v>
      </c>
      <c r="M265" s="1007">
        <v>46036</v>
      </c>
      <c r="N265" s="1007">
        <v>46034</v>
      </c>
      <c r="O265" s="1024"/>
      <c r="P265" s="1285" t="s">
        <v>86</v>
      </c>
      <c r="Q265" s="1004"/>
      <c r="R265" s="1035">
        <v>45971</v>
      </c>
      <c r="S265" s="1035" t="s">
        <v>88</v>
      </c>
      <c r="T265" s="1035" t="s">
        <v>1181</v>
      </c>
      <c r="U265" s="1035"/>
      <c r="V265" s="1010" t="s">
        <v>1185</v>
      </c>
      <c r="W265" s="1007" t="s">
        <v>130</v>
      </c>
      <c r="X265" s="1235">
        <v>2.4244</v>
      </c>
      <c r="Y265" s="1236">
        <f t="shared" si="143"/>
        <v>116.3712</v>
      </c>
      <c r="Z265" s="1236"/>
      <c r="AA265" s="1004"/>
      <c r="AB265" s="1004" t="s">
        <v>984</v>
      </c>
      <c r="AC265" s="1004" t="s">
        <v>93</v>
      </c>
      <c r="AD265" s="1023" t="s">
        <v>94</v>
      </c>
      <c r="AE265" s="1004"/>
      <c r="AF265" s="1004">
        <v>48</v>
      </c>
      <c r="AG265" s="1002">
        <f t="shared" si="136"/>
        <v>0</v>
      </c>
      <c r="AH265" s="1055"/>
      <c r="AI265" s="1004" t="s">
        <v>95</v>
      </c>
      <c r="AJ265" s="1004"/>
      <c r="AK265" s="1004">
        <f t="shared" si="145"/>
        <v>96</v>
      </c>
      <c r="AL265" s="1004"/>
      <c r="AM265" s="1016">
        <f>I265*2</f>
        <v>96</v>
      </c>
      <c r="AP265" s="1004"/>
      <c r="AQ265" s="1004"/>
      <c r="AR265" s="1286"/>
      <c r="AS265" s="951">
        <f t="shared" si="147"/>
        <v>96</v>
      </c>
      <c r="AT265" s="1004"/>
      <c r="AU265" s="1004"/>
      <c r="AV265" s="1004"/>
      <c r="BE265" s="1016"/>
      <c r="BN265" s="974">
        <f t="shared" si="148"/>
        <v>48</v>
      </c>
      <c r="BO265" s="974">
        <f>I265</f>
        <v>48</v>
      </c>
      <c r="BQ265" s="974">
        <f t="shared" si="150"/>
        <v>48</v>
      </c>
      <c r="BU265" s="1018">
        <f t="shared" si="153"/>
        <v>96</v>
      </c>
      <c r="BV265" s="1018">
        <f>BV268+BU265</f>
        <v>2654492</v>
      </c>
      <c r="BW265" s="1018"/>
      <c r="BX265" s="1018"/>
      <c r="BY265" s="1018"/>
      <c r="BZ265" s="1018"/>
      <c r="CA265" s="974">
        <f t="shared" si="151"/>
        <v>165508</v>
      </c>
      <c r="CC265" s="974">
        <f t="shared" si="154"/>
        <v>0</v>
      </c>
      <c r="CD265" s="939">
        <f t="shared" si="144"/>
        <v>51036.5714285714</v>
      </c>
      <c r="CE265" s="1018"/>
      <c r="CF265" s="1018"/>
      <c r="CG265" s="1018"/>
      <c r="CH265" s="1018">
        <f t="shared" si="152"/>
        <v>8963.4285714286</v>
      </c>
      <c r="CI265" s="1018"/>
    </row>
    <row r="266" s="974" customFormat="1" ht="32" customHeight="1" spans="1:87">
      <c r="A266" s="1281">
        <v>45971</v>
      </c>
      <c r="B266" s="1282" t="s">
        <v>785</v>
      </c>
      <c r="C266" s="1003" t="s">
        <v>125</v>
      </c>
      <c r="D266" s="1283">
        <v>4500184640</v>
      </c>
      <c r="E266" s="1282" t="s">
        <v>1186</v>
      </c>
      <c r="F266" s="1284" t="s">
        <v>1187</v>
      </c>
      <c r="G266" s="1004" t="s">
        <v>196</v>
      </c>
      <c r="H266" s="1004" t="s">
        <v>197</v>
      </c>
      <c r="I266" s="1004">
        <v>264</v>
      </c>
      <c r="J266" s="1004">
        <v>0</v>
      </c>
      <c r="K266" s="1004">
        <v>12</v>
      </c>
      <c r="L266" s="1232">
        <f t="shared" si="142"/>
        <v>22</v>
      </c>
      <c r="M266" s="1007">
        <v>46036</v>
      </c>
      <c r="N266" s="1007">
        <v>46034</v>
      </c>
      <c r="O266" s="1024"/>
      <c r="P266" s="1285" t="s">
        <v>86</v>
      </c>
      <c r="Q266" s="1004"/>
      <c r="R266" s="1035">
        <v>45971</v>
      </c>
      <c r="S266" s="1035" t="s">
        <v>88</v>
      </c>
      <c r="T266" s="1035" t="s">
        <v>1181</v>
      </c>
      <c r="U266" s="1035"/>
      <c r="V266" s="1010" t="s">
        <v>1185</v>
      </c>
      <c r="W266" s="1007" t="s">
        <v>130</v>
      </c>
      <c r="X266" s="1235">
        <v>2.4244</v>
      </c>
      <c r="Y266" s="1236">
        <f t="shared" si="143"/>
        <v>640.0416</v>
      </c>
      <c r="Z266" s="1236"/>
      <c r="AA266" s="1004"/>
      <c r="AB266" s="1004" t="s">
        <v>984</v>
      </c>
      <c r="AC266" s="1004" t="s">
        <v>93</v>
      </c>
      <c r="AD266" s="1023" t="s">
        <v>94</v>
      </c>
      <c r="AE266" s="1004"/>
      <c r="AF266" s="1004">
        <v>264</v>
      </c>
      <c r="AG266" s="1002">
        <f t="shared" si="136"/>
        <v>0</v>
      </c>
      <c r="AH266" s="1055"/>
      <c r="AI266" s="1004" t="s">
        <v>95</v>
      </c>
      <c r="AJ266" s="1004"/>
      <c r="AK266" s="1004">
        <f t="shared" si="145"/>
        <v>528</v>
      </c>
      <c r="AL266" s="1004"/>
      <c r="AM266" s="1016">
        <f>I266*2</f>
        <v>528</v>
      </c>
      <c r="AP266" s="1004"/>
      <c r="AQ266" s="1004"/>
      <c r="AR266" s="1286"/>
      <c r="AS266" s="951">
        <f t="shared" si="147"/>
        <v>528</v>
      </c>
      <c r="AT266" s="1004"/>
      <c r="AU266" s="1004"/>
      <c r="AV266" s="1004"/>
      <c r="BE266" s="1016"/>
      <c r="BN266" s="974">
        <f t="shared" si="148"/>
        <v>264</v>
      </c>
      <c r="BO266" s="974">
        <f>I266</f>
        <v>264</v>
      </c>
      <c r="BQ266" s="974">
        <f t="shared" si="150"/>
        <v>264</v>
      </c>
      <c r="BU266" s="1018">
        <f t="shared" si="153"/>
        <v>528</v>
      </c>
      <c r="BV266" s="1018">
        <f>BV265+BU266</f>
        <v>2655020</v>
      </c>
      <c r="BW266" s="1018"/>
      <c r="BX266" s="1018"/>
      <c r="BY266" s="1018"/>
      <c r="BZ266" s="1018"/>
      <c r="CA266" s="974">
        <f t="shared" si="151"/>
        <v>164980</v>
      </c>
      <c r="CC266" s="974">
        <f t="shared" si="154"/>
        <v>0</v>
      </c>
      <c r="CD266" s="939">
        <f t="shared" si="144"/>
        <v>51036.5714285714</v>
      </c>
      <c r="CE266" s="1018"/>
      <c r="CF266" s="1018"/>
      <c r="CG266" s="1018"/>
      <c r="CH266" s="1018">
        <f t="shared" si="152"/>
        <v>8963.4285714286</v>
      </c>
      <c r="CI266" s="1018"/>
    </row>
    <row r="267" s="974" customFormat="1" ht="32" customHeight="1" spans="1:87">
      <c r="A267" s="1281">
        <v>45971</v>
      </c>
      <c r="B267" s="1282" t="s">
        <v>785</v>
      </c>
      <c r="C267" s="1003" t="s">
        <v>125</v>
      </c>
      <c r="D267" s="1283">
        <v>4500184679</v>
      </c>
      <c r="E267" s="1282" t="s">
        <v>1188</v>
      </c>
      <c r="F267" s="1284" t="s">
        <v>1189</v>
      </c>
      <c r="G267" s="1004" t="s">
        <v>196</v>
      </c>
      <c r="H267" s="1004" t="s">
        <v>197</v>
      </c>
      <c r="I267" s="1004">
        <v>276</v>
      </c>
      <c r="J267" s="1004">
        <v>0</v>
      </c>
      <c r="K267" s="1004">
        <v>12</v>
      </c>
      <c r="L267" s="1232">
        <f t="shared" si="142"/>
        <v>23</v>
      </c>
      <c r="M267" s="1007">
        <v>46036</v>
      </c>
      <c r="N267" s="1007">
        <v>46032</v>
      </c>
      <c r="O267" s="1024"/>
      <c r="P267" s="1285" t="s">
        <v>86</v>
      </c>
      <c r="Q267" s="1004"/>
      <c r="R267" s="1035">
        <v>45971</v>
      </c>
      <c r="S267" s="1035" t="s">
        <v>88</v>
      </c>
      <c r="T267" s="1035" t="s">
        <v>1181</v>
      </c>
      <c r="U267" s="1035"/>
      <c r="V267" s="1010" t="s">
        <v>1185</v>
      </c>
      <c r="W267" s="1007" t="s">
        <v>130</v>
      </c>
      <c r="X267" s="1235">
        <v>2.4244</v>
      </c>
      <c r="Y267" s="1236">
        <f t="shared" si="143"/>
        <v>669.1344</v>
      </c>
      <c r="Z267" s="1236"/>
      <c r="AA267" s="1004"/>
      <c r="AB267" s="1004" t="s">
        <v>984</v>
      </c>
      <c r="AC267" s="1004" t="s">
        <v>93</v>
      </c>
      <c r="AD267" s="1023" t="s">
        <v>94</v>
      </c>
      <c r="AE267" s="1004"/>
      <c r="AF267" s="1004">
        <v>276</v>
      </c>
      <c r="AG267" s="1002">
        <f t="shared" si="136"/>
        <v>0</v>
      </c>
      <c r="AH267" s="1055"/>
      <c r="AI267" s="1004" t="s">
        <v>95</v>
      </c>
      <c r="AJ267" s="1004"/>
      <c r="AK267" s="1004">
        <f t="shared" si="145"/>
        <v>552</v>
      </c>
      <c r="AL267" s="1004"/>
      <c r="AM267" s="1016">
        <f>I267*2</f>
        <v>552</v>
      </c>
      <c r="AP267" s="1004"/>
      <c r="AQ267" s="1004"/>
      <c r="AR267" s="1286"/>
      <c r="AS267" s="951">
        <f t="shared" si="147"/>
        <v>552</v>
      </c>
      <c r="AT267" s="1004"/>
      <c r="AU267" s="1004"/>
      <c r="AV267" s="1004"/>
      <c r="BE267" s="1016"/>
      <c r="BN267" s="974">
        <f t="shared" si="148"/>
        <v>276</v>
      </c>
      <c r="BO267" s="974">
        <f>I267</f>
        <v>276</v>
      </c>
      <c r="BQ267" s="974">
        <f t="shared" si="150"/>
        <v>276</v>
      </c>
      <c r="BU267" s="1018">
        <f t="shared" si="153"/>
        <v>552</v>
      </c>
      <c r="BV267" s="1018">
        <f>BV259+BU267</f>
        <v>2654348</v>
      </c>
      <c r="BW267" s="1018"/>
      <c r="BX267" s="1018"/>
      <c r="BY267" s="1018"/>
      <c r="BZ267" s="1018"/>
      <c r="CA267" s="974">
        <f t="shared" si="151"/>
        <v>165652</v>
      </c>
      <c r="CC267" s="974">
        <f t="shared" si="154"/>
        <v>0</v>
      </c>
      <c r="CD267" s="939">
        <f t="shared" si="144"/>
        <v>51036.5714285714</v>
      </c>
      <c r="CE267" s="1018"/>
      <c r="CF267" s="1018"/>
      <c r="CG267" s="1018"/>
      <c r="CH267" s="1018">
        <f t="shared" si="152"/>
        <v>8963.4285714286</v>
      </c>
      <c r="CI267" s="1018"/>
    </row>
    <row r="268" s="974" customFormat="1" ht="32" customHeight="1" spans="1:87">
      <c r="A268" s="1281">
        <v>45971</v>
      </c>
      <c r="B268" s="1282" t="s">
        <v>785</v>
      </c>
      <c r="C268" s="1003" t="s">
        <v>125</v>
      </c>
      <c r="D268" s="1283">
        <v>4500184679</v>
      </c>
      <c r="E268" s="1282" t="s">
        <v>1190</v>
      </c>
      <c r="F268" s="1284" t="s">
        <v>1191</v>
      </c>
      <c r="G268" s="1004" t="s">
        <v>196</v>
      </c>
      <c r="H268" s="1004" t="s">
        <v>197</v>
      </c>
      <c r="I268" s="1004">
        <v>24</v>
      </c>
      <c r="J268" s="1004">
        <v>0</v>
      </c>
      <c r="K268" s="1004">
        <v>12</v>
      </c>
      <c r="L268" s="1232">
        <f t="shared" si="142"/>
        <v>2</v>
      </c>
      <c r="M268" s="1007">
        <v>46036</v>
      </c>
      <c r="N268" s="1007">
        <v>46032</v>
      </c>
      <c r="O268" s="1024"/>
      <c r="P268" s="1285" t="s">
        <v>86</v>
      </c>
      <c r="Q268" s="1004"/>
      <c r="R268" s="1035">
        <v>45971</v>
      </c>
      <c r="S268" s="1035" t="s">
        <v>88</v>
      </c>
      <c r="T268" s="1035" t="s">
        <v>1181</v>
      </c>
      <c r="U268" s="1035"/>
      <c r="V268" s="1010" t="s">
        <v>1185</v>
      </c>
      <c r="W268" s="1007" t="s">
        <v>130</v>
      </c>
      <c r="X268" s="1235">
        <v>2.4244</v>
      </c>
      <c r="Y268" s="1236">
        <f t="shared" si="143"/>
        <v>58.1856</v>
      </c>
      <c r="Z268" s="1236"/>
      <c r="AA268" s="1004"/>
      <c r="AB268" s="1004" t="s">
        <v>984</v>
      </c>
      <c r="AC268" s="1004" t="s">
        <v>93</v>
      </c>
      <c r="AD268" s="1023" t="s">
        <v>94</v>
      </c>
      <c r="AE268" s="1004"/>
      <c r="AF268" s="1004">
        <v>24</v>
      </c>
      <c r="AG268" s="1002">
        <f t="shared" si="136"/>
        <v>0</v>
      </c>
      <c r="AH268" s="1055"/>
      <c r="AI268" s="1004" t="s">
        <v>95</v>
      </c>
      <c r="AJ268" s="1004"/>
      <c r="AK268" s="1004">
        <f t="shared" si="145"/>
        <v>48</v>
      </c>
      <c r="AL268" s="1004"/>
      <c r="AM268" s="1016">
        <f>I268*2</f>
        <v>48</v>
      </c>
      <c r="AP268" s="1004"/>
      <c r="AQ268" s="1004"/>
      <c r="AR268" s="1286"/>
      <c r="AS268" s="951">
        <f t="shared" si="147"/>
        <v>48</v>
      </c>
      <c r="AT268" s="1004"/>
      <c r="AU268" s="1004"/>
      <c r="AV268" s="1004"/>
      <c r="BE268" s="1016"/>
      <c r="BN268" s="974">
        <f t="shared" si="148"/>
        <v>24</v>
      </c>
      <c r="BO268" s="974">
        <f>I268</f>
        <v>24</v>
      </c>
      <c r="BQ268" s="974">
        <f t="shared" si="150"/>
        <v>24</v>
      </c>
      <c r="BU268" s="1018">
        <f t="shared" si="153"/>
        <v>48</v>
      </c>
      <c r="BV268" s="1018">
        <f>BV267+BU268</f>
        <v>2654396</v>
      </c>
      <c r="BW268" s="1018"/>
      <c r="BX268" s="1018"/>
      <c r="BY268" s="1018"/>
      <c r="BZ268" s="1018"/>
      <c r="CA268" s="974">
        <f t="shared" si="151"/>
        <v>165604</v>
      </c>
      <c r="CC268" s="974">
        <f t="shared" si="154"/>
        <v>0</v>
      </c>
      <c r="CD268" s="939">
        <f t="shared" si="144"/>
        <v>51036.5714285714</v>
      </c>
      <c r="CE268" s="1018"/>
      <c r="CF268" s="1018"/>
      <c r="CG268" s="1018"/>
      <c r="CH268" s="1018">
        <f t="shared" si="152"/>
        <v>8963.4285714286</v>
      </c>
      <c r="CI268" s="1018"/>
    </row>
    <row r="269" s="974" customFormat="1" ht="32" customHeight="1" spans="1:87">
      <c r="A269" s="1281">
        <v>45989</v>
      </c>
      <c r="B269" s="1282" t="s">
        <v>761</v>
      </c>
      <c r="C269" s="1003" t="s">
        <v>632</v>
      </c>
      <c r="D269" s="1283">
        <v>4500187446</v>
      </c>
      <c r="E269" s="1282" t="s">
        <v>1192</v>
      </c>
      <c r="F269" s="1284" t="s">
        <v>1193</v>
      </c>
      <c r="G269" s="1004" t="s">
        <v>196</v>
      </c>
      <c r="H269" s="1004" t="s">
        <v>197</v>
      </c>
      <c r="I269" s="1004">
        <v>12</v>
      </c>
      <c r="J269" s="1004">
        <v>0</v>
      </c>
      <c r="K269" s="1004">
        <v>12</v>
      </c>
      <c r="L269" s="1232">
        <f t="shared" si="142"/>
        <v>1</v>
      </c>
      <c r="M269" s="1007">
        <v>46038</v>
      </c>
      <c r="N269" s="1007">
        <v>46034</v>
      </c>
      <c r="O269" s="1024"/>
      <c r="P269" s="1285" t="s">
        <v>86</v>
      </c>
      <c r="Q269" s="1004"/>
      <c r="R269" s="1035">
        <v>45989</v>
      </c>
      <c r="S269" s="1035" t="s">
        <v>88</v>
      </c>
      <c r="T269" s="1035" t="s">
        <v>1194</v>
      </c>
      <c r="U269" s="1035"/>
      <c r="V269" s="1010" t="s">
        <v>1195</v>
      </c>
      <c r="W269" s="1007" t="s">
        <v>731</v>
      </c>
      <c r="X269" s="1235">
        <v>4.1214</v>
      </c>
      <c r="Y269" s="1236">
        <f t="shared" si="143"/>
        <v>49.4568</v>
      </c>
      <c r="Z269" s="1236"/>
      <c r="AA269" s="1004"/>
      <c r="AB269" s="1004" t="s">
        <v>808</v>
      </c>
      <c r="AC269" s="1004" t="s">
        <v>93</v>
      </c>
      <c r="AD269" s="1023" t="s">
        <v>94</v>
      </c>
      <c r="AE269" s="1004"/>
      <c r="AF269" s="1002">
        <v>12</v>
      </c>
      <c r="AG269" s="1002">
        <f t="shared" si="136"/>
        <v>0</v>
      </c>
      <c r="AH269" s="1055"/>
      <c r="AI269" s="1004" t="s">
        <v>95</v>
      </c>
      <c r="AJ269" s="1004"/>
      <c r="AK269" s="1004">
        <f t="shared" si="145"/>
        <v>24</v>
      </c>
      <c r="AL269" s="1004"/>
      <c r="AM269" s="1016"/>
      <c r="AO269" s="974">
        <f>I269*2</f>
        <v>24</v>
      </c>
      <c r="AP269" s="1004"/>
      <c r="AQ269" s="1004"/>
      <c r="AR269" s="1286"/>
      <c r="AS269" s="951">
        <f t="shared" si="147"/>
        <v>24</v>
      </c>
      <c r="AT269" s="1004"/>
      <c r="AU269" s="1004"/>
      <c r="AV269" s="1004"/>
      <c r="BE269" s="1016"/>
      <c r="BN269" s="974">
        <f t="shared" si="148"/>
        <v>12</v>
      </c>
      <c r="BP269" s="974">
        <f>I269</f>
        <v>12</v>
      </c>
      <c r="BQ269" s="974">
        <f t="shared" si="150"/>
        <v>12</v>
      </c>
      <c r="BU269" s="1018">
        <f t="shared" si="153"/>
        <v>24</v>
      </c>
      <c r="BV269" s="1018">
        <f>BV264+BU269</f>
        <v>2663060</v>
      </c>
      <c r="BW269" s="1018"/>
      <c r="BX269" s="1018"/>
      <c r="BY269" s="1018"/>
      <c r="BZ269" s="1018"/>
      <c r="CA269" s="974">
        <f t="shared" si="151"/>
        <v>156940</v>
      </c>
      <c r="CC269" s="974">
        <f t="shared" ref="CC260:CC292" si="155">AW269+AX269+BE269+BF269</f>
        <v>0</v>
      </c>
      <c r="CD269" s="939">
        <f t="shared" si="144"/>
        <v>51036.5714285714</v>
      </c>
      <c r="CE269" s="1018"/>
      <c r="CF269" s="1018"/>
      <c r="CG269" s="1018"/>
      <c r="CH269" s="1018">
        <f t="shared" si="152"/>
        <v>8963.4285714286</v>
      </c>
      <c r="CI269" s="1018"/>
    </row>
    <row r="270" s="974" customFormat="1" ht="32" customHeight="1" spans="1:87">
      <c r="A270" s="1281">
        <v>45989</v>
      </c>
      <c r="B270" s="1282" t="s">
        <v>761</v>
      </c>
      <c r="C270" s="1003" t="s">
        <v>632</v>
      </c>
      <c r="D270" s="1283">
        <v>4500187446</v>
      </c>
      <c r="E270" s="1282" t="s">
        <v>1196</v>
      </c>
      <c r="F270" s="1284" t="s">
        <v>1197</v>
      </c>
      <c r="G270" s="1004" t="s">
        <v>196</v>
      </c>
      <c r="H270" s="1004" t="s">
        <v>197</v>
      </c>
      <c r="I270" s="1004">
        <v>12</v>
      </c>
      <c r="J270" s="1004">
        <v>0</v>
      </c>
      <c r="K270" s="1004">
        <v>12</v>
      </c>
      <c r="L270" s="1232">
        <f t="shared" si="142"/>
        <v>1</v>
      </c>
      <c r="M270" s="1007">
        <v>46038</v>
      </c>
      <c r="N270" s="1007">
        <v>46034</v>
      </c>
      <c r="O270" s="1024"/>
      <c r="P270" s="1285" t="s">
        <v>86</v>
      </c>
      <c r="Q270" s="1004"/>
      <c r="R270" s="1035">
        <v>45989</v>
      </c>
      <c r="S270" s="1035" t="s">
        <v>88</v>
      </c>
      <c r="T270" s="1035" t="s">
        <v>1194</v>
      </c>
      <c r="U270" s="1035"/>
      <c r="V270" s="1010" t="s">
        <v>1195</v>
      </c>
      <c r="W270" s="1007" t="s">
        <v>731</v>
      </c>
      <c r="X270" s="1235">
        <v>4.1214</v>
      </c>
      <c r="Y270" s="1236">
        <f t="shared" si="143"/>
        <v>49.4568</v>
      </c>
      <c r="Z270" s="1236"/>
      <c r="AA270" s="1004"/>
      <c r="AB270" s="1004" t="s">
        <v>808</v>
      </c>
      <c r="AC270" s="1004" t="s">
        <v>93</v>
      </c>
      <c r="AD270" s="1023" t="s">
        <v>94</v>
      </c>
      <c r="AE270" s="1004"/>
      <c r="AF270" s="1022"/>
      <c r="AG270" s="1002">
        <f t="shared" si="136"/>
        <v>-12</v>
      </c>
      <c r="AH270" s="1055"/>
      <c r="AI270" s="1004" t="s">
        <v>95</v>
      </c>
      <c r="AJ270" s="1004"/>
      <c r="AK270" s="1004">
        <f t="shared" si="145"/>
        <v>24</v>
      </c>
      <c r="AL270" s="1004"/>
      <c r="AM270" s="1016"/>
      <c r="AO270" s="974">
        <f t="shared" ref="AO270:AO278" si="156">I270*2</f>
        <v>24</v>
      </c>
      <c r="AP270" s="1004"/>
      <c r="AQ270" s="1004"/>
      <c r="AR270" s="1286"/>
      <c r="AS270" s="951">
        <f t="shared" si="147"/>
        <v>24</v>
      </c>
      <c r="AT270" s="1004"/>
      <c r="AU270" s="1004"/>
      <c r="AV270" s="1004"/>
      <c r="BE270" s="1016"/>
      <c r="BN270" s="974">
        <f t="shared" si="148"/>
        <v>12</v>
      </c>
      <c r="BP270" s="974">
        <f>I270</f>
        <v>12</v>
      </c>
      <c r="BQ270" s="974">
        <f t="shared" si="150"/>
        <v>12</v>
      </c>
      <c r="BU270" s="1018">
        <f t="shared" si="153"/>
        <v>24</v>
      </c>
      <c r="BV270" s="1018">
        <f>BV269+BU270</f>
        <v>2663084</v>
      </c>
      <c r="BW270" s="1018"/>
      <c r="BX270" s="1018"/>
      <c r="BY270" s="1018"/>
      <c r="BZ270" s="1018"/>
      <c r="CA270" s="974">
        <f t="shared" si="151"/>
        <v>156916</v>
      </c>
      <c r="CC270" s="974">
        <f t="shared" si="155"/>
        <v>0</v>
      </c>
      <c r="CD270" s="939">
        <f t="shared" si="144"/>
        <v>51036.5714285714</v>
      </c>
      <c r="CE270" s="1018"/>
      <c r="CF270" s="1018"/>
      <c r="CG270" s="1018"/>
      <c r="CH270" s="1018">
        <f t="shared" si="152"/>
        <v>8963.4285714286</v>
      </c>
      <c r="CI270" s="1018"/>
    </row>
    <row r="271" s="974" customFormat="1" ht="32" customHeight="1" spans="1:87">
      <c r="A271" s="1281">
        <v>45989</v>
      </c>
      <c r="B271" s="1282" t="s">
        <v>761</v>
      </c>
      <c r="C271" s="1003" t="s">
        <v>632</v>
      </c>
      <c r="D271" s="1283">
        <v>4500187446</v>
      </c>
      <c r="E271" s="1282" t="s">
        <v>1198</v>
      </c>
      <c r="F271" s="1284" t="s">
        <v>1199</v>
      </c>
      <c r="G271" s="1004" t="s">
        <v>196</v>
      </c>
      <c r="H271" s="1004" t="s">
        <v>197</v>
      </c>
      <c r="I271" s="1004">
        <v>12</v>
      </c>
      <c r="J271" s="1004">
        <v>0</v>
      </c>
      <c r="K271" s="1004">
        <v>12</v>
      </c>
      <c r="L271" s="1232">
        <f t="shared" si="142"/>
        <v>1</v>
      </c>
      <c r="M271" s="1007">
        <v>46038</v>
      </c>
      <c r="N271" s="1007">
        <v>46034</v>
      </c>
      <c r="O271" s="1024"/>
      <c r="P271" s="1285" t="s">
        <v>86</v>
      </c>
      <c r="Q271" s="1004"/>
      <c r="R271" s="1035">
        <v>45989</v>
      </c>
      <c r="S271" s="1035" t="s">
        <v>88</v>
      </c>
      <c r="T271" s="1035" t="s">
        <v>1194</v>
      </c>
      <c r="U271" s="1035"/>
      <c r="V271" s="1010" t="s">
        <v>1195</v>
      </c>
      <c r="W271" s="1007" t="s">
        <v>731</v>
      </c>
      <c r="X271" s="1235">
        <v>4.1214</v>
      </c>
      <c r="Y271" s="1236">
        <f t="shared" si="143"/>
        <v>49.4568</v>
      </c>
      <c r="Z271" s="1236"/>
      <c r="AA271" s="1004"/>
      <c r="AB271" s="1004" t="s">
        <v>808</v>
      </c>
      <c r="AC271" s="1004" t="s">
        <v>93</v>
      </c>
      <c r="AD271" s="1023" t="s">
        <v>94</v>
      </c>
      <c r="AE271" s="1004"/>
      <c r="AF271" s="1023"/>
      <c r="AG271" s="1002">
        <f t="shared" si="136"/>
        <v>-12</v>
      </c>
      <c r="AH271" s="1055"/>
      <c r="AI271" s="1004" t="s">
        <v>95</v>
      </c>
      <c r="AJ271" s="1004"/>
      <c r="AK271" s="1004">
        <f t="shared" si="145"/>
        <v>24</v>
      </c>
      <c r="AL271" s="1004"/>
      <c r="AM271" s="1016"/>
      <c r="AO271" s="974">
        <f t="shared" si="156"/>
        <v>24</v>
      </c>
      <c r="AP271" s="1004"/>
      <c r="AQ271" s="1004"/>
      <c r="AR271" s="1286"/>
      <c r="AS271" s="951">
        <f t="shared" si="147"/>
        <v>24</v>
      </c>
      <c r="AT271" s="1004"/>
      <c r="AU271" s="1004"/>
      <c r="AV271" s="1004"/>
      <c r="BE271" s="1016"/>
      <c r="BN271" s="974">
        <f t="shared" si="148"/>
        <v>12</v>
      </c>
      <c r="BP271" s="974">
        <f>I271</f>
        <v>12</v>
      </c>
      <c r="BQ271" s="974">
        <f t="shared" si="150"/>
        <v>12</v>
      </c>
      <c r="BU271" s="1018">
        <f t="shared" si="153"/>
        <v>24</v>
      </c>
      <c r="BV271" s="1018">
        <f>BV270+BU271</f>
        <v>2663108</v>
      </c>
      <c r="BW271" s="1018"/>
      <c r="BX271" s="1018"/>
      <c r="BY271" s="1018"/>
      <c r="BZ271" s="1018"/>
      <c r="CA271" s="974">
        <f t="shared" si="151"/>
        <v>156892</v>
      </c>
      <c r="CC271" s="974">
        <f t="shared" si="155"/>
        <v>0</v>
      </c>
      <c r="CD271" s="939">
        <f t="shared" si="144"/>
        <v>51036.5714285714</v>
      </c>
      <c r="CE271" s="1018"/>
      <c r="CF271" s="1018"/>
      <c r="CG271" s="1018"/>
      <c r="CH271" s="1018">
        <f t="shared" si="152"/>
        <v>8963.4285714286</v>
      </c>
      <c r="CI271" s="1018"/>
    </row>
    <row r="272" s="974" customFormat="1" ht="32" customHeight="1" spans="1:87">
      <c r="A272" s="1281">
        <v>46014</v>
      </c>
      <c r="B272" s="1282" t="s">
        <v>733</v>
      </c>
      <c r="C272" s="1003" t="s">
        <v>720</v>
      </c>
      <c r="D272" s="1283">
        <v>4500189691</v>
      </c>
      <c r="E272" s="1282"/>
      <c r="F272" s="1284" t="s">
        <v>1200</v>
      </c>
      <c r="G272" s="1004" t="s">
        <v>205</v>
      </c>
      <c r="H272" s="1004" t="s">
        <v>189</v>
      </c>
      <c r="I272" s="1004">
        <v>600</v>
      </c>
      <c r="J272" s="1004">
        <v>0</v>
      </c>
      <c r="K272" s="1004">
        <v>50</v>
      </c>
      <c r="L272" s="1232">
        <f t="shared" si="142"/>
        <v>12</v>
      </c>
      <c r="M272" s="1007">
        <v>46052</v>
      </c>
      <c r="N272" s="1007">
        <v>46048</v>
      </c>
      <c r="O272" s="1024"/>
      <c r="P272" s="1285" t="s">
        <v>86</v>
      </c>
      <c r="Q272" s="1004"/>
      <c r="R272" s="1035">
        <v>46386</v>
      </c>
      <c r="S272" s="1035" t="s">
        <v>98</v>
      </c>
      <c r="T272" s="1035" t="s">
        <v>1201</v>
      </c>
      <c r="U272" s="1035"/>
      <c r="V272" s="1010" t="s">
        <v>1202</v>
      </c>
      <c r="W272" s="1007" t="s">
        <v>723</v>
      </c>
      <c r="X272" s="1235">
        <v>1.9438</v>
      </c>
      <c r="Y272" s="1236">
        <f t="shared" si="143"/>
        <v>1166.28</v>
      </c>
      <c r="Z272" s="1236"/>
      <c r="AA272" s="1004"/>
      <c r="AB272" s="1004" t="s">
        <v>210</v>
      </c>
      <c r="AC272" s="1004" t="s">
        <v>93</v>
      </c>
      <c r="AD272" s="1023" t="s">
        <v>1203</v>
      </c>
      <c r="AE272" s="1004"/>
      <c r="AF272" s="1004">
        <v>600</v>
      </c>
      <c r="AG272" s="1002">
        <f t="shared" si="136"/>
        <v>0</v>
      </c>
      <c r="AH272" s="1055"/>
      <c r="AI272" s="1004" t="s">
        <v>95</v>
      </c>
      <c r="AJ272" s="1004"/>
      <c r="AK272" s="1004">
        <f>I272</f>
        <v>600</v>
      </c>
      <c r="AL272" s="1004"/>
      <c r="AM272" s="1016"/>
      <c r="AP272" s="1004">
        <f>I272</f>
        <v>600</v>
      </c>
      <c r="AQ272" s="1004"/>
      <c r="AR272" s="1286"/>
      <c r="AS272" s="1004">
        <f>I272</f>
        <v>600</v>
      </c>
      <c r="AT272" s="1004"/>
      <c r="AU272" s="1004"/>
      <c r="AV272" s="1004"/>
      <c r="BE272" s="1016"/>
      <c r="BF272" s="974">
        <f>I272/25</f>
        <v>24</v>
      </c>
      <c r="BU272" s="1018">
        <f t="shared" si="153"/>
        <v>600</v>
      </c>
      <c r="BV272" s="1018">
        <f>BV271+BU272</f>
        <v>2663708</v>
      </c>
      <c r="BW272" s="1018"/>
      <c r="BX272" s="1018"/>
      <c r="BY272" s="1018"/>
      <c r="BZ272" s="1018"/>
      <c r="CA272" s="974">
        <f t="shared" si="151"/>
        <v>156292</v>
      </c>
      <c r="CC272" s="974">
        <f t="shared" si="155"/>
        <v>24</v>
      </c>
      <c r="CD272" s="939">
        <f t="shared" si="144"/>
        <v>51060.5714285714</v>
      </c>
      <c r="CE272" s="1018"/>
      <c r="CF272" s="1018"/>
      <c r="CG272" s="1018"/>
      <c r="CH272" s="1018">
        <f t="shared" si="152"/>
        <v>8939.4285714286</v>
      </c>
      <c r="CI272" s="1018"/>
    </row>
    <row r="273" s="974" customFormat="1" ht="32" customHeight="1" spans="1:87">
      <c r="A273" s="1281">
        <v>46010</v>
      </c>
      <c r="B273" s="1282" t="s">
        <v>1204</v>
      </c>
      <c r="C273" s="1003" t="s">
        <v>125</v>
      </c>
      <c r="D273" s="1283">
        <v>4500189455</v>
      </c>
      <c r="E273" s="1282"/>
      <c r="F273" s="1284" t="s">
        <v>1205</v>
      </c>
      <c r="G273" s="1004" t="s">
        <v>1206</v>
      </c>
      <c r="H273" s="1004"/>
      <c r="I273" s="1004">
        <v>4500</v>
      </c>
      <c r="J273" s="1004">
        <v>0</v>
      </c>
      <c r="K273" s="1004">
        <v>25</v>
      </c>
      <c r="L273" s="1232">
        <f t="shared" si="142"/>
        <v>180</v>
      </c>
      <c r="M273" s="1007">
        <v>46052</v>
      </c>
      <c r="N273" s="1007">
        <v>46048</v>
      </c>
      <c r="O273" s="1024"/>
      <c r="P273" s="1285" t="s">
        <v>86</v>
      </c>
      <c r="Q273" s="1004"/>
      <c r="R273" s="1035">
        <v>46028</v>
      </c>
      <c r="S273" s="1035" t="s">
        <v>98</v>
      </c>
      <c r="T273" s="1035" t="s">
        <v>98</v>
      </c>
      <c r="U273" s="1035"/>
      <c r="V273" s="1010" t="s">
        <v>1207</v>
      </c>
      <c r="W273" s="1007" t="s">
        <v>900</v>
      </c>
      <c r="X273" s="1235">
        <v>110.056</v>
      </c>
      <c r="Y273" s="1236">
        <f>L273*X273</f>
        <v>19810.08</v>
      </c>
      <c r="Z273" s="1236"/>
      <c r="AA273" s="1004"/>
      <c r="AB273" s="1004" t="s">
        <v>1206</v>
      </c>
      <c r="AC273" s="1004" t="s">
        <v>93</v>
      </c>
      <c r="AD273" s="1023" t="s">
        <v>1203</v>
      </c>
      <c r="AE273" s="1004"/>
      <c r="AF273" s="1004">
        <v>4500</v>
      </c>
      <c r="AG273" s="1002">
        <f t="shared" si="136"/>
        <v>0</v>
      </c>
      <c r="AH273" s="1055"/>
      <c r="AI273" s="1004" t="s">
        <v>98</v>
      </c>
      <c r="AJ273" s="1004"/>
      <c r="AK273" s="1004">
        <f>I273</f>
        <v>4500</v>
      </c>
      <c r="AL273" s="1004"/>
      <c r="AM273" s="1016">
        <f>I273*2</f>
        <v>9000</v>
      </c>
      <c r="AP273" s="1004"/>
      <c r="AQ273" s="1004"/>
      <c r="AR273" s="1286"/>
      <c r="AS273" s="1004">
        <f>I273</f>
        <v>4500</v>
      </c>
      <c r="AT273" s="1004"/>
      <c r="AU273" s="1004"/>
      <c r="AV273" s="1004"/>
      <c r="BE273" s="1016">
        <f>I273/25</f>
        <v>180</v>
      </c>
      <c r="BU273" s="1018">
        <f t="shared" si="153"/>
        <v>4500</v>
      </c>
      <c r="BV273" s="1018">
        <f>BV272+BU273</f>
        <v>2668208</v>
      </c>
      <c r="BW273" s="1018"/>
      <c r="BX273" s="1018"/>
      <c r="BY273" s="1018"/>
      <c r="BZ273" s="1018"/>
      <c r="CA273" s="974">
        <f t="shared" si="151"/>
        <v>151792</v>
      </c>
      <c r="CC273" s="974">
        <f t="shared" si="155"/>
        <v>180</v>
      </c>
      <c r="CD273" s="939">
        <f t="shared" si="144"/>
        <v>51240.5714285714</v>
      </c>
      <c r="CE273" s="1018"/>
      <c r="CF273" s="1018"/>
      <c r="CG273" s="1018"/>
      <c r="CH273" s="1018">
        <f t="shared" si="152"/>
        <v>8759.4285714286</v>
      </c>
      <c r="CI273" s="1018"/>
    </row>
    <row r="274" s="974" customFormat="1" ht="32" customHeight="1" spans="1:87">
      <c r="A274" s="1281">
        <v>45985</v>
      </c>
      <c r="B274" s="1282" t="s">
        <v>194</v>
      </c>
      <c r="C274" s="1003" t="s">
        <v>125</v>
      </c>
      <c r="D274" s="1283">
        <v>4500186609</v>
      </c>
      <c r="E274" s="1282">
        <v>60261219</v>
      </c>
      <c r="F274" s="1284" t="s">
        <v>1208</v>
      </c>
      <c r="G274" s="1004" t="s">
        <v>196</v>
      </c>
      <c r="H274" s="1004" t="s">
        <v>197</v>
      </c>
      <c r="I274" s="1004">
        <v>2004</v>
      </c>
      <c r="J274" s="1004">
        <v>0</v>
      </c>
      <c r="K274" s="1004">
        <v>12</v>
      </c>
      <c r="L274" s="1232">
        <f t="shared" si="142"/>
        <v>167</v>
      </c>
      <c r="M274" s="1007">
        <v>46055</v>
      </c>
      <c r="N274" s="1007">
        <v>46051</v>
      </c>
      <c r="O274" s="1024"/>
      <c r="P274" s="1285" t="s">
        <v>86</v>
      </c>
      <c r="Q274" s="1004"/>
      <c r="R274" s="1035">
        <v>45985</v>
      </c>
      <c r="S274" s="1035" t="s">
        <v>98</v>
      </c>
      <c r="T274" s="1035" t="s">
        <v>389</v>
      </c>
      <c r="U274" s="1035"/>
      <c r="V274" s="1010" t="s">
        <v>1209</v>
      </c>
      <c r="W274" s="1007" t="s">
        <v>887</v>
      </c>
      <c r="X274" s="1235">
        <v>2.3946</v>
      </c>
      <c r="Y274" s="1236">
        <f t="shared" si="143"/>
        <v>4798.7784</v>
      </c>
      <c r="Z274" s="1236"/>
      <c r="AA274" s="1004"/>
      <c r="AB274" s="1004" t="s">
        <v>984</v>
      </c>
      <c r="AC274" s="1004" t="s">
        <v>93</v>
      </c>
      <c r="AD274" s="1023" t="s">
        <v>94</v>
      </c>
      <c r="AE274" s="1004"/>
      <c r="AF274" s="1004">
        <f>1992+12</f>
        <v>2004</v>
      </c>
      <c r="AG274" s="1002">
        <f t="shared" si="136"/>
        <v>0</v>
      </c>
      <c r="AH274" s="1055"/>
      <c r="AI274" s="1004" t="s">
        <v>95</v>
      </c>
      <c r="AJ274" s="1004"/>
      <c r="AK274" s="1004">
        <f t="shared" ref="AK274:AK291" si="157">I274*2</f>
        <v>4008</v>
      </c>
      <c r="AL274" s="1004"/>
      <c r="AM274" s="1016">
        <f>I274*2</f>
        <v>4008</v>
      </c>
      <c r="AP274" s="1004"/>
      <c r="AQ274" s="1004"/>
      <c r="AR274" s="1286"/>
      <c r="AS274" s="951">
        <f t="shared" ref="AS274:AS285" si="158">I274*2</f>
        <v>4008</v>
      </c>
      <c r="AT274" s="1004"/>
      <c r="AU274" s="1004"/>
      <c r="AV274" s="1004"/>
      <c r="BE274" s="1016"/>
      <c r="BN274" s="974">
        <f t="shared" ref="BN274:BN285" si="159">I274</f>
        <v>2004</v>
      </c>
      <c r="BP274" s="974">
        <f>I274</f>
        <v>2004</v>
      </c>
      <c r="BQ274" s="974">
        <f t="shared" ref="BQ274:BQ285" si="160">I274</f>
        <v>2004</v>
      </c>
      <c r="BU274" s="1018">
        <f t="shared" si="153"/>
        <v>4008</v>
      </c>
      <c r="BV274" s="1018">
        <f>BV271+BU274</f>
        <v>2667116</v>
      </c>
      <c r="BW274" s="1018"/>
      <c r="BX274" s="1018"/>
      <c r="BY274" s="1018"/>
      <c r="BZ274" s="1018"/>
      <c r="CA274" s="974">
        <f t="shared" si="151"/>
        <v>152884</v>
      </c>
      <c r="CC274" s="974">
        <f t="shared" si="155"/>
        <v>0</v>
      </c>
      <c r="CD274" s="939">
        <f t="shared" si="144"/>
        <v>51240.5714285714</v>
      </c>
      <c r="CE274" s="1018"/>
      <c r="CF274" s="1018"/>
      <c r="CG274" s="1018"/>
      <c r="CH274" s="1018">
        <f t="shared" si="152"/>
        <v>8759.4285714286</v>
      </c>
      <c r="CI274" s="1018"/>
    </row>
    <row r="275" s="974" customFormat="1" ht="32" customHeight="1" spans="1:87">
      <c r="A275" s="1281">
        <v>46016</v>
      </c>
      <c r="B275" s="1282" t="s">
        <v>761</v>
      </c>
      <c r="C275" s="1003" t="s">
        <v>632</v>
      </c>
      <c r="D275" s="1283">
        <v>4500190061</v>
      </c>
      <c r="E275" s="1282" t="s">
        <v>1210</v>
      </c>
      <c r="F275" s="1284" t="s">
        <v>1211</v>
      </c>
      <c r="G275" s="1004" t="s">
        <v>196</v>
      </c>
      <c r="H275" s="1004" t="s">
        <v>197</v>
      </c>
      <c r="I275" s="1004">
        <v>48</v>
      </c>
      <c r="J275" s="1004">
        <v>0</v>
      </c>
      <c r="K275" s="1004">
        <v>12</v>
      </c>
      <c r="L275" s="1232">
        <f t="shared" si="142"/>
        <v>4</v>
      </c>
      <c r="M275" s="1007">
        <v>46059</v>
      </c>
      <c r="N275" s="1007">
        <v>46055</v>
      </c>
      <c r="O275" s="1024"/>
      <c r="P275" s="1285" t="s">
        <v>86</v>
      </c>
      <c r="Q275" s="1004"/>
      <c r="R275" s="1035">
        <v>46016</v>
      </c>
      <c r="S275" s="1035" t="s">
        <v>88</v>
      </c>
      <c r="T275" s="1035" t="s">
        <v>1212</v>
      </c>
      <c r="U275" s="1035"/>
      <c r="V275" s="1010" t="s">
        <v>1213</v>
      </c>
      <c r="W275" s="1007" t="s">
        <v>731</v>
      </c>
      <c r="X275" s="1235">
        <v>4.0025</v>
      </c>
      <c r="Y275" s="1236">
        <f t="shared" si="143"/>
        <v>192.12</v>
      </c>
      <c r="Z275" s="1236"/>
      <c r="AA275" s="1004"/>
      <c r="AB275" s="1004" t="s">
        <v>808</v>
      </c>
      <c r="AC275" s="1004" t="s">
        <v>93</v>
      </c>
      <c r="AD275" s="1023" t="s">
        <v>1203</v>
      </c>
      <c r="AE275" s="1004"/>
      <c r="AF275" s="1004">
        <v>48</v>
      </c>
      <c r="AG275" s="1002">
        <f t="shared" si="136"/>
        <v>0</v>
      </c>
      <c r="AH275" s="1055"/>
      <c r="AI275" s="1004" t="s">
        <v>95</v>
      </c>
      <c r="AJ275" s="1004"/>
      <c r="AK275" s="1004">
        <f t="shared" si="157"/>
        <v>96</v>
      </c>
      <c r="AL275" s="1004"/>
      <c r="AM275" s="1016"/>
      <c r="AO275" s="974">
        <f t="shared" si="156"/>
        <v>96</v>
      </c>
      <c r="AP275" s="1004"/>
      <c r="AQ275" s="1004"/>
      <c r="AR275" s="1286"/>
      <c r="AS275" s="951">
        <f t="shared" si="158"/>
        <v>96</v>
      </c>
      <c r="AT275" s="1004"/>
      <c r="AU275" s="1004"/>
      <c r="AV275" s="1004"/>
      <c r="BE275" s="1016"/>
      <c r="BN275" s="974">
        <f t="shared" si="159"/>
        <v>48</v>
      </c>
      <c r="BP275" s="974">
        <f>I275</f>
        <v>48</v>
      </c>
      <c r="BQ275" s="974">
        <f t="shared" si="160"/>
        <v>48</v>
      </c>
      <c r="BU275" s="1018">
        <f t="shared" si="153"/>
        <v>96</v>
      </c>
      <c r="BV275" s="1018">
        <f>BV272+BU275</f>
        <v>2663804</v>
      </c>
      <c r="BW275" s="1018"/>
      <c r="BX275" s="1018"/>
      <c r="BY275" s="1018"/>
      <c r="BZ275" s="1018"/>
      <c r="CA275" s="974">
        <f t="shared" si="151"/>
        <v>156196</v>
      </c>
      <c r="CC275" s="974">
        <f t="shared" si="155"/>
        <v>0</v>
      </c>
      <c r="CD275" s="939">
        <f t="shared" si="144"/>
        <v>51240.5714285714</v>
      </c>
      <c r="CE275" s="1018"/>
      <c r="CF275" s="1018"/>
      <c r="CG275" s="1018"/>
      <c r="CH275" s="1018">
        <f t="shared" si="152"/>
        <v>8759.4285714286</v>
      </c>
      <c r="CI275" s="1018"/>
    </row>
    <row r="276" s="974" customFormat="1" ht="32" customHeight="1" spans="1:87">
      <c r="A276" s="1281">
        <v>46016</v>
      </c>
      <c r="B276" s="1282" t="s">
        <v>761</v>
      </c>
      <c r="C276" s="1003" t="s">
        <v>632</v>
      </c>
      <c r="D276" s="1283">
        <v>4500190061</v>
      </c>
      <c r="E276" s="1282" t="s">
        <v>1214</v>
      </c>
      <c r="F276" s="1284" t="s">
        <v>1215</v>
      </c>
      <c r="G276" s="1004" t="s">
        <v>196</v>
      </c>
      <c r="H276" s="1004" t="s">
        <v>197</v>
      </c>
      <c r="I276" s="1004">
        <v>12</v>
      </c>
      <c r="J276" s="1004">
        <v>0</v>
      </c>
      <c r="K276" s="1004">
        <v>12</v>
      </c>
      <c r="L276" s="1232">
        <f t="shared" si="142"/>
        <v>1</v>
      </c>
      <c r="M276" s="1007">
        <v>46059</v>
      </c>
      <c r="N276" s="1007">
        <v>46055</v>
      </c>
      <c r="O276" s="1024"/>
      <c r="P276" s="1285" t="s">
        <v>86</v>
      </c>
      <c r="Q276" s="1004"/>
      <c r="R276" s="1035">
        <v>46016</v>
      </c>
      <c r="S276" s="1035" t="s">
        <v>88</v>
      </c>
      <c r="T276" s="1035" t="s">
        <v>1212</v>
      </c>
      <c r="U276" s="1035"/>
      <c r="V276" s="1010" t="s">
        <v>1213</v>
      </c>
      <c r="W276" s="1007" t="s">
        <v>731</v>
      </c>
      <c r="X276" s="1235">
        <v>4.0025</v>
      </c>
      <c r="Y276" s="1236">
        <f t="shared" si="143"/>
        <v>48.03</v>
      </c>
      <c r="Z276" s="1236"/>
      <c r="AA276" s="1004"/>
      <c r="AB276" s="1004" t="s">
        <v>808</v>
      </c>
      <c r="AC276" s="1004" t="s">
        <v>93</v>
      </c>
      <c r="AD276" s="1023" t="s">
        <v>1203</v>
      </c>
      <c r="AE276" s="1004"/>
      <c r="AF276" s="1002">
        <v>12</v>
      </c>
      <c r="AG276" s="1002">
        <f t="shared" si="136"/>
        <v>0</v>
      </c>
      <c r="AH276" s="1055"/>
      <c r="AI276" s="1004" t="s">
        <v>95</v>
      </c>
      <c r="AJ276" s="1004"/>
      <c r="AK276" s="1004">
        <f t="shared" si="157"/>
        <v>24</v>
      </c>
      <c r="AL276" s="1004"/>
      <c r="AM276" s="1016"/>
      <c r="AO276" s="974">
        <f t="shared" si="156"/>
        <v>24</v>
      </c>
      <c r="AP276" s="1004"/>
      <c r="AQ276" s="1004"/>
      <c r="AR276" s="1286"/>
      <c r="AS276" s="951">
        <f t="shared" si="158"/>
        <v>24</v>
      </c>
      <c r="AT276" s="1004"/>
      <c r="AU276" s="1004"/>
      <c r="AV276" s="1004"/>
      <c r="BE276" s="1016"/>
      <c r="BN276" s="974">
        <f t="shared" si="159"/>
        <v>12</v>
      </c>
      <c r="BP276" s="974">
        <f>I276</f>
        <v>12</v>
      </c>
      <c r="BQ276" s="974">
        <f t="shared" si="160"/>
        <v>12</v>
      </c>
      <c r="BU276" s="1018">
        <f t="shared" si="153"/>
        <v>24</v>
      </c>
      <c r="BV276" s="1018">
        <f>BV273+BU276</f>
        <v>2668232</v>
      </c>
      <c r="BW276" s="1018"/>
      <c r="BX276" s="1018"/>
      <c r="BY276" s="1018"/>
      <c r="BZ276" s="1018"/>
      <c r="CA276" s="974">
        <f t="shared" si="151"/>
        <v>151768</v>
      </c>
      <c r="CC276" s="974">
        <f t="shared" si="155"/>
        <v>0</v>
      </c>
      <c r="CD276" s="939">
        <f t="shared" si="144"/>
        <v>51240.5714285714</v>
      </c>
      <c r="CE276" s="1018"/>
      <c r="CF276" s="1018"/>
      <c r="CG276" s="1018"/>
      <c r="CH276" s="1018">
        <f t="shared" si="152"/>
        <v>8759.4285714286</v>
      </c>
      <c r="CI276" s="1018"/>
    </row>
    <row r="277" s="974" customFormat="1" ht="32" customHeight="1" spans="1:87">
      <c r="A277" s="1281">
        <v>46016</v>
      </c>
      <c r="B277" s="1282" t="s">
        <v>761</v>
      </c>
      <c r="C277" s="1003" t="s">
        <v>632</v>
      </c>
      <c r="D277" s="1283">
        <v>4500190061</v>
      </c>
      <c r="E277" s="1282" t="s">
        <v>1216</v>
      </c>
      <c r="F277" s="1284" t="s">
        <v>1217</v>
      </c>
      <c r="G277" s="1004" t="s">
        <v>196</v>
      </c>
      <c r="H277" s="1004" t="s">
        <v>197</v>
      </c>
      <c r="I277" s="1004">
        <v>12</v>
      </c>
      <c r="J277" s="1004">
        <v>0</v>
      </c>
      <c r="K277" s="1004">
        <v>12</v>
      </c>
      <c r="L277" s="1232">
        <f t="shared" si="142"/>
        <v>1</v>
      </c>
      <c r="M277" s="1007">
        <v>46059</v>
      </c>
      <c r="N277" s="1007">
        <v>46055</v>
      </c>
      <c r="O277" s="1024"/>
      <c r="P277" s="1285" t="s">
        <v>86</v>
      </c>
      <c r="Q277" s="1004"/>
      <c r="R277" s="1035">
        <v>46016</v>
      </c>
      <c r="S277" s="1035" t="s">
        <v>88</v>
      </c>
      <c r="T277" s="1035" t="s">
        <v>1212</v>
      </c>
      <c r="U277" s="1035"/>
      <c r="V277" s="1010" t="s">
        <v>1213</v>
      </c>
      <c r="W277" s="1007" t="s">
        <v>731</v>
      </c>
      <c r="X277" s="1235">
        <v>4.0025</v>
      </c>
      <c r="Y277" s="1236">
        <f t="shared" si="143"/>
        <v>48.03</v>
      </c>
      <c r="Z277" s="1236"/>
      <c r="AA277" s="1004"/>
      <c r="AB277" s="1004" t="s">
        <v>808</v>
      </c>
      <c r="AC277" s="1004" t="s">
        <v>93</v>
      </c>
      <c r="AD277" s="1023" t="s">
        <v>1203</v>
      </c>
      <c r="AE277" s="1004"/>
      <c r="AF277" s="1022"/>
      <c r="AG277" s="1002">
        <f t="shared" si="136"/>
        <v>-12</v>
      </c>
      <c r="AH277" s="1055"/>
      <c r="AI277" s="1004" t="s">
        <v>95</v>
      </c>
      <c r="AJ277" s="1004"/>
      <c r="AK277" s="1004">
        <f t="shared" si="157"/>
        <v>24</v>
      </c>
      <c r="AL277" s="1004"/>
      <c r="AM277" s="1016"/>
      <c r="AO277" s="974">
        <f t="shared" si="156"/>
        <v>24</v>
      </c>
      <c r="AP277" s="1004"/>
      <c r="AQ277" s="1004"/>
      <c r="AR277" s="1286"/>
      <c r="AS277" s="951">
        <f t="shared" si="158"/>
        <v>24</v>
      </c>
      <c r="AT277" s="1004"/>
      <c r="AU277" s="1004"/>
      <c r="AV277" s="1004"/>
      <c r="BE277" s="1016"/>
      <c r="BN277" s="974">
        <f t="shared" si="159"/>
        <v>12</v>
      </c>
      <c r="BP277" s="974">
        <f>I277</f>
        <v>12</v>
      </c>
      <c r="BQ277" s="974">
        <f t="shared" si="160"/>
        <v>12</v>
      </c>
      <c r="BU277" s="1018">
        <f t="shared" si="153"/>
        <v>24</v>
      </c>
      <c r="BV277" s="1018">
        <f>BV274+BU277</f>
        <v>2667140</v>
      </c>
      <c r="BW277" s="1018"/>
      <c r="BX277" s="1018"/>
      <c r="BY277" s="1018"/>
      <c r="BZ277" s="1018"/>
      <c r="CA277" s="974">
        <f t="shared" si="151"/>
        <v>152860</v>
      </c>
      <c r="CC277" s="974">
        <f t="shared" si="155"/>
        <v>0</v>
      </c>
      <c r="CD277" s="939">
        <f t="shared" si="144"/>
        <v>51240.5714285714</v>
      </c>
      <c r="CE277" s="1018"/>
      <c r="CF277" s="1018"/>
      <c r="CG277" s="1018"/>
      <c r="CH277" s="1018">
        <f t="shared" si="152"/>
        <v>8759.4285714286</v>
      </c>
      <c r="CI277" s="1018"/>
    </row>
    <row r="278" s="974" customFormat="1" ht="32" customHeight="1" spans="1:87">
      <c r="A278" s="1281">
        <v>46016</v>
      </c>
      <c r="B278" s="1282" t="s">
        <v>761</v>
      </c>
      <c r="C278" s="1003" t="s">
        <v>632</v>
      </c>
      <c r="D278" s="1283">
        <v>4500190061</v>
      </c>
      <c r="E278" s="1282" t="s">
        <v>1218</v>
      </c>
      <c r="F278" s="1284" t="s">
        <v>1219</v>
      </c>
      <c r="G278" s="1004" t="s">
        <v>196</v>
      </c>
      <c r="H278" s="1004" t="s">
        <v>197</v>
      </c>
      <c r="I278" s="1004">
        <v>12</v>
      </c>
      <c r="J278" s="1004">
        <v>0</v>
      </c>
      <c r="K278" s="1004">
        <v>12</v>
      </c>
      <c r="L278" s="1232">
        <f t="shared" si="142"/>
        <v>1</v>
      </c>
      <c r="M278" s="1007">
        <v>46059</v>
      </c>
      <c r="N278" s="1007">
        <v>46055</v>
      </c>
      <c r="O278" s="1024"/>
      <c r="P278" s="1285" t="s">
        <v>86</v>
      </c>
      <c r="Q278" s="1004"/>
      <c r="R278" s="1035">
        <v>46016</v>
      </c>
      <c r="S278" s="1035" t="s">
        <v>88</v>
      </c>
      <c r="T278" s="1035" t="s">
        <v>1212</v>
      </c>
      <c r="U278" s="1035"/>
      <c r="V278" s="1010" t="s">
        <v>1213</v>
      </c>
      <c r="W278" s="1007" t="s">
        <v>731</v>
      </c>
      <c r="X278" s="1235">
        <v>4.0025</v>
      </c>
      <c r="Y278" s="1236">
        <f t="shared" si="143"/>
        <v>48.03</v>
      </c>
      <c r="Z278" s="1236"/>
      <c r="AA278" s="1004"/>
      <c r="AB278" s="1004" t="s">
        <v>808</v>
      </c>
      <c r="AC278" s="1004" t="s">
        <v>93</v>
      </c>
      <c r="AD278" s="1023" t="s">
        <v>1203</v>
      </c>
      <c r="AE278" s="1004"/>
      <c r="AF278" s="1023"/>
      <c r="AG278" s="1002">
        <f t="shared" si="136"/>
        <v>-12</v>
      </c>
      <c r="AH278" s="1055"/>
      <c r="AI278" s="1004" t="s">
        <v>95</v>
      </c>
      <c r="AJ278" s="1004"/>
      <c r="AK278" s="1004">
        <f t="shared" si="157"/>
        <v>24</v>
      </c>
      <c r="AL278" s="1004"/>
      <c r="AM278" s="1016"/>
      <c r="AO278" s="974">
        <f t="shared" si="156"/>
        <v>24</v>
      </c>
      <c r="AP278" s="1004"/>
      <c r="AQ278" s="1004"/>
      <c r="AR278" s="1286"/>
      <c r="AS278" s="951">
        <f t="shared" si="158"/>
        <v>24</v>
      </c>
      <c r="AT278" s="1004"/>
      <c r="AU278" s="1004"/>
      <c r="AV278" s="1004"/>
      <c r="BE278" s="1016"/>
      <c r="BN278" s="974">
        <f t="shared" si="159"/>
        <v>12</v>
      </c>
      <c r="BP278" s="974">
        <f>I278</f>
        <v>12</v>
      </c>
      <c r="BQ278" s="974">
        <f t="shared" si="160"/>
        <v>12</v>
      </c>
      <c r="BU278" s="1018">
        <f t="shared" si="153"/>
        <v>24</v>
      </c>
      <c r="BV278" s="1018">
        <f>BV275+BU278</f>
        <v>2663828</v>
      </c>
      <c r="BW278" s="1018"/>
      <c r="BX278" s="1018"/>
      <c r="BY278" s="1018"/>
      <c r="BZ278" s="1018"/>
      <c r="CA278" s="974">
        <f t="shared" si="151"/>
        <v>156172</v>
      </c>
      <c r="CC278" s="974">
        <f t="shared" si="155"/>
        <v>0</v>
      </c>
      <c r="CD278" s="939">
        <f t="shared" si="144"/>
        <v>51240.5714285714</v>
      </c>
      <c r="CE278" s="1018"/>
      <c r="CF278" s="1018"/>
      <c r="CG278" s="1018"/>
      <c r="CH278" s="1018">
        <f t="shared" si="152"/>
        <v>8759.4285714286</v>
      </c>
      <c r="CI278" s="1018"/>
    </row>
    <row r="279" s="974" customFormat="1" ht="32" customHeight="1" spans="1:87">
      <c r="A279" s="1281">
        <v>45971</v>
      </c>
      <c r="B279" s="1282" t="s">
        <v>785</v>
      </c>
      <c r="C279" s="1003" t="s">
        <v>125</v>
      </c>
      <c r="D279" s="1283">
        <v>4500184802</v>
      </c>
      <c r="E279" s="1282" t="s">
        <v>1220</v>
      </c>
      <c r="F279" s="1284" t="s">
        <v>1221</v>
      </c>
      <c r="G279" s="1004" t="s">
        <v>196</v>
      </c>
      <c r="H279" s="1004" t="s">
        <v>197</v>
      </c>
      <c r="I279" s="1004">
        <v>612</v>
      </c>
      <c r="J279" s="1004">
        <v>0</v>
      </c>
      <c r="K279" s="1004">
        <v>12</v>
      </c>
      <c r="L279" s="1232">
        <f t="shared" si="142"/>
        <v>51</v>
      </c>
      <c r="M279" s="1007">
        <v>46077</v>
      </c>
      <c r="N279" s="1007">
        <v>46073</v>
      </c>
      <c r="O279" s="1024"/>
      <c r="P279" s="1285" t="s">
        <v>86</v>
      </c>
      <c r="Q279" s="1004"/>
      <c r="R279" s="1035">
        <v>45971</v>
      </c>
      <c r="S279" s="1035" t="s">
        <v>88</v>
      </c>
      <c r="T279" s="1035" t="s">
        <v>1181</v>
      </c>
      <c r="U279" s="1035"/>
      <c r="V279" s="1010" t="s">
        <v>1185</v>
      </c>
      <c r="W279" s="1007" t="s">
        <v>130</v>
      </c>
      <c r="X279" s="1235">
        <v>2.4244</v>
      </c>
      <c r="Y279" s="1236">
        <f t="shared" si="143"/>
        <v>1483.7328</v>
      </c>
      <c r="Z279" s="1236"/>
      <c r="AA279" s="1004"/>
      <c r="AB279" s="1004" t="s">
        <v>984</v>
      </c>
      <c r="AC279" s="1004" t="s">
        <v>93</v>
      </c>
      <c r="AD279" s="1023" t="s">
        <v>94</v>
      </c>
      <c r="AE279" s="1004"/>
      <c r="AF279" s="1004">
        <v>612</v>
      </c>
      <c r="AG279" s="1002">
        <f t="shared" si="136"/>
        <v>0</v>
      </c>
      <c r="AH279" s="1055"/>
      <c r="AI279" s="1004" t="s">
        <v>95</v>
      </c>
      <c r="AJ279" s="1004"/>
      <c r="AK279" s="1004">
        <f t="shared" si="157"/>
        <v>1224</v>
      </c>
      <c r="AL279" s="1004"/>
      <c r="AM279" s="1016">
        <f t="shared" ref="AM279:AM285" si="161">I279*2</f>
        <v>1224</v>
      </c>
      <c r="AP279" s="1004"/>
      <c r="AQ279" s="1004"/>
      <c r="AR279" s="1286"/>
      <c r="AS279" s="951">
        <f t="shared" si="158"/>
        <v>1224</v>
      </c>
      <c r="AT279" s="1004"/>
      <c r="AU279" s="1004"/>
      <c r="AV279" s="1004"/>
      <c r="BE279" s="1016"/>
      <c r="BN279" s="974">
        <f t="shared" si="159"/>
        <v>612</v>
      </c>
      <c r="BO279" s="974">
        <f t="shared" ref="BO279:BO284" si="162">I279</f>
        <v>612</v>
      </c>
      <c r="BQ279" s="974">
        <f t="shared" si="160"/>
        <v>612</v>
      </c>
      <c r="BU279" s="1018">
        <f t="shared" si="153"/>
        <v>1224</v>
      </c>
      <c r="BV279" s="1018">
        <f>BV274+BU279</f>
        <v>2668340</v>
      </c>
      <c r="BW279" s="1018"/>
      <c r="BX279" s="1018"/>
      <c r="BY279" s="1018"/>
      <c r="BZ279" s="1018"/>
      <c r="CA279" s="974">
        <f t="shared" si="151"/>
        <v>151660</v>
      </c>
      <c r="CC279" s="974">
        <f t="shared" si="155"/>
        <v>0</v>
      </c>
      <c r="CD279" s="939">
        <f t="shared" si="144"/>
        <v>51240.5714285714</v>
      </c>
      <c r="CE279" s="1018"/>
      <c r="CF279" s="1018"/>
      <c r="CG279" s="1018"/>
      <c r="CH279" s="1018">
        <f t="shared" si="152"/>
        <v>8759.4285714286</v>
      </c>
      <c r="CI279" s="1018"/>
    </row>
    <row r="280" s="974" customFormat="1" ht="32" customHeight="1" spans="1:87">
      <c r="A280" s="1281">
        <v>45971</v>
      </c>
      <c r="B280" s="1282" t="s">
        <v>785</v>
      </c>
      <c r="C280" s="1003" t="s">
        <v>125</v>
      </c>
      <c r="D280" s="1283">
        <v>4500184897</v>
      </c>
      <c r="E280" s="1282" t="s">
        <v>1222</v>
      </c>
      <c r="F280" s="1284" t="s">
        <v>1223</v>
      </c>
      <c r="G280" s="1004" t="s">
        <v>196</v>
      </c>
      <c r="H280" s="1004" t="s">
        <v>197</v>
      </c>
      <c r="I280" s="1004">
        <v>228</v>
      </c>
      <c r="J280" s="1004">
        <v>0</v>
      </c>
      <c r="K280" s="1004">
        <v>12</v>
      </c>
      <c r="L280" s="1232">
        <f t="shared" si="142"/>
        <v>19</v>
      </c>
      <c r="M280" s="1007">
        <v>46087</v>
      </c>
      <c r="N280" s="1007">
        <v>46083</v>
      </c>
      <c r="O280" s="1024"/>
      <c r="P280" s="1285" t="s">
        <v>86</v>
      </c>
      <c r="Q280" s="1004"/>
      <c r="R280" s="1035">
        <v>45971</v>
      </c>
      <c r="S280" s="1035" t="s">
        <v>88</v>
      </c>
      <c r="T280" s="1035" t="s">
        <v>1181</v>
      </c>
      <c r="U280" s="1035"/>
      <c r="V280" s="1010" t="s">
        <v>1185</v>
      </c>
      <c r="W280" s="1007" t="s">
        <v>130</v>
      </c>
      <c r="X280" s="1235">
        <v>2.4244</v>
      </c>
      <c r="Y280" s="1236">
        <f t="shared" si="143"/>
        <v>552.7632</v>
      </c>
      <c r="Z280" s="1236"/>
      <c r="AA280" s="1004"/>
      <c r="AB280" s="1004" t="s">
        <v>984</v>
      </c>
      <c r="AC280" s="1004" t="s">
        <v>93</v>
      </c>
      <c r="AD280" s="1023" t="s">
        <v>94</v>
      </c>
      <c r="AE280" s="1004"/>
      <c r="AF280" s="1004">
        <v>228</v>
      </c>
      <c r="AG280" s="1002">
        <f t="shared" si="136"/>
        <v>0</v>
      </c>
      <c r="AH280" s="1055"/>
      <c r="AI280" s="1004" t="s">
        <v>95</v>
      </c>
      <c r="AJ280" s="1004"/>
      <c r="AK280" s="1004">
        <f t="shared" si="157"/>
        <v>456</v>
      </c>
      <c r="AL280" s="1004"/>
      <c r="AM280" s="1016">
        <f t="shared" si="161"/>
        <v>456</v>
      </c>
      <c r="AP280" s="1004"/>
      <c r="AQ280" s="1004"/>
      <c r="AR280" s="1286"/>
      <c r="AS280" s="951">
        <f t="shared" si="158"/>
        <v>456</v>
      </c>
      <c r="AT280" s="1004"/>
      <c r="AU280" s="1004"/>
      <c r="AV280" s="1004"/>
      <c r="BE280" s="1016"/>
      <c r="BN280" s="974">
        <f t="shared" si="159"/>
        <v>228</v>
      </c>
      <c r="BO280" s="974">
        <f t="shared" si="162"/>
        <v>228</v>
      </c>
      <c r="BQ280" s="974">
        <f t="shared" si="160"/>
        <v>228</v>
      </c>
      <c r="BU280" s="1018">
        <f t="shared" si="153"/>
        <v>456</v>
      </c>
      <c r="BV280" s="1018">
        <f>BV279+BU280</f>
        <v>2668796</v>
      </c>
      <c r="BW280" s="1018"/>
      <c r="BX280" s="1018"/>
      <c r="BY280" s="1018"/>
      <c r="BZ280" s="1018"/>
      <c r="CA280" s="974">
        <f t="shared" si="151"/>
        <v>151204</v>
      </c>
      <c r="CC280" s="974">
        <f t="shared" si="155"/>
        <v>0</v>
      </c>
      <c r="CD280" s="939">
        <f t="shared" si="144"/>
        <v>51240.5714285714</v>
      </c>
      <c r="CE280" s="1018"/>
      <c r="CF280" s="1018"/>
      <c r="CG280" s="1018"/>
      <c r="CH280" s="1018">
        <f t="shared" si="152"/>
        <v>8759.4285714286</v>
      </c>
      <c r="CI280" s="1018"/>
    </row>
    <row r="281" s="974" customFormat="1" ht="32" customHeight="1" spans="1:87">
      <c r="A281" s="1281">
        <v>45971</v>
      </c>
      <c r="B281" s="1282" t="s">
        <v>785</v>
      </c>
      <c r="C281" s="1003" t="s">
        <v>125</v>
      </c>
      <c r="D281" s="1283">
        <v>4500184897</v>
      </c>
      <c r="E281" s="1282" t="s">
        <v>1224</v>
      </c>
      <c r="F281" s="1284" t="s">
        <v>1225</v>
      </c>
      <c r="G281" s="1004" t="s">
        <v>196</v>
      </c>
      <c r="H281" s="1004" t="s">
        <v>197</v>
      </c>
      <c r="I281" s="1004">
        <v>36</v>
      </c>
      <c r="J281" s="1004">
        <v>0</v>
      </c>
      <c r="K281" s="1004">
        <v>12</v>
      </c>
      <c r="L281" s="1232">
        <f t="shared" si="142"/>
        <v>3</v>
      </c>
      <c r="M281" s="1007">
        <v>46087</v>
      </c>
      <c r="N281" s="1007">
        <v>46083</v>
      </c>
      <c r="O281" s="1024"/>
      <c r="P281" s="1285" t="s">
        <v>86</v>
      </c>
      <c r="Q281" s="1004"/>
      <c r="R281" s="1035">
        <v>45971</v>
      </c>
      <c r="S281" s="1035" t="s">
        <v>88</v>
      </c>
      <c r="T281" s="1035" t="s">
        <v>1181</v>
      </c>
      <c r="U281" s="1035"/>
      <c r="V281" s="1010" t="s">
        <v>1185</v>
      </c>
      <c r="W281" s="1007" t="s">
        <v>130</v>
      </c>
      <c r="X281" s="1235">
        <v>2.4244</v>
      </c>
      <c r="Y281" s="1236">
        <f t="shared" si="143"/>
        <v>87.2784</v>
      </c>
      <c r="Z281" s="1236"/>
      <c r="AA281" s="1004"/>
      <c r="AB281" s="1004" t="s">
        <v>984</v>
      </c>
      <c r="AC281" s="1004" t="s">
        <v>93</v>
      </c>
      <c r="AD281" s="1023" t="s">
        <v>94</v>
      </c>
      <c r="AE281" s="1004"/>
      <c r="AF281" s="1004">
        <v>36</v>
      </c>
      <c r="AG281" s="1002">
        <f t="shared" si="136"/>
        <v>0</v>
      </c>
      <c r="AH281" s="1055"/>
      <c r="AI281" s="1004" t="s">
        <v>95</v>
      </c>
      <c r="AJ281" s="1004"/>
      <c r="AK281" s="1004">
        <f t="shared" si="157"/>
        <v>72</v>
      </c>
      <c r="AL281" s="1004"/>
      <c r="AM281" s="1016">
        <f t="shared" si="161"/>
        <v>72</v>
      </c>
      <c r="AP281" s="1004"/>
      <c r="AQ281" s="1004"/>
      <c r="AR281" s="1286"/>
      <c r="AS281" s="951">
        <f t="shared" si="158"/>
        <v>72</v>
      </c>
      <c r="AT281" s="1004"/>
      <c r="AU281" s="1004"/>
      <c r="AV281" s="1004"/>
      <c r="BE281" s="1016"/>
      <c r="BN281" s="974">
        <f t="shared" si="159"/>
        <v>36</v>
      </c>
      <c r="BO281" s="974">
        <f t="shared" si="162"/>
        <v>36</v>
      </c>
      <c r="BQ281" s="974">
        <f t="shared" si="160"/>
        <v>36</v>
      </c>
      <c r="BU281" s="1018">
        <f t="shared" si="153"/>
        <v>72</v>
      </c>
      <c r="BV281" s="1018">
        <f>BV280+BU281</f>
        <v>2668868</v>
      </c>
      <c r="BW281" s="1018"/>
      <c r="BX281" s="1018"/>
      <c r="BY281" s="1018"/>
      <c r="BZ281" s="1018"/>
      <c r="CA281" s="974">
        <f t="shared" si="151"/>
        <v>151132</v>
      </c>
      <c r="CC281" s="974">
        <f t="shared" si="155"/>
        <v>0</v>
      </c>
      <c r="CD281" s="939">
        <f t="shared" si="144"/>
        <v>51240.5714285714</v>
      </c>
      <c r="CE281" s="1018"/>
      <c r="CF281" s="1018"/>
      <c r="CG281" s="1018"/>
      <c r="CH281" s="1018">
        <f t="shared" si="152"/>
        <v>8759.4285714286</v>
      </c>
      <c r="CI281" s="1018"/>
    </row>
    <row r="282" s="974" customFormat="1" ht="32" customHeight="1" spans="1:87">
      <c r="A282" s="1281">
        <v>45971</v>
      </c>
      <c r="B282" s="1282" t="s">
        <v>785</v>
      </c>
      <c r="C282" s="1003" t="s">
        <v>125</v>
      </c>
      <c r="D282" s="1283">
        <v>4500184902</v>
      </c>
      <c r="E282" s="1282" t="s">
        <v>1226</v>
      </c>
      <c r="F282" s="1284" t="s">
        <v>1227</v>
      </c>
      <c r="G282" s="1004" t="s">
        <v>196</v>
      </c>
      <c r="H282" s="1004" t="s">
        <v>197</v>
      </c>
      <c r="I282" s="1004">
        <v>252</v>
      </c>
      <c r="J282" s="1004">
        <v>0</v>
      </c>
      <c r="K282" s="1004">
        <v>12</v>
      </c>
      <c r="L282" s="1232">
        <f t="shared" si="142"/>
        <v>21</v>
      </c>
      <c r="M282" s="1007">
        <v>46087</v>
      </c>
      <c r="N282" s="1007">
        <v>46083</v>
      </c>
      <c r="O282" s="1024"/>
      <c r="P282" s="1285" t="s">
        <v>86</v>
      </c>
      <c r="Q282" s="1004"/>
      <c r="R282" s="1035">
        <v>45971</v>
      </c>
      <c r="S282" s="1035" t="s">
        <v>88</v>
      </c>
      <c r="T282" s="1035" t="s">
        <v>1181</v>
      </c>
      <c r="U282" s="1035"/>
      <c r="V282" s="1010" t="s">
        <v>1228</v>
      </c>
      <c r="W282" s="1007" t="s">
        <v>130</v>
      </c>
      <c r="X282" s="1235">
        <v>2.4244</v>
      </c>
      <c r="Y282" s="1236">
        <f t="shared" si="143"/>
        <v>610.9488</v>
      </c>
      <c r="Z282" s="1236"/>
      <c r="AA282" s="1004"/>
      <c r="AB282" s="1004" t="s">
        <v>984</v>
      </c>
      <c r="AC282" s="1004" t="s">
        <v>93</v>
      </c>
      <c r="AD282" s="1023" t="s">
        <v>94</v>
      </c>
      <c r="AE282" s="1004"/>
      <c r="AF282" s="1004">
        <v>252</v>
      </c>
      <c r="AG282" s="1002">
        <f t="shared" si="136"/>
        <v>0</v>
      </c>
      <c r="AH282" s="1055"/>
      <c r="AI282" s="1004" t="s">
        <v>95</v>
      </c>
      <c r="AJ282" s="1004"/>
      <c r="AK282" s="1004">
        <f t="shared" si="157"/>
        <v>504</v>
      </c>
      <c r="AL282" s="1004"/>
      <c r="AM282" s="1016">
        <f t="shared" si="161"/>
        <v>504</v>
      </c>
      <c r="AP282" s="1004"/>
      <c r="AQ282" s="1004"/>
      <c r="AR282" s="1286"/>
      <c r="AS282" s="951">
        <f t="shared" si="158"/>
        <v>504</v>
      </c>
      <c r="AT282" s="1004"/>
      <c r="AU282" s="1004"/>
      <c r="AV282" s="1004"/>
      <c r="BE282" s="1016"/>
      <c r="BN282" s="974">
        <f t="shared" si="159"/>
        <v>252</v>
      </c>
      <c r="BO282" s="974">
        <f t="shared" si="162"/>
        <v>252</v>
      </c>
      <c r="BQ282" s="974">
        <f t="shared" si="160"/>
        <v>252</v>
      </c>
      <c r="BU282" s="1018">
        <f t="shared" si="153"/>
        <v>504</v>
      </c>
      <c r="BV282" s="1018">
        <f>BV281+BU282</f>
        <v>2669372</v>
      </c>
      <c r="BW282" s="1018"/>
      <c r="BX282" s="1018"/>
      <c r="BY282" s="1018"/>
      <c r="BZ282" s="1018"/>
      <c r="CA282" s="974">
        <f t="shared" si="151"/>
        <v>150628</v>
      </c>
      <c r="CC282" s="974">
        <f t="shared" si="155"/>
        <v>0</v>
      </c>
      <c r="CD282" s="939">
        <f t="shared" si="144"/>
        <v>51240.5714285714</v>
      </c>
      <c r="CE282" s="1018"/>
      <c r="CF282" s="1018"/>
      <c r="CG282" s="1018"/>
      <c r="CH282" s="1018">
        <f t="shared" si="152"/>
        <v>8759.4285714286</v>
      </c>
      <c r="CI282" s="1018"/>
    </row>
    <row r="283" s="974" customFormat="1" ht="32" customHeight="1" spans="1:87">
      <c r="A283" s="1281">
        <v>45971</v>
      </c>
      <c r="B283" s="1282" t="s">
        <v>785</v>
      </c>
      <c r="C283" s="1003" t="s">
        <v>125</v>
      </c>
      <c r="D283" s="1283">
        <v>4500184901</v>
      </c>
      <c r="E283" s="1282" t="s">
        <v>1229</v>
      </c>
      <c r="F283" s="1284" t="s">
        <v>1230</v>
      </c>
      <c r="G283" s="1004" t="s">
        <v>196</v>
      </c>
      <c r="H283" s="1004" t="s">
        <v>197</v>
      </c>
      <c r="I283" s="1004">
        <v>84</v>
      </c>
      <c r="J283" s="1004">
        <v>0</v>
      </c>
      <c r="K283" s="1004">
        <v>12</v>
      </c>
      <c r="L283" s="1232">
        <f t="shared" si="142"/>
        <v>7</v>
      </c>
      <c r="M283" s="1007">
        <v>46087</v>
      </c>
      <c r="N283" s="1007">
        <v>46083</v>
      </c>
      <c r="O283" s="1024"/>
      <c r="P283" s="1285" t="s">
        <v>86</v>
      </c>
      <c r="Q283" s="1004"/>
      <c r="R283" s="1035">
        <v>45971</v>
      </c>
      <c r="S283" s="1035" t="s">
        <v>88</v>
      </c>
      <c r="T283" s="1035" t="s">
        <v>1181</v>
      </c>
      <c r="U283" s="1035"/>
      <c r="V283" s="1010" t="s">
        <v>1228</v>
      </c>
      <c r="W283" s="1007" t="s">
        <v>130</v>
      </c>
      <c r="X283" s="1235">
        <v>2.4244</v>
      </c>
      <c r="Y283" s="1236">
        <f t="shared" si="143"/>
        <v>203.6496</v>
      </c>
      <c r="Z283" s="1236"/>
      <c r="AA283" s="1004"/>
      <c r="AB283" s="1004" t="s">
        <v>984</v>
      </c>
      <c r="AC283" s="1004" t="s">
        <v>93</v>
      </c>
      <c r="AD283" s="1023" t="s">
        <v>94</v>
      </c>
      <c r="AE283" s="1004"/>
      <c r="AF283" s="1004">
        <v>84</v>
      </c>
      <c r="AG283" s="1002">
        <f t="shared" si="136"/>
        <v>0</v>
      </c>
      <c r="AH283" s="1055"/>
      <c r="AI283" s="1004" t="s">
        <v>95</v>
      </c>
      <c r="AJ283" s="1004"/>
      <c r="AK283" s="1004">
        <f t="shared" si="157"/>
        <v>168</v>
      </c>
      <c r="AL283" s="1004"/>
      <c r="AM283" s="1016">
        <f t="shared" si="161"/>
        <v>168</v>
      </c>
      <c r="AP283" s="1004"/>
      <c r="AQ283" s="1004"/>
      <c r="AR283" s="1286"/>
      <c r="AS283" s="951">
        <f t="shared" si="158"/>
        <v>168</v>
      </c>
      <c r="AT283" s="1004"/>
      <c r="AU283" s="1004"/>
      <c r="AV283" s="1004"/>
      <c r="BE283" s="1016"/>
      <c r="BN283" s="974">
        <f t="shared" si="159"/>
        <v>84</v>
      </c>
      <c r="BO283" s="974">
        <f t="shared" si="162"/>
        <v>84</v>
      </c>
      <c r="BQ283" s="974">
        <f t="shared" si="160"/>
        <v>84</v>
      </c>
      <c r="BU283" s="1018">
        <f t="shared" si="153"/>
        <v>168</v>
      </c>
      <c r="BV283" s="1018">
        <f>BV282+BU283</f>
        <v>2669540</v>
      </c>
      <c r="BW283" s="1018"/>
      <c r="BX283" s="1018"/>
      <c r="BY283" s="1018"/>
      <c r="BZ283" s="1018"/>
      <c r="CA283" s="974">
        <f t="shared" si="151"/>
        <v>150460</v>
      </c>
      <c r="CC283" s="974">
        <f t="shared" si="155"/>
        <v>0</v>
      </c>
      <c r="CD283" s="939">
        <f t="shared" si="144"/>
        <v>51240.5714285714</v>
      </c>
      <c r="CE283" s="1018"/>
      <c r="CF283" s="1018"/>
      <c r="CG283" s="1018"/>
      <c r="CH283" s="308">
        <f t="shared" si="152"/>
        <v>8759.4285714286</v>
      </c>
      <c r="CI283" s="1018"/>
    </row>
    <row r="284" s="974" customFormat="1" ht="32" customHeight="1" spans="1:87">
      <c r="A284" s="1281">
        <v>46037</v>
      </c>
      <c r="B284" s="1282" t="s">
        <v>1231</v>
      </c>
      <c r="C284" s="1003" t="s">
        <v>125</v>
      </c>
      <c r="D284" s="1283">
        <v>4500191491</v>
      </c>
      <c r="E284" s="1421" t="s">
        <v>1232</v>
      </c>
      <c r="F284" s="1284" t="s">
        <v>1233</v>
      </c>
      <c r="G284" s="1004" t="s">
        <v>196</v>
      </c>
      <c r="H284" s="1004" t="s">
        <v>197</v>
      </c>
      <c r="I284" s="1004">
        <v>600</v>
      </c>
      <c r="J284" s="1004">
        <v>0</v>
      </c>
      <c r="K284" s="1004">
        <v>12</v>
      </c>
      <c r="L284" s="1232">
        <f t="shared" si="142"/>
        <v>50</v>
      </c>
      <c r="M284" s="1007">
        <v>46104</v>
      </c>
      <c r="N284" s="1007">
        <v>46100</v>
      </c>
      <c r="O284" s="1024"/>
      <c r="P284" s="1285" t="s">
        <v>86</v>
      </c>
      <c r="Q284" s="1004"/>
      <c r="R284" s="1035" t="s">
        <v>89</v>
      </c>
      <c r="S284" s="1035" t="s">
        <v>88</v>
      </c>
      <c r="T284" s="1035" t="s">
        <v>1234</v>
      </c>
      <c r="U284" s="1035"/>
      <c r="V284" s="1010" t="s">
        <v>1235</v>
      </c>
      <c r="W284" s="1007" t="s">
        <v>283</v>
      </c>
      <c r="X284" s="1235">
        <v>2.4244</v>
      </c>
      <c r="Y284" s="1236">
        <f t="shared" si="143"/>
        <v>1454.64</v>
      </c>
      <c r="Z284" s="1236"/>
      <c r="AA284" s="1004"/>
      <c r="AB284" s="1004" t="s">
        <v>984</v>
      </c>
      <c r="AC284" s="1004" t="s">
        <v>93</v>
      </c>
      <c r="AD284" s="1023" t="s">
        <v>94</v>
      </c>
      <c r="AE284" s="1004"/>
      <c r="AF284" s="1004">
        <v>600</v>
      </c>
      <c r="AG284" s="1002">
        <f t="shared" si="136"/>
        <v>0</v>
      </c>
      <c r="AH284" s="1055"/>
      <c r="AI284" s="1004" t="s">
        <v>95</v>
      </c>
      <c r="AJ284" s="1004"/>
      <c r="AK284" s="1004">
        <f t="shared" si="157"/>
        <v>1200</v>
      </c>
      <c r="AL284" s="1004"/>
      <c r="AM284" s="1016">
        <f t="shared" si="161"/>
        <v>1200</v>
      </c>
      <c r="AP284" s="1004"/>
      <c r="AQ284" s="1004"/>
      <c r="AR284" s="1286"/>
      <c r="AS284" s="951">
        <f t="shared" si="158"/>
        <v>1200</v>
      </c>
      <c r="AT284" s="1004"/>
      <c r="AU284" s="1004"/>
      <c r="AV284" s="1004"/>
      <c r="BE284" s="1016"/>
      <c r="BN284" s="974">
        <f t="shared" si="159"/>
        <v>600</v>
      </c>
      <c r="BO284" s="974">
        <f t="shared" si="162"/>
        <v>600</v>
      </c>
      <c r="BQ284" s="974">
        <f t="shared" si="160"/>
        <v>600</v>
      </c>
      <c r="BU284" s="1018">
        <f t="shared" si="153"/>
        <v>1200</v>
      </c>
      <c r="BV284" s="1018">
        <f>BV285+BU284</f>
        <v>2674748</v>
      </c>
      <c r="BW284" s="1018"/>
      <c r="BX284" s="1018"/>
      <c r="BY284" s="1018"/>
      <c r="BZ284" s="1018"/>
      <c r="CC284" s="974">
        <f t="shared" si="155"/>
        <v>0</v>
      </c>
      <c r="CD284" s="939">
        <f t="shared" si="144"/>
        <v>51240.5714285714</v>
      </c>
      <c r="CE284" s="1018"/>
      <c r="CF284" s="1018"/>
      <c r="CG284" s="1018"/>
      <c r="CH284" s="308">
        <f t="shared" si="152"/>
        <v>8759.4285714286</v>
      </c>
      <c r="CI284" s="1018"/>
    </row>
    <row r="285" s="974" customFormat="1" ht="32" customHeight="1" spans="1:87">
      <c r="A285" s="1281">
        <v>45995</v>
      </c>
      <c r="B285" s="1282" t="s">
        <v>194</v>
      </c>
      <c r="C285" s="1003" t="s">
        <v>125</v>
      </c>
      <c r="D285" s="1283">
        <v>4500186326</v>
      </c>
      <c r="E285" s="1282">
        <v>60260744</v>
      </c>
      <c r="F285" s="1284" t="s">
        <v>1236</v>
      </c>
      <c r="G285" s="1004" t="s">
        <v>196</v>
      </c>
      <c r="H285" s="1004" t="s">
        <v>197</v>
      </c>
      <c r="I285" s="1004">
        <v>2004</v>
      </c>
      <c r="J285" s="1004">
        <v>0</v>
      </c>
      <c r="K285" s="1004">
        <v>12</v>
      </c>
      <c r="L285" s="1232">
        <f t="shared" si="142"/>
        <v>167</v>
      </c>
      <c r="M285" s="1007">
        <v>46106</v>
      </c>
      <c r="N285" s="1007">
        <v>46102</v>
      </c>
      <c r="O285" s="1024"/>
      <c r="P285" s="1285" t="s">
        <v>86</v>
      </c>
      <c r="Q285" s="1004"/>
      <c r="R285" s="1035">
        <v>45995</v>
      </c>
      <c r="S285" s="1035" t="s">
        <v>98</v>
      </c>
      <c r="T285" s="1035" t="s">
        <v>199</v>
      </c>
      <c r="U285" s="1035"/>
      <c r="V285" s="1010" t="s">
        <v>1237</v>
      </c>
      <c r="W285" s="1007" t="s">
        <v>887</v>
      </c>
      <c r="X285" s="1235">
        <v>2.4174</v>
      </c>
      <c r="Y285" s="1236">
        <f t="shared" si="143"/>
        <v>4844.4696</v>
      </c>
      <c r="Z285" s="1236"/>
      <c r="AA285" s="1004"/>
      <c r="AB285" s="1004" t="s">
        <v>984</v>
      </c>
      <c r="AC285" s="1004" t="s">
        <v>93</v>
      </c>
      <c r="AD285" s="1023" t="s">
        <v>94</v>
      </c>
      <c r="AE285" s="1004"/>
      <c r="AF285" s="1004">
        <v>2004</v>
      </c>
      <c r="AG285" s="1002">
        <f t="shared" si="136"/>
        <v>0</v>
      </c>
      <c r="AH285" s="1055"/>
      <c r="AI285" s="1004" t="s">
        <v>95</v>
      </c>
      <c r="AJ285" s="1004"/>
      <c r="AK285" s="1004">
        <f t="shared" si="157"/>
        <v>4008</v>
      </c>
      <c r="AL285" s="1004"/>
      <c r="AM285" s="1016">
        <f t="shared" si="161"/>
        <v>4008</v>
      </c>
      <c r="AP285" s="1004"/>
      <c r="AQ285" s="1004"/>
      <c r="AR285" s="1286"/>
      <c r="AS285" s="951">
        <f t="shared" si="158"/>
        <v>4008</v>
      </c>
      <c r="AT285" s="1004"/>
      <c r="AU285" s="1004"/>
      <c r="AV285" s="1004"/>
      <c r="BE285" s="1016"/>
      <c r="BN285" s="974">
        <f t="shared" si="159"/>
        <v>2004</v>
      </c>
      <c r="BP285" s="974">
        <f>I285</f>
        <v>2004</v>
      </c>
      <c r="BQ285" s="974">
        <f t="shared" si="160"/>
        <v>2004</v>
      </c>
      <c r="BU285" s="1018">
        <f t="shared" si="153"/>
        <v>4008</v>
      </c>
      <c r="BV285" s="1018">
        <f>BV283+BU285</f>
        <v>2673548</v>
      </c>
      <c r="BW285" s="1018"/>
      <c r="BX285" s="1018"/>
      <c r="BY285" s="1018"/>
      <c r="BZ285" s="1018"/>
      <c r="CA285" s="974">
        <f>SUM(BX$1:CB$1)-BV285</f>
        <v>146452</v>
      </c>
      <c r="CC285" s="974">
        <f t="shared" si="155"/>
        <v>0</v>
      </c>
      <c r="CD285" s="939">
        <f t="shared" si="144"/>
        <v>51240.5714285714</v>
      </c>
      <c r="CE285" s="1018"/>
      <c r="CF285" s="1018"/>
      <c r="CG285" s="1018"/>
      <c r="CH285" s="308">
        <f t="shared" si="152"/>
        <v>8759.4285714286</v>
      </c>
      <c r="CI285" s="1018"/>
    </row>
    <row r="286" s="857" customFormat="1" ht="32" customHeight="1" spans="1:87">
      <c r="A286" s="1044">
        <v>46077</v>
      </c>
      <c r="B286" s="942" t="s">
        <v>1097</v>
      </c>
      <c r="C286" s="928" t="s">
        <v>1098</v>
      </c>
      <c r="D286" s="857">
        <v>4500194073</v>
      </c>
      <c r="E286" s="928" t="s">
        <v>1238</v>
      </c>
      <c r="F286" s="857" t="s">
        <v>1239</v>
      </c>
      <c r="G286" s="926" t="s">
        <v>234</v>
      </c>
      <c r="H286" s="926" t="s">
        <v>189</v>
      </c>
      <c r="I286" s="926">
        <v>6006</v>
      </c>
      <c r="J286" s="926">
        <v>0</v>
      </c>
      <c r="K286" s="926">
        <v>13</v>
      </c>
      <c r="L286" s="1201">
        <f t="shared" si="142"/>
        <v>462</v>
      </c>
      <c r="M286" s="930">
        <v>46119</v>
      </c>
      <c r="N286" s="930">
        <v>46115</v>
      </c>
      <c r="O286" s="937"/>
      <c r="P286" s="1278" t="s">
        <v>86</v>
      </c>
      <c r="Q286" s="926"/>
      <c r="R286" s="1037" t="s">
        <v>1240</v>
      </c>
      <c r="S286" s="926" t="s">
        <v>98</v>
      </c>
      <c r="T286" s="1226" t="s">
        <v>1241</v>
      </c>
      <c r="U286" s="1226"/>
      <c r="V286" s="933" t="s">
        <v>1242</v>
      </c>
      <c r="W286" s="930" t="s">
        <v>1059</v>
      </c>
      <c r="X286" s="1220">
        <v>1.9004</v>
      </c>
      <c r="Y286" s="1204">
        <f t="shared" si="143"/>
        <v>11413.8024</v>
      </c>
      <c r="Z286" s="1204"/>
      <c r="AA286" s="926"/>
      <c r="AB286" s="926" t="s">
        <v>234</v>
      </c>
      <c r="AC286" s="926" t="s">
        <v>93</v>
      </c>
      <c r="AD286" s="1040" t="s">
        <v>94</v>
      </c>
      <c r="AE286" s="926"/>
      <c r="AF286" s="926">
        <v>6006</v>
      </c>
      <c r="AG286" s="924">
        <f t="shared" si="136"/>
        <v>0</v>
      </c>
      <c r="AH286" s="938"/>
      <c r="AI286" s="926" t="s">
        <v>95</v>
      </c>
      <c r="AJ286" s="926"/>
      <c r="AK286" s="926">
        <f>I286</f>
        <v>6006</v>
      </c>
      <c r="AL286" s="926"/>
      <c r="AM286" s="858">
        <f>I286</f>
        <v>6006</v>
      </c>
      <c r="AP286" s="926"/>
      <c r="AQ286" s="926"/>
      <c r="AS286" s="926">
        <f>I286</f>
        <v>6006</v>
      </c>
      <c r="AT286" s="926"/>
      <c r="AU286" s="926"/>
      <c r="AV286" s="926"/>
      <c r="BC286" s="857">
        <f>I286/13</f>
        <v>462</v>
      </c>
      <c r="BE286" s="858"/>
      <c r="BU286" s="939">
        <f t="shared" si="153"/>
        <v>6006</v>
      </c>
      <c r="BV286" s="939">
        <f>BV307+BU286</f>
        <v>2693550</v>
      </c>
      <c r="BW286" s="939"/>
      <c r="BX286" s="939"/>
      <c r="BY286" s="939"/>
      <c r="BZ286" s="939"/>
      <c r="CC286" s="857">
        <f t="shared" si="155"/>
        <v>0</v>
      </c>
      <c r="CD286" s="939">
        <f>CD307+CC286</f>
        <v>51464.5714285714</v>
      </c>
      <c r="CE286" s="939"/>
      <c r="CF286" s="939"/>
      <c r="CG286" s="939"/>
      <c r="CH286" s="939">
        <f t="shared" si="152"/>
        <v>8535.4285714286</v>
      </c>
      <c r="CI286" s="939"/>
    </row>
    <row r="287" s="857" customFormat="1" ht="32" customHeight="1" spans="1:87">
      <c r="A287" s="1044">
        <v>46081</v>
      </c>
      <c r="B287" s="942" t="s">
        <v>314</v>
      </c>
      <c r="C287" s="928" t="s">
        <v>125</v>
      </c>
      <c r="D287" s="925">
        <v>4500194771</v>
      </c>
      <c r="E287" s="928">
        <v>305509</v>
      </c>
      <c r="F287" s="925" t="s">
        <v>1243</v>
      </c>
      <c r="G287" s="926" t="s">
        <v>196</v>
      </c>
      <c r="H287" s="926" t="s">
        <v>197</v>
      </c>
      <c r="I287" s="1294">
        <v>7992</v>
      </c>
      <c r="J287" s="926">
        <v>0</v>
      </c>
      <c r="K287" s="926">
        <v>12</v>
      </c>
      <c r="L287" s="1201">
        <f t="shared" si="142"/>
        <v>666</v>
      </c>
      <c r="M287" s="930">
        <v>46119</v>
      </c>
      <c r="N287" s="930">
        <v>46115</v>
      </c>
      <c r="O287" s="937"/>
      <c r="P287" s="1278" t="s">
        <v>86</v>
      </c>
      <c r="Q287" s="926"/>
      <c r="R287" s="1037">
        <v>46092</v>
      </c>
      <c r="S287" s="1037" t="s">
        <v>98</v>
      </c>
      <c r="T287" s="932" t="s">
        <v>1244</v>
      </c>
      <c r="U287" s="932"/>
      <c r="V287" s="933" t="s">
        <v>1245</v>
      </c>
      <c r="W287" s="930" t="s">
        <v>319</v>
      </c>
      <c r="X287" s="933">
        <v>2.4542</v>
      </c>
      <c r="Y287" s="1204">
        <f t="shared" si="143"/>
        <v>19613.9664</v>
      </c>
      <c r="Z287" s="1204"/>
      <c r="AA287" s="926"/>
      <c r="AB287" s="926" t="s">
        <v>984</v>
      </c>
      <c r="AC287" s="926" t="s">
        <v>93</v>
      </c>
      <c r="AD287" s="1040" t="s">
        <v>94</v>
      </c>
      <c r="AE287" s="926"/>
      <c r="AF287" s="924">
        <v>7992</v>
      </c>
      <c r="AG287" s="924">
        <f t="shared" si="136"/>
        <v>0</v>
      </c>
      <c r="AH287" s="938"/>
      <c r="AI287" s="926" t="s">
        <v>95</v>
      </c>
      <c r="AJ287" s="926"/>
      <c r="AK287" s="926">
        <f t="shared" ref="AK287:AK292" si="163">I287*2</f>
        <v>15984</v>
      </c>
      <c r="AL287" s="926"/>
      <c r="AM287" s="858">
        <f>I287*2</f>
        <v>15984</v>
      </c>
      <c r="AP287" s="926"/>
      <c r="AQ287" s="926"/>
      <c r="AS287" s="951">
        <f>I287*2</f>
        <v>15984</v>
      </c>
      <c r="AT287" s="926"/>
      <c r="AU287" s="926"/>
      <c r="AV287" s="926"/>
      <c r="BE287" s="858"/>
      <c r="BN287" s="857">
        <f>I287</f>
        <v>7992</v>
      </c>
      <c r="BP287" s="857">
        <f>I287</f>
        <v>7992</v>
      </c>
      <c r="BQ287" s="857">
        <f>I287</f>
        <v>7992</v>
      </c>
      <c r="BU287" s="939">
        <f t="shared" si="153"/>
        <v>15984</v>
      </c>
      <c r="BV287" s="939">
        <f>BV286+BU287</f>
        <v>2709534</v>
      </c>
      <c r="BW287" s="939"/>
      <c r="BX287" s="939"/>
      <c r="BY287" s="939"/>
      <c r="BZ287" s="939"/>
      <c r="CA287" s="857">
        <f t="shared" ref="CA287:CA292" si="164">SUM(BX$1:CB$1)-BV287</f>
        <v>110466</v>
      </c>
      <c r="CC287" s="857">
        <f t="shared" si="155"/>
        <v>0</v>
      </c>
      <c r="CD287" s="939">
        <f>CD286+CC287</f>
        <v>51464.5714285714</v>
      </c>
      <c r="CE287" s="939"/>
      <c r="CF287" s="939"/>
      <c r="CG287" s="939"/>
      <c r="CH287" s="939">
        <f t="shared" si="152"/>
        <v>8535.4285714286</v>
      </c>
      <c r="CI287" s="939"/>
    </row>
    <row r="288" s="857" customFormat="1" ht="32" customHeight="1" spans="1:87">
      <c r="A288" s="1044">
        <v>46081</v>
      </c>
      <c r="B288" s="942" t="s">
        <v>314</v>
      </c>
      <c r="C288" s="928" t="s">
        <v>125</v>
      </c>
      <c r="D288" s="925">
        <v>4500194772</v>
      </c>
      <c r="E288" s="928" t="s">
        <v>1246</v>
      </c>
      <c r="F288" s="925" t="s">
        <v>1247</v>
      </c>
      <c r="G288" s="926" t="s">
        <v>196</v>
      </c>
      <c r="H288" s="926" t="s">
        <v>197</v>
      </c>
      <c r="I288" s="1294">
        <v>7992</v>
      </c>
      <c r="J288" s="926">
        <v>0</v>
      </c>
      <c r="K288" s="926">
        <v>12</v>
      </c>
      <c r="L288" s="1201">
        <f t="shared" si="142"/>
        <v>666</v>
      </c>
      <c r="M288" s="930">
        <v>46119</v>
      </c>
      <c r="N288" s="930">
        <v>46115</v>
      </c>
      <c r="O288" s="937"/>
      <c r="P288" s="1278" t="s">
        <v>86</v>
      </c>
      <c r="Q288" s="926"/>
      <c r="R288" s="1037">
        <v>46092</v>
      </c>
      <c r="S288" s="1037" t="s">
        <v>98</v>
      </c>
      <c r="T288" s="932" t="s">
        <v>1244</v>
      </c>
      <c r="U288" s="932"/>
      <c r="V288" s="933" t="s">
        <v>1248</v>
      </c>
      <c r="W288" s="930" t="s">
        <v>319</v>
      </c>
      <c r="X288" s="933">
        <v>2.4542</v>
      </c>
      <c r="Y288" s="1204">
        <f t="shared" si="143"/>
        <v>19613.9664</v>
      </c>
      <c r="Z288" s="1204"/>
      <c r="AA288" s="926"/>
      <c r="AB288" s="926" t="s">
        <v>984</v>
      </c>
      <c r="AC288" s="926" t="s">
        <v>93</v>
      </c>
      <c r="AD288" s="1040" t="s">
        <v>94</v>
      </c>
      <c r="AE288" s="926"/>
      <c r="AF288" s="1040"/>
      <c r="AG288" s="924">
        <f t="shared" si="136"/>
        <v>-7992</v>
      </c>
      <c r="AH288" s="938"/>
      <c r="AI288" s="926" t="s">
        <v>95</v>
      </c>
      <c r="AJ288" s="926"/>
      <c r="AK288" s="926">
        <f t="shared" si="163"/>
        <v>15984</v>
      </c>
      <c r="AL288" s="926"/>
      <c r="AM288" s="858">
        <f>I288*2</f>
        <v>15984</v>
      </c>
      <c r="AP288" s="926"/>
      <c r="AQ288" s="926"/>
      <c r="AS288" s="951">
        <f>I288*2</f>
        <v>15984</v>
      </c>
      <c r="AT288" s="926"/>
      <c r="AU288" s="926"/>
      <c r="AV288" s="926"/>
      <c r="BE288" s="858"/>
      <c r="BN288" s="857">
        <f>I288</f>
        <v>7992</v>
      </c>
      <c r="BP288" s="857">
        <f>I288</f>
        <v>7992</v>
      </c>
      <c r="BQ288" s="857">
        <f>I288</f>
        <v>7992</v>
      </c>
      <c r="BU288" s="939">
        <f t="shared" si="153"/>
        <v>15984</v>
      </c>
      <c r="BV288" s="939">
        <f>BV287+BU288</f>
        <v>2725518</v>
      </c>
      <c r="BW288" s="939"/>
      <c r="BX288" s="939"/>
      <c r="BY288" s="939"/>
      <c r="BZ288" s="939"/>
      <c r="CA288" s="857">
        <f t="shared" si="164"/>
        <v>94482</v>
      </c>
      <c r="CC288" s="857">
        <f t="shared" si="155"/>
        <v>0</v>
      </c>
      <c r="CD288" s="939">
        <f>CD287+CC288</f>
        <v>51464.5714285714</v>
      </c>
      <c r="CE288" s="939"/>
      <c r="CF288" s="939"/>
      <c r="CG288" s="939"/>
      <c r="CH288" s="939">
        <f t="shared" si="152"/>
        <v>8535.4285714286</v>
      </c>
      <c r="CI288" s="939"/>
    </row>
    <row r="289" s="857" customFormat="1" ht="32" customHeight="1" spans="1:87">
      <c r="A289" s="1044">
        <v>46083</v>
      </c>
      <c r="B289" s="942" t="s">
        <v>102</v>
      </c>
      <c r="C289" s="928" t="s">
        <v>103</v>
      </c>
      <c r="D289" s="925">
        <v>4500194843</v>
      </c>
      <c r="E289" s="928">
        <v>50434332</v>
      </c>
      <c r="F289" s="925" t="s">
        <v>1249</v>
      </c>
      <c r="G289" s="926" t="s">
        <v>205</v>
      </c>
      <c r="H289" s="926" t="s">
        <v>189</v>
      </c>
      <c r="I289" s="1294">
        <v>1300</v>
      </c>
      <c r="J289" s="926">
        <v>0</v>
      </c>
      <c r="K289" s="926">
        <v>50</v>
      </c>
      <c r="L289" s="1201">
        <f t="shared" si="142"/>
        <v>26</v>
      </c>
      <c r="M289" s="930">
        <v>46122</v>
      </c>
      <c r="N289" s="930">
        <v>46118</v>
      </c>
      <c r="O289" s="937"/>
      <c r="P289" s="1278" t="s">
        <v>86</v>
      </c>
      <c r="Q289" s="926"/>
      <c r="R289" s="1037" t="s">
        <v>1250</v>
      </c>
      <c r="S289" s="926" t="s">
        <v>98</v>
      </c>
      <c r="T289" s="1226" t="s">
        <v>199</v>
      </c>
      <c r="U289" s="1226"/>
      <c r="V289" s="933" t="s">
        <v>1251</v>
      </c>
      <c r="W289" s="930" t="s">
        <v>1079</v>
      </c>
      <c r="X289" s="1220">
        <v>1.9605</v>
      </c>
      <c r="Y289" s="1204">
        <f t="shared" si="143"/>
        <v>2548.65</v>
      </c>
      <c r="Z289" s="1204"/>
      <c r="AA289" s="926"/>
      <c r="AB289" s="926" t="s">
        <v>210</v>
      </c>
      <c r="AC289" s="926" t="s">
        <v>93</v>
      </c>
      <c r="AD289" s="1040" t="s">
        <v>94</v>
      </c>
      <c r="AE289" s="926"/>
      <c r="AF289" s="926">
        <v>1300</v>
      </c>
      <c r="AG289" s="924">
        <f t="shared" si="136"/>
        <v>0</v>
      </c>
      <c r="AH289" s="938"/>
      <c r="AI289" s="926"/>
      <c r="AJ289" s="926"/>
      <c r="AK289" s="926">
        <f t="shared" si="163"/>
        <v>2600</v>
      </c>
      <c r="AL289" s="926"/>
      <c r="AM289" s="858"/>
      <c r="AP289" s="926">
        <f>I289</f>
        <v>1300</v>
      </c>
      <c r="AQ289" s="926"/>
      <c r="AS289" s="926">
        <f>I289</f>
        <v>1300</v>
      </c>
      <c r="AT289" s="926"/>
      <c r="AU289" s="926"/>
      <c r="AV289" s="926"/>
      <c r="BE289" s="858"/>
      <c r="BF289" s="857">
        <f>I289/25</f>
        <v>52</v>
      </c>
      <c r="BU289" s="939">
        <f t="shared" si="153"/>
        <v>2600</v>
      </c>
      <c r="BV289" s="939">
        <f>BV288+BU289</f>
        <v>2728118</v>
      </c>
      <c r="BW289" s="939"/>
      <c r="BX289" s="939"/>
      <c r="BY289" s="939"/>
      <c r="BZ289" s="939"/>
      <c r="CA289" s="857">
        <f t="shared" si="164"/>
        <v>91882</v>
      </c>
      <c r="CC289" s="857">
        <f t="shared" si="155"/>
        <v>52</v>
      </c>
      <c r="CD289" s="939">
        <f>CD288+CC289</f>
        <v>51516.5714285714</v>
      </c>
      <c r="CE289" s="939"/>
      <c r="CF289" s="939"/>
      <c r="CG289" s="939"/>
      <c r="CH289" s="939">
        <f t="shared" si="152"/>
        <v>8483.4285714286</v>
      </c>
      <c r="CI289" s="939"/>
    </row>
    <row r="290" s="857" customFormat="1" ht="32" customHeight="1" spans="1:87">
      <c r="A290" s="1044">
        <v>46065</v>
      </c>
      <c r="B290" s="1048" t="s">
        <v>314</v>
      </c>
      <c r="C290" s="928" t="s">
        <v>125</v>
      </c>
      <c r="D290" s="1047">
        <v>4500193772</v>
      </c>
      <c r="E290" s="1048">
        <v>272593</v>
      </c>
      <c r="F290" s="1047" t="s">
        <v>1252</v>
      </c>
      <c r="G290" s="926" t="s">
        <v>196</v>
      </c>
      <c r="H290" s="926" t="s">
        <v>197</v>
      </c>
      <c r="I290" s="926">
        <v>2196</v>
      </c>
      <c r="J290" s="926">
        <v>0</v>
      </c>
      <c r="K290" s="926">
        <v>12</v>
      </c>
      <c r="L290" s="1201">
        <f t="shared" si="142"/>
        <v>183</v>
      </c>
      <c r="M290" s="930">
        <v>46129</v>
      </c>
      <c r="N290" s="930">
        <v>46120</v>
      </c>
      <c r="O290" s="937"/>
      <c r="P290" s="1278" t="s">
        <v>86</v>
      </c>
      <c r="Q290" s="926"/>
      <c r="R290" s="1037">
        <v>46081</v>
      </c>
      <c r="S290" s="1037" t="s">
        <v>98</v>
      </c>
      <c r="T290" s="932" t="s">
        <v>1253</v>
      </c>
      <c r="U290" s="932"/>
      <c r="V290" s="933" t="s">
        <v>1254</v>
      </c>
      <c r="W290" s="930" t="s">
        <v>319</v>
      </c>
      <c r="X290" s="933">
        <v>2.3946</v>
      </c>
      <c r="Y290" s="1204">
        <f t="shared" si="143"/>
        <v>5258.5416</v>
      </c>
      <c r="Z290" s="1204"/>
      <c r="AA290" s="926"/>
      <c r="AB290" s="926" t="s">
        <v>984</v>
      </c>
      <c r="AC290" s="926" t="s">
        <v>93</v>
      </c>
      <c r="AD290" s="1040" t="s">
        <v>94</v>
      </c>
      <c r="AE290" s="926"/>
      <c r="AF290" s="926">
        <v>2196</v>
      </c>
      <c r="AG290" s="924">
        <f t="shared" si="136"/>
        <v>0</v>
      </c>
      <c r="AH290" s="938"/>
      <c r="AI290" s="926" t="s">
        <v>95</v>
      </c>
      <c r="AJ290" s="926"/>
      <c r="AK290" s="926">
        <f t="shared" si="163"/>
        <v>4392</v>
      </c>
      <c r="AL290" s="926"/>
      <c r="AM290" s="858">
        <f>I290*2</f>
        <v>4392</v>
      </c>
      <c r="AP290" s="926"/>
      <c r="AQ290" s="926"/>
      <c r="AS290" s="951">
        <f>I290*2</f>
        <v>4392</v>
      </c>
      <c r="AT290" s="926"/>
      <c r="AU290" s="926"/>
      <c r="AV290" s="926"/>
      <c r="BE290" s="858"/>
      <c r="BN290" s="857">
        <f>I290</f>
        <v>2196</v>
      </c>
      <c r="BP290" s="857">
        <f>I290</f>
        <v>2196</v>
      </c>
      <c r="BQ290" s="857">
        <f>I290</f>
        <v>2196</v>
      </c>
      <c r="BU290" s="939">
        <f t="shared" si="153"/>
        <v>4392</v>
      </c>
      <c r="BV290" s="939">
        <f>取消单!BT234+BU290</f>
        <v>2690088</v>
      </c>
      <c r="BW290" s="939"/>
      <c r="BX290" s="939"/>
      <c r="BY290" s="939"/>
      <c r="BZ290" s="939"/>
      <c r="CA290" s="857">
        <f t="shared" si="164"/>
        <v>129912</v>
      </c>
      <c r="CC290" s="857">
        <f t="shared" si="155"/>
        <v>0</v>
      </c>
      <c r="CD290" s="939">
        <f>取消单!CB234+CC290</f>
        <v>51536.5714285714</v>
      </c>
      <c r="CE290" s="939"/>
      <c r="CF290" s="939"/>
      <c r="CG290" s="939"/>
      <c r="CH290" s="939">
        <f t="shared" si="152"/>
        <v>8463.4285714286</v>
      </c>
      <c r="CI290" s="939"/>
    </row>
    <row r="291" s="857" customFormat="1" ht="32" customHeight="1" spans="1:87">
      <c r="A291" s="1044">
        <v>46065</v>
      </c>
      <c r="B291" s="1048" t="s">
        <v>314</v>
      </c>
      <c r="C291" s="928" t="s">
        <v>125</v>
      </c>
      <c r="D291" s="1047">
        <v>4500193773</v>
      </c>
      <c r="E291" s="1048">
        <v>272597</v>
      </c>
      <c r="F291" s="1047" t="s">
        <v>1255</v>
      </c>
      <c r="G291" s="926" t="s">
        <v>196</v>
      </c>
      <c r="H291" s="926" t="s">
        <v>197</v>
      </c>
      <c r="I291" s="1294">
        <v>2400</v>
      </c>
      <c r="J291" s="926">
        <v>0</v>
      </c>
      <c r="K291" s="926">
        <v>12</v>
      </c>
      <c r="L291" s="1201">
        <f t="shared" si="142"/>
        <v>200</v>
      </c>
      <c r="M291" s="930">
        <v>46129</v>
      </c>
      <c r="N291" s="930">
        <v>46120</v>
      </c>
      <c r="O291" s="937"/>
      <c r="P291" s="1278" t="s">
        <v>86</v>
      </c>
      <c r="Q291" s="926"/>
      <c r="R291" s="1037">
        <v>46081</v>
      </c>
      <c r="S291" s="1037" t="s">
        <v>98</v>
      </c>
      <c r="T291" s="932" t="s">
        <v>1253</v>
      </c>
      <c r="U291" s="932"/>
      <c r="V291" s="933" t="s">
        <v>1256</v>
      </c>
      <c r="W291" s="930" t="s">
        <v>319</v>
      </c>
      <c r="X291" s="933">
        <v>2.3946</v>
      </c>
      <c r="Y291" s="1204">
        <f t="shared" si="143"/>
        <v>5747.04</v>
      </c>
      <c r="Z291" s="1204"/>
      <c r="AA291" s="926"/>
      <c r="AB291" s="926" t="s">
        <v>984</v>
      </c>
      <c r="AC291" s="926" t="s">
        <v>93</v>
      </c>
      <c r="AD291" s="1040" t="s">
        <v>94</v>
      </c>
      <c r="AE291" s="926"/>
      <c r="AF291" s="926">
        <v>2400</v>
      </c>
      <c r="AG291" s="924">
        <f t="shared" si="136"/>
        <v>0</v>
      </c>
      <c r="AH291" s="938"/>
      <c r="AI291" s="926" t="s">
        <v>95</v>
      </c>
      <c r="AJ291" s="926"/>
      <c r="AK291" s="926">
        <f t="shared" si="163"/>
        <v>4800</v>
      </c>
      <c r="AL291" s="926"/>
      <c r="AM291" s="858">
        <f>I291*2</f>
        <v>4800</v>
      </c>
      <c r="AP291" s="926"/>
      <c r="AQ291" s="926"/>
      <c r="AS291" s="951">
        <f>I291*2</f>
        <v>4800</v>
      </c>
      <c r="AT291" s="926"/>
      <c r="AU291" s="926"/>
      <c r="AV291" s="926"/>
      <c r="BE291" s="858"/>
      <c r="BN291" s="857">
        <f>I291</f>
        <v>2400</v>
      </c>
      <c r="BP291" s="857">
        <f>I291</f>
        <v>2400</v>
      </c>
      <c r="BQ291" s="857">
        <f>I291</f>
        <v>2400</v>
      </c>
      <c r="BU291" s="939">
        <f t="shared" si="153"/>
        <v>4800</v>
      </c>
      <c r="BV291" s="939">
        <f>BV290+BU291</f>
        <v>2694888</v>
      </c>
      <c r="BW291" s="939"/>
      <c r="BX291" s="939"/>
      <c r="BY291" s="939"/>
      <c r="BZ291" s="939"/>
      <c r="CA291" s="857">
        <f t="shared" si="164"/>
        <v>125112</v>
      </c>
      <c r="CC291" s="857">
        <f t="shared" si="155"/>
        <v>0</v>
      </c>
      <c r="CD291" s="939">
        <f>CD290+CC291</f>
        <v>51536.5714285714</v>
      </c>
      <c r="CE291" s="939"/>
      <c r="CF291" s="939"/>
      <c r="CG291" s="939"/>
      <c r="CH291" s="939">
        <f t="shared" si="152"/>
        <v>8463.4285714286</v>
      </c>
      <c r="CI291" s="939"/>
    </row>
    <row r="292" s="857" customFormat="1" ht="32" customHeight="1" spans="1:87">
      <c r="A292" s="1044">
        <v>45995</v>
      </c>
      <c r="B292" s="1048" t="s">
        <v>194</v>
      </c>
      <c r="C292" s="928" t="s">
        <v>125</v>
      </c>
      <c r="D292" s="1047">
        <v>4500186354</v>
      </c>
      <c r="E292" s="1048">
        <v>60260799</v>
      </c>
      <c r="F292" s="1047" t="s">
        <v>1257</v>
      </c>
      <c r="G292" s="926" t="s">
        <v>196</v>
      </c>
      <c r="H292" s="926" t="s">
        <v>197</v>
      </c>
      <c r="I292" s="926">
        <v>2004</v>
      </c>
      <c r="J292" s="926">
        <v>0</v>
      </c>
      <c r="K292" s="926">
        <v>12</v>
      </c>
      <c r="L292" s="1201">
        <f t="shared" si="142"/>
        <v>167</v>
      </c>
      <c r="M292" s="930">
        <v>46135</v>
      </c>
      <c r="N292" s="930">
        <v>46132</v>
      </c>
      <c r="O292" s="937"/>
      <c r="P292" s="1278" t="s">
        <v>86</v>
      </c>
      <c r="Q292" s="926"/>
      <c r="R292" s="1037">
        <v>45995</v>
      </c>
      <c r="S292" s="1037" t="s">
        <v>98</v>
      </c>
      <c r="T292" s="1037" t="s">
        <v>199</v>
      </c>
      <c r="U292" s="1037"/>
      <c r="V292" s="933" t="s">
        <v>1258</v>
      </c>
      <c r="W292" s="930" t="s">
        <v>887</v>
      </c>
      <c r="X292" s="933">
        <v>2.4174</v>
      </c>
      <c r="Y292" s="1204">
        <f t="shared" si="143"/>
        <v>4844.4696</v>
      </c>
      <c r="Z292" s="1204"/>
      <c r="AA292" s="926"/>
      <c r="AB292" s="926" t="s">
        <v>984</v>
      </c>
      <c r="AC292" s="926" t="s">
        <v>93</v>
      </c>
      <c r="AD292" s="1040" t="s">
        <v>94</v>
      </c>
      <c r="AE292" s="926"/>
      <c r="AF292" s="926">
        <v>2004</v>
      </c>
      <c r="AG292" s="924">
        <f t="shared" si="136"/>
        <v>0</v>
      </c>
      <c r="AH292" s="938"/>
      <c r="AI292" s="926" t="s">
        <v>95</v>
      </c>
      <c r="AJ292" s="926"/>
      <c r="AK292" s="926">
        <f t="shared" si="163"/>
        <v>4008</v>
      </c>
      <c r="AL292" s="926"/>
      <c r="AM292" s="858">
        <f>I292*2</f>
        <v>4008</v>
      </c>
      <c r="AP292" s="926"/>
      <c r="AQ292" s="926"/>
      <c r="AR292" s="1280"/>
      <c r="AS292" s="951">
        <f>I292*2</f>
        <v>4008</v>
      </c>
      <c r="AT292" s="926"/>
      <c r="AU292" s="926"/>
      <c r="AV292" s="926"/>
      <c r="BE292" s="858"/>
      <c r="BN292" s="857">
        <f>I292</f>
        <v>2004</v>
      </c>
      <c r="BP292" s="857">
        <f>I292</f>
        <v>2004</v>
      </c>
      <c r="BQ292" s="857">
        <f>I292</f>
        <v>2004</v>
      </c>
      <c r="BU292" s="939">
        <f t="shared" si="153"/>
        <v>4008</v>
      </c>
      <c r="BV292" s="939">
        <f>BV285+BU292</f>
        <v>2677556</v>
      </c>
      <c r="BW292" s="939"/>
      <c r="BX292" s="939"/>
      <c r="BY292" s="939"/>
      <c r="BZ292" s="939"/>
      <c r="CA292" s="857">
        <f t="shared" si="164"/>
        <v>142444</v>
      </c>
      <c r="CC292" s="857">
        <f t="shared" si="155"/>
        <v>0</v>
      </c>
      <c r="CD292" s="939">
        <f>CD291+CC292</f>
        <v>51536.5714285714</v>
      </c>
      <c r="CE292" s="939"/>
      <c r="CF292" s="939"/>
      <c r="CG292" s="939"/>
      <c r="CH292" s="939">
        <f t="shared" si="152"/>
        <v>8463.4285714286</v>
      </c>
      <c r="CI292" s="939"/>
    </row>
    <row r="293" s="857" customFormat="1" ht="32" customHeight="1" spans="1:87">
      <c r="A293" s="1044">
        <v>46048</v>
      </c>
      <c r="B293" s="1048" t="s">
        <v>1259</v>
      </c>
      <c r="C293" s="928" t="s">
        <v>1260</v>
      </c>
      <c r="D293" s="1047">
        <v>4500192280</v>
      </c>
      <c r="E293" s="1048"/>
      <c r="F293" s="1047" t="s">
        <v>1261</v>
      </c>
      <c r="G293" s="926" t="s">
        <v>205</v>
      </c>
      <c r="H293" s="926" t="s">
        <v>189</v>
      </c>
      <c r="I293" s="1294">
        <v>2000</v>
      </c>
      <c r="J293" s="926">
        <v>0</v>
      </c>
      <c r="K293" s="926">
        <v>50</v>
      </c>
      <c r="L293" s="1201">
        <f t="shared" si="142"/>
        <v>40</v>
      </c>
      <c r="M293" s="930">
        <v>46112</v>
      </c>
      <c r="N293" s="930">
        <v>46108</v>
      </c>
      <c r="O293" s="937" t="s">
        <v>1262</v>
      </c>
      <c r="P293" s="1278" t="s">
        <v>86</v>
      </c>
      <c r="Q293" s="926"/>
      <c r="R293" s="1037">
        <v>46048</v>
      </c>
      <c r="S293" s="1037" t="s">
        <v>98</v>
      </c>
      <c r="T293" s="1037" t="s">
        <v>89</v>
      </c>
      <c r="U293" s="1037"/>
      <c r="V293" s="933" t="s">
        <v>1263</v>
      </c>
      <c r="W293" s="930" t="s">
        <v>481</v>
      </c>
      <c r="X293" s="1220">
        <v>1.9438</v>
      </c>
      <c r="Y293" s="1204">
        <f t="shared" si="143"/>
        <v>3887.6</v>
      </c>
      <c r="Z293" s="1204"/>
      <c r="AA293" s="926"/>
      <c r="AB293" s="926" t="s">
        <v>205</v>
      </c>
      <c r="AC293" s="926" t="s">
        <v>93</v>
      </c>
      <c r="AD293" s="1040" t="s">
        <v>94</v>
      </c>
      <c r="AE293" s="926"/>
      <c r="AF293" s="926">
        <v>2000</v>
      </c>
      <c r="AG293" s="924">
        <f t="shared" si="136"/>
        <v>0</v>
      </c>
      <c r="AH293" s="938"/>
      <c r="AI293" s="926"/>
      <c r="AJ293" s="926"/>
      <c r="AK293" s="926">
        <f t="shared" ref="AK293:AK298" si="165">I293*2</f>
        <v>4000</v>
      </c>
      <c r="AL293" s="926"/>
      <c r="AM293" s="858">
        <f>I293</f>
        <v>2000</v>
      </c>
      <c r="AP293" s="926"/>
      <c r="AQ293" s="926"/>
      <c r="AS293" s="926">
        <f>I293</f>
        <v>2000</v>
      </c>
      <c r="AT293" s="926"/>
      <c r="AU293" s="926"/>
      <c r="AV293" s="926"/>
      <c r="BE293" s="858">
        <f>I293/25</f>
        <v>80</v>
      </c>
      <c r="BU293" s="939">
        <f t="shared" si="153"/>
        <v>4000</v>
      </c>
      <c r="BV293" s="939">
        <f>BV285+BU293</f>
        <v>2677548</v>
      </c>
      <c r="BW293" s="939"/>
      <c r="BX293" s="939"/>
      <c r="BY293" s="939"/>
      <c r="BZ293" s="939"/>
      <c r="CC293" s="857">
        <f t="shared" ref="CC293:CC308" si="166">AW293+AX293+BE293+BF293</f>
        <v>80</v>
      </c>
      <c r="CD293" s="939">
        <f>CD285+CC293</f>
        <v>51320.5714285714</v>
      </c>
      <c r="CE293" s="939"/>
      <c r="CF293" s="939"/>
      <c r="CG293" s="939"/>
      <c r="CH293" s="939">
        <f t="shared" si="152"/>
        <v>8679.4285714286</v>
      </c>
      <c r="CI293" s="939"/>
    </row>
    <row r="294" s="857" customFormat="1" ht="32" customHeight="1" spans="1:87">
      <c r="A294" s="1044">
        <v>46065</v>
      </c>
      <c r="B294" s="1048" t="s">
        <v>314</v>
      </c>
      <c r="C294" s="928" t="s">
        <v>125</v>
      </c>
      <c r="D294" s="1047">
        <v>4500193766</v>
      </c>
      <c r="E294" s="1048">
        <v>272587</v>
      </c>
      <c r="F294" s="1047" t="s">
        <v>1264</v>
      </c>
      <c r="G294" s="926" t="s">
        <v>196</v>
      </c>
      <c r="H294" s="926" t="s">
        <v>197</v>
      </c>
      <c r="I294" s="1294">
        <v>2196</v>
      </c>
      <c r="J294" s="926">
        <v>0</v>
      </c>
      <c r="K294" s="926">
        <v>12</v>
      </c>
      <c r="L294" s="1201">
        <f t="shared" si="142"/>
        <v>183</v>
      </c>
      <c r="M294" s="930">
        <v>46113</v>
      </c>
      <c r="N294" s="930">
        <f>M294-4</f>
        <v>46109</v>
      </c>
      <c r="O294" s="937"/>
      <c r="P294" s="1278" t="s">
        <v>86</v>
      </c>
      <c r="Q294" s="926"/>
      <c r="R294" s="1037">
        <v>46081</v>
      </c>
      <c r="S294" s="1037" t="s">
        <v>98</v>
      </c>
      <c r="T294" s="932" t="s">
        <v>1253</v>
      </c>
      <c r="U294" s="932"/>
      <c r="V294" s="933" t="s">
        <v>1265</v>
      </c>
      <c r="W294" s="930" t="s">
        <v>319</v>
      </c>
      <c r="X294" s="933">
        <v>2.4174</v>
      </c>
      <c r="Y294" s="1204">
        <f t="shared" si="143"/>
        <v>5308.6104</v>
      </c>
      <c r="Z294" s="1204"/>
      <c r="AA294" s="926"/>
      <c r="AB294" s="926" t="s">
        <v>984</v>
      </c>
      <c r="AC294" s="926" t="s">
        <v>93</v>
      </c>
      <c r="AD294" s="1040" t="s">
        <v>94</v>
      </c>
      <c r="AE294" s="926"/>
      <c r="AF294" s="926">
        <v>2196</v>
      </c>
      <c r="AG294" s="924">
        <f t="shared" si="136"/>
        <v>0</v>
      </c>
      <c r="AH294" s="938"/>
      <c r="AI294" s="926" t="s">
        <v>95</v>
      </c>
      <c r="AJ294" s="926"/>
      <c r="AK294" s="926">
        <f t="shared" si="165"/>
        <v>4392</v>
      </c>
      <c r="AL294" s="926"/>
      <c r="AM294" s="858">
        <f>I294*2</f>
        <v>4392</v>
      </c>
      <c r="AP294" s="926"/>
      <c r="AQ294" s="926"/>
      <c r="AS294" s="951">
        <f>I294*2</f>
        <v>4392</v>
      </c>
      <c r="AT294" s="926"/>
      <c r="AU294" s="926"/>
      <c r="AV294" s="926"/>
      <c r="BE294" s="858"/>
      <c r="BN294" s="857">
        <f>I294</f>
        <v>2196</v>
      </c>
      <c r="BP294" s="857">
        <f>I294</f>
        <v>2196</v>
      </c>
      <c r="BQ294" s="857">
        <f>I294</f>
        <v>2196</v>
      </c>
      <c r="BU294" s="939">
        <f t="shared" si="153"/>
        <v>4392</v>
      </c>
      <c r="BV294" s="939">
        <f>BV293+BU294</f>
        <v>2681940</v>
      </c>
      <c r="BW294" s="939"/>
      <c r="BX294" s="939"/>
      <c r="BY294" s="939"/>
      <c r="BZ294" s="939"/>
      <c r="CA294" s="857">
        <f>SUM(BX$1:CB$1)-BV294</f>
        <v>138060</v>
      </c>
      <c r="CC294" s="857">
        <f t="shared" si="166"/>
        <v>0</v>
      </c>
      <c r="CD294" s="939">
        <f t="shared" ref="CD294:CD307" si="167">CD293+CC294</f>
        <v>51320.5714285714</v>
      </c>
      <c r="CE294" s="939"/>
      <c r="CF294" s="939"/>
      <c r="CG294" s="939"/>
      <c r="CH294" s="939">
        <f t="shared" si="152"/>
        <v>8679.4285714286</v>
      </c>
      <c r="CI294" s="939"/>
    </row>
    <row r="295" s="857" customFormat="1" ht="32" customHeight="1" spans="1:87">
      <c r="A295" s="1044">
        <v>46065</v>
      </c>
      <c r="B295" s="1048" t="s">
        <v>314</v>
      </c>
      <c r="C295" s="928" t="s">
        <v>125</v>
      </c>
      <c r="D295" s="1047">
        <v>4500193767</v>
      </c>
      <c r="E295" s="1048">
        <v>272590</v>
      </c>
      <c r="F295" s="1047" t="s">
        <v>1266</v>
      </c>
      <c r="G295" s="926" t="s">
        <v>196</v>
      </c>
      <c r="H295" s="926" t="s">
        <v>197</v>
      </c>
      <c r="I295" s="1294">
        <v>2400</v>
      </c>
      <c r="J295" s="926">
        <v>0</v>
      </c>
      <c r="K295" s="926">
        <v>12</v>
      </c>
      <c r="L295" s="1201">
        <f t="shared" si="142"/>
        <v>200</v>
      </c>
      <c r="M295" s="930">
        <v>46113</v>
      </c>
      <c r="N295" s="930">
        <f>M295-4</f>
        <v>46109</v>
      </c>
      <c r="O295" s="937"/>
      <c r="P295" s="1278" t="s">
        <v>86</v>
      </c>
      <c r="Q295" s="926"/>
      <c r="R295" s="1037">
        <v>46081</v>
      </c>
      <c r="S295" s="1037" t="s">
        <v>98</v>
      </c>
      <c r="T295" s="932" t="s">
        <v>1253</v>
      </c>
      <c r="U295" s="932"/>
      <c r="V295" s="933" t="s">
        <v>1265</v>
      </c>
      <c r="W295" s="930" t="s">
        <v>319</v>
      </c>
      <c r="X295" s="933">
        <v>2.4174</v>
      </c>
      <c r="Y295" s="1204">
        <f t="shared" si="143"/>
        <v>5801.76</v>
      </c>
      <c r="Z295" s="1204"/>
      <c r="AA295" s="926"/>
      <c r="AB295" s="926" t="s">
        <v>984</v>
      </c>
      <c r="AC295" s="926" t="s">
        <v>93</v>
      </c>
      <c r="AD295" s="1040" t="s">
        <v>94</v>
      </c>
      <c r="AE295" s="926"/>
      <c r="AF295" s="926">
        <v>2400</v>
      </c>
      <c r="AG295" s="924">
        <f t="shared" si="136"/>
        <v>0</v>
      </c>
      <c r="AH295" s="938"/>
      <c r="AI295" s="926" t="s">
        <v>95</v>
      </c>
      <c r="AJ295" s="926"/>
      <c r="AK295" s="926">
        <f t="shared" si="165"/>
        <v>4800</v>
      </c>
      <c r="AL295" s="926"/>
      <c r="AM295" s="858">
        <f>I295*2</f>
        <v>4800</v>
      </c>
      <c r="AP295" s="926"/>
      <c r="AQ295" s="926"/>
      <c r="AS295" s="951">
        <f>I295*2</f>
        <v>4800</v>
      </c>
      <c r="AT295" s="926"/>
      <c r="AU295" s="926"/>
      <c r="AV295" s="926"/>
      <c r="BE295" s="858"/>
      <c r="BN295" s="857">
        <f>I295</f>
        <v>2400</v>
      </c>
      <c r="BP295" s="857">
        <f>I295</f>
        <v>2400</v>
      </c>
      <c r="BQ295" s="857">
        <f>I295</f>
        <v>2400</v>
      </c>
      <c r="BU295" s="939">
        <f t="shared" si="153"/>
        <v>4800</v>
      </c>
      <c r="BV295" s="939">
        <f>BV294+BU295</f>
        <v>2686740</v>
      </c>
      <c r="BW295" s="939"/>
      <c r="BX295" s="939"/>
      <c r="BY295" s="939"/>
      <c r="BZ295" s="939"/>
      <c r="CA295" s="857">
        <f>SUM(BX$1:CB$1)-BV295</f>
        <v>133260</v>
      </c>
      <c r="CC295" s="857">
        <f t="shared" si="166"/>
        <v>0</v>
      </c>
      <c r="CD295" s="939">
        <f t="shared" si="167"/>
        <v>51320.5714285714</v>
      </c>
      <c r="CE295" s="939"/>
      <c r="CF295" s="939"/>
      <c r="CG295" s="939"/>
      <c r="CH295" s="939">
        <f t="shared" si="152"/>
        <v>8679.4285714286</v>
      </c>
      <c r="CI295" s="939"/>
    </row>
    <row r="296" s="857" customFormat="1" ht="32" customHeight="1" spans="1:87">
      <c r="A296" s="1044">
        <v>46063</v>
      </c>
      <c r="B296" s="1048" t="s">
        <v>1267</v>
      </c>
      <c r="C296" s="928" t="s">
        <v>125</v>
      </c>
      <c r="D296" s="1047">
        <v>4500193621</v>
      </c>
      <c r="E296" s="1048">
        <v>5214</v>
      </c>
      <c r="F296" s="1047" t="s">
        <v>1268</v>
      </c>
      <c r="G296" s="926" t="s">
        <v>205</v>
      </c>
      <c r="H296" s="926" t="s">
        <v>189</v>
      </c>
      <c r="I296" s="1294">
        <v>3600</v>
      </c>
      <c r="J296" s="926">
        <v>0</v>
      </c>
      <c r="K296" s="926">
        <v>50</v>
      </c>
      <c r="L296" s="1201">
        <f t="shared" si="142"/>
        <v>72</v>
      </c>
      <c r="M296" s="930">
        <v>46113</v>
      </c>
      <c r="N296" s="930">
        <f>M296-4</f>
        <v>46109</v>
      </c>
      <c r="O296" s="937"/>
      <c r="P296" s="1278" t="s">
        <v>86</v>
      </c>
      <c r="Q296" s="926"/>
      <c r="R296" s="1037">
        <v>46063</v>
      </c>
      <c r="S296" s="1037" t="s">
        <v>98</v>
      </c>
      <c r="T296" s="932" t="s">
        <v>98</v>
      </c>
      <c r="U296" s="932"/>
      <c r="V296" s="933" t="s">
        <v>1269</v>
      </c>
      <c r="W296" s="930" t="s">
        <v>1270</v>
      </c>
      <c r="X296" s="1220">
        <v>1.1729</v>
      </c>
      <c r="Y296" s="1204">
        <f t="shared" si="143"/>
        <v>4222.44</v>
      </c>
      <c r="Z296" s="1204"/>
      <c r="AA296" s="926"/>
      <c r="AB296" s="926" t="s">
        <v>205</v>
      </c>
      <c r="AC296" s="926" t="s">
        <v>93</v>
      </c>
      <c r="AD296" s="1040" t="s">
        <v>94</v>
      </c>
      <c r="AE296" s="926"/>
      <c r="AF296" s="926">
        <v>3600</v>
      </c>
      <c r="AG296" s="924">
        <f t="shared" si="136"/>
        <v>0</v>
      </c>
      <c r="AH296" s="938"/>
      <c r="AI296" s="926"/>
      <c r="AJ296" s="926"/>
      <c r="AK296" s="926">
        <f t="shared" si="165"/>
        <v>7200</v>
      </c>
      <c r="AL296" s="926"/>
      <c r="AM296" s="858">
        <f>I296</f>
        <v>3600</v>
      </c>
      <c r="AP296" s="926"/>
      <c r="AQ296" s="926"/>
      <c r="AS296" s="926">
        <f>I296</f>
        <v>3600</v>
      </c>
      <c r="AT296" s="926"/>
      <c r="AU296" s="926"/>
      <c r="AV296" s="926"/>
      <c r="BE296" s="858">
        <f>I296/25</f>
        <v>144</v>
      </c>
      <c r="BU296" s="939">
        <f t="shared" si="153"/>
        <v>7200</v>
      </c>
      <c r="BV296" s="939">
        <f>BV295+BU296</f>
        <v>2693940</v>
      </c>
      <c r="BW296" s="939"/>
      <c r="BX296" s="939"/>
      <c r="BY296" s="939"/>
      <c r="BZ296" s="939"/>
      <c r="CC296" s="857">
        <f t="shared" si="166"/>
        <v>144</v>
      </c>
      <c r="CD296" s="939">
        <f t="shared" si="167"/>
        <v>51464.5714285714</v>
      </c>
      <c r="CE296" s="939"/>
      <c r="CF296" s="939"/>
      <c r="CG296" s="939"/>
      <c r="CH296" s="939">
        <f t="shared" si="152"/>
        <v>8535.4285714286</v>
      </c>
      <c r="CI296" s="939"/>
    </row>
    <row r="297" s="857" customFormat="1" ht="32" customHeight="1" spans="1:87">
      <c r="A297" s="1044">
        <v>46065</v>
      </c>
      <c r="B297" s="1048" t="s">
        <v>314</v>
      </c>
      <c r="C297" s="928" t="s">
        <v>125</v>
      </c>
      <c r="D297" s="1047">
        <v>4500193768</v>
      </c>
      <c r="E297" s="1048">
        <v>272591</v>
      </c>
      <c r="F297" s="1047" t="s">
        <v>1271</v>
      </c>
      <c r="G297" s="926" t="s">
        <v>196</v>
      </c>
      <c r="H297" s="926" t="s">
        <v>197</v>
      </c>
      <c r="I297" s="1294">
        <v>2196</v>
      </c>
      <c r="J297" s="926">
        <v>0</v>
      </c>
      <c r="K297" s="926">
        <v>12</v>
      </c>
      <c r="L297" s="1201">
        <f t="shared" si="142"/>
        <v>183</v>
      </c>
      <c r="M297" s="930">
        <v>46115</v>
      </c>
      <c r="N297" s="930">
        <f>M297-4</f>
        <v>46111</v>
      </c>
      <c r="O297" s="937"/>
      <c r="P297" s="1278" t="s">
        <v>86</v>
      </c>
      <c r="Q297" s="926"/>
      <c r="R297" s="1037">
        <v>46081</v>
      </c>
      <c r="S297" s="1037" t="s">
        <v>98</v>
      </c>
      <c r="T297" s="932" t="s">
        <v>1253</v>
      </c>
      <c r="U297" s="932"/>
      <c r="V297" s="933" t="s">
        <v>1265</v>
      </c>
      <c r="W297" s="930" t="s">
        <v>319</v>
      </c>
      <c r="X297" s="933">
        <v>2.4174</v>
      </c>
      <c r="Y297" s="1204">
        <f t="shared" si="143"/>
        <v>5308.6104</v>
      </c>
      <c r="Z297" s="1204"/>
      <c r="AA297" s="926"/>
      <c r="AB297" s="926" t="s">
        <v>984</v>
      </c>
      <c r="AC297" s="926" t="s">
        <v>93</v>
      </c>
      <c r="AD297" s="1040" t="s">
        <v>94</v>
      </c>
      <c r="AE297" s="926"/>
      <c r="AF297" s="926">
        <v>2196</v>
      </c>
      <c r="AG297" s="924">
        <f t="shared" si="136"/>
        <v>0</v>
      </c>
      <c r="AH297" s="938"/>
      <c r="AI297" s="926" t="s">
        <v>95</v>
      </c>
      <c r="AJ297" s="926"/>
      <c r="AK297" s="926">
        <f t="shared" si="165"/>
        <v>4392</v>
      </c>
      <c r="AL297" s="926"/>
      <c r="AM297" s="858">
        <f>I297*2</f>
        <v>4392</v>
      </c>
      <c r="AP297" s="926"/>
      <c r="AQ297" s="926"/>
      <c r="AS297" s="951">
        <f>I297*2</f>
        <v>4392</v>
      </c>
      <c r="AT297" s="926"/>
      <c r="AU297" s="926"/>
      <c r="AV297" s="926"/>
      <c r="BE297" s="858"/>
      <c r="BN297" s="857">
        <f>I297</f>
        <v>2196</v>
      </c>
      <c r="BP297" s="857">
        <f>I297</f>
        <v>2196</v>
      </c>
      <c r="BQ297" s="857">
        <f>I297</f>
        <v>2196</v>
      </c>
      <c r="BU297" s="939">
        <f t="shared" ref="BU297:BU308" si="168">AK297+AL297</f>
        <v>4392</v>
      </c>
      <c r="BV297" s="939">
        <f>BV296+BU297</f>
        <v>2698332</v>
      </c>
      <c r="BW297" s="939"/>
      <c r="BX297" s="939"/>
      <c r="BY297" s="939"/>
      <c r="BZ297" s="939"/>
      <c r="CA297" s="857">
        <f>SUM(BX$1:CB$1)-BV297</f>
        <v>121668</v>
      </c>
      <c r="CC297" s="857">
        <f t="shared" si="166"/>
        <v>0</v>
      </c>
      <c r="CD297" s="939">
        <f t="shared" si="167"/>
        <v>51464.5714285714</v>
      </c>
      <c r="CE297" s="939"/>
      <c r="CF297" s="939"/>
      <c r="CG297" s="939"/>
      <c r="CH297" s="939">
        <f t="shared" si="152"/>
        <v>8535.4285714286</v>
      </c>
      <c r="CI297" s="939"/>
    </row>
    <row r="298" s="857" customFormat="1" ht="32" customHeight="1" spans="1:87">
      <c r="A298" s="1044">
        <v>46065</v>
      </c>
      <c r="B298" s="1048" t="s">
        <v>314</v>
      </c>
      <c r="C298" s="928" t="s">
        <v>125</v>
      </c>
      <c r="D298" s="1047">
        <v>4500193769</v>
      </c>
      <c r="E298" s="1048">
        <v>272595</v>
      </c>
      <c r="F298" s="1047" t="s">
        <v>1272</v>
      </c>
      <c r="G298" s="926" t="s">
        <v>196</v>
      </c>
      <c r="H298" s="926" t="s">
        <v>197</v>
      </c>
      <c r="I298" s="1294">
        <v>2400</v>
      </c>
      <c r="J298" s="926">
        <v>0</v>
      </c>
      <c r="K298" s="926">
        <v>12</v>
      </c>
      <c r="L298" s="1201">
        <f t="shared" si="142"/>
        <v>200</v>
      </c>
      <c r="M298" s="930">
        <v>46115</v>
      </c>
      <c r="N298" s="930">
        <f>M298-4</f>
        <v>46111</v>
      </c>
      <c r="O298" s="937"/>
      <c r="P298" s="1278" t="s">
        <v>86</v>
      </c>
      <c r="Q298" s="926"/>
      <c r="R298" s="1037">
        <v>46081</v>
      </c>
      <c r="S298" s="1037" t="s">
        <v>98</v>
      </c>
      <c r="T298" s="932" t="s">
        <v>1253</v>
      </c>
      <c r="U298" s="932"/>
      <c r="V298" s="933" t="s">
        <v>1265</v>
      </c>
      <c r="W298" s="930" t="s">
        <v>319</v>
      </c>
      <c r="X298" s="933">
        <v>2.4174</v>
      </c>
      <c r="Y298" s="1204">
        <f t="shared" si="143"/>
        <v>5801.76</v>
      </c>
      <c r="Z298" s="1204"/>
      <c r="AA298" s="926"/>
      <c r="AB298" s="926" t="s">
        <v>984</v>
      </c>
      <c r="AC298" s="926" t="s">
        <v>93</v>
      </c>
      <c r="AD298" s="1040" t="s">
        <v>94</v>
      </c>
      <c r="AE298" s="926"/>
      <c r="AF298" s="926">
        <v>2400</v>
      </c>
      <c r="AG298" s="924">
        <f t="shared" si="136"/>
        <v>0</v>
      </c>
      <c r="AH298" s="938"/>
      <c r="AI298" s="926" t="s">
        <v>95</v>
      </c>
      <c r="AJ298" s="926"/>
      <c r="AK298" s="926">
        <f t="shared" si="165"/>
        <v>4800</v>
      </c>
      <c r="AL298" s="926"/>
      <c r="AM298" s="858">
        <f>I298*2</f>
        <v>4800</v>
      </c>
      <c r="AP298" s="926"/>
      <c r="AQ298" s="926"/>
      <c r="AS298" s="951">
        <f>I298*2</f>
        <v>4800</v>
      </c>
      <c r="AT298" s="926"/>
      <c r="AU298" s="926"/>
      <c r="AV298" s="926"/>
      <c r="BE298" s="858"/>
      <c r="BN298" s="857">
        <f>I298</f>
        <v>2400</v>
      </c>
      <c r="BP298" s="857">
        <f>I298</f>
        <v>2400</v>
      </c>
      <c r="BQ298" s="857">
        <f>I298</f>
        <v>2400</v>
      </c>
      <c r="BU298" s="939">
        <f t="shared" si="168"/>
        <v>4800</v>
      </c>
      <c r="BV298" s="939">
        <f>BV297+BU298</f>
        <v>2703132</v>
      </c>
      <c r="BW298" s="939"/>
      <c r="BX298" s="939"/>
      <c r="BY298" s="939"/>
      <c r="BZ298" s="939"/>
      <c r="CA298" s="857">
        <f>SUM(BX$1:CB$1)-BV298</f>
        <v>116868</v>
      </c>
      <c r="CC298" s="857">
        <f t="shared" si="166"/>
        <v>0</v>
      </c>
      <c r="CD298" s="939">
        <f t="shared" si="167"/>
        <v>51464.5714285714</v>
      </c>
      <c r="CE298" s="939"/>
      <c r="CF298" s="939"/>
      <c r="CG298" s="939"/>
      <c r="CH298" s="939">
        <f t="shared" si="152"/>
        <v>8535.4285714286</v>
      </c>
      <c r="CI298" s="939"/>
    </row>
    <row r="299" s="857" customFormat="1" ht="32" customHeight="1" spans="1:87">
      <c r="A299" s="1044">
        <v>46058</v>
      </c>
      <c r="B299" s="1048" t="s">
        <v>1090</v>
      </c>
      <c r="C299" s="928" t="s">
        <v>125</v>
      </c>
      <c r="D299" s="1047">
        <v>4500193110</v>
      </c>
      <c r="E299" s="1048">
        <v>4561394538</v>
      </c>
      <c r="F299" s="1047" t="s">
        <v>1273</v>
      </c>
      <c r="G299" s="926" t="s">
        <v>353</v>
      </c>
      <c r="H299" s="926" t="s">
        <v>189</v>
      </c>
      <c r="I299" s="926">
        <v>1332</v>
      </c>
      <c r="J299" s="926">
        <v>0</v>
      </c>
      <c r="K299" s="926">
        <v>6</v>
      </c>
      <c r="L299" s="1201">
        <f t="shared" si="142"/>
        <v>222</v>
      </c>
      <c r="M299" s="930">
        <v>46119</v>
      </c>
      <c r="N299" s="930">
        <v>46115</v>
      </c>
      <c r="O299" s="937"/>
      <c r="P299" s="1278" t="s">
        <v>86</v>
      </c>
      <c r="Q299" s="926" t="s">
        <v>1274</v>
      </c>
      <c r="R299" s="1037">
        <v>46058</v>
      </c>
      <c r="S299" s="926" t="s">
        <v>98</v>
      </c>
      <c r="T299" s="1226" t="s">
        <v>1275</v>
      </c>
      <c r="U299" s="1226"/>
      <c r="V299" s="933" t="s">
        <v>1276</v>
      </c>
      <c r="W299" s="930" t="s">
        <v>217</v>
      </c>
      <c r="X299" s="1220">
        <v>1.1527</v>
      </c>
      <c r="Y299" s="1204">
        <f t="shared" si="143"/>
        <v>1535.3964</v>
      </c>
      <c r="Z299" s="1204"/>
      <c r="AA299" s="926"/>
      <c r="AB299" s="926" t="s">
        <v>1277</v>
      </c>
      <c r="AC299" s="926" t="s">
        <v>93</v>
      </c>
      <c r="AD299" s="1040" t="s">
        <v>94</v>
      </c>
      <c r="AE299" s="926"/>
      <c r="AF299" s="926">
        <v>1332</v>
      </c>
      <c r="AG299" s="924">
        <f t="shared" si="136"/>
        <v>0</v>
      </c>
      <c r="AH299" s="938"/>
      <c r="AI299" s="926" t="s">
        <v>95</v>
      </c>
      <c r="AJ299" s="926"/>
      <c r="AK299" s="926">
        <f t="shared" ref="AK299:AK308" si="169">I299</f>
        <v>1332</v>
      </c>
      <c r="AL299" s="926"/>
      <c r="AM299" s="926">
        <f t="shared" ref="AM299:AM309" si="170">I299</f>
        <v>1332</v>
      </c>
      <c r="AP299" s="926"/>
      <c r="AQ299" s="926"/>
      <c r="AS299" s="926">
        <f t="shared" ref="AS299:AS310" si="171">I299</f>
        <v>1332</v>
      </c>
      <c r="AT299" s="926"/>
      <c r="AU299" s="926"/>
      <c r="AV299" s="926"/>
      <c r="BB299" s="857">
        <f t="shared" ref="BB299:BB307" si="172">I299/6</f>
        <v>222</v>
      </c>
      <c r="BE299" s="858"/>
      <c r="BU299" s="939">
        <f t="shared" si="168"/>
        <v>1332</v>
      </c>
      <c r="BV299" s="939">
        <f>BV293+BU299</f>
        <v>2678880</v>
      </c>
      <c r="BW299" s="939"/>
      <c r="BX299" s="939"/>
      <c r="BY299" s="939"/>
      <c r="BZ299" s="939"/>
      <c r="CA299" s="857">
        <f t="shared" ref="CA299:CA307" si="173">SUM(BX$1:CB$1)-BV299</f>
        <v>141120</v>
      </c>
      <c r="CC299" s="857">
        <f t="shared" si="166"/>
        <v>0</v>
      </c>
      <c r="CD299" s="939">
        <f t="shared" si="167"/>
        <v>51464.5714285714</v>
      </c>
      <c r="CE299" s="939"/>
      <c r="CF299" s="939"/>
      <c r="CG299" s="939"/>
      <c r="CH299" s="939">
        <f t="shared" si="152"/>
        <v>8535.4285714286</v>
      </c>
      <c r="CI299" s="939"/>
    </row>
    <row r="300" s="857" customFormat="1" ht="32" customHeight="1" spans="1:87">
      <c r="A300" s="1044">
        <v>46058</v>
      </c>
      <c r="B300" s="1048" t="s">
        <v>1090</v>
      </c>
      <c r="C300" s="928" t="s">
        <v>125</v>
      </c>
      <c r="D300" s="1047">
        <v>4500193110</v>
      </c>
      <c r="E300" s="1048">
        <v>4561394965</v>
      </c>
      <c r="F300" s="1047" t="s">
        <v>1278</v>
      </c>
      <c r="G300" s="926" t="s">
        <v>353</v>
      </c>
      <c r="H300" s="926" t="s">
        <v>189</v>
      </c>
      <c r="I300" s="926">
        <v>132</v>
      </c>
      <c r="J300" s="926">
        <v>0</v>
      </c>
      <c r="K300" s="926">
        <v>6</v>
      </c>
      <c r="L300" s="1201">
        <f t="shared" si="142"/>
        <v>22</v>
      </c>
      <c r="M300" s="930">
        <v>46119</v>
      </c>
      <c r="N300" s="930">
        <v>46115</v>
      </c>
      <c r="O300" s="937"/>
      <c r="P300" s="1278" t="s">
        <v>86</v>
      </c>
      <c r="Q300" s="926" t="s">
        <v>1274</v>
      </c>
      <c r="R300" s="1037">
        <v>46058</v>
      </c>
      <c r="S300" s="926" t="s">
        <v>98</v>
      </c>
      <c r="T300" s="1226" t="s">
        <v>1275</v>
      </c>
      <c r="U300" s="1226"/>
      <c r="V300" s="933" t="s">
        <v>1276</v>
      </c>
      <c r="W300" s="930" t="s">
        <v>217</v>
      </c>
      <c r="X300" s="1220">
        <v>1.1527</v>
      </c>
      <c r="Y300" s="1204">
        <f t="shared" si="143"/>
        <v>152.1564</v>
      </c>
      <c r="Z300" s="1204"/>
      <c r="AA300" s="926"/>
      <c r="AB300" s="926" t="s">
        <v>1277</v>
      </c>
      <c r="AC300" s="926" t="s">
        <v>93</v>
      </c>
      <c r="AD300" s="1040" t="s">
        <v>94</v>
      </c>
      <c r="AE300" s="926"/>
      <c r="AF300" s="926">
        <v>132</v>
      </c>
      <c r="AG300" s="924">
        <f t="shared" si="136"/>
        <v>0</v>
      </c>
      <c r="AH300" s="938"/>
      <c r="AI300" s="926" t="s">
        <v>95</v>
      </c>
      <c r="AJ300" s="926"/>
      <c r="AK300" s="926">
        <f t="shared" si="169"/>
        <v>132</v>
      </c>
      <c r="AL300" s="926"/>
      <c r="AM300" s="926">
        <f t="shared" si="170"/>
        <v>132</v>
      </c>
      <c r="AP300" s="926"/>
      <c r="AQ300" s="926"/>
      <c r="AS300" s="926">
        <f t="shared" si="171"/>
        <v>132</v>
      </c>
      <c r="AT300" s="926"/>
      <c r="AU300" s="926"/>
      <c r="AV300" s="926"/>
      <c r="BB300" s="857">
        <f t="shared" si="172"/>
        <v>22</v>
      </c>
      <c r="BE300" s="858"/>
      <c r="BU300" s="939">
        <f t="shared" si="168"/>
        <v>132</v>
      </c>
      <c r="BV300" s="939">
        <f t="shared" ref="BV299:BV307" si="174">BV299+BU300</f>
        <v>2679012</v>
      </c>
      <c r="BW300" s="939"/>
      <c r="BX300" s="939"/>
      <c r="BY300" s="939"/>
      <c r="BZ300" s="939"/>
      <c r="CA300" s="857">
        <f t="shared" si="173"/>
        <v>140988</v>
      </c>
      <c r="CC300" s="857">
        <f t="shared" si="166"/>
        <v>0</v>
      </c>
      <c r="CD300" s="939">
        <f t="shared" si="167"/>
        <v>51464.5714285714</v>
      </c>
      <c r="CE300" s="939"/>
      <c r="CF300" s="939"/>
      <c r="CG300" s="939"/>
      <c r="CH300" s="939">
        <f t="shared" si="152"/>
        <v>8535.4285714286</v>
      </c>
      <c r="CI300" s="939"/>
    </row>
    <row r="301" s="857" customFormat="1" ht="32" customHeight="1" spans="1:87">
      <c r="A301" s="1044">
        <v>46058</v>
      </c>
      <c r="B301" s="1048" t="s">
        <v>1090</v>
      </c>
      <c r="C301" s="928" t="s">
        <v>125</v>
      </c>
      <c r="D301" s="1047">
        <v>4500193110</v>
      </c>
      <c r="E301" s="1048">
        <v>4561394955</v>
      </c>
      <c r="F301" s="1047" t="s">
        <v>1279</v>
      </c>
      <c r="G301" s="926" t="s">
        <v>353</v>
      </c>
      <c r="H301" s="926" t="s">
        <v>189</v>
      </c>
      <c r="I301" s="926">
        <v>1968</v>
      </c>
      <c r="J301" s="926">
        <v>0</v>
      </c>
      <c r="K301" s="926">
        <v>6</v>
      </c>
      <c r="L301" s="1201">
        <f t="shared" si="142"/>
        <v>328</v>
      </c>
      <c r="M301" s="930">
        <v>46119</v>
      </c>
      <c r="N301" s="930">
        <v>46115</v>
      </c>
      <c r="O301" s="937"/>
      <c r="P301" s="1278" t="s">
        <v>86</v>
      </c>
      <c r="Q301" s="926" t="s">
        <v>1274</v>
      </c>
      <c r="R301" s="1037">
        <v>46058</v>
      </c>
      <c r="S301" s="926" t="s">
        <v>98</v>
      </c>
      <c r="T301" s="1226" t="s">
        <v>1275</v>
      </c>
      <c r="U301" s="1226"/>
      <c r="V301" s="933" t="s">
        <v>1276</v>
      </c>
      <c r="W301" s="930" t="s">
        <v>217</v>
      </c>
      <c r="X301" s="1220">
        <v>1.1527</v>
      </c>
      <c r="Y301" s="1204">
        <f t="shared" si="143"/>
        <v>2268.5136</v>
      </c>
      <c r="Z301" s="1204"/>
      <c r="AA301" s="926"/>
      <c r="AB301" s="926" t="s">
        <v>1277</v>
      </c>
      <c r="AC301" s="926" t="s">
        <v>93</v>
      </c>
      <c r="AD301" s="1040" t="s">
        <v>94</v>
      </c>
      <c r="AE301" s="926"/>
      <c r="AF301" s="926">
        <v>1968</v>
      </c>
      <c r="AG301" s="924">
        <f t="shared" si="136"/>
        <v>0</v>
      </c>
      <c r="AH301" s="938"/>
      <c r="AI301" s="926" t="s">
        <v>95</v>
      </c>
      <c r="AJ301" s="926"/>
      <c r="AK301" s="926">
        <f t="shared" si="169"/>
        <v>1968</v>
      </c>
      <c r="AL301" s="926"/>
      <c r="AM301" s="926">
        <f t="shared" si="170"/>
        <v>1968</v>
      </c>
      <c r="AP301" s="926"/>
      <c r="AQ301" s="926"/>
      <c r="AS301" s="926">
        <f t="shared" si="171"/>
        <v>1968</v>
      </c>
      <c r="AT301" s="926"/>
      <c r="AU301" s="926"/>
      <c r="AV301" s="926"/>
      <c r="BB301" s="857">
        <f t="shared" si="172"/>
        <v>328</v>
      </c>
      <c r="BE301" s="858"/>
      <c r="BU301" s="939">
        <f t="shared" si="168"/>
        <v>1968</v>
      </c>
      <c r="BV301" s="939">
        <f t="shared" si="174"/>
        <v>2680980</v>
      </c>
      <c r="BW301" s="939"/>
      <c r="BX301" s="939"/>
      <c r="BY301" s="939"/>
      <c r="BZ301" s="939"/>
      <c r="CA301" s="857">
        <f t="shared" si="173"/>
        <v>139020</v>
      </c>
      <c r="CC301" s="857">
        <f t="shared" si="166"/>
        <v>0</v>
      </c>
      <c r="CD301" s="939">
        <f t="shared" si="167"/>
        <v>51464.5714285714</v>
      </c>
      <c r="CE301" s="939"/>
      <c r="CF301" s="939"/>
      <c r="CG301" s="939"/>
      <c r="CH301" s="939">
        <f t="shared" si="152"/>
        <v>8535.4285714286</v>
      </c>
      <c r="CI301" s="939"/>
    </row>
    <row r="302" s="857" customFormat="1" ht="32" customHeight="1" spans="1:87">
      <c r="A302" s="1044">
        <v>46058</v>
      </c>
      <c r="B302" s="1048" t="s">
        <v>1090</v>
      </c>
      <c r="C302" s="928" t="s">
        <v>125</v>
      </c>
      <c r="D302" s="1047">
        <v>4500193110</v>
      </c>
      <c r="E302" s="1048">
        <v>4561394540</v>
      </c>
      <c r="F302" s="1047" t="s">
        <v>1280</v>
      </c>
      <c r="G302" s="926" t="s">
        <v>353</v>
      </c>
      <c r="H302" s="926" t="s">
        <v>189</v>
      </c>
      <c r="I302" s="926">
        <v>1464</v>
      </c>
      <c r="J302" s="926">
        <v>0</v>
      </c>
      <c r="K302" s="926">
        <v>6</v>
      </c>
      <c r="L302" s="1201">
        <f t="shared" si="142"/>
        <v>244</v>
      </c>
      <c r="M302" s="930">
        <v>46119</v>
      </c>
      <c r="N302" s="930">
        <v>46115</v>
      </c>
      <c r="O302" s="937"/>
      <c r="P302" s="1278" t="s">
        <v>86</v>
      </c>
      <c r="Q302" s="926" t="s">
        <v>1274</v>
      </c>
      <c r="R302" s="1037">
        <v>46058</v>
      </c>
      <c r="S302" s="926" t="s">
        <v>98</v>
      </c>
      <c r="T302" s="1226" t="s">
        <v>1275</v>
      </c>
      <c r="U302" s="1226"/>
      <c r="V302" s="933" t="s">
        <v>1276</v>
      </c>
      <c r="W302" s="930" t="s">
        <v>217</v>
      </c>
      <c r="X302" s="1220">
        <v>1.1527</v>
      </c>
      <c r="Y302" s="1204">
        <f t="shared" si="143"/>
        <v>1687.5528</v>
      </c>
      <c r="Z302" s="1204"/>
      <c r="AA302" s="926"/>
      <c r="AB302" s="926" t="s">
        <v>1277</v>
      </c>
      <c r="AC302" s="926" t="s">
        <v>93</v>
      </c>
      <c r="AD302" s="1040" t="s">
        <v>94</v>
      </c>
      <c r="AE302" s="926"/>
      <c r="AF302" s="926">
        <v>1464</v>
      </c>
      <c r="AG302" s="924">
        <f t="shared" ref="AG302:AG307" si="175">AF302-I302</f>
        <v>0</v>
      </c>
      <c r="AH302" s="938"/>
      <c r="AI302" s="926" t="s">
        <v>95</v>
      </c>
      <c r="AJ302" s="926"/>
      <c r="AK302" s="926">
        <f t="shared" si="169"/>
        <v>1464</v>
      </c>
      <c r="AL302" s="926"/>
      <c r="AM302" s="926">
        <f t="shared" si="170"/>
        <v>1464</v>
      </c>
      <c r="AP302" s="926"/>
      <c r="AQ302" s="926"/>
      <c r="AS302" s="926">
        <f t="shared" si="171"/>
        <v>1464</v>
      </c>
      <c r="AT302" s="926"/>
      <c r="AU302" s="926"/>
      <c r="AV302" s="926"/>
      <c r="BB302" s="857">
        <f t="shared" si="172"/>
        <v>244</v>
      </c>
      <c r="BE302" s="858"/>
      <c r="BU302" s="939">
        <f t="shared" si="168"/>
        <v>1464</v>
      </c>
      <c r="BV302" s="939">
        <f t="shared" si="174"/>
        <v>2682444</v>
      </c>
      <c r="BW302" s="939"/>
      <c r="BX302" s="939"/>
      <c r="BY302" s="939"/>
      <c r="BZ302" s="939"/>
      <c r="CA302" s="857">
        <f t="shared" si="173"/>
        <v>137556</v>
      </c>
      <c r="CC302" s="857">
        <f t="shared" si="166"/>
        <v>0</v>
      </c>
      <c r="CD302" s="939">
        <f t="shared" si="167"/>
        <v>51464.5714285714</v>
      </c>
      <c r="CE302" s="939"/>
      <c r="CF302" s="939"/>
      <c r="CG302" s="939"/>
      <c r="CH302" s="939">
        <f t="shared" si="152"/>
        <v>8535.4285714286</v>
      </c>
      <c r="CI302" s="939"/>
    </row>
    <row r="303" s="857" customFormat="1" ht="32" customHeight="1" spans="1:87">
      <c r="A303" s="1044">
        <v>46058</v>
      </c>
      <c r="B303" s="1048" t="s">
        <v>1090</v>
      </c>
      <c r="C303" s="928" t="s">
        <v>125</v>
      </c>
      <c r="D303" s="1047">
        <v>4500193110</v>
      </c>
      <c r="E303" s="1048">
        <v>4561394645</v>
      </c>
      <c r="F303" s="1047" t="s">
        <v>1281</v>
      </c>
      <c r="G303" s="926" t="s">
        <v>353</v>
      </c>
      <c r="H303" s="926" t="s">
        <v>189</v>
      </c>
      <c r="I303" s="926">
        <v>1032</v>
      </c>
      <c r="J303" s="926">
        <v>0</v>
      </c>
      <c r="K303" s="926">
        <v>6</v>
      </c>
      <c r="L303" s="1201">
        <f t="shared" si="142"/>
        <v>172</v>
      </c>
      <c r="M303" s="930">
        <v>46119</v>
      </c>
      <c r="N303" s="930">
        <v>46115</v>
      </c>
      <c r="O303" s="937"/>
      <c r="P303" s="1278" t="s">
        <v>86</v>
      </c>
      <c r="Q303" s="926" t="s">
        <v>1274</v>
      </c>
      <c r="R303" s="1037">
        <v>46058</v>
      </c>
      <c r="S303" s="926" t="s">
        <v>98</v>
      </c>
      <c r="T303" s="1226" t="s">
        <v>1275</v>
      </c>
      <c r="U303" s="1226"/>
      <c r="V303" s="933" t="s">
        <v>1276</v>
      </c>
      <c r="W303" s="930" t="s">
        <v>217</v>
      </c>
      <c r="X303" s="1220">
        <v>1.1527</v>
      </c>
      <c r="Y303" s="1204">
        <f t="shared" si="143"/>
        <v>1189.5864</v>
      </c>
      <c r="Z303" s="1204"/>
      <c r="AA303" s="926"/>
      <c r="AB303" s="926" t="s">
        <v>1277</v>
      </c>
      <c r="AC303" s="926" t="s">
        <v>93</v>
      </c>
      <c r="AD303" s="1040" t="s">
        <v>94</v>
      </c>
      <c r="AE303" s="926"/>
      <c r="AF303" s="926">
        <v>1032</v>
      </c>
      <c r="AG303" s="924">
        <f t="shared" si="175"/>
        <v>0</v>
      </c>
      <c r="AH303" s="938"/>
      <c r="AI303" s="926" t="s">
        <v>95</v>
      </c>
      <c r="AJ303" s="926"/>
      <c r="AK303" s="926">
        <f t="shared" si="169"/>
        <v>1032</v>
      </c>
      <c r="AL303" s="926"/>
      <c r="AM303" s="926">
        <f t="shared" si="170"/>
        <v>1032</v>
      </c>
      <c r="AP303" s="926"/>
      <c r="AQ303" s="926"/>
      <c r="AS303" s="926">
        <f t="shared" si="171"/>
        <v>1032</v>
      </c>
      <c r="AT303" s="926"/>
      <c r="AU303" s="926"/>
      <c r="AV303" s="926"/>
      <c r="BB303" s="857">
        <f t="shared" si="172"/>
        <v>172</v>
      </c>
      <c r="BE303" s="858"/>
      <c r="BU303" s="939">
        <f t="shared" si="168"/>
        <v>1032</v>
      </c>
      <c r="BV303" s="939">
        <f t="shared" si="174"/>
        <v>2683476</v>
      </c>
      <c r="BW303" s="939"/>
      <c r="BX303" s="939"/>
      <c r="BY303" s="939"/>
      <c r="BZ303" s="939"/>
      <c r="CA303" s="857">
        <f t="shared" si="173"/>
        <v>136524</v>
      </c>
      <c r="CC303" s="857">
        <f t="shared" si="166"/>
        <v>0</v>
      </c>
      <c r="CD303" s="939">
        <f t="shared" si="167"/>
        <v>51464.5714285714</v>
      </c>
      <c r="CE303" s="939"/>
      <c r="CF303" s="939"/>
      <c r="CG303" s="939"/>
      <c r="CH303" s="939">
        <f t="shared" si="152"/>
        <v>8535.4285714286</v>
      </c>
      <c r="CI303" s="939"/>
    </row>
    <row r="304" s="857" customFormat="1" ht="32" customHeight="1" spans="1:87">
      <c r="A304" s="1044">
        <v>46058</v>
      </c>
      <c r="B304" s="1048" t="s">
        <v>1090</v>
      </c>
      <c r="C304" s="928" t="s">
        <v>125</v>
      </c>
      <c r="D304" s="1047">
        <v>4500193110</v>
      </c>
      <c r="E304" s="1048">
        <v>4561394488</v>
      </c>
      <c r="F304" s="1047" t="s">
        <v>1282</v>
      </c>
      <c r="G304" s="926" t="s">
        <v>353</v>
      </c>
      <c r="H304" s="926" t="s">
        <v>189</v>
      </c>
      <c r="I304" s="926">
        <v>372</v>
      </c>
      <c r="J304" s="926">
        <v>0</v>
      </c>
      <c r="K304" s="926">
        <v>6</v>
      </c>
      <c r="L304" s="1201">
        <f t="shared" si="142"/>
        <v>62</v>
      </c>
      <c r="M304" s="930">
        <v>46119</v>
      </c>
      <c r="N304" s="930">
        <v>46115</v>
      </c>
      <c r="O304" s="937"/>
      <c r="P304" s="1278" t="s">
        <v>86</v>
      </c>
      <c r="Q304" s="926" t="s">
        <v>1274</v>
      </c>
      <c r="R304" s="1037">
        <v>46058</v>
      </c>
      <c r="S304" s="926" t="s">
        <v>98</v>
      </c>
      <c r="T304" s="1226" t="s">
        <v>1275</v>
      </c>
      <c r="U304" s="1226"/>
      <c r="V304" s="933" t="s">
        <v>1276</v>
      </c>
      <c r="W304" s="930" t="s">
        <v>217</v>
      </c>
      <c r="X304" s="1220">
        <v>1.1527</v>
      </c>
      <c r="Y304" s="1204">
        <f t="shared" si="143"/>
        <v>428.8044</v>
      </c>
      <c r="Z304" s="1204"/>
      <c r="AA304" s="926"/>
      <c r="AB304" s="926" t="s">
        <v>1277</v>
      </c>
      <c r="AC304" s="926" t="s">
        <v>93</v>
      </c>
      <c r="AD304" s="1040" t="s">
        <v>94</v>
      </c>
      <c r="AE304" s="926"/>
      <c r="AF304" s="926">
        <v>372</v>
      </c>
      <c r="AG304" s="924">
        <f t="shared" si="175"/>
        <v>0</v>
      </c>
      <c r="AH304" s="938"/>
      <c r="AI304" s="926" t="s">
        <v>95</v>
      </c>
      <c r="AJ304" s="926"/>
      <c r="AK304" s="926">
        <f t="shared" si="169"/>
        <v>372</v>
      </c>
      <c r="AL304" s="926"/>
      <c r="AM304" s="926">
        <f t="shared" si="170"/>
        <v>372</v>
      </c>
      <c r="AP304" s="926"/>
      <c r="AQ304" s="926"/>
      <c r="AS304" s="926">
        <f t="shared" si="171"/>
        <v>372</v>
      </c>
      <c r="AT304" s="926"/>
      <c r="AU304" s="926"/>
      <c r="AV304" s="926"/>
      <c r="BB304" s="857">
        <f t="shared" si="172"/>
        <v>62</v>
      </c>
      <c r="BE304" s="858"/>
      <c r="BU304" s="939">
        <f t="shared" si="168"/>
        <v>372</v>
      </c>
      <c r="BV304" s="939">
        <f t="shared" si="174"/>
        <v>2683848</v>
      </c>
      <c r="BW304" s="939"/>
      <c r="BX304" s="939"/>
      <c r="BY304" s="939"/>
      <c r="BZ304" s="939"/>
      <c r="CA304" s="857">
        <f t="shared" si="173"/>
        <v>136152</v>
      </c>
      <c r="CC304" s="857">
        <f t="shared" si="166"/>
        <v>0</v>
      </c>
      <c r="CD304" s="939">
        <f t="shared" si="167"/>
        <v>51464.5714285714</v>
      </c>
      <c r="CE304" s="939"/>
      <c r="CF304" s="939"/>
      <c r="CG304" s="939"/>
      <c r="CH304" s="939">
        <f t="shared" si="152"/>
        <v>8535.4285714286</v>
      </c>
      <c r="CI304" s="939"/>
    </row>
    <row r="305" s="857" customFormat="1" ht="32" customHeight="1" spans="1:87">
      <c r="A305" s="1044">
        <v>46058</v>
      </c>
      <c r="B305" s="1048" t="s">
        <v>1090</v>
      </c>
      <c r="C305" s="928" t="s">
        <v>125</v>
      </c>
      <c r="D305" s="1047">
        <v>4500193110</v>
      </c>
      <c r="E305" s="1048">
        <v>4561394486</v>
      </c>
      <c r="F305" s="1047" t="s">
        <v>1283</v>
      </c>
      <c r="G305" s="926" t="s">
        <v>353</v>
      </c>
      <c r="H305" s="926" t="s">
        <v>189</v>
      </c>
      <c r="I305" s="926">
        <v>1404</v>
      </c>
      <c r="J305" s="926">
        <v>0</v>
      </c>
      <c r="K305" s="926">
        <v>6</v>
      </c>
      <c r="L305" s="1201">
        <f t="shared" si="142"/>
        <v>234</v>
      </c>
      <c r="M305" s="930">
        <v>46119</v>
      </c>
      <c r="N305" s="930">
        <v>46115</v>
      </c>
      <c r="O305" s="937"/>
      <c r="P305" s="1278" t="s">
        <v>86</v>
      </c>
      <c r="Q305" s="926" t="s">
        <v>1274</v>
      </c>
      <c r="R305" s="1037">
        <v>46058</v>
      </c>
      <c r="S305" s="926" t="s">
        <v>98</v>
      </c>
      <c r="T305" s="1226" t="s">
        <v>1275</v>
      </c>
      <c r="U305" s="1226"/>
      <c r="V305" s="933" t="s">
        <v>1276</v>
      </c>
      <c r="W305" s="930" t="s">
        <v>217</v>
      </c>
      <c r="X305" s="1220">
        <v>1.1527</v>
      </c>
      <c r="Y305" s="1204">
        <f t="shared" si="143"/>
        <v>1618.3908</v>
      </c>
      <c r="Z305" s="1204"/>
      <c r="AA305" s="926"/>
      <c r="AB305" s="926" t="s">
        <v>1277</v>
      </c>
      <c r="AC305" s="926" t="s">
        <v>93</v>
      </c>
      <c r="AD305" s="1040" t="s">
        <v>94</v>
      </c>
      <c r="AE305" s="926"/>
      <c r="AF305" s="926">
        <v>1404</v>
      </c>
      <c r="AG305" s="924">
        <f t="shared" si="175"/>
        <v>0</v>
      </c>
      <c r="AH305" s="938"/>
      <c r="AI305" s="926" t="s">
        <v>95</v>
      </c>
      <c r="AJ305" s="926"/>
      <c r="AK305" s="926">
        <f t="shared" si="169"/>
        <v>1404</v>
      </c>
      <c r="AL305" s="926"/>
      <c r="AM305" s="926">
        <f t="shared" si="170"/>
        <v>1404</v>
      </c>
      <c r="AP305" s="926"/>
      <c r="AQ305" s="926"/>
      <c r="AS305" s="926">
        <f t="shared" si="171"/>
        <v>1404</v>
      </c>
      <c r="AT305" s="926"/>
      <c r="AU305" s="926"/>
      <c r="AV305" s="926"/>
      <c r="BB305" s="857">
        <f t="shared" si="172"/>
        <v>234</v>
      </c>
      <c r="BE305" s="858"/>
      <c r="BU305" s="939">
        <f t="shared" si="168"/>
        <v>1404</v>
      </c>
      <c r="BV305" s="939">
        <f t="shared" si="174"/>
        <v>2685252</v>
      </c>
      <c r="BW305" s="939"/>
      <c r="BX305" s="939"/>
      <c r="BY305" s="939"/>
      <c r="BZ305" s="939"/>
      <c r="CA305" s="857">
        <f t="shared" si="173"/>
        <v>134748</v>
      </c>
      <c r="CC305" s="857">
        <f t="shared" si="166"/>
        <v>0</v>
      </c>
      <c r="CD305" s="939">
        <f t="shared" si="167"/>
        <v>51464.5714285714</v>
      </c>
      <c r="CE305" s="939"/>
      <c r="CF305" s="939"/>
      <c r="CG305" s="939"/>
      <c r="CH305" s="939">
        <f t="shared" si="152"/>
        <v>8535.4285714286</v>
      </c>
      <c r="CI305" s="939"/>
    </row>
    <row r="306" s="857" customFormat="1" ht="32" customHeight="1" spans="1:87">
      <c r="A306" s="1044">
        <v>46058</v>
      </c>
      <c r="B306" s="1048" t="s">
        <v>1090</v>
      </c>
      <c r="C306" s="928" t="s">
        <v>125</v>
      </c>
      <c r="D306" s="1047">
        <v>4500193110</v>
      </c>
      <c r="E306" s="1048">
        <v>4561394954</v>
      </c>
      <c r="F306" s="1047" t="s">
        <v>1284</v>
      </c>
      <c r="G306" s="926" t="s">
        <v>353</v>
      </c>
      <c r="H306" s="926" t="s">
        <v>189</v>
      </c>
      <c r="I306" s="926">
        <v>108</v>
      </c>
      <c r="J306" s="926">
        <v>0</v>
      </c>
      <c r="K306" s="926">
        <v>6</v>
      </c>
      <c r="L306" s="1201">
        <f t="shared" si="142"/>
        <v>18</v>
      </c>
      <c r="M306" s="930">
        <v>46119</v>
      </c>
      <c r="N306" s="930">
        <v>46115</v>
      </c>
      <c r="O306" s="937"/>
      <c r="P306" s="1278" t="s">
        <v>86</v>
      </c>
      <c r="Q306" s="926" t="s">
        <v>1274</v>
      </c>
      <c r="R306" s="1037">
        <v>46058</v>
      </c>
      <c r="S306" s="926" t="s">
        <v>98</v>
      </c>
      <c r="T306" s="1226" t="s">
        <v>1275</v>
      </c>
      <c r="U306" s="1226"/>
      <c r="V306" s="933" t="s">
        <v>1276</v>
      </c>
      <c r="W306" s="930" t="s">
        <v>217</v>
      </c>
      <c r="X306" s="1220">
        <v>1.1527</v>
      </c>
      <c r="Y306" s="1204">
        <f t="shared" si="143"/>
        <v>124.4916</v>
      </c>
      <c r="Z306" s="1204"/>
      <c r="AA306" s="926"/>
      <c r="AB306" s="926" t="s">
        <v>1277</v>
      </c>
      <c r="AC306" s="926" t="s">
        <v>93</v>
      </c>
      <c r="AD306" s="1040" t="s">
        <v>94</v>
      </c>
      <c r="AE306" s="926"/>
      <c r="AF306" s="926">
        <v>108</v>
      </c>
      <c r="AG306" s="924">
        <f t="shared" si="175"/>
        <v>0</v>
      </c>
      <c r="AH306" s="938"/>
      <c r="AI306" s="926" t="s">
        <v>95</v>
      </c>
      <c r="AJ306" s="926"/>
      <c r="AK306" s="926">
        <f t="shared" si="169"/>
        <v>108</v>
      </c>
      <c r="AL306" s="926"/>
      <c r="AM306" s="926">
        <f t="shared" si="170"/>
        <v>108</v>
      </c>
      <c r="AP306" s="926"/>
      <c r="AQ306" s="926"/>
      <c r="AS306" s="926">
        <f t="shared" si="171"/>
        <v>108</v>
      </c>
      <c r="AT306" s="926"/>
      <c r="AU306" s="926"/>
      <c r="AV306" s="926"/>
      <c r="BB306" s="857">
        <f t="shared" si="172"/>
        <v>18</v>
      </c>
      <c r="BE306" s="858"/>
      <c r="BU306" s="939">
        <f t="shared" si="168"/>
        <v>108</v>
      </c>
      <c r="BV306" s="939">
        <f t="shared" si="174"/>
        <v>2685360</v>
      </c>
      <c r="BW306" s="939"/>
      <c r="BX306" s="939"/>
      <c r="BY306" s="939"/>
      <c r="BZ306" s="939"/>
      <c r="CA306" s="857">
        <f t="shared" si="173"/>
        <v>134640</v>
      </c>
      <c r="CC306" s="857">
        <f t="shared" si="166"/>
        <v>0</v>
      </c>
      <c r="CD306" s="939">
        <f t="shared" si="167"/>
        <v>51464.5714285714</v>
      </c>
      <c r="CE306" s="939"/>
      <c r="CF306" s="939"/>
      <c r="CG306" s="939"/>
      <c r="CH306" s="939">
        <f t="shared" si="152"/>
        <v>8535.4285714286</v>
      </c>
      <c r="CI306" s="939"/>
    </row>
    <row r="307" s="857" customFormat="1" ht="32" customHeight="1" spans="1:87">
      <c r="A307" s="1044">
        <v>46058</v>
      </c>
      <c r="B307" s="1048" t="s">
        <v>1090</v>
      </c>
      <c r="C307" s="928" t="s">
        <v>125</v>
      </c>
      <c r="D307" s="1047">
        <v>4500193110</v>
      </c>
      <c r="E307" s="1048">
        <v>4561394993</v>
      </c>
      <c r="F307" s="1047" t="s">
        <v>1285</v>
      </c>
      <c r="G307" s="926" t="s">
        <v>353</v>
      </c>
      <c r="H307" s="926" t="s">
        <v>189</v>
      </c>
      <c r="I307" s="926">
        <v>2184</v>
      </c>
      <c r="J307" s="926">
        <v>0</v>
      </c>
      <c r="K307" s="926">
        <v>6</v>
      </c>
      <c r="L307" s="1201">
        <f t="shared" si="142"/>
        <v>364</v>
      </c>
      <c r="M307" s="930">
        <v>46119</v>
      </c>
      <c r="N307" s="930">
        <v>46115</v>
      </c>
      <c r="O307" s="937"/>
      <c r="P307" s="1278" t="s">
        <v>86</v>
      </c>
      <c r="Q307" s="926" t="s">
        <v>1274</v>
      </c>
      <c r="R307" s="1037">
        <v>46058</v>
      </c>
      <c r="S307" s="926" t="s">
        <v>98</v>
      </c>
      <c r="T307" s="1226" t="s">
        <v>1275</v>
      </c>
      <c r="U307" s="1226"/>
      <c r="V307" s="933" t="s">
        <v>1276</v>
      </c>
      <c r="W307" s="930" t="s">
        <v>217</v>
      </c>
      <c r="X307" s="1220">
        <v>1.1527</v>
      </c>
      <c r="Y307" s="1204">
        <f t="shared" si="143"/>
        <v>2517.4968</v>
      </c>
      <c r="Z307" s="1204"/>
      <c r="AA307" s="926"/>
      <c r="AB307" s="926" t="s">
        <v>1277</v>
      </c>
      <c r="AC307" s="926" t="s">
        <v>93</v>
      </c>
      <c r="AD307" s="1040" t="s">
        <v>94</v>
      </c>
      <c r="AE307" s="926"/>
      <c r="AF307" s="926">
        <v>2184</v>
      </c>
      <c r="AG307" s="924">
        <f t="shared" si="175"/>
        <v>0</v>
      </c>
      <c r="AH307" s="938"/>
      <c r="AI307" s="926" t="s">
        <v>95</v>
      </c>
      <c r="AJ307" s="926"/>
      <c r="AK307" s="926">
        <f t="shared" si="169"/>
        <v>2184</v>
      </c>
      <c r="AL307" s="926"/>
      <c r="AM307" s="926">
        <f t="shared" si="170"/>
        <v>2184</v>
      </c>
      <c r="AP307" s="926"/>
      <c r="AQ307" s="926"/>
      <c r="AS307" s="926">
        <f t="shared" si="171"/>
        <v>2184</v>
      </c>
      <c r="AT307" s="926"/>
      <c r="AU307" s="926"/>
      <c r="AV307" s="926"/>
      <c r="BB307" s="857">
        <f t="shared" si="172"/>
        <v>364</v>
      </c>
      <c r="BE307" s="858"/>
      <c r="BU307" s="939">
        <f t="shared" si="168"/>
        <v>2184</v>
      </c>
      <c r="BV307" s="939">
        <f t="shared" si="174"/>
        <v>2687544</v>
      </c>
      <c r="BW307" s="939"/>
      <c r="BX307" s="939"/>
      <c r="BY307" s="939"/>
      <c r="BZ307" s="939"/>
      <c r="CA307" s="857">
        <f t="shared" si="173"/>
        <v>132456</v>
      </c>
      <c r="CC307" s="857">
        <f t="shared" si="166"/>
        <v>0</v>
      </c>
      <c r="CD307" s="939">
        <f t="shared" si="167"/>
        <v>51464.5714285714</v>
      </c>
      <c r="CE307" s="939"/>
      <c r="CF307" s="939"/>
      <c r="CG307" s="939"/>
      <c r="CH307" s="939">
        <f t="shared" si="152"/>
        <v>8535.4285714286</v>
      </c>
      <c r="CI307" s="939"/>
    </row>
    <row r="308" s="857" customFormat="1" ht="32" customHeight="1" spans="1:87">
      <c r="A308" s="1213">
        <v>46098</v>
      </c>
      <c r="B308" s="1214" t="s">
        <v>1286</v>
      </c>
      <c r="C308" s="1215" t="s">
        <v>1136</v>
      </c>
      <c r="D308" s="1216">
        <v>4500197104</v>
      </c>
      <c r="E308" s="1214"/>
      <c r="F308" s="1217" t="s">
        <v>1287</v>
      </c>
      <c r="G308" s="926" t="s">
        <v>188</v>
      </c>
      <c r="H308" s="926" t="s">
        <v>189</v>
      </c>
      <c r="I308" s="926">
        <v>312</v>
      </c>
      <c r="J308" s="926">
        <v>0</v>
      </c>
      <c r="K308" s="926">
        <v>52</v>
      </c>
      <c r="L308" s="1201">
        <f t="shared" si="142"/>
        <v>6</v>
      </c>
      <c r="M308" s="930">
        <v>46135</v>
      </c>
      <c r="N308" s="930">
        <v>46132</v>
      </c>
      <c r="O308" s="937"/>
      <c r="P308" s="1278" t="s">
        <v>86</v>
      </c>
      <c r="Q308" s="926"/>
      <c r="R308" s="932">
        <v>46098</v>
      </c>
      <c r="S308" s="1226" t="s">
        <v>88</v>
      </c>
      <c r="T308" s="1226" t="s">
        <v>98</v>
      </c>
      <c r="U308" s="1226"/>
      <c r="V308" s="1065" t="s">
        <v>1288</v>
      </c>
      <c r="W308" s="1219" t="s">
        <v>1289</v>
      </c>
      <c r="X308" s="1295">
        <v>1.8478</v>
      </c>
      <c r="Y308" s="1204">
        <f t="shared" si="143"/>
        <v>576.5136</v>
      </c>
      <c r="Z308" s="1204"/>
      <c r="AA308" s="926"/>
      <c r="AB308" s="926" t="s">
        <v>188</v>
      </c>
      <c r="AC308" s="926" t="s">
        <v>93</v>
      </c>
      <c r="AD308" s="1040" t="s">
        <v>94</v>
      </c>
      <c r="AE308" s="926"/>
      <c r="AF308" s="924">
        <v>312</v>
      </c>
      <c r="AG308" s="924">
        <f t="shared" ref="AG308:AG314" si="176">AF308-I308</f>
        <v>0</v>
      </c>
      <c r="AH308" s="1221"/>
      <c r="AI308" s="926" t="s">
        <v>98</v>
      </c>
      <c r="AJ308" s="926"/>
      <c r="AK308" s="926">
        <f t="shared" si="169"/>
        <v>312</v>
      </c>
      <c r="AL308" s="926"/>
      <c r="AM308" s="858">
        <f t="shared" si="170"/>
        <v>312</v>
      </c>
      <c r="AP308" s="926"/>
      <c r="AQ308" s="926"/>
      <c r="AS308" s="926">
        <f t="shared" si="171"/>
        <v>312</v>
      </c>
      <c r="AT308" s="926"/>
      <c r="AU308" s="926"/>
      <c r="AV308" s="926"/>
      <c r="BE308" s="858">
        <f>I308/25</f>
        <v>12.48</v>
      </c>
      <c r="BU308" s="939"/>
      <c r="BV308" s="939"/>
      <c r="BW308" s="939"/>
      <c r="BX308" s="939"/>
      <c r="BY308" s="939"/>
      <c r="BZ308" s="939"/>
      <c r="CD308" s="939"/>
      <c r="CE308" s="939"/>
      <c r="CF308" s="939"/>
      <c r="CG308" s="939"/>
      <c r="CH308" s="939"/>
      <c r="CI308" s="939"/>
    </row>
    <row r="309" s="857" customFormat="1" ht="32" customHeight="1" spans="1:87">
      <c r="A309" s="1213">
        <v>46097</v>
      </c>
      <c r="B309" s="1214" t="s">
        <v>1290</v>
      </c>
      <c r="C309" s="1215" t="s">
        <v>110</v>
      </c>
      <c r="D309" s="1216">
        <v>4500197032</v>
      </c>
      <c r="E309" s="1214">
        <v>55436663</v>
      </c>
      <c r="F309" s="1217" t="s">
        <v>1291</v>
      </c>
      <c r="G309" s="926" t="s">
        <v>205</v>
      </c>
      <c r="H309" s="926" t="s">
        <v>189</v>
      </c>
      <c r="I309" s="926">
        <v>1300</v>
      </c>
      <c r="J309" s="926">
        <v>0</v>
      </c>
      <c r="K309" s="926">
        <v>50</v>
      </c>
      <c r="L309" s="1201">
        <f t="shared" si="142"/>
        <v>26</v>
      </c>
      <c r="M309" s="930">
        <v>46135</v>
      </c>
      <c r="N309" s="930">
        <v>46132</v>
      </c>
      <c r="O309" s="937"/>
      <c r="P309" s="1278" t="s">
        <v>86</v>
      </c>
      <c r="Q309" s="926"/>
      <c r="R309" s="932">
        <v>46097</v>
      </c>
      <c r="S309" s="926" t="s">
        <v>98</v>
      </c>
      <c r="T309" s="932" t="s">
        <v>1292</v>
      </c>
      <c r="U309" s="932"/>
      <c r="V309" s="933" t="s">
        <v>1293</v>
      </c>
      <c r="W309" s="1219" t="s">
        <v>1294</v>
      </c>
      <c r="X309" s="1295">
        <v>1.9605</v>
      </c>
      <c r="Y309" s="1204">
        <f>X309*I309</f>
        <v>2548.65</v>
      </c>
      <c r="Z309" s="1204"/>
      <c r="AA309" s="926"/>
      <c r="AB309" s="926" t="s">
        <v>210</v>
      </c>
      <c r="AC309" s="926" t="s">
        <v>93</v>
      </c>
      <c r="AD309" s="1040" t="s">
        <v>94</v>
      </c>
      <c r="AE309" s="926"/>
      <c r="AF309" s="924">
        <v>1300</v>
      </c>
      <c r="AG309" s="924">
        <f t="shared" si="176"/>
        <v>0</v>
      </c>
      <c r="AH309" s="1221"/>
      <c r="AI309" s="926" t="s">
        <v>95</v>
      </c>
      <c r="AJ309" s="926"/>
      <c r="AK309" s="926">
        <f t="shared" ref="AK309:AK314" si="177">I309*2</f>
        <v>2600</v>
      </c>
      <c r="AL309" s="926"/>
      <c r="AM309" s="926"/>
      <c r="AP309" s="926">
        <f>I309</f>
        <v>1300</v>
      </c>
      <c r="AQ309" s="926"/>
      <c r="AS309" s="926">
        <f t="shared" si="171"/>
        <v>1300</v>
      </c>
      <c r="AT309" s="926"/>
      <c r="AU309" s="926"/>
      <c r="AV309" s="926"/>
      <c r="BE309" s="858"/>
      <c r="BF309" s="857">
        <f>I309/25</f>
        <v>52</v>
      </c>
      <c r="BU309" s="939">
        <f t="shared" ref="BU309:BU337" si="178">AK309+AL309</f>
        <v>2600</v>
      </c>
      <c r="BV309" s="939">
        <f>BV308+BU309</f>
        <v>2600</v>
      </c>
      <c r="BW309" s="939"/>
      <c r="BX309" s="939"/>
      <c r="BY309" s="939"/>
      <c r="BZ309" s="939"/>
      <c r="CA309" s="857">
        <f>SUM(BX$1:CB$1)-BV309</f>
        <v>2817400</v>
      </c>
      <c r="CC309" s="857">
        <f>AW309+AX309+BE309+BF309</f>
        <v>52</v>
      </c>
      <c r="CD309" s="939">
        <f>CD308+CC309</f>
        <v>52</v>
      </c>
      <c r="CE309" s="939"/>
      <c r="CF309" s="939"/>
      <c r="CG309" s="939"/>
      <c r="CH309" s="939"/>
      <c r="CI309" s="939"/>
    </row>
    <row r="310" s="857" customFormat="1" ht="32" customHeight="1" spans="1:87">
      <c r="A310" s="1044">
        <v>46080</v>
      </c>
      <c r="B310" s="1048" t="s">
        <v>785</v>
      </c>
      <c r="C310" s="928" t="s">
        <v>125</v>
      </c>
      <c r="D310" s="1047">
        <v>4500194506</v>
      </c>
      <c r="E310" s="1048" t="s">
        <v>1295</v>
      </c>
      <c r="F310" s="1047" t="s">
        <v>1296</v>
      </c>
      <c r="G310" s="926" t="s">
        <v>213</v>
      </c>
      <c r="H310" s="926" t="s">
        <v>189</v>
      </c>
      <c r="I310" s="926">
        <v>48</v>
      </c>
      <c r="J310" s="926">
        <v>0</v>
      </c>
      <c r="K310" s="926">
        <v>24</v>
      </c>
      <c r="L310" s="1201">
        <f t="shared" si="142"/>
        <v>2</v>
      </c>
      <c r="M310" s="930">
        <v>46135</v>
      </c>
      <c r="N310" s="930">
        <v>46132</v>
      </c>
      <c r="O310" s="937"/>
      <c r="P310" s="1278" t="s">
        <v>86</v>
      </c>
      <c r="Q310" s="926"/>
      <c r="R310" s="1037">
        <v>46080</v>
      </c>
      <c r="S310" s="1037" t="s">
        <v>88</v>
      </c>
      <c r="T310" s="1037" t="s">
        <v>1297</v>
      </c>
      <c r="U310" s="1037"/>
      <c r="V310" s="933" t="s">
        <v>788</v>
      </c>
      <c r="W310" s="930" t="s">
        <v>130</v>
      </c>
      <c r="X310" s="1220">
        <v>1.0979</v>
      </c>
      <c r="Y310" s="1204">
        <f>X310*I310</f>
        <v>52.6992</v>
      </c>
      <c r="Z310" s="1204"/>
      <c r="AA310" s="926"/>
      <c r="AB310" s="926" t="s">
        <v>213</v>
      </c>
      <c r="AC310" s="926" t="s">
        <v>93</v>
      </c>
      <c r="AD310" s="1040" t="s">
        <v>94</v>
      </c>
      <c r="AE310" s="926"/>
      <c r="AF310" s="924">
        <v>48</v>
      </c>
      <c r="AG310" s="924">
        <f t="shared" si="176"/>
        <v>0</v>
      </c>
      <c r="AH310" s="938"/>
      <c r="AI310" s="926" t="s">
        <v>95</v>
      </c>
      <c r="AJ310" s="926"/>
      <c r="AK310" s="926">
        <f t="shared" si="177"/>
        <v>96</v>
      </c>
      <c r="AL310" s="926"/>
      <c r="AM310" s="858">
        <f>I310*2</f>
        <v>96</v>
      </c>
      <c r="AP310" s="926"/>
      <c r="AQ310" s="926"/>
      <c r="AS310" s="926">
        <f>I310*2</f>
        <v>96</v>
      </c>
      <c r="AT310" s="926"/>
      <c r="AU310" s="926"/>
      <c r="AV310" s="926"/>
      <c r="BE310" s="858"/>
      <c r="BN310" s="857">
        <f>I310</f>
        <v>48</v>
      </c>
      <c r="BO310" s="857">
        <f>I310</f>
        <v>48</v>
      </c>
      <c r="BQ310" s="857">
        <f>I310</f>
        <v>48</v>
      </c>
      <c r="BU310" s="939">
        <f t="shared" si="178"/>
        <v>96</v>
      </c>
      <c r="BV310" s="939">
        <f>BV292+BU310</f>
        <v>2677652</v>
      </c>
      <c r="BW310" s="939"/>
      <c r="BX310" s="939"/>
      <c r="BY310" s="939"/>
      <c r="BZ310" s="939"/>
      <c r="CA310" s="857">
        <f>SUM(BX$1:CB$1)-BV310</f>
        <v>142348</v>
      </c>
      <c r="CC310" s="857">
        <f>AW310+AX310+BE310+BF310</f>
        <v>0</v>
      </c>
      <c r="CD310" s="939">
        <f>CD292+CC310</f>
        <v>51536.5714285714</v>
      </c>
      <c r="CE310" s="939"/>
      <c r="CF310" s="939"/>
      <c r="CG310" s="939"/>
      <c r="CH310" s="939">
        <f>$CF$1+$CG$1+$CH$1+$CI$1-CD310</f>
        <v>8463.4285714286</v>
      </c>
      <c r="CI310" s="939"/>
    </row>
    <row r="311" s="857" customFormat="1" ht="32" customHeight="1" spans="1:87">
      <c r="A311" s="1044">
        <v>46080</v>
      </c>
      <c r="B311" s="1048" t="s">
        <v>785</v>
      </c>
      <c r="C311" s="928" t="s">
        <v>125</v>
      </c>
      <c r="D311" s="1047">
        <v>4500194511</v>
      </c>
      <c r="E311" s="1048" t="s">
        <v>1298</v>
      </c>
      <c r="F311" s="1047" t="s">
        <v>1299</v>
      </c>
      <c r="G311" s="926" t="s">
        <v>213</v>
      </c>
      <c r="H311" s="926" t="s">
        <v>189</v>
      </c>
      <c r="I311" s="926">
        <v>48</v>
      </c>
      <c r="J311" s="926">
        <v>0</v>
      </c>
      <c r="K311" s="926">
        <v>24</v>
      </c>
      <c r="L311" s="1201">
        <f t="shared" si="142"/>
        <v>2</v>
      </c>
      <c r="M311" s="930">
        <v>46135</v>
      </c>
      <c r="N311" s="930">
        <v>46132</v>
      </c>
      <c r="O311" s="937"/>
      <c r="P311" s="1278" t="s">
        <v>86</v>
      </c>
      <c r="Q311" s="926"/>
      <c r="R311" s="1037">
        <v>46080</v>
      </c>
      <c r="S311" s="1037" t="s">
        <v>88</v>
      </c>
      <c r="T311" s="1037" t="s">
        <v>1297</v>
      </c>
      <c r="U311" s="1037"/>
      <c r="V311" s="933" t="s">
        <v>1300</v>
      </c>
      <c r="W311" s="930" t="s">
        <v>130</v>
      </c>
      <c r="X311" s="1220">
        <v>1.0979</v>
      </c>
      <c r="Y311" s="1204">
        <f>X311*I311</f>
        <v>52.6992</v>
      </c>
      <c r="Z311" s="1204"/>
      <c r="AA311" s="926"/>
      <c r="AB311" s="926" t="s">
        <v>213</v>
      </c>
      <c r="AC311" s="926" t="s">
        <v>93</v>
      </c>
      <c r="AD311" s="1040" t="s">
        <v>94</v>
      </c>
      <c r="AE311" s="926"/>
      <c r="AF311" s="1039"/>
      <c r="AG311" s="924">
        <f t="shared" si="176"/>
        <v>-48</v>
      </c>
      <c r="AH311" s="938"/>
      <c r="AI311" s="926" t="s">
        <v>95</v>
      </c>
      <c r="AJ311" s="926"/>
      <c r="AK311" s="926">
        <f t="shared" si="177"/>
        <v>96</v>
      </c>
      <c r="AL311" s="926"/>
      <c r="AM311" s="858">
        <f>I311*2</f>
        <v>96</v>
      </c>
      <c r="AP311" s="926"/>
      <c r="AQ311" s="926"/>
      <c r="AS311" s="926">
        <f>I311*2</f>
        <v>96</v>
      </c>
      <c r="AT311" s="926"/>
      <c r="AU311" s="926"/>
      <c r="AV311" s="926"/>
      <c r="BE311" s="858"/>
      <c r="BN311" s="857">
        <f>I311</f>
        <v>48</v>
      </c>
      <c r="BO311" s="857">
        <f>I311</f>
        <v>48</v>
      </c>
      <c r="BQ311" s="857">
        <f>I311</f>
        <v>48</v>
      </c>
      <c r="BU311" s="939">
        <f t="shared" si="178"/>
        <v>96</v>
      </c>
      <c r="BV311" s="939">
        <f>BV310+BU311</f>
        <v>2677748</v>
      </c>
      <c r="BW311" s="939"/>
      <c r="BX311" s="939"/>
      <c r="BY311" s="939"/>
      <c r="BZ311" s="939"/>
      <c r="CA311" s="857">
        <f>SUM(BX$1:CB$1)-BV311</f>
        <v>142252</v>
      </c>
      <c r="CC311" s="857">
        <f>AW311+AX311+BE311+BF311</f>
        <v>0</v>
      </c>
      <c r="CD311" s="939">
        <f>CD310+CC311</f>
        <v>51536.5714285714</v>
      </c>
      <c r="CE311" s="939"/>
      <c r="CF311" s="939"/>
      <c r="CG311" s="939"/>
      <c r="CH311" s="939">
        <f>$CF$1+$CG$1+$CH$1+$CI$1-CD311</f>
        <v>8463.4285714286</v>
      </c>
      <c r="CI311" s="939"/>
    </row>
    <row r="312" s="857" customFormat="1" ht="32" customHeight="1" spans="1:87">
      <c r="A312" s="1044">
        <v>46080</v>
      </c>
      <c r="B312" s="1048" t="s">
        <v>785</v>
      </c>
      <c r="C312" s="928" t="s">
        <v>125</v>
      </c>
      <c r="D312" s="1047">
        <v>4500194501</v>
      </c>
      <c r="E312" s="1048" t="s">
        <v>1301</v>
      </c>
      <c r="F312" s="1047" t="s">
        <v>1302</v>
      </c>
      <c r="G312" s="926" t="s">
        <v>213</v>
      </c>
      <c r="H312" s="926" t="s">
        <v>189</v>
      </c>
      <c r="I312" s="926">
        <v>48</v>
      </c>
      <c r="J312" s="926">
        <v>0</v>
      </c>
      <c r="K312" s="926">
        <v>24</v>
      </c>
      <c r="L312" s="1201">
        <f t="shared" si="142"/>
        <v>2</v>
      </c>
      <c r="M312" s="930">
        <v>46135</v>
      </c>
      <c r="N312" s="930">
        <v>46132</v>
      </c>
      <c r="O312" s="937"/>
      <c r="P312" s="1278" t="s">
        <v>86</v>
      </c>
      <c r="Q312" s="926"/>
      <c r="R312" s="1037">
        <v>46080</v>
      </c>
      <c r="S312" s="1037" t="s">
        <v>88</v>
      </c>
      <c r="T312" s="1037" t="s">
        <v>1297</v>
      </c>
      <c r="U312" s="1037"/>
      <c r="V312" s="933" t="s">
        <v>788</v>
      </c>
      <c r="W312" s="930" t="s">
        <v>130</v>
      </c>
      <c r="X312" s="1220">
        <v>1.0979</v>
      </c>
      <c r="Y312" s="1204">
        <f>X312*I312</f>
        <v>52.6992</v>
      </c>
      <c r="Z312" s="1204"/>
      <c r="AA312" s="926"/>
      <c r="AB312" s="926" t="s">
        <v>213</v>
      </c>
      <c r="AC312" s="926" t="s">
        <v>93</v>
      </c>
      <c r="AD312" s="1040" t="s">
        <v>94</v>
      </c>
      <c r="AE312" s="926"/>
      <c r="AF312" s="1040"/>
      <c r="AG312" s="924">
        <f t="shared" si="176"/>
        <v>-48</v>
      </c>
      <c r="AH312" s="938"/>
      <c r="AI312" s="926" t="s">
        <v>95</v>
      </c>
      <c r="AJ312" s="926"/>
      <c r="AK312" s="926">
        <f t="shared" si="177"/>
        <v>96</v>
      </c>
      <c r="AL312" s="926"/>
      <c r="AM312" s="858">
        <f>I312*2</f>
        <v>96</v>
      </c>
      <c r="AP312" s="926"/>
      <c r="AQ312" s="926"/>
      <c r="AS312" s="926">
        <f>I312*2</f>
        <v>96</v>
      </c>
      <c r="AT312" s="926"/>
      <c r="AU312" s="926"/>
      <c r="AV312" s="926"/>
      <c r="BE312" s="858"/>
      <c r="BN312" s="857">
        <f>I312</f>
        <v>48</v>
      </c>
      <c r="BO312" s="857">
        <f>I312</f>
        <v>48</v>
      </c>
      <c r="BQ312" s="857">
        <f>I312</f>
        <v>48</v>
      </c>
      <c r="BU312" s="939">
        <f t="shared" si="178"/>
        <v>96</v>
      </c>
      <c r="BV312" s="939">
        <f>BV311+BU312</f>
        <v>2677844</v>
      </c>
      <c r="BW312" s="939"/>
      <c r="BX312" s="939"/>
      <c r="BY312" s="939"/>
      <c r="BZ312" s="939"/>
      <c r="CA312" s="857">
        <f>SUM(BX$1:CB$1)-BV312</f>
        <v>142156</v>
      </c>
      <c r="CC312" s="857">
        <f>AW312+AX312+BE312+BF312</f>
        <v>0</v>
      </c>
      <c r="CD312" s="939">
        <f>CD311+CC312</f>
        <v>51536.5714285714</v>
      </c>
      <c r="CE312" s="939"/>
      <c r="CF312" s="939"/>
      <c r="CG312" s="939"/>
      <c r="CH312" s="939">
        <f>$CF$1+$CG$1+$CH$1+$CI$1-CD312</f>
        <v>8463.4285714286</v>
      </c>
      <c r="CI312" s="939"/>
    </row>
    <row r="313" s="857" customFormat="1" ht="32" customHeight="1" spans="1:87">
      <c r="A313" s="1044">
        <v>46080</v>
      </c>
      <c r="B313" s="1048" t="s">
        <v>785</v>
      </c>
      <c r="C313" s="928" t="s">
        <v>125</v>
      </c>
      <c r="D313" s="1047">
        <v>4500194509</v>
      </c>
      <c r="E313" s="1048" t="s">
        <v>1303</v>
      </c>
      <c r="F313" s="1047" t="s">
        <v>1304</v>
      </c>
      <c r="G313" s="926" t="s">
        <v>213</v>
      </c>
      <c r="H313" s="926" t="s">
        <v>189</v>
      </c>
      <c r="I313" s="926">
        <v>96</v>
      </c>
      <c r="J313" s="926">
        <v>0</v>
      </c>
      <c r="K313" s="926">
        <v>24</v>
      </c>
      <c r="L313" s="1201">
        <f t="shared" si="142"/>
        <v>4</v>
      </c>
      <c r="M313" s="930">
        <v>46135</v>
      </c>
      <c r="N313" s="930">
        <v>46132</v>
      </c>
      <c r="O313" s="937"/>
      <c r="P313" s="1278" t="s">
        <v>86</v>
      </c>
      <c r="Q313" s="926"/>
      <c r="R313" s="1037">
        <v>46080</v>
      </c>
      <c r="S313" s="1037" t="s">
        <v>88</v>
      </c>
      <c r="T313" s="1037" t="s">
        <v>1297</v>
      </c>
      <c r="U313" s="1037"/>
      <c r="V313" s="933" t="s">
        <v>788</v>
      </c>
      <c r="W313" s="930" t="s">
        <v>130</v>
      </c>
      <c r="X313" s="1220">
        <v>1.098</v>
      </c>
      <c r="Y313" s="1204">
        <f>X313*I313</f>
        <v>105.408</v>
      </c>
      <c r="Z313" s="1204"/>
      <c r="AA313" s="926"/>
      <c r="AB313" s="926" t="s">
        <v>213</v>
      </c>
      <c r="AC313" s="926" t="s">
        <v>93</v>
      </c>
      <c r="AD313" s="1040" t="s">
        <v>94</v>
      </c>
      <c r="AE313" s="926"/>
      <c r="AF313" s="926">
        <v>96</v>
      </c>
      <c r="AG313" s="924">
        <f t="shared" si="176"/>
        <v>0</v>
      </c>
      <c r="AH313" s="938"/>
      <c r="AI313" s="926" t="s">
        <v>95</v>
      </c>
      <c r="AJ313" s="926"/>
      <c r="AK313" s="926">
        <f t="shared" si="177"/>
        <v>192</v>
      </c>
      <c r="AL313" s="926"/>
      <c r="AM313" s="858">
        <f>I313*2</f>
        <v>192</v>
      </c>
      <c r="AP313" s="926"/>
      <c r="AQ313" s="926"/>
      <c r="AS313" s="926">
        <f>I313*2</f>
        <v>192</v>
      </c>
      <c r="AT313" s="926"/>
      <c r="AU313" s="926"/>
      <c r="AV313" s="926"/>
      <c r="BE313" s="858"/>
      <c r="BN313" s="857">
        <f>I313</f>
        <v>96</v>
      </c>
      <c r="BO313" s="857">
        <f>I313</f>
        <v>96</v>
      </c>
      <c r="BQ313" s="857">
        <f>I313</f>
        <v>96</v>
      </c>
      <c r="BU313" s="939">
        <f t="shared" si="178"/>
        <v>192</v>
      </c>
      <c r="BV313" s="939">
        <f>BV312+BU313</f>
        <v>2678036</v>
      </c>
      <c r="BW313" s="939"/>
      <c r="BX313" s="939"/>
      <c r="BY313" s="939"/>
      <c r="BZ313" s="939"/>
      <c r="CA313" s="857">
        <f>SUM(BX$1:CB$1)-BV313</f>
        <v>141964</v>
      </c>
      <c r="CC313" s="857">
        <f>AW313+AX313+BE313+BF313</f>
        <v>0</v>
      </c>
      <c r="CD313" s="939">
        <f>CD312+CC313</f>
        <v>51536.5714285714</v>
      </c>
      <c r="CE313" s="939"/>
      <c r="CF313" s="939"/>
      <c r="CG313" s="939"/>
      <c r="CH313" s="939">
        <f>$CF$1+$CG$1+$CH$1+$CI$1-CD313</f>
        <v>8463.4285714286</v>
      </c>
      <c r="CI313" s="939"/>
    </row>
    <row r="314" s="857" customFormat="1" ht="32" customHeight="1" spans="1:87">
      <c r="A314" s="1213">
        <v>46101</v>
      </c>
      <c r="B314" s="1214" t="s">
        <v>601</v>
      </c>
      <c r="C314" s="1215" t="s">
        <v>440</v>
      </c>
      <c r="D314" s="1216">
        <v>4500197857</v>
      </c>
      <c r="E314" s="1214"/>
      <c r="F314" s="1217" t="s">
        <v>1305</v>
      </c>
      <c r="G314" s="926" t="s">
        <v>205</v>
      </c>
      <c r="H314" s="926" t="s">
        <v>189</v>
      </c>
      <c r="I314" s="926">
        <v>750</v>
      </c>
      <c r="J314" s="926">
        <v>0</v>
      </c>
      <c r="K314" s="926">
        <v>50</v>
      </c>
      <c r="L314" s="1201">
        <f t="shared" si="142"/>
        <v>15</v>
      </c>
      <c r="M314" s="930">
        <v>46136</v>
      </c>
      <c r="N314" s="930">
        <v>46132</v>
      </c>
      <c r="O314" s="937"/>
      <c r="P314" s="1278" t="s">
        <v>86</v>
      </c>
      <c r="Q314" s="926"/>
      <c r="R314" s="932">
        <v>46101</v>
      </c>
      <c r="S314" s="926" t="s">
        <v>98</v>
      </c>
      <c r="T314" s="932" t="s">
        <v>98</v>
      </c>
      <c r="U314" s="932"/>
      <c r="V314" s="933" t="s">
        <v>1306</v>
      </c>
      <c r="W314" s="1219" t="s">
        <v>1059</v>
      </c>
      <c r="X314" s="1295">
        <v>1.9605</v>
      </c>
      <c r="Y314" s="1204">
        <f>I314*X314</f>
        <v>1470.375</v>
      </c>
      <c r="Z314" s="1204"/>
      <c r="AA314" s="926"/>
      <c r="AB314" s="926" t="s">
        <v>205</v>
      </c>
      <c r="AC314" s="926" t="s">
        <v>93</v>
      </c>
      <c r="AD314" s="1040" t="s">
        <v>94</v>
      </c>
      <c r="AE314" s="926"/>
      <c r="AF314" s="926">
        <v>750</v>
      </c>
      <c r="AG314" s="924">
        <f t="shared" si="176"/>
        <v>0</v>
      </c>
      <c r="AH314" s="1221"/>
      <c r="AI314" s="926" t="s">
        <v>98</v>
      </c>
      <c r="AJ314" s="926"/>
      <c r="AK314" s="926">
        <f t="shared" si="177"/>
        <v>1500</v>
      </c>
      <c r="AL314" s="926"/>
      <c r="AM314" s="858">
        <f>I314</f>
        <v>750</v>
      </c>
      <c r="AP314" s="926"/>
      <c r="AQ314" s="926"/>
      <c r="AS314" s="926">
        <f>I314</f>
        <v>750</v>
      </c>
      <c r="AT314" s="926"/>
      <c r="AU314" s="926"/>
      <c r="AV314" s="926"/>
      <c r="BE314" s="858">
        <f>I314/25</f>
        <v>30</v>
      </c>
      <c r="BU314" s="939">
        <f t="shared" si="178"/>
        <v>1500</v>
      </c>
      <c r="BV314" s="939">
        <f>BV313+BU314</f>
        <v>2679536</v>
      </c>
      <c r="BW314" s="939"/>
      <c r="BX314" s="939"/>
      <c r="BY314" s="939"/>
      <c r="BZ314" s="939"/>
      <c r="CD314" s="939"/>
      <c r="CE314" s="939"/>
      <c r="CF314" s="939"/>
      <c r="CG314" s="939"/>
      <c r="CH314" s="939"/>
      <c r="CI314" s="939"/>
    </row>
    <row r="315" s="857" customFormat="1" ht="32" customHeight="1" spans="1:87">
      <c r="A315" s="1044">
        <v>46094</v>
      </c>
      <c r="B315" s="1048" t="s">
        <v>1090</v>
      </c>
      <c r="C315" s="928" t="s">
        <v>125</v>
      </c>
      <c r="D315" s="1047">
        <v>4500196523</v>
      </c>
      <c r="E315" s="1048">
        <v>4561941364</v>
      </c>
      <c r="F315" s="1047" t="s">
        <v>1307</v>
      </c>
      <c r="G315" s="926" t="s">
        <v>353</v>
      </c>
      <c r="H315" s="926" t="s">
        <v>189</v>
      </c>
      <c r="I315" s="926">
        <v>192</v>
      </c>
      <c r="J315" s="926">
        <v>0</v>
      </c>
      <c r="K315" s="926">
        <v>6</v>
      </c>
      <c r="L315" s="1201">
        <f t="shared" si="142"/>
        <v>32</v>
      </c>
      <c r="M315" s="930">
        <v>46140</v>
      </c>
      <c r="N315" s="930">
        <v>46136</v>
      </c>
      <c r="O315" s="937"/>
      <c r="P315" s="1278" t="s">
        <v>86</v>
      </c>
      <c r="Q315" s="926"/>
      <c r="R315" s="1037">
        <v>46094</v>
      </c>
      <c r="S315" s="1037" t="s">
        <v>98</v>
      </c>
      <c r="T315" s="932" t="s">
        <v>1275</v>
      </c>
      <c r="U315" s="932"/>
      <c r="V315" s="933" t="s">
        <v>1308</v>
      </c>
      <c r="W315" s="930" t="s">
        <v>217</v>
      </c>
      <c r="X315" s="1220">
        <v>1.1804</v>
      </c>
      <c r="Y315" s="1204">
        <f t="shared" ref="Y315:Y328" si="179">I315*X315</f>
        <v>226.6368</v>
      </c>
      <c r="Z315" s="1204"/>
      <c r="AA315" s="926"/>
      <c r="AB315" s="926" t="s">
        <v>1277</v>
      </c>
      <c r="AC315" s="926" t="s">
        <v>93</v>
      </c>
      <c r="AD315" s="1040" t="s">
        <v>94</v>
      </c>
      <c r="AE315" s="926"/>
      <c r="AF315" s="926">
        <v>192</v>
      </c>
      <c r="AG315" s="924">
        <f t="shared" ref="AG315:AG328" si="180">AF315-I315</f>
        <v>0</v>
      </c>
      <c r="AH315" s="938"/>
      <c r="AI315" s="924" t="s">
        <v>95</v>
      </c>
      <c r="AJ315" s="926"/>
      <c r="AK315" s="926">
        <f t="shared" ref="AK315:AK323" si="181">I315</f>
        <v>192</v>
      </c>
      <c r="AL315" s="926"/>
      <c r="AM315" s="926">
        <f t="shared" ref="AM315:AM323" si="182">I315</f>
        <v>192</v>
      </c>
      <c r="AP315" s="926"/>
      <c r="AQ315" s="926"/>
      <c r="AS315" s="926">
        <f t="shared" ref="AS315:AS323" si="183">I315</f>
        <v>192</v>
      </c>
      <c r="AT315" s="926"/>
      <c r="AU315" s="926"/>
      <c r="AV315" s="926"/>
      <c r="BB315" s="857">
        <f t="shared" ref="BB315:BB323" si="184">I315/6</f>
        <v>32</v>
      </c>
      <c r="BE315" s="858"/>
      <c r="BU315" s="939">
        <f t="shared" si="178"/>
        <v>192</v>
      </c>
      <c r="BV315" s="939">
        <f>BV313+BU315</f>
        <v>2678228</v>
      </c>
      <c r="BW315" s="939"/>
      <c r="BX315" s="939"/>
      <c r="BY315" s="939"/>
      <c r="BZ315" s="939"/>
      <c r="CA315" s="857">
        <f t="shared" ref="CA315:CA323" si="185">SUM(BX$1:CB$1)-BV315</f>
        <v>141772</v>
      </c>
      <c r="CC315" s="857">
        <f t="shared" ref="CC315:CC323" si="186">AW315+AX315+BE315+BF315</f>
        <v>0</v>
      </c>
      <c r="CD315" s="939">
        <f>CD313+CC315</f>
        <v>51536.5714285714</v>
      </c>
      <c r="CE315" s="939"/>
      <c r="CF315" s="939"/>
      <c r="CG315" s="939"/>
      <c r="CH315" s="939">
        <f t="shared" ref="CH315:CH323" si="187">$CF$1+$CG$1+$CH$1+$CI$1-CD315</f>
        <v>8463.4285714286</v>
      </c>
      <c r="CI315" s="939"/>
    </row>
    <row r="316" s="857" customFormat="1" ht="32" customHeight="1" spans="1:87">
      <c r="A316" s="1044">
        <v>46094</v>
      </c>
      <c r="B316" s="1048" t="s">
        <v>1090</v>
      </c>
      <c r="C316" s="928" t="s">
        <v>125</v>
      </c>
      <c r="D316" s="1047">
        <v>4500196523</v>
      </c>
      <c r="E316" s="1048">
        <v>4561941529</v>
      </c>
      <c r="F316" s="1047" t="s">
        <v>1309</v>
      </c>
      <c r="G316" s="926" t="s">
        <v>353</v>
      </c>
      <c r="H316" s="926" t="s">
        <v>189</v>
      </c>
      <c r="I316" s="926">
        <v>222</v>
      </c>
      <c r="J316" s="926">
        <v>0</v>
      </c>
      <c r="K316" s="926">
        <v>6</v>
      </c>
      <c r="L316" s="1201">
        <f t="shared" si="142"/>
        <v>37</v>
      </c>
      <c r="M316" s="930">
        <v>46140</v>
      </c>
      <c r="N316" s="930">
        <v>46136</v>
      </c>
      <c r="O316" s="937"/>
      <c r="P316" s="1278" t="s">
        <v>86</v>
      </c>
      <c r="Q316" s="926"/>
      <c r="R316" s="1037">
        <v>46094</v>
      </c>
      <c r="S316" s="1037" t="s">
        <v>98</v>
      </c>
      <c r="T316" s="932" t="s">
        <v>1275</v>
      </c>
      <c r="U316" s="932"/>
      <c r="V316" s="933" t="s">
        <v>1308</v>
      </c>
      <c r="W316" s="930" t="s">
        <v>217</v>
      </c>
      <c r="X316" s="1220">
        <v>1.1667</v>
      </c>
      <c r="Y316" s="1204">
        <f t="shared" si="179"/>
        <v>259.0074</v>
      </c>
      <c r="Z316" s="1204"/>
      <c r="AA316" s="926"/>
      <c r="AB316" s="926" t="s">
        <v>1277</v>
      </c>
      <c r="AC316" s="926" t="s">
        <v>93</v>
      </c>
      <c r="AD316" s="1040" t="s">
        <v>94</v>
      </c>
      <c r="AE316" s="926"/>
      <c r="AF316" s="926">
        <v>222</v>
      </c>
      <c r="AG316" s="924">
        <f t="shared" si="180"/>
        <v>0</v>
      </c>
      <c r="AH316" s="938"/>
      <c r="AI316" s="1039"/>
      <c r="AJ316" s="926"/>
      <c r="AK316" s="926">
        <f t="shared" si="181"/>
        <v>222</v>
      </c>
      <c r="AL316" s="926"/>
      <c r="AM316" s="926">
        <f t="shared" si="182"/>
        <v>222</v>
      </c>
      <c r="AP316" s="926"/>
      <c r="AQ316" s="926"/>
      <c r="AS316" s="926">
        <f t="shared" si="183"/>
        <v>222</v>
      </c>
      <c r="AT316" s="926"/>
      <c r="AU316" s="926"/>
      <c r="AV316" s="926"/>
      <c r="BB316" s="857">
        <f t="shared" si="184"/>
        <v>37</v>
      </c>
      <c r="BE316" s="858"/>
      <c r="BU316" s="939">
        <f t="shared" si="178"/>
        <v>222</v>
      </c>
      <c r="BV316" s="939">
        <f t="shared" ref="BV315:BV325" si="188">BV315+BU316</f>
        <v>2678450</v>
      </c>
      <c r="BW316" s="939"/>
      <c r="BX316" s="939"/>
      <c r="BY316" s="939"/>
      <c r="BZ316" s="939"/>
      <c r="CA316" s="857">
        <f t="shared" si="185"/>
        <v>141550</v>
      </c>
      <c r="CC316" s="857">
        <f t="shared" si="186"/>
        <v>0</v>
      </c>
      <c r="CD316" s="939">
        <f t="shared" ref="CD315:CD323" si="189">CD315+CC316</f>
        <v>51536.5714285714</v>
      </c>
      <c r="CE316" s="939"/>
      <c r="CF316" s="939"/>
      <c r="CG316" s="939"/>
      <c r="CH316" s="939">
        <f t="shared" si="187"/>
        <v>8463.4285714286</v>
      </c>
      <c r="CI316" s="939"/>
    </row>
    <row r="317" s="857" customFormat="1" ht="32" customHeight="1" spans="1:87">
      <c r="A317" s="1044">
        <v>46094</v>
      </c>
      <c r="B317" s="1048" t="s">
        <v>1090</v>
      </c>
      <c r="C317" s="928" t="s">
        <v>125</v>
      </c>
      <c r="D317" s="1047">
        <v>4500196523</v>
      </c>
      <c r="E317" s="1048">
        <v>4561941394</v>
      </c>
      <c r="F317" s="1047" t="s">
        <v>1310</v>
      </c>
      <c r="G317" s="926" t="s">
        <v>353</v>
      </c>
      <c r="H317" s="926" t="s">
        <v>189</v>
      </c>
      <c r="I317" s="926">
        <v>876</v>
      </c>
      <c r="J317" s="926">
        <v>0</v>
      </c>
      <c r="K317" s="926">
        <v>6</v>
      </c>
      <c r="L317" s="1201">
        <f t="shared" si="142"/>
        <v>146</v>
      </c>
      <c r="M317" s="930">
        <v>46140</v>
      </c>
      <c r="N317" s="930">
        <v>46136</v>
      </c>
      <c r="O317" s="937"/>
      <c r="P317" s="1278" t="s">
        <v>86</v>
      </c>
      <c r="Q317" s="926"/>
      <c r="R317" s="1037">
        <v>46094</v>
      </c>
      <c r="S317" s="1037" t="s">
        <v>98</v>
      </c>
      <c r="T317" s="932" t="s">
        <v>1275</v>
      </c>
      <c r="U317" s="932"/>
      <c r="V317" s="933" t="s">
        <v>1308</v>
      </c>
      <c r="W317" s="930" t="s">
        <v>217</v>
      </c>
      <c r="X317" s="1220">
        <v>1.1666</v>
      </c>
      <c r="Y317" s="1204">
        <f t="shared" si="179"/>
        <v>1021.9416</v>
      </c>
      <c r="Z317" s="1204"/>
      <c r="AA317" s="926"/>
      <c r="AB317" s="926" t="s">
        <v>1277</v>
      </c>
      <c r="AC317" s="926" t="s">
        <v>93</v>
      </c>
      <c r="AD317" s="1040" t="s">
        <v>94</v>
      </c>
      <c r="AE317" s="926"/>
      <c r="AF317" s="926">
        <v>876</v>
      </c>
      <c r="AG317" s="924">
        <f t="shared" si="180"/>
        <v>0</v>
      </c>
      <c r="AH317" s="938"/>
      <c r="AI317" s="1039"/>
      <c r="AJ317" s="926"/>
      <c r="AK317" s="926">
        <f t="shared" si="181"/>
        <v>876</v>
      </c>
      <c r="AL317" s="926"/>
      <c r="AM317" s="926">
        <f t="shared" si="182"/>
        <v>876</v>
      </c>
      <c r="AP317" s="926"/>
      <c r="AQ317" s="926"/>
      <c r="AS317" s="926">
        <f t="shared" si="183"/>
        <v>876</v>
      </c>
      <c r="AT317" s="926"/>
      <c r="AU317" s="926"/>
      <c r="AV317" s="926"/>
      <c r="BB317" s="857">
        <f t="shared" si="184"/>
        <v>146</v>
      </c>
      <c r="BE317" s="858"/>
      <c r="BU317" s="939">
        <f t="shared" si="178"/>
        <v>876</v>
      </c>
      <c r="BV317" s="939">
        <f t="shared" si="188"/>
        <v>2679326</v>
      </c>
      <c r="BW317" s="939"/>
      <c r="BX317" s="939"/>
      <c r="BY317" s="939"/>
      <c r="BZ317" s="939"/>
      <c r="CA317" s="857">
        <f t="shared" si="185"/>
        <v>140674</v>
      </c>
      <c r="CC317" s="857">
        <f t="shared" si="186"/>
        <v>0</v>
      </c>
      <c r="CD317" s="939">
        <f t="shared" si="189"/>
        <v>51536.5714285714</v>
      </c>
      <c r="CE317" s="939"/>
      <c r="CF317" s="939"/>
      <c r="CG317" s="939"/>
      <c r="CH317" s="939">
        <f t="shared" si="187"/>
        <v>8463.4285714286</v>
      </c>
      <c r="CI317" s="939"/>
    </row>
    <row r="318" s="857" customFormat="1" ht="32" customHeight="1" spans="1:87">
      <c r="A318" s="1044">
        <v>46094</v>
      </c>
      <c r="B318" s="1048" t="s">
        <v>1090</v>
      </c>
      <c r="C318" s="928" t="s">
        <v>125</v>
      </c>
      <c r="D318" s="1047">
        <v>4500196523</v>
      </c>
      <c r="E318" s="1048">
        <v>4561941431</v>
      </c>
      <c r="F318" s="1047" t="s">
        <v>1311</v>
      </c>
      <c r="G318" s="926" t="s">
        <v>353</v>
      </c>
      <c r="H318" s="926" t="s">
        <v>189</v>
      </c>
      <c r="I318" s="926">
        <v>240</v>
      </c>
      <c r="J318" s="926">
        <v>0</v>
      </c>
      <c r="K318" s="926">
        <v>6</v>
      </c>
      <c r="L318" s="1201">
        <f t="shared" si="142"/>
        <v>40</v>
      </c>
      <c r="M318" s="930">
        <v>46140</v>
      </c>
      <c r="N318" s="930">
        <v>46136</v>
      </c>
      <c r="O318" s="937"/>
      <c r="P318" s="1278" t="s">
        <v>86</v>
      </c>
      <c r="Q318" s="926"/>
      <c r="R318" s="1037">
        <v>46094</v>
      </c>
      <c r="S318" s="1037" t="s">
        <v>98</v>
      </c>
      <c r="T318" s="932" t="s">
        <v>1275</v>
      </c>
      <c r="U318" s="932"/>
      <c r="V318" s="933" t="s">
        <v>1308</v>
      </c>
      <c r="W318" s="930" t="s">
        <v>217</v>
      </c>
      <c r="X318" s="1220">
        <v>1.1805</v>
      </c>
      <c r="Y318" s="1204">
        <f t="shared" si="179"/>
        <v>283.32</v>
      </c>
      <c r="Z318" s="1204"/>
      <c r="AA318" s="926"/>
      <c r="AB318" s="926" t="s">
        <v>1277</v>
      </c>
      <c r="AC318" s="926" t="s">
        <v>93</v>
      </c>
      <c r="AD318" s="1040" t="s">
        <v>94</v>
      </c>
      <c r="AE318" s="926"/>
      <c r="AF318" s="926">
        <v>240</v>
      </c>
      <c r="AG318" s="924">
        <f t="shared" si="180"/>
        <v>0</v>
      </c>
      <c r="AH318" s="938"/>
      <c r="AI318" s="1039"/>
      <c r="AJ318" s="926"/>
      <c r="AK318" s="926">
        <f t="shared" si="181"/>
        <v>240</v>
      </c>
      <c r="AL318" s="926"/>
      <c r="AM318" s="926">
        <f t="shared" si="182"/>
        <v>240</v>
      </c>
      <c r="AP318" s="926"/>
      <c r="AQ318" s="926"/>
      <c r="AS318" s="926">
        <f t="shared" si="183"/>
        <v>240</v>
      </c>
      <c r="AT318" s="926"/>
      <c r="AU318" s="926"/>
      <c r="AV318" s="926"/>
      <c r="BB318" s="857">
        <f t="shared" si="184"/>
        <v>40</v>
      </c>
      <c r="BE318" s="858"/>
      <c r="BU318" s="939">
        <f t="shared" si="178"/>
        <v>240</v>
      </c>
      <c r="BV318" s="939">
        <f t="shared" si="188"/>
        <v>2679566</v>
      </c>
      <c r="BW318" s="939"/>
      <c r="BX318" s="939"/>
      <c r="BY318" s="939"/>
      <c r="BZ318" s="939"/>
      <c r="CA318" s="857">
        <f t="shared" si="185"/>
        <v>140434</v>
      </c>
      <c r="CC318" s="857">
        <f t="shared" si="186"/>
        <v>0</v>
      </c>
      <c r="CD318" s="939">
        <f t="shared" si="189"/>
        <v>51536.5714285714</v>
      </c>
      <c r="CE318" s="939"/>
      <c r="CF318" s="939"/>
      <c r="CG318" s="939"/>
      <c r="CH318" s="939">
        <f t="shared" si="187"/>
        <v>8463.4285714286</v>
      </c>
      <c r="CI318" s="939"/>
    </row>
    <row r="319" s="857" customFormat="1" ht="32" customHeight="1" spans="1:87">
      <c r="A319" s="1044">
        <v>46094</v>
      </c>
      <c r="B319" s="1048" t="s">
        <v>1090</v>
      </c>
      <c r="C319" s="928" t="s">
        <v>125</v>
      </c>
      <c r="D319" s="1047">
        <v>4500196523</v>
      </c>
      <c r="E319" s="1048">
        <v>4561941239</v>
      </c>
      <c r="F319" s="1047" t="s">
        <v>1312</v>
      </c>
      <c r="G319" s="926" t="s">
        <v>353</v>
      </c>
      <c r="H319" s="926" t="s">
        <v>189</v>
      </c>
      <c r="I319" s="926">
        <v>870</v>
      </c>
      <c r="J319" s="926">
        <v>0</v>
      </c>
      <c r="K319" s="926">
        <v>6</v>
      </c>
      <c r="L319" s="1201">
        <f t="shared" si="142"/>
        <v>145</v>
      </c>
      <c r="M319" s="930">
        <v>46140</v>
      </c>
      <c r="N319" s="930">
        <v>46136</v>
      </c>
      <c r="O319" s="937"/>
      <c r="P319" s="1278" t="s">
        <v>86</v>
      </c>
      <c r="Q319" s="926"/>
      <c r="R319" s="1037">
        <v>46094</v>
      </c>
      <c r="S319" s="1037" t="s">
        <v>98</v>
      </c>
      <c r="T319" s="932" t="s">
        <v>1275</v>
      </c>
      <c r="U319" s="932"/>
      <c r="V319" s="933" t="s">
        <v>1308</v>
      </c>
      <c r="W319" s="930" t="s">
        <v>217</v>
      </c>
      <c r="X319" s="1220">
        <v>1.1804</v>
      </c>
      <c r="Y319" s="1204">
        <f t="shared" si="179"/>
        <v>1026.948</v>
      </c>
      <c r="Z319" s="1204"/>
      <c r="AA319" s="926"/>
      <c r="AB319" s="926" t="s">
        <v>1277</v>
      </c>
      <c r="AC319" s="926" t="s">
        <v>93</v>
      </c>
      <c r="AD319" s="1040" t="s">
        <v>94</v>
      </c>
      <c r="AE319" s="926"/>
      <c r="AF319" s="926">
        <v>870</v>
      </c>
      <c r="AG319" s="924">
        <f t="shared" si="180"/>
        <v>0</v>
      </c>
      <c r="AH319" s="938"/>
      <c r="AI319" s="1039"/>
      <c r="AJ319" s="926"/>
      <c r="AK319" s="926">
        <f t="shared" si="181"/>
        <v>870</v>
      </c>
      <c r="AL319" s="926"/>
      <c r="AM319" s="926">
        <f t="shared" si="182"/>
        <v>870</v>
      </c>
      <c r="AP319" s="926"/>
      <c r="AQ319" s="926"/>
      <c r="AS319" s="926">
        <f t="shared" si="183"/>
        <v>870</v>
      </c>
      <c r="AT319" s="926"/>
      <c r="AU319" s="926"/>
      <c r="AV319" s="926"/>
      <c r="BB319" s="857">
        <f t="shared" si="184"/>
        <v>145</v>
      </c>
      <c r="BE319" s="858"/>
      <c r="BU319" s="939">
        <f t="shared" si="178"/>
        <v>870</v>
      </c>
      <c r="BV319" s="939">
        <f t="shared" si="188"/>
        <v>2680436</v>
      </c>
      <c r="BW319" s="939"/>
      <c r="BX319" s="939"/>
      <c r="BY319" s="939"/>
      <c r="BZ319" s="939"/>
      <c r="CA319" s="857">
        <f t="shared" si="185"/>
        <v>139564</v>
      </c>
      <c r="CC319" s="857">
        <f t="shared" si="186"/>
        <v>0</v>
      </c>
      <c r="CD319" s="939">
        <f t="shared" si="189"/>
        <v>51536.5714285714</v>
      </c>
      <c r="CE319" s="939"/>
      <c r="CF319" s="939"/>
      <c r="CG319" s="939"/>
      <c r="CH319" s="939">
        <f t="shared" si="187"/>
        <v>8463.4285714286</v>
      </c>
      <c r="CI319" s="939"/>
    </row>
    <row r="320" s="857" customFormat="1" ht="32" customHeight="1" spans="1:87">
      <c r="A320" s="1044">
        <v>46094</v>
      </c>
      <c r="B320" s="1048" t="s">
        <v>1090</v>
      </c>
      <c r="C320" s="928" t="s">
        <v>125</v>
      </c>
      <c r="D320" s="1047">
        <v>4500196523</v>
      </c>
      <c r="E320" s="1048">
        <v>4561941331</v>
      </c>
      <c r="F320" s="1047" t="s">
        <v>1313</v>
      </c>
      <c r="G320" s="926" t="s">
        <v>353</v>
      </c>
      <c r="H320" s="926" t="s">
        <v>189</v>
      </c>
      <c r="I320" s="926">
        <v>540</v>
      </c>
      <c r="J320" s="926">
        <v>0</v>
      </c>
      <c r="K320" s="926">
        <v>6</v>
      </c>
      <c r="L320" s="1201">
        <f t="shared" ref="L320:L337" si="190">I320/K320</f>
        <v>90</v>
      </c>
      <c r="M320" s="930">
        <v>46140</v>
      </c>
      <c r="N320" s="930">
        <v>46136</v>
      </c>
      <c r="O320" s="937"/>
      <c r="P320" s="1278" t="s">
        <v>86</v>
      </c>
      <c r="Q320" s="926"/>
      <c r="R320" s="1037">
        <v>46094</v>
      </c>
      <c r="S320" s="1037" t="s">
        <v>98</v>
      </c>
      <c r="T320" s="932" t="s">
        <v>1275</v>
      </c>
      <c r="U320" s="932"/>
      <c r="V320" s="933" t="s">
        <v>1308</v>
      </c>
      <c r="W320" s="930" t="s">
        <v>217</v>
      </c>
      <c r="X320" s="1220">
        <v>1.1804</v>
      </c>
      <c r="Y320" s="1204">
        <f t="shared" si="179"/>
        <v>637.416</v>
      </c>
      <c r="Z320" s="1204"/>
      <c r="AA320" s="926"/>
      <c r="AB320" s="926" t="s">
        <v>1277</v>
      </c>
      <c r="AC320" s="926" t="s">
        <v>93</v>
      </c>
      <c r="AD320" s="1040" t="s">
        <v>94</v>
      </c>
      <c r="AE320" s="926"/>
      <c r="AF320" s="924">
        <v>540</v>
      </c>
      <c r="AG320" s="924">
        <f t="shared" si="180"/>
        <v>0</v>
      </c>
      <c r="AH320" s="938"/>
      <c r="AI320" s="1039"/>
      <c r="AJ320" s="926"/>
      <c r="AK320" s="926">
        <f t="shared" si="181"/>
        <v>540</v>
      </c>
      <c r="AL320" s="926"/>
      <c r="AM320" s="926">
        <f t="shared" si="182"/>
        <v>540</v>
      </c>
      <c r="AP320" s="926"/>
      <c r="AQ320" s="926"/>
      <c r="AS320" s="926">
        <f t="shared" si="183"/>
        <v>540</v>
      </c>
      <c r="AT320" s="926"/>
      <c r="AU320" s="926"/>
      <c r="AV320" s="926"/>
      <c r="BB320" s="857">
        <f t="shared" si="184"/>
        <v>90</v>
      </c>
      <c r="BE320" s="858"/>
      <c r="BU320" s="939">
        <f t="shared" si="178"/>
        <v>540</v>
      </c>
      <c r="BV320" s="939">
        <f t="shared" si="188"/>
        <v>2680976</v>
      </c>
      <c r="BW320" s="939"/>
      <c r="BX320" s="939"/>
      <c r="BY320" s="939"/>
      <c r="BZ320" s="939"/>
      <c r="CA320" s="857">
        <f t="shared" si="185"/>
        <v>139024</v>
      </c>
      <c r="CC320" s="857">
        <f t="shared" si="186"/>
        <v>0</v>
      </c>
      <c r="CD320" s="939">
        <f t="shared" si="189"/>
        <v>51536.5714285714</v>
      </c>
      <c r="CE320" s="939"/>
      <c r="CF320" s="939"/>
      <c r="CG320" s="939"/>
      <c r="CH320" s="939">
        <f t="shared" si="187"/>
        <v>8463.4285714286</v>
      </c>
      <c r="CI320" s="939"/>
    </row>
    <row r="321" s="857" customFormat="1" ht="32" customHeight="1" spans="1:87">
      <c r="A321" s="1044">
        <v>46094</v>
      </c>
      <c r="B321" s="1048" t="s">
        <v>1090</v>
      </c>
      <c r="C321" s="928" t="s">
        <v>125</v>
      </c>
      <c r="D321" s="1047">
        <v>4500196523</v>
      </c>
      <c r="E321" s="1048">
        <v>4561941490</v>
      </c>
      <c r="F321" s="1047" t="s">
        <v>1314</v>
      </c>
      <c r="G321" s="926" t="s">
        <v>353</v>
      </c>
      <c r="H321" s="926" t="s">
        <v>189</v>
      </c>
      <c r="I321" s="926">
        <v>354</v>
      </c>
      <c r="J321" s="926">
        <v>0</v>
      </c>
      <c r="K321" s="926">
        <v>6</v>
      </c>
      <c r="L321" s="1201">
        <f t="shared" si="190"/>
        <v>59</v>
      </c>
      <c r="M321" s="930">
        <v>46140</v>
      </c>
      <c r="N321" s="930">
        <v>46136</v>
      </c>
      <c r="O321" s="937"/>
      <c r="P321" s="1278" t="s">
        <v>86</v>
      </c>
      <c r="Q321" s="926"/>
      <c r="R321" s="1037">
        <v>46094</v>
      </c>
      <c r="S321" s="1037" t="s">
        <v>98</v>
      </c>
      <c r="T321" s="932" t="s">
        <v>1275</v>
      </c>
      <c r="U321" s="932"/>
      <c r="V321" s="933" t="s">
        <v>1308</v>
      </c>
      <c r="W321" s="930" t="s">
        <v>217</v>
      </c>
      <c r="X321" s="1220">
        <v>1.1805</v>
      </c>
      <c r="Y321" s="1204">
        <f t="shared" si="179"/>
        <v>417.897</v>
      </c>
      <c r="Z321" s="1204"/>
      <c r="AA321" s="926"/>
      <c r="AB321" s="926" t="s">
        <v>1277</v>
      </c>
      <c r="AC321" s="926" t="s">
        <v>93</v>
      </c>
      <c r="AD321" s="1040" t="s">
        <v>94</v>
      </c>
      <c r="AE321" s="926"/>
      <c r="AF321" s="1040"/>
      <c r="AG321" s="924">
        <f t="shared" si="180"/>
        <v>-354</v>
      </c>
      <c r="AH321" s="938"/>
      <c r="AI321" s="1039"/>
      <c r="AJ321" s="926"/>
      <c r="AK321" s="926">
        <f t="shared" si="181"/>
        <v>354</v>
      </c>
      <c r="AL321" s="926"/>
      <c r="AM321" s="926">
        <f t="shared" si="182"/>
        <v>354</v>
      </c>
      <c r="AP321" s="926"/>
      <c r="AQ321" s="926"/>
      <c r="AS321" s="926">
        <f t="shared" si="183"/>
        <v>354</v>
      </c>
      <c r="AT321" s="926"/>
      <c r="AU321" s="926"/>
      <c r="AV321" s="926"/>
      <c r="BB321" s="857">
        <f t="shared" si="184"/>
        <v>59</v>
      </c>
      <c r="BE321" s="858"/>
      <c r="BU321" s="939">
        <f t="shared" si="178"/>
        <v>354</v>
      </c>
      <c r="BV321" s="939">
        <f t="shared" si="188"/>
        <v>2681330</v>
      </c>
      <c r="BW321" s="939"/>
      <c r="BX321" s="939"/>
      <c r="BY321" s="939"/>
      <c r="BZ321" s="939"/>
      <c r="CA321" s="857">
        <f t="shared" si="185"/>
        <v>138670</v>
      </c>
      <c r="CC321" s="857">
        <f t="shared" si="186"/>
        <v>0</v>
      </c>
      <c r="CD321" s="939">
        <f t="shared" si="189"/>
        <v>51536.5714285714</v>
      </c>
      <c r="CE321" s="939"/>
      <c r="CF321" s="939"/>
      <c r="CG321" s="939"/>
      <c r="CH321" s="939">
        <f t="shared" si="187"/>
        <v>8463.4285714286</v>
      </c>
      <c r="CI321" s="939"/>
    </row>
    <row r="322" s="857" customFormat="1" ht="32" customHeight="1" spans="1:87">
      <c r="A322" s="1044">
        <v>46094</v>
      </c>
      <c r="B322" s="1048" t="s">
        <v>1090</v>
      </c>
      <c r="C322" s="928" t="s">
        <v>125</v>
      </c>
      <c r="D322" s="1047">
        <v>4500196523</v>
      </c>
      <c r="E322" s="1048">
        <v>4561941545</v>
      </c>
      <c r="F322" s="1047" t="s">
        <v>1315</v>
      </c>
      <c r="G322" s="926" t="s">
        <v>353</v>
      </c>
      <c r="H322" s="926" t="s">
        <v>189</v>
      </c>
      <c r="I322" s="926">
        <v>438</v>
      </c>
      <c r="J322" s="926">
        <v>0</v>
      </c>
      <c r="K322" s="926">
        <v>6</v>
      </c>
      <c r="L322" s="1201">
        <f t="shared" si="190"/>
        <v>73</v>
      </c>
      <c r="M322" s="930">
        <v>46140</v>
      </c>
      <c r="N322" s="930">
        <v>46136</v>
      </c>
      <c r="O322" s="937"/>
      <c r="P322" s="1278" t="s">
        <v>86</v>
      </c>
      <c r="Q322" s="926"/>
      <c r="R322" s="1037">
        <v>46094</v>
      </c>
      <c r="S322" s="1037" t="s">
        <v>98</v>
      </c>
      <c r="T322" s="932" t="s">
        <v>1275</v>
      </c>
      <c r="U322" s="932"/>
      <c r="V322" s="933" t="s">
        <v>1308</v>
      </c>
      <c r="W322" s="930" t="s">
        <v>217</v>
      </c>
      <c r="X322" s="1220">
        <v>1.1804</v>
      </c>
      <c r="Y322" s="1204">
        <f t="shared" si="179"/>
        <v>517.0152</v>
      </c>
      <c r="Z322" s="1204"/>
      <c r="AA322" s="926"/>
      <c r="AB322" s="926" t="s">
        <v>1277</v>
      </c>
      <c r="AC322" s="926" t="s">
        <v>93</v>
      </c>
      <c r="AD322" s="1040" t="s">
        <v>94</v>
      </c>
      <c r="AE322" s="926"/>
      <c r="AF322" s="926">
        <v>438</v>
      </c>
      <c r="AG322" s="924">
        <f t="shared" si="180"/>
        <v>0</v>
      </c>
      <c r="AH322" s="938"/>
      <c r="AI322" s="1039"/>
      <c r="AJ322" s="926"/>
      <c r="AK322" s="926">
        <f t="shared" si="181"/>
        <v>438</v>
      </c>
      <c r="AL322" s="926"/>
      <c r="AM322" s="926">
        <f t="shared" si="182"/>
        <v>438</v>
      </c>
      <c r="AP322" s="926"/>
      <c r="AQ322" s="926"/>
      <c r="AS322" s="926">
        <f t="shared" si="183"/>
        <v>438</v>
      </c>
      <c r="AT322" s="926"/>
      <c r="AU322" s="926"/>
      <c r="AV322" s="926"/>
      <c r="BB322" s="857">
        <f t="shared" si="184"/>
        <v>73</v>
      </c>
      <c r="BE322" s="858"/>
      <c r="BU322" s="939">
        <f t="shared" si="178"/>
        <v>438</v>
      </c>
      <c r="BV322" s="939">
        <f t="shared" si="188"/>
        <v>2681768</v>
      </c>
      <c r="BW322" s="939"/>
      <c r="BX322" s="939"/>
      <c r="BY322" s="939"/>
      <c r="BZ322" s="939"/>
      <c r="CA322" s="857">
        <f t="shared" si="185"/>
        <v>138232</v>
      </c>
      <c r="CC322" s="857">
        <f t="shared" si="186"/>
        <v>0</v>
      </c>
      <c r="CD322" s="939">
        <f t="shared" si="189"/>
        <v>51536.5714285714</v>
      </c>
      <c r="CE322" s="939"/>
      <c r="CF322" s="939"/>
      <c r="CG322" s="939"/>
      <c r="CH322" s="939">
        <f t="shared" si="187"/>
        <v>8463.4285714286</v>
      </c>
      <c r="CI322" s="939"/>
    </row>
    <row r="323" s="857" customFormat="1" ht="32" customHeight="1" spans="1:87">
      <c r="A323" s="1044">
        <v>46094</v>
      </c>
      <c r="B323" s="1048" t="s">
        <v>1090</v>
      </c>
      <c r="C323" s="928" t="s">
        <v>125</v>
      </c>
      <c r="D323" s="1047">
        <v>4500196523</v>
      </c>
      <c r="E323" s="1048">
        <v>4561941352</v>
      </c>
      <c r="F323" s="1047" t="s">
        <v>1316</v>
      </c>
      <c r="G323" s="926" t="s">
        <v>353</v>
      </c>
      <c r="H323" s="926" t="s">
        <v>189</v>
      </c>
      <c r="I323" s="926">
        <v>804</v>
      </c>
      <c r="J323" s="926">
        <v>0</v>
      </c>
      <c r="K323" s="926">
        <v>6</v>
      </c>
      <c r="L323" s="1201">
        <f t="shared" si="190"/>
        <v>134</v>
      </c>
      <c r="M323" s="930">
        <v>46140</v>
      </c>
      <c r="N323" s="930">
        <v>46136</v>
      </c>
      <c r="O323" s="937"/>
      <c r="P323" s="1278" t="s">
        <v>86</v>
      </c>
      <c r="Q323" s="926"/>
      <c r="R323" s="1037">
        <v>46094</v>
      </c>
      <c r="S323" s="1037" t="s">
        <v>98</v>
      </c>
      <c r="T323" s="932" t="s">
        <v>1275</v>
      </c>
      <c r="U323" s="932"/>
      <c r="V323" s="933" t="s">
        <v>1308</v>
      </c>
      <c r="W323" s="930" t="s">
        <v>217</v>
      </c>
      <c r="X323" s="1220">
        <v>1.1804</v>
      </c>
      <c r="Y323" s="1204">
        <f t="shared" si="179"/>
        <v>949.0416</v>
      </c>
      <c r="Z323" s="1204"/>
      <c r="AA323" s="926"/>
      <c r="AB323" s="926" t="s">
        <v>1277</v>
      </c>
      <c r="AC323" s="926" t="s">
        <v>93</v>
      </c>
      <c r="AD323" s="1040" t="s">
        <v>94</v>
      </c>
      <c r="AE323" s="926"/>
      <c r="AF323" s="926">
        <v>804</v>
      </c>
      <c r="AG323" s="924">
        <f t="shared" si="180"/>
        <v>0</v>
      </c>
      <c r="AH323" s="938"/>
      <c r="AI323" s="1040"/>
      <c r="AJ323" s="926"/>
      <c r="AK323" s="926">
        <f t="shared" si="181"/>
        <v>804</v>
      </c>
      <c r="AL323" s="926"/>
      <c r="AM323" s="926">
        <f t="shared" si="182"/>
        <v>804</v>
      </c>
      <c r="AP323" s="926"/>
      <c r="AQ323" s="926"/>
      <c r="AS323" s="926">
        <f t="shared" si="183"/>
        <v>804</v>
      </c>
      <c r="AT323" s="926"/>
      <c r="AU323" s="926"/>
      <c r="AV323" s="926"/>
      <c r="BB323" s="857">
        <f t="shared" si="184"/>
        <v>134</v>
      </c>
      <c r="BE323" s="858"/>
      <c r="BU323" s="939">
        <f t="shared" si="178"/>
        <v>804</v>
      </c>
      <c r="BV323" s="939">
        <f t="shared" si="188"/>
        <v>2682572</v>
      </c>
      <c r="BW323" s="939"/>
      <c r="BX323" s="939"/>
      <c r="BY323" s="939"/>
      <c r="BZ323" s="939"/>
      <c r="CA323" s="857">
        <f t="shared" si="185"/>
        <v>137428</v>
      </c>
      <c r="CC323" s="857">
        <f t="shared" si="186"/>
        <v>0</v>
      </c>
      <c r="CD323" s="939">
        <f t="shared" si="189"/>
        <v>51536.5714285714</v>
      </c>
      <c r="CE323" s="939"/>
      <c r="CF323" s="939"/>
      <c r="CG323" s="939"/>
      <c r="CH323" s="939">
        <f t="shared" si="187"/>
        <v>8463.4285714286</v>
      </c>
      <c r="CI323" s="939"/>
    </row>
    <row r="324" s="857" customFormat="1" ht="32" customHeight="1" spans="1:87">
      <c r="A324" s="1044">
        <v>46087</v>
      </c>
      <c r="B324" s="1048" t="s">
        <v>314</v>
      </c>
      <c r="C324" s="928" t="s">
        <v>125</v>
      </c>
      <c r="D324" s="1047">
        <v>4500195559</v>
      </c>
      <c r="E324" s="1048">
        <v>332427</v>
      </c>
      <c r="F324" s="1047" t="s">
        <v>1317</v>
      </c>
      <c r="G324" s="926" t="s">
        <v>196</v>
      </c>
      <c r="H324" s="926" t="s">
        <v>197</v>
      </c>
      <c r="I324" s="1294">
        <v>2196</v>
      </c>
      <c r="J324" s="926">
        <v>0</v>
      </c>
      <c r="K324" s="926">
        <v>12</v>
      </c>
      <c r="L324" s="1201">
        <f t="shared" si="190"/>
        <v>183</v>
      </c>
      <c r="M324" s="930">
        <v>46141</v>
      </c>
      <c r="N324" s="930">
        <v>46137</v>
      </c>
      <c r="O324" s="937"/>
      <c r="P324" s="1278" t="s">
        <v>86</v>
      </c>
      <c r="Q324" s="926"/>
      <c r="R324" s="1037">
        <v>46090</v>
      </c>
      <c r="S324" s="1037" t="s">
        <v>98</v>
      </c>
      <c r="T324" s="932" t="s">
        <v>1244</v>
      </c>
      <c r="U324" s="932"/>
      <c r="V324" s="933" t="s">
        <v>1318</v>
      </c>
      <c r="W324" s="930" t="s">
        <v>319</v>
      </c>
      <c r="X324" s="933">
        <v>2.4521</v>
      </c>
      <c r="Y324" s="1204">
        <f t="shared" si="179"/>
        <v>5384.8116</v>
      </c>
      <c r="Z324" s="1204"/>
      <c r="AA324" s="926"/>
      <c r="AB324" s="926" t="s">
        <v>984</v>
      </c>
      <c r="AC324" s="926" t="s">
        <v>93</v>
      </c>
      <c r="AD324" s="1040" t="s">
        <v>94</v>
      </c>
      <c r="AE324" s="926"/>
      <c r="AF324" s="926">
        <v>2196</v>
      </c>
      <c r="AG324" s="924">
        <f t="shared" si="180"/>
        <v>0</v>
      </c>
      <c r="AH324" s="938"/>
      <c r="AI324" s="926" t="s">
        <v>95</v>
      </c>
      <c r="AJ324" s="926"/>
      <c r="AK324" s="926">
        <f>I324*2</f>
        <v>4392</v>
      </c>
      <c r="AL324" s="926"/>
      <c r="AM324" s="858">
        <f>I324*2</f>
        <v>4392</v>
      </c>
      <c r="AP324" s="926"/>
      <c r="AQ324" s="926"/>
      <c r="AS324" s="951">
        <f>I324*2</f>
        <v>4392</v>
      </c>
      <c r="AT324" s="926"/>
      <c r="AU324" s="926"/>
      <c r="AV324" s="926"/>
      <c r="BE324" s="858"/>
      <c r="BN324" s="857">
        <f>I324</f>
        <v>2196</v>
      </c>
      <c r="BP324" s="857">
        <f>I324</f>
        <v>2196</v>
      </c>
      <c r="BQ324" s="857">
        <f>I324</f>
        <v>2196</v>
      </c>
      <c r="BU324" s="939">
        <f t="shared" si="178"/>
        <v>4392</v>
      </c>
      <c r="BV324" s="939">
        <f t="shared" si="188"/>
        <v>2686964</v>
      </c>
      <c r="BW324" s="939"/>
      <c r="BX324" s="939"/>
      <c r="BY324" s="939"/>
      <c r="BZ324" s="939"/>
      <c r="CD324" s="939"/>
      <c r="CE324" s="939"/>
      <c r="CF324" s="939"/>
      <c r="CG324" s="939"/>
      <c r="CH324" s="939"/>
      <c r="CI324" s="939"/>
    </row>
    <row r="325" s="857" customFormat="1" ht="32" customHeight="1" spans="1:87">
      <c r="A325" s="1044">
        <v>46087</v>
      </c>
      <c r="B325" s="1048" t="s">
        <v>314</v>
      </c>
      <c r="C325" s="928" t="s">
        <v>125</v>
      </c>
      <c r="D325" s="1047">
        <v>4500195560</v>
      </c>
      <c r="E325" s="1048">
        <v>332429</v>
      </c>
      <c r="F325" s="1047" t="s">
        <v>1319</v>
      </c>
      <c r="G325" s="926" t="s">
        <v>196</v>
      </c>
      <c r="H325" s="926" t="s">
        <v>197</v>
      </c>
      <c r="I325" s="1294">
        <v>2400</v>
      </c>
      <c r="J325" s="926">
        <v>0</v>
      </c>
      <c r="K325" s="926">
        <v>12</v>
      </c>
      <c r="L325" s="1201">
        <f t="shared" si="190"/>
        <v>200</v>
      </c>
      <c r="M325" s="930">
        <v>46141</v>
      </c>
      <c r="N325" s="930">
        <v>46137</v>
      </c>
      <c r="O325" s="937"/>
      <c r="P325" s="1278" t="s">
        <v>86</v>
      </c>
      <c r="Q325" s="926"/>
      <c r="R325" s="1037">
        <v>46090</v>
      </c>
      <c r="S325" s="1037" t="s">
        <v>98</v>
      </c>
      <c r="T325" s="932" t="s">
        <v>1244</v>
      </c>
      <c r="U325" s="932"/>
      <c r="V325" s="933" t="s">
        <v>1320</v>
      </c>
      <c r="W325" s="930" t="s">
        <v>319</v>
      </c>
      <c r="X325" s="933">
        <v>2.4521</v>
      </c>
      <c r="Y325" s="1204">
        <f t="shared" si="179"/>
        <v>5885.04</v>
      </c>
      <c r="Z325" s="1204"/>
      <c r="AA325" s="926"/>
      <c r="AB325" s="926" t="s">
        <v>984</v>
      </c>
      <c r="AC325" s="926" t="s">
        <v>93</v>
      </c>
      <c r="AD325" s="1040" t="s">
        <v>94</v>
      </c>
      <c r="AE325" s="926"/>
      <c r="AF325" s="926">
        <v>2400</v>
      </c>
      <c r="AG325" s="924">
        <f t="shared" si="180"/>
        <v>0</v>
      </c>
      <c r="AH325" s="938"/>
      <c r="AI325" s="926" t="s">
        <v>95</v>
      </c>
      <c r="AJ325" s="926"/>
      <c r="AK325" s="926">
        <f>I325*2</f>
        <v>4800</v>
      </c>
      <c r="AL325" s="926"/>
      <c r="AM325" s="858">
        <f>I325*2</f>
        <v>4800</v>
      </c>
      <c r="AP325" s="926"/>
      <c r="AQ325" s="926"/>
      <c r="AS325" s="951">
        <f>I325*2</f>
        <v>4800</v>
      </c>
      <c r="AT325" s="926"/>
      <c r="AU325" s="926"/>
      <c r="AV325" s="926"/>
      <c r="BE325" s="858"/>
      <c r="BN325" s="857">
        <f>I325</f>
        <v>2400</v>
      </c>
      <c r="BP325" s="857">
        <f>I325</f>
        <v>2400</v>
      </c>
      <c r="BQ325" s="857">
        <f>I325</f>
        <v>2400</v>
      </c>
      <c r="BU325" s="939">
        <f t="shared" si="178"/>
        <v>4800</v>
      </c>
      <c r="BV325" s="939">
        <f t="shared" si="188"/>
        <v>2691764</v>
      </c>
      <c r="BW325" s="939"/>
      <c r="BX325" s="939"/>
      <c r="BY325" s="939"/>
      <c r="BZ325" s="939"/>
      <c r="CD325" s="939"/>
      <c r="CE325" s="939"/>
      <c r="CF325" s="939"/>
      <c r="CG325" s="939"/>
      <c r="CH325" s="939"/>
      <c r="CI325" s="939"/>
    </row>
    <row r="326" s="974" customFormat="1" ht="32" customHeight="1" spans="1:87">
      <c r="A326" s="1281">
        <v>46081</v>
      </c>
      <c r="B326" s="1282" t="s">
        <v>314</v>
      </c>
      <c r="C326" s="1003" t="s">
        <v>125</v>
      </c>
      <c r="D326" s="1283">
        <v>4500194774</v>
      </c>
      <c r="E326" s="1282">
        <v>305514</v>
      </c>
      <c r="F326" s="1283" t="s">
        <v>1321</v>
      </c>
      <c r="G326" s="1004" t="s">
        <v>196</v>
      </c>
      <c r="H326" s="1004" t="s">
        <v>197</v>
      </c>
      <c r="I326" s="1296">
        <v>8016</v>
      </c>
      <c r="J326" s="1004">
        <v>0</v>
      </c>
      <c r="K326" s="1004">
        <v>12</v>
      </c>
      <c r="L326" s="1232">
        <f t="shared" si="190"/>
        <v>668</v>
      </c>
      <c r="M326" s="1007">
        <v>46148</v>
      </c>
      <c r="N326" s="1007">
        <v>46144</v>
      </c>
      <c r="O326" s="1024"/>
      <c r="P326" s="1285" t="s">
        <v>86</v>
      </c>
      <c r="Q326" s="1004"/>
      <c r="R326" s="1035" t="s">
        <v>89</v>
      </c>
      <c r="S326" s="1035" t="s">
        <v>98</v>
      </c>
      <c r="T326" s="1009" t="s">
        <v>1244</v>
      </c>
      <c r="U326" s="1009"/>
      <c r="V326" s="1010" t="s">
        <v>1322</v>
      </c>
      <c r="W326" s="1007" t="s">
        <v>319</v>
      </c>
      <c r="X326" s="1010">
        <v>2.4542</v>
      </c>
      <c r="Y326" s="1236">
        <f t="shared" si="179"/>
        <v>19672.8672</v>
      </c>
      <c r="Z326" s="1236"/>
      <c r="AA326" s="1004"/>
      <c r="AB326" s="1004" t="s">
        <v>984</v>
      </c>
      <c r="AC326" s="1004" t="s">
        <v>93</v>
      </c>
      <c r="AD326" s="1023" t="s">
        <v>94</v>
      </c>
      <c r="AE326" s="1004"/>
      <c r="AF326" s="1004">
        <v>8016</v>
      </c>
      <c r="AG326" s="1002">
        <f t="shared" si="180"/>
        <v>0</v>
      </c>
      <c r="AH326" s="1055"/>
      <c r="AI326" s="1004" t="s">
        <v>95</v>
      </c>
      <c r="AJ326" s="1004"/>
      <c r="AK326" s="1004">
        <f>I326*2</f>
        <v>16032</v>
      </c>
      <c r="AL326" s="1004"/>
      <c r="AM326" s="1016">
        <f>I326*2</f>
        <v>16032</v>
      </c>
      <c r="AP326" s="1004"/>
      <c r="AQ326" s="1004"/>
      <c r="AS326" s="951">
        <f>I326*2</f>
        <v>16032</v>
      </c>
      <c r="AT326" s="1004"/>
      <c r="AU326" s="1004"/>
      <c r="AV326" s="1004"/>
      <c r="BE326" s="1016"/>
      <c r="BN326" s="974">
        <f>I326</f>
        <v>8016</v>
      </c>
      <c r="BP326" s="974">
        <f>I326</f>
        <v>8016</v>
      </c>
      <c r="BQ326" s="974">
        <f>I326</f>
        <v>8016</v>
      </c>
      <c r="BU326" s="1018">
        <f t="shared" si="178"/>
        <v>16032</v>
      </c>
      <c r="BV326" s="1018">
        <f>BV313+BU326</f>
        <v>2694068</v>
      </c>
      <c r="BW326" s="1018"/>
      <c r="BX326" s="1018"/>
      <c r="BY326" s="1018"/>
      <c r="BZ326" s="1018"/>
      <c r="CA326" s="974">
        <f>SUM(BX$1:CB$1)-BV326</f>
        <v>125932</v>
      </c>
      <c r="CC326" s="974">
        <f>AW326+AX326+BE326+BF326</f>
        <v>0</v>
      </c>
      <c r="CD326" s="1018">
        <f>CD313+CC326</f>
        <v>51536.5714285714</v>
      </c>
      <c r="CE326" s="1018"/>
      <c r="CF326" s="1018"/>
      <c r="CG326" s="1018"/>
      <c r="CH326" s="1018">
        <f>$CF$1+$CG$1+$CH$1+$CI$1-CD326</f>
        <v>8463.4285714286</v>
      </c>
      <c r="CI326" s="1018"/>
    </row>
    <row r="327" s="974" customFormat="1" ht="32" customHeight="1" spans="1:87">
      <c r="A327" s="1281">
        <v>46081</v>
      </c>
      <c r="B327" s="1282" t="s">
        <v>314</v>
      </c>
      <c r="C327" s="1003" t="s">
        <v>125</v>
      </c>
      <c r="D327" s="1283">
        <v>4500194773</v>
      </c>
      <c r="E327" s="1282">
        <v>305506</v>
      </c>
      <c r="F327" s="1283" t="s">
        <v>1323</v>
      </c>
      <c r="G327" s="1004" t="s">
        <v>196</v>
      </c>
      <c r="H327" s="1004" t="s">
        <v>197</v>
      </c>
      <c r="I327" s="1296">
        <v>7992</v>
      </c>
      <c r="J327" s="1004">
        <v>0</v>
      </c>
      <c r="K327" s="1004">
        <v>12</v>
      </c>
      <c r="L327" s="1232">
        <f t="shared" si="190"/>
        <v>666</v>
      </c>
      <c r="M327" s="1007">
        <v>46148</v>
      </c>
      <c r="N327" s="1007">
        <v>46144</v>
      </c>
      <c r="O327" s="1024"/>
      <c r="P327" s="1285" t="s">
        <v>86</v>
      </c>
      <c r="Q327" s="1004"/>
      <c r="R327" s="1035" t="s">
        <v>89</v>
      </c>
      <c r="S327" s="1035" t="s">
        <v>98</v>
      </c>
      <c r="T327" s="1009" t="s">
        <v>1244</v>
      </c>
      <c r="U327" s="1009"/>
      <c r="V327" s="1010" t="s">
        <v>1324</v>
      </c>
      <c r="W327" s="1007" t="s">
        <v>319</v>
      </c>
      <c r="X327" s="1010">
        <v>2.4542</v>
      </c>
      <c r="Y327" s="1236">
        <f t="shared" si="179"/>
        <v>19613.9664</v>
      </c>
      <c r="Z327" s="1236"/>
      <c r="AA327" s="1004"/>
      <c r="AB327" s="1004" t="s">
        <v>984</v>
      </c>
      <c r="AC327" s="1004" t="s">
        <v>93</v>
      </c>
      <c r="AD327" s="1023" t="s">
        <v>94</v>
      </c>
      <c r="AE327" s="1004"/>
      <c r="AF327" s="1004">
        <v>7992</v>
      </c>
      <c r="AG327" s="1002">
        <f t="shared" si="180"/>
        <v>0</v>
      </c>
      <c r="AH327" s="1055"/>
      <c r="AI327" s="1004" t="s">
        <v>95</v>
      </c>
      <c r="AJ327" s="1004"/>
      <c r="AK327" s="1004">
        <f>I327*2</f>
        <v>15984</v>
      </c>
      <c r="AL327" s="1004"/>
      <c r="AM327" s="1016">
        <f>I327*2</f>
        <v>15984</v>
      </c>
      <c r="AP327" s="1004"/>
      <c r="AQ327" s="1004"/>
      <c r="AS327" s="951">
        <f>I327*2</f>
        <v>15984</v>
      </c>
      <c r="AT327" s="1004"/>
      <c r="AU327" s="1004"/>
      <c r="AV327" s="1004"/>
      <c r="BE327" s="1016"/>
      <c r="BN327" s="974">
        <f>I327</f>
        <v>7992</v>
      </c>
      <c r="BP327" s="974">
        <f>I327</f>
        <v>7992</v>
      </c>
      <c r="BQ327" s="974">
        <f>I327</f>
        <v>7992</v>
      </c>
      <c r="BU327" s="1018">
        <f t="shared" si="178"/>
        <v>15984</v>
      </c>
      <c r="BV327" s="1018">
        <f>BV326+BU327</f>
        <v>2710052</v>
      </c>
      <c r="BW327" s="1018"/>
      <c r="BX327" s="1018"/>
      <c r="BY327" s="1018"/>
      <c r="BZ327" s="1018"/>
      <c r="CA327" s="974">
        <f>SUM(BX$1:CB$1)-BV327</f>
        <v>109948</v>
      </c>
      <c r="CC327" s="974">
        <f>AW327+AX327+BE327+BF327</f>
        <v>0</v>
      </c>
      <c r="CD327" s="1018">
        <f>CD326+CC327</f>
        <v>51536.5714285714</v>
      </c>
      <c r="CE327" s="1018"/>
      <c r="CF327" s="1018"/>
      <c r="CG327" s="1018"/>
      <c r="CH327" s="1018">
        <f>$CF$1+$CG$1+$CH$1+$CI$1-CD327</f>
        <v>8463.4285714286</v>
      </c>
      <c r="CI327" s="1018"/>
    </row>
    <row r="328" s="974" customFormat="1" ht="32" customHeight="1" spans="1:87">
      <c r="A328" s="1228">
        <v>46100</v>
      </c>
      <c r="B328" s="1297" t="s">
        <v>1290</v>
      </c>
      <c r="C328" s="1298" t="s">
        <v>110</v>
      </c>
      <c r="D328" s="1299">
        <v>4500197545</v>
      </c>
      <c r="E328" s="1297">
        <v>55435643</v>
      </c>
      <c r="F328" s="1300" t="s">
        <v>1325</v>
      </c>
      <c r="G328" s="1004" t="s">
        <v>205</v>
      </c>
      <c r="H328" s="1004" t="s">
        <v>189</v>
      </c>
      <c r="I328" s="1004">
        <v>1200</v>
      </c>
      <c r="J328" s="1004">
        <v>0</v>
      </c>
      <c r="K328" s="1004">
        <v>50</v>
      </c>
      <c r="L328" s="1232">
        <f t="shared" si="190"/>
        <v>24</v>
      </c>
      <c r="M328" s="1007">
        <v>46149</v>
      </c>
      <c r="N328" s="1007">
        <v>46146</v>
      </c>
      <c r="O328" s="1024"/>
      <c r="P328" s="1285" t="s">
        <v>86</v>
      </c>
      <c r="Q328" s="1004"/>
      <c r="R328" s="1009">
        <v>46097</v>
      </c>
      <c r="S328" s="1004" t="s">
        <v>98</v>
      </c>
      <c r="T328" s="1009" t="s">
        <v>1292</v>
      </c>
      <c r="U328" s="1009"/>
      <c r="V328" s="1010" t="s">
        <v>1293</v>
      </c>
      <c r="W328" s="1301" t="s">
        <v>1294</v>
      </c>
      <c r="X328" s="1302">
        <v>1.9605</v>
      </c>
      <c r="Y328" s="1236">
        <f>X328*I328</f>
        <v>2352.6</v>
      </c>
      <c r="Z328" s="1236"/>
      <c r="AA328" s="1004"/>
      <c r="AB328" s="1004" t="s">
        <v>210</v>
      </c>
      <c r="AC328" s="1004" t="s">
        <v>93</v>
      </c>
      <c r="AD328" s="1023" t="s">
        <v>94</v>
      </c>
      <c r="AE328" s="1004"/>
      <c r="AF328" s="1002">
        <v>1200</v>
      </c>
      <c r="AG328" s="1002">
        <f t="shared" ref="AG328:AG337" si="191">AF328-I328</f>
        <v>0</v>
      </c>
      <c r="AH328" s="1237"/>
      <c r="AI328" s="1004" t="s">
        <v>95</v>
      </c>
      <c r="AJ328" s="1004"/>
      <c r="AK328" s="1004">
        <f t="shared" ref="AK328:AK337" si="192">I328*2</f>
        <v>2400</v>
      </c>
      <c r="AL328" s="1004"/>
      <c r="AM328" s="1004"/>
      <c r="AP328" s="1004">
        <f>I328</f>
        <v>1200</v>
      </c>
      <c r="AQ328" s="1004"/>
      <c r="AS328" s="1004">
        <f>I328</f>
        <v>1200</v>
      </c>
      <c r="AT328" s="1004"/>
      <c r="AU328" s="1004"/>
      <c r="AV328" s="1004"/>
      <c r="BE328" s="1016"/>
      <c r="BF328" s="974">
        <f>I328/25</f>
        <v>48</v>
      </c>
      <c r="BU328" s="1018">
        <f t="shared" si="178"/>
        <v>2400</v>
      </c>
      <c r="BV328" s="1018">
        <f>BV327+BU328</f>
        <v>2712452</v>
      </c>
      <c r="BW328" s="1018"/>
      <c r="BX328" s="1018"/>
      <c r="BY328" s="1018"/>
      <c r="BZ328" s="1018"/>
      <c r="CA328" s="974">
        <f>SUM(BX$1:CB$1)-BV328</f>
        <v>107548</v>
      </c>
      <c r="CC328" s="974">
        <f>AW328+AX328+BE328+BF328</f>
        <v>48</v>
      </c>
      <c r="CD328" s="1018">
        <f>CD327+CC328</f>
        <v>51584.5714285714</v>
      </c>
      <c r="CE328" s="1018"/>
      <c r="CF328" s="1018"/>
      <c r="CG328" s="1018"/>
      <c r="CH328" s="1018"/>
      <c r="CI328" s="1018"/>
    </row>
    <row r="329" s="974" customFormat="1" ht="32" customHeight="1" spans="1:87">
      <c r="A329" s="1228">
        <v>46100</v>
      </c>
      <c r="B329" s="1297" t="s">
        <v>1326</v>
      </c>
      <c r="C329" s="1298" t="s">
        <v>103</v>
      </c>
      <c r="D329" s="1299">
        <v>4500197551</v>
      </c>
      <c r="E329" s="1297">
        <v>50434679</v>
      </c>
      <c r="F329" s="1300" t="s">
        <v>1327</v>
      </c>
      <c r="G329" s="1004" t="s">
        <v>205</v>
      </c>
      <c r="H329" s="1004" t="s">
        <v>189</v>
      </c>
      <c r="I329" s="1004">
        <v>1400</v>
      </c>
      <c r="J329" s="1004">
        <v>0</v>
      </c>
      <c r="K329" s="1004">
        <v>50</v>
      </c>
      <c r="L329" s="1232">
        <f t="shared" si="190"/>
        <v>28</v>
      </c>
      <c r="M329" s="1007">
        <v>46153</v>
      </c>
      <c r="N329" s="1007">
        <v>46149</v>
      </c>
      <c r="O329" s="1024"/>
      <c r="P329" s="1285" t="s">
        <v>86</v>
      </c>
      <c r="Q329" s="1004"/>
      <c r="R329" s="1009">
        <v>46100</v>
      </c>
      <c r="S329" s="1004" t="s">
        <v>98</v>
      </c>
      <c r="T329" s="1009" t="s">
        <v>1328</v>
      </c>
      <c r="U329" s="1009"/>
      <c r="V329" s="1010" t="s">
        <v>1329</v>
      </c>
      <c r="W329" s="1301" t="s">
        <v>1294</v>
      </c>
      <c r="X329" s="1302">
        <v>1.9605</v>
      </c>
      <c r="Y329" s="1236">
        <f>X329*I329</f>
        <v>2744.7</v>
      </c>
      <c r="Z329" s="1236"/>
      <c r="AA329" s="1004"/>
      <c r="AB329" s="1004" t="s">
        <v>210</v>
      </c>
      <c r="AC329" s="1004" t="s">
        <v>93</v>
      </c>
      <c r="AD329" s="1023" t="s">
        <v>94</v>
      </c>
      <c r="AE329" s="1004"/>
      <c r="AF329" s="1002">
        <v>1400</v>
      </c>
      <c r="AG329" s="1002">
        <f t="shared" si="191"/>
        <v>0</v>
      </c>
      <c r="AH329" s="1237"/>
      <c r="AI329" s="1004" t="s">
        <v>95</v>
      </c>
      <c r="AJ329" s="1004"/>
      <c r="AK329" s="1004">
        <f t="shared" si="192"/>
        <v>2800</v>
      </c>
      <c r="AL329" s="1004"/>
      <c r="AM329" s="1004"/>
      <c r="AP329" s="1004">
        <f>I329</f>
        <v>1400</v>
      </c>
      <c r="AQ329" s="1004"/>
      <c r="AS329" s="1004">
        <f>I329</f>
        <v>1400</v>
      </c>
      <c r="AT329" s="1004"/>
      <c r="AU329" s="1004"/>
      <c r="AV329" s="1004"/>
      <c r="BE329" s="1016"/>
      <c r="BF329" s="974">
        <f>I329/25</f>
        <v>56</v>
      </c>
      <c r="BU329" s="1018">
        <f t="shared" si="178"/>
        <v>2800</v>
      </c>
      <c r="BV329" s="1018">
        <f>BV328+BU329</f>
        <v>2715252</v>
      </c>
      <c r="BW329" s="1018"/>
      <c r="BX329" s="1018"/>
      <c r="BY329" s="1018"/>
      <c r="BZ329" s="1018"/>
      <c r="CA329" s="974">
        <f>SUM(BX$1:CB$1)-BV329</f>
        <v>104748</v>
      </c>
      <c r="CC329" s="974">
        <f>AW329+AX329+BE329+BF329</f>
        <v>56</v>
      </c>
      <c r="CD329" s="1018">
        <f>CD328+CC329</f>
        <v>51640.5714285714</v>
      </c>
      <c r="CE329" s="1018"/>
      <c r="CF329" s="1018"/>
      <c r="CG329" s="1018"/>
      <c r="CH329" s="1018"/>
      <c r="CI329" s="1018"/>
    </row>
    <row r="330" s="974" customFormat="1" ht="32" customHeight="1" spans="1:87">
      <c r="A330" s="1281">
        <v>46119</v>
      </c>
      <c r="B330" s="1282" t="s">
        <v>314</v>
      </c>
      <c r="C330" s="1003" t="s">
        <v>125</v>
      </c>
      <c r="D330" s="1283" t="s">
        <v>1330</v>
      </c>
      <c r="E330" s="1282" t="s">
        <v>1331</v>
      </c>
      <c r="F330" s="1283" t="s">
        <v>1332</v>
      </c>
      <c r="G330" s="1004" t="s">
        <v>196</v>
      </c>
      <c r="H330" s="1004" t="s">
        <v>197</v>
      </c>
      <c r="I330" s="1296">
        <v>2196</v>
      </c>
      <c r="J330" s="1004">
        <v>0</v>
      </c>
      <c r="K330" s="1004">
        <v>12</v>
      </c>
      <c r="L330" s="1232">
        <f t="shared" si="190"/>
        <v>183</v>
      </c>
      <c r="M330" s="1007">
        <v>46160</v>
      </c>
      <c r="N330" s="1007">
        <v>46156</v>
      </c>
      <c r="O330" s="1024"/>
      <c r="P330" s="1285" t="s">
        <v>86</v>
      </c>
      <c r="Q330" s="1004"/>
      <c r="R330" s="1035">
        <v>46119</v>
      </c>
      <c r="S330" s="1035" t="s">
        <v>98</v>
      </c>
      <c r="T330" s="1009" t="s">
        <v>1333</v>
      </c>
      <c r="U330" s="1009"/>
      <c r="V330" s="1288" t="s">
        <v>1334</v>
      </c>
      <c r="W330" s="1007" t="s">
        <v>1335</v>
      </c>
      <c r="X330" s="1010">
        <v>2.4521</v>
      </c>
      <c r="Y330" s="1236">
        <f t="shared" ref="Y330:Y337" si="193">I330*X330</f>
        <v>5384.8116</v>
      </c>
      <c r="Z330" s="1236"/>
      <c r="AA330" s="1004"/>
      <c r="AB330" s="1004" t="s">
        <v>984</v>
      </c>
      <c r="AC330" s="1004" t="s">
        <v>93</v>
      </c>
      <c r="AD330" s="1023" t="s">
        <v>94</v>
      </c>
      <c r="AE330" s="1004"/>
      <c r="AF330" s="1004">
        <v>2196</v>
      </c>
      <c r="AG330" s="1002">
        <f t="shared" si="191"/>
        <v>0</v>
      </c>
      <c r="AH330" s="1055"/>
      <c r="AI330" s="1004" t="s">
        <v>95</v>
      </c>
      <c r="AJ330" s="1004"/>
      <c r="AK330" s="1004">
        <f t="shared" si="192"/>
        <v>4392</v>
      </c>
      <c r="AL330" s="1004"/>
      <c r="AM330" s="1016">
        <f t="shared" ref="AM330:AM337" si="194">I330*2</f>
        <v>4392</v>
      </c>
      <c r="AP330" s="1004"/>
      <c r="AQ330" s="1004"/>
      <c r="AS330" s="1004">
        <f>I330*2</f>
        <v>4392</v>
      </c>
      <c r="AT330" s="1004"/>
      <c r="AU330" s="1004"/>
      <c r="AV330" s="1004"/>
      <c r="BE330" s="1016"/>
      <c r="BN330" s="974">
        <f>I330</f>
        <v>2196</v>
      </c>
      <c r="BP330" s="974">
        <f>I330</f>
        <v>2196</v>
      </c>
      <c r="BQ330" s="974">
        <f>I330</f>
        <v>2196</v>
      </c>
      <c r="BU330" s="1018">
        <f t="shared" si="178"/>
        <v>4392</v>
      </c>
      <c r="BV330" s="1018">
        <f>BV329+BU330</f>
        <v>2719644</v>
      </c>
      <c r="BW330" s="1018"/>
      <c r="BX330" s="1018"/>
      <c r="BY330" s="1018"/>
      <c r="BZ330" s="1018"/>
      <c r="CD330" s="1018"/>
      <c r="CE330" s="1018"/>
      <c r="CF330" s="1018"/>
      <c r="CG330" s="1018"/>
      <c r="CH330" s="1018"/>
      <c r="CI330" s="1018"/>
    </row>
    <row r="331" s="974" customFormat="1" ht="32" customHeight="1" spans="1:87">
      <c r="A331" s="1281">
        <v>46119</v>
      </c>
      <c r="B331" s="1282" t="s">
        <v>314</v>
      </c>
      <c r="C331" s="1003" t="s">
        <v>125</v>
      </c>
      <c r="D331" s="1283" t="s">
        <v>1336</v>
      </c>
      <c r="E331" s="1282" t="s">
        <v>1337</v>
      </c>
      <c r="F331" s="1283" t="s">
        <v>1338</v>
      </c>
      <c r="G331" s="1004" t="s">
        <v>196</v>
      </c>
      <c r="H331" s="1004" t="s">
        <v>197</v>
      </c>
      <c r="I331" s="1296">
        <v>2400</v>
      </c>
      <c r="J331" s="1004">
        <v>0</v>
      </c>
      <c r="K331" s="1004">
        <v>12</v>
      </c>
      <c r="L331" s="1232">
        <f t="shared" si="190"/>
        <v>200</v>
      </c>
      <c r="M331" s="1007">
        <v>46160</v>
      </c>
      <c r="N331" s="1007">
        <v>46156</v>
      </c>
      <c r="O331" s="1024"/>
      <c r="P331" s="1285" t="s">
        <v>86</v>
      </c>
      <c r="Q331" s="1004"/>
      <c r="R331" s="1035">
        <v>46119</v>
      </c>
      <c r="S331" s="1035" t="s">
        <v>98</v>
      </c>
      <c r="T331" s="1009" t="s">
        <v>1333</v>
      </c>
      <c r="U331" s="1009"/>
      <c r="V331" s="1010" t="s">
        <v>1339</v>
      </c>
      <c r="W331" s="1007" t="s">
        <v>1335</v>
      </c>
      <c r="X331" s="1010">
        <v>2.4521</v>
      </c>
      <c r="Y331" s="1236">
        <f t="shared" si="193"/>
        <v>5885.04</v>
      </c>
      <c r="Z331" s="1236"/>
      <c r="AA331" s="1004"/>
      <c r="AB331" s="1004" t="s">
        <v>984</v>
      </c>
      <c r="AC331" s="1004" t="s">
        <v>93</v>
      </c>
      <c r="AD331" s="1023" t="s">
        <v>94</v>
      </c>
      <c r="AE331" s="1004"/>
      <c r="AF331" s="1004">
        <v>2400</v>
      </c>
      <c r="AG331" s="1002">
        <f t="shared" si="191"/>
        <v>0</v>
      </c>
      <c r="AH331" s="1055"/>
      <c r="AI331" s="1004" t="s">
        <v>95</v>
      </c>
      <c r="AJ331" s="1004"/>
      <c r="AK331" s="1004">
        <f t="shared" si="192"/>
        <v>4800</v>
      </c>
      <c r="AL331" s="1004"/>
      <c r="AM331" s="1016">
        <f t="shared" si="194"/>
        <v>4800</v>
      </c>
      <c r="AP331" s="1004"/>
      <c r="AQ331" s="1004"/>
      <c r="AS331" s="1004">
        <f>I331*2</f>
        <v>4800</v>
      </c>
      <c r="AT331" s="1004"/>
      <c r="AU331" s="1004"/>
      <c r="AV331" s="1004"/>
      <c r="BE331" s="1016"/>
      <c r="BN331" s="974">
        <f>I331</f>
        <v>2400</v>
      </c>
      <c r="BP331" s="974">
        <f>I331</f>
        <v>2400</v>
      </c>
      <c r="BQ331" s="974">
        <f>I331</f>
        <v>2400</v>
      </c>
      <c r="BU331" s="1018">
        <f t="shared" si="178"/>
        <v>4800</v>
      </c>
      <c r="BV331" s="1018">
        <f>BV330+BU331</f>
        <v>2724444</v>
      </c>
      <c r="BW331" s="1018"/>
      <c r="BX331" s="1018"/>
      <c r="BY331" s="1018"/>
      <c r="BZ331" s="1018"/>
      <c r="CD331" s="1018"/>
      <c r="CE331" s="1018"/>
      <c r="CF331" s="1018"/>
      <c r="CG331" s="1018"/>
      <c r="CH331" s="1018"/>
      <c r="CI331" s="1018"/>
    </row>
    <row r="332" s="974" customFormat="1" ht="32" customHeight="1" spans="1:87">
      <c r="A332" s="1281">
        <v>45995</v>
      </c>
      <c r="B332" s="1282" t="s">
        <v>194</v>
      </c>
      <c r="C332" s="1003" t="s">
        <v>125</v>
      </c>
      <c r="D332" s="1283">
        <v>4500186375</v>
      </c>
      <c r="E332" s="1282">
        <v>60260879</v>
      </c>
      <c r="F332" s="1283" t="s">
        <v>1340</v>
      </c>
      <c r="G332" s="1004" t="s">
        <v>196</v>
      </c>
      <c r="H332" s="1004" t="s">
        <v>197</v>
      </c>
      <c r="I332" s="1004">
        <v>2004</v>
      </c>
      <c r="J332" s="1004">
        <v>0</v>
      </c>
      <c r="K332" s="1004">
        <v>12</v>
      </c>
      <c r="L332" s="1232">
        <f t="shared" si="190"/>
        <v>167</v>
      </c>
      <c r="M332" s="1007">
        <v>46164</v>
      </c>
      <c r="N332" s="1007">
        <v>46160</v>
      </c>
      <c r="O332" s="1024"/>
      <c r="P332" s="1285" t="s">
        <v>86</v>
      </c>
      <c r="Q332" s="1004"/>
      <c r="R332" s="1035">
        <v>45995</v>
      </c>
      <c r="S332" s="1035" t="s">
        <v>98</v>
      </c>
      <c r="T332" s="1035" t="s">
        <v>1341</v>
      </c>
      <c r="U332" s="1035"/>
      <c r="V332" s="1010" t="s">
        <v>1342</v>
      </c>
      <c r="W332" s="1007" t="s">
        <v>887</v>
      </c>
      <c r="X332" s="1010">
        <v>2.4174</v>
      </c>
      <c r="Y332" s="1236">
        <f t="shared" si="193"/>
        <v>4844.4696</v>
      </c>
      <c r="Z332" s="1236"/>
      <c r="AA332" s="1004"/>
      <c r="AB332" s="1004" t="s">
        <v>984</v>
      </c>
      <c r="AC332" s="1004" t="s">
        <v>93</v>
      </c>
      <c r="AD332" s="1023" t="s">
        <v>94</v>
      </c>
      <c r="AE332" s="1004"/>
      <c r="AF332" s="1004">
        <v>2004</v>
      </c>
      <c r="AG332" s="1002">
        <f t="shared" si="191"/>
        <v>0</v>
      </c>
      <c r="AH332" s="1055"/>
      <c r="AI332" s="1004" t="s">
        <v>95</v>
      </c>
      <c r="AJ332" s="1004"/>
      <c r="AK332" s="1004">
        <f t="shared" si="192"/>
        <v>4008</v>
      </c>
      <c r="AL332" s="1004"/>
      <c r="AM332" s="1016">
        <f t="shared" si="194"/>
        <v>4008</v>
      </c>
      <c r="AP332" s="1004"/>
      <c r="AQ332" s="1004"/>
      <c r="AR332" s="1292"/>
      <c r="AS332" s="1004">
        <f>I332*2</f>
        <v>4008</v>
      </c>
      <c r="AT332" s="1004"/>
      <c r="AU332" s="1004"/>
      <c r="AV332" s="1004"/>
      <c r="BE332" s="1016"/>
      <c r="BN332" s="974">
        <f>I332</f>
        <v>2004</v>
      </c>
      <c r="BP332" s="974">
        <f>I332</f>
        <v>2004</v>
      </c>
      <c r="BQ332" s="974">
        <f>I332</f>
        <v>2004</v>
      </c>
      <c r="BU332" s="1018">
        <f t="shared" si="178"/>
        <v>4008</v>
      </c>
      <c r="BV332" s="1018">
        <f>BV292+BU332</f>
        <v>2681564</v>
      </c>
      <c r="BW332" s="1018"/>
      <c r="BX332" s="1018"/>
      <c r="BY332" s="1018"/>
      <c r="BZ332" s="1018"/>
      <c r="CA332" s="974">
        <f>SUM(BX$1:CB$1)-BV332</f>
        <v>138436</v>
      </c>
      <c r="CC332" s="974">
        <f>AW332+AX332+BE332+BF332</f>
        <v>0</v>
      </c>
      <c r="CD332" s="1018">
        <f>CD292+CC332</f>
        <v>51536.5714285714</v>
      </c>
      <c r="CE332" s="1018"/>
      <c r="CF332" s="1018"/>
      <c r="CG332" s="1018"/>
      <c r="CH332" s="1018">
        <f>$CF$1+$CG$1+$CH$1+$CI$1-CD332</f>
        <v>8463.4285714286</v>
      </c>
      <c r="CI332" s="1018"/>
    </row>
    <row r="333" s="857" customFormat="1" ht="32" customHeight="1" spans="1:87">
      <c r="A333" s="1044">
        <v>46119</v>
      </c>
      <c r="B333" s="1048" t="s">
        <v>314</v>
      </c>
      <c r="C333" s="928" t="s">
        <v>125</v>
      </c>
      <c r="D333" s="1047" t="s">
        <v>1343</v>
      </c>
      <c r="E333" s="1048" t="s">
        <v>1344</v>
      </c>
      <c r="F333" s="1047" t="s">
        <v>1345</v>
      </c>
      <c r="G333" s="926" t="s">
        <v>196</v>
      </c>
      <c r="H333" s="926" t="s">
        <v>197</v>
      </c>
      <c r="I333" s="1294">
        <v>2196</v>
      </c>
      <c r="J333" s="926">
        <v>0</v>
      </c>
      <c r="K333" s="926">
        <v>12</v>
      </c>
      <c r="L333" s="1201">
        <f t="shared" si="190"/>
        <v>183</v>
      </c>
      <c r="M333" s="930">
        <v>46175</v>
      </c>
      <c r="N333" s="930">
        <v>46171</v>
      </c>
      <c r="O333" s="937"/>
      <c r="P333" s="1278" t="s">
        <v>86</v>
      </c>
      <c r="Q333" s="926"/>
      <c r="R333" s="1037">
        <v>46119</v>
      </c>
      <c r="S333" s="1037" t="s">
        <v>98</v>
      </c>
      <c r="T333" s="932" t="s">
        <v>1333</v>
      </c>
      <c r="U333" s="932"/>
      <c r="V333" s="1065" t="s">
        <v>1346</v>
      </c>
      <c r="W333" s="930" t="s">
        <v>1335</v>
      </c>
      <c r="X333" s="933">
        <v>2.4755</v>
      </c>
      <c r="Y333" s="1204">
        <f t="shared" si="193"/>
        <v>5436.198</v>
      </c>
      <c r="Z333" s="1204"/>
      <c r="AA333" s="926"/>
      <c r="AB333" s="926" t="s">
        <v>984</v>
      </c>
      <c r="AC333" s="926" t="s">
        <v>93</v>
      </c>
      <c r="AD333" s="1040" t="s">
        <v>94</v>
      </c>
      <c r="AE333" s="926"/>
      <c r="AF333" s="926">
        <v>2196</v>
      </c>
      <c r="AG333" s="924">
        <f t="shared" si="191"/>
        <v>0</v>
      </c>
      <c r="AH333" s="938"/>
      <c r="AI333" s="926" t="s">
        <v>95</v>
      </c>
      <c r="AJ333" s="926"/>
      <c r="AK333" s="926">
        <f t="shared" si="192"/>
        <v>4392</v>
      </c>
      <c r="AL333" s="926"/>
      <c r="AM333" s="858">
        <f t="shared" si="194"/>
        <v>4392</v>
      </c>
      <c r="AP333" s="926"/>
      <c r="AQ333" s="926"/>
      <c r="AS333" s="926">
        <f>I333*2</f>
        <v>4392</v>
      </c>
      <c r="AT333" s="926"/>
      <c r="AU333" s="926"/>
      <c r="AV333" s="926"/>
      <c r="BE333" s="858"/>
      <c r="BN333" s="857">
        <f>I333</f>
        <v>2196</v>
      </c>
      <c r="BP333" s="857">
        <f>I333</f>
        <v>2196</v>
      </c>
      <c r="BQ333" s="857">
        <f>I333</f>
        <v>2196</v>
      </c>
      <c r="BU333" s="939">
        <f t="shared" si="178"/>
        <v>4392</v>
      </c>
      <c r="BV333" s="939">
        <f>BV331+BU333</f>
        <v>2728836</v>
      </c>
      <c r="BW333" s="939"/>
      <c r="BX333" s="939"/>
      <c r="BY333" s="939"/>
      <c r="BZ333" s="939"/>
      <c r="CD333" s="939"/>
      <c r="CE333" s="939"/>
      <c r="CF333" s="939"/>
      <c r="CG333" s="939"/>
      <c r="CH333" s="939"/>
      <c r="CI333" s="939"/>
    </row>
    <row r="334" s="857" customFormat="1" ht="32" customHeight="1" spans="1:87">
      <c r="A334" s="1044">
        <v>46119</v>
      </c>
      <c r="B334" s="1048" t="s">
        <v>314</v>
      </c>
      <c r="C334" s="928" t="s">
        <v>125</v>
      </c>
      <c r="D334" s="1047" t="s">
        <v>1347</v>
      </c>
      <c r="E334" s="1048" t="s">
        <v>1348</v>
      </c>
      <c r="F334" s="1047" t="s">
        <v>1349</v>
      </c>
      <c r="G334" s="926" t="s">
        <v>196</v>
      </c>
      <c r="H334" s="926" t="s">
        <v>197</v>
      </c>
      <c r="I334" s="1294">
        <v>2400</v>
      </c>
      <c r="J334" s="926">
        <v>0</v>
      </c>
      <c r="K334" s="926">
        <v>12</v>
      </c>
      <c r="L334" s="1201">
        <f t="shared" si="190"/>
        <v>200</v>
      </c>
      <c r="M334" s="930">
        <v>46175</v>
      </c>
      <c r="N334" s="930">
        <v>46171</v>
      </c>
      <c r="O334" s="937"/>
      <c r="P334" s="1278" t="s">
        <v>86</v>
      </c>
      <c r="Q334" s="926"/>
      <c r="R334" s="1037">
        <v>46119</v>
      </c>
      <c r="S334" s="1037" t="s">
        <v>98</v>
      </c>
      <c r="T334" s="932" t="s">
        <v>1333</v>
      </c>
      <c r="U334" s="932"/>
      <c r="V334" s="933" t="s">
        <v>1350</v>
      </c>
      <c r="W334" s="930" t="s">
        <v>1335</v>
      </c>
      <c r="X334" s="933">
        <v>2.4755</v>
      </c>
      <c r="Y334" s="1204">
        <f t="shared" si="193"/>
        <v>5941.2</v>
      </c>
      <c r="Z334" s="1204"/>
      <c r="AA334" s="926"/>
      <c r="AB334" s="926" t="s">
        <v>984</v>
      </c>
      <c r="AC334" s="926" t="s">
        <v>93</v>
      </c>
      <c r="AD334" s="1040" t="s">
        <v>94</v>
      </c>
      <c r="AE334" s="926"/>
      <c r="AF334" s="926">
        <v>2400</v>
      </c>
      <c r="AG334" s="924">
        <f t="shared" si="191"/>
        <v>0</v>
      </c>
      <c r="AH334" s="938"/>
      <c r="AI334" s="926" t="s">
        <v>95</v>
      </c>
      <c r="AJ334" s="926"/>
      <c r="AK334" s="926">
        <f t="shared" si="192"/>
        <v>4800</v>
      </c>
      <c r="AL334" s="926"/>
      <c r="AM334" s="858">
        <f t="shared" si="194"/>
        <v>4800</v>
      </c>
      <c r="AP334" s="926"/>
      <c r="AQ334" s="926"/>
      <c r="AS334" s="926">
        <f>I334*2</f>
        <v>4800</v>
      </c>
      <c r="AT334" s="926"/>
      <c r="AU334" s="926"/>
      <c r="AV334" s="926"/>
      <c r="BE334" s="858"/>
      <c r="BN334" s="857">
        <f>I334</f>
        <v>2400</v>
      </c>
      <c r="BP334" s="857">
        <f>I334</f>
        <v>2400</v>
      </c>
      <c r="BQ334" s="857">
        <f>I334</f>
        <v>2400</v>
      </c>
      <c r="BU334" s="939">
        <f t="shared" si="178"/>
        <v>4800</v>
      </c>
      <c r="BV334" s="939">
        <f>BV333+BU334</f>
        <v>2733636</v>
      </c>
      <c r="BW334" s="939"/>
      <c r="BX334" s="939"/>
      <c r="BY334" s="939"/>
      <c r="BZ334" s="939"/>
      <c r="CD334" s="939"/>
      <c r="CE334" s="939"/>
      <c r="CF334" s="939"/>
      <c r="CG334" s="939"/>
      <c r="CH334" s="939"/>
      <c r="CI334" s="939"/>
    </row>
    <row r="335" s="857" customFormat="1" ht="32" customHeight="1" spans="1:87">
      <c r="A335" s="1044">
        <v>46113</v>
      </c>
      <c r="B335" s="1048" t="s">
        <v>605</v>
      </c>
      <c r="C335" s="928" t="s">
        <v>125</v>
      </c>
      <c r="D335" s="1047" t="s">
        <v>1351</v>
      </c>
      <c r="E335" s="1048" t="s">
        <v>1352</v>
      </c>
      <c r="F335" s="1047" t="s">
        <v>1353</v>
      </c>
      <c r="G335" s="926" t="s">
        <v>205</v>
      </c>
      <c r="H335" s="926" t="s">
        <v>189</v>
      </c>
      <c r="I335" s="926">
        <v>5000</v>
      </c>
      <c r="J335" s="926">
        <v>0</v>
      </c>
      <c r="K335" s="926">
        <v>50</v>
      </c>
      <c r="L335" s="1201">
        <f t="shared" si="190"/>
        <v>100</v>
      </c>
      <c r="M335" s="930">
        <v>46175</v>
      </c>
      <c r="N335" s="930">
        <v>46171</v>
      </c>
      <c r="O335" s="937"/>
      <c r="P335" s="1278" t="s">
        <v>86</v>
      </c>
      <c r="Q335" s="926"/>
      <c r="R335" s="1037" t="s">
        <v>1354</v>
      </c>
      <c r="S335" s="1037" t="s">
        <v>98</v>
      </c>
      <c r="T335" s="1037" t="s">
        <v>98</v>
      </c>
      <c r="U335" s="1037"/>
      <c r="V335" s="933" t="s">
        <v>1355</v>
      </c>
      <c r="W335" s="930" t="s">
        <v>1049</v>
      </c>
      <c r="X335" s="933">
        <v>1.1694</v>
      </c>
      <c r="Y335" s="1204">
        <f t="shared" si="193"/>
        <v>5847</v>
      </c>
      <c r="Z335" s="1204"/>
      <c r="AA335" s="926"/>
      <c r="AB335" s="926" t="s">
        <v>205</v>
      </c>
      <c r="AC335" s="926" t="s">
        <v>93</v>
      </c>
      <c r="AD335" s="1040" t="s">
        <v>94</v>
      </c>
      <c r="AE335" s="926"/>
      <c r="AF335" s="924">
        <v>5000</v>
      </c>
      <c r="AG335" s="924">
        <f t="shared" si="191"/>
        <v>0</v>
      </c>
      <c r="AH335" s="938"/>
      <c r="AI335" s="926" t="s">
        <v>98</v>
      </c>
      <c r="AJ335" s="926"/>
      <c r="AK335" s="926">
        <f t="shared" si="192"/>
        <v>10000</v>
      </c>
      <c r="AL335" s="926"/>
      <c r="AM335" s="858">
        <f t="shared" si="194"/>
        <v>10000</v>
      </c>
      <c r="AP335" s="926"/>
      <c r="AQ335" s="926"/>
      <c r="AS335" s="926">
        <f>I335</f>
        <v>5000</v>
      </c>
      <c r="AT335" s="926"/>
      <c r="AU335" s="926"/>
      <c r="AV335" s="926"/>
      <c r="BE335" s="858">
        <f>I335/25</f>
        <v>200</v>
      </c>
      <c r="BU335" s="939">
        <f t="shared" si="178"/>
        <v>10000</v>
      </c>
      <c r="BV335" s="939">
        <f>BV332+BU335</f>
        <v>2691564</v>
      </c>
      <c r="BW335" s="939"/>
      <c r="BX335" s="939"/>
      <c r="BY335" s="939"/>
      <c r="BZ335" s="939"/>
      <c r="CD335" s="939"/>
      <c r="CE335" s="939"/>
      <c r="CF335" s="939"/>
      <c r="CG335" s="939"/>
      <c r="CH335" s="939"/>
      <c r="CI335" s="939"/>
    </row>
    <row r="336" s="857" customFormat="1" ht="32" customHeight="1" spans="1:87">
      <c r="A336" s="1044">
        <v>46081</v>
      </c>
      <c r="B336" s="1048" t="s">
        <v>314</v>
      </c>
      <c r="C336" s="928" t="s">
        <v>125</v>
      </c>
      <c r="D336" s="1047">
        <v>4500194777</v>
      </c>
      <c r="E336" s="1048">
        <v>305513</v>
      </c>
      <c r="F336" s="1047" t="s">
        <v>1356</v>
      </c>
      <c r="G336" s="926" t="s">
        <v>196</v>
      </c>
      <c r="H336" s="926" t="s">
        <v>197</v>
      </c>
      <c r="I336" s="1294">
        <v>9000</v>
      </c>
      <c r="J336" s="926">
        <v>0</v>
      </c>
      <c r="K336" s="926">
        <v>12</v>
      </c>
      <c r="L336" s="1201">
        <f t="shared" si="190"/>
        <v>750</v>
      </c>
      <c r="M336" s="930">
        <v>46178</v>
      </c>
      <c r="N336" s="930">
        <v>46174</v>
      </c>
      <c r="O336" s="937"/>
      <c r="P336" s="1278" t="s">
        <v>86</v>
      </c>
      <c r="Q336" s="926"/>
      <c r="R336" s="1037">
        <v>46094</v>
      </c>
      <c r="S336" s="1037" t="s">
        <v>98</v>
      </c>
      <c r="T336" s="932" t="s">
        <v>1357</v>
      </c>
      <c r="U336" s="932"/>
      <c r="V336" s="933" t="s">
        <v>1358</v>
      </c>
      <c r="W336" s="930" t="s">
        <v>319</v>
      </c>
      <c r="X336" s="933">
        <v>2.4542</v>
      </c>
      <c r="Y336" s="1204">
        <f t="shared" si="193"/>
        <v>22087.8</v>
      </c>
      <c r="Z336" s="1204"/>
      <c r="AA336" s="926"/>
      <c r="AB336" s="926" t="s">
        <v>984</v>
      </c>
      <c r="AC336" s="926" t="s">
        <v>93</v>
      </c>
      <c r="AD336" s="1040" t="s">
        <v>94</v>
      </c>
      <c r="AE336" s="1303"/>
      <c r="AF336" s="1085">
        <v>9000</v>
      </c>
      <c r="AG336" s="1304">
        <f t="shared" si="191"/>
        <v>0</v>
      </c>
      <c r="AH336" s="938"/>
      <c r="AI336" s="926" t="s">
        <v>95</v>
      </c>
      <c r="AJ336" s="926"/>
      <c r="AK336" s="926">
        <f t="shared" si="192"/>
        <v>18000</v>
      </c>
      <c r="AL336" s="926"/>
      <c r="AM336" s="858">
        <f t="shared" si="194"/>
        <v>18000</v>
      </c>
      <c r="AP336" s="926"/>
      <c r="AQ336" s="926"/>
      <c r="AS336" s="926">
        <f>I336*2</f>
        <v>18000</v>
      </c>
      <c r="AT336" s="926"/>
      <c r="AU336" s="926"/>
      <c r="AV336" s="926"/>
      <c r="BE336" s="858"/>
      <c r="BN336" s="857">
        <f>I336</f>
        <v>9000</v>
      </c>
      <c r="BP336" s="857">
        <f>I336</f>
        <v>9000</v>
      </c>
      <c r="BQ336" s="857">
        <f>I336</f>
        <v>9000</v>
      </c>
      <c r="BU336" s="939">
        <f t="shared" si="178"/>
        <v>18000</v>
      </c>
      <c r="BV336" s="939">
        <f>BV332+BU336</f>
        <v>2699564</v>
      </c>
      <c r="BW336" s="939"/>
      <c r="BX336" s="939"/>
      <c r="BY336" s="939"/>
      <c r="BZ336" s="939"/>
      <c r="CA336" s="857">
        <f>SUM(BX$1:CB$1)-BV336</f>
        <v>120436</v>
      </c>
      <c r="CC336" s="857">
        <f>AW336+AX336+BE336+BF336</f>
        <v>0</v>
      </c>
      <c r="CD336" s="939">
        <f>CD332+CC336</f>
        <v>51536.5714285714</v>
      </c>
      <c r="CE336" s="939"/>
      <c r="CF336" s="939"/>
      <c r="CG336" s="939"/>
      <c r="CH336" s="939">
        <f>$CF$1+$CG$1+$CH$1+$CI$1-CD336</f>
        <v>8463.4285714286</v>
      </c>
      <c r="CI336" s="939"/>
    </row>
    <row r="337" s="857" customFormat="1" ht="32" customHeight="1" spans="1:87">
      <c r="A337" s="1044">
        <v>46081</v>
      </c>
      <c r="B337" s="1048" t="s">
        <v>314</v>
      </c>
      <c r="C337" s="928" t="s">
        <v>125</v>
      </c>
      <c r="D337" s="1047">
        <v>4500194775</v>
      </c>
      <c r="E337" s="1048">
        <v>305505</v>
      </c>
      <c r="F337" s="1047" t="s">
        <v>1359</v>
      </c>
      <c r="G337" s="926" t="s">
        <v>196</v>
      </c>
      <c r="H337" s="926" t="s">
        <v>197</v>
      </c>
      <c r="I337" s="1294">
        <v>9000</v>
      </c>
      <c r="J337" s="926">
        <v>0</v>
      </c>
      <c r="K337" s="926">
        <v>12</v>
      </c>
      <c r="L337" s="1201">
        <f t="shared" si="190"/>
        <v>750</v>
      </c>
      <c r="M337" s="930">
        <v>46178</v>
      </c>
      <c r="N337" s="930">
        <v>46174</v>
      </c>
      <c r="O337" s="937"/>
      <c r="P337" s="1278" t="s">
        <v>86</v>
      </c>
      <c r="Q337" s="926"/>
      <c r="R337" s="1037">
        <v>46094</v>
      </c>
      <c r="S337" s="1037" t="s">
        <v>98</v>
      </c>
      <c r="T337" s="932" t="s">
        <v>1357</v>
      </c>
      <c r="U337" s="932"/>
      <c r="V337" s="933" t="s">
        <v>1360</v>
      </c>
      <c r="W337" s="930" t="s">
        <v>319</v>
      </c>
      <c r="X337" s="933">
        <v>2.4542</v>
      </c>
      <c r="Y337" s="1204">
        <f t="shared" si="193"/>
        <v>22087.8</v>
      </c>
      <c r="Z337" s="1204"/>
      <c r="AA337" s="926"/>
      <c r="AB337" s="926" t="s">
        <v>984</v>
      </c>
      <c r="AC337" s="926" t="s">
        <v>93</v>
      </c>
      <c r="AD337" s="1040" t="s">
        <v>94</v>
      </c>
      <c r="AE337" s="1303"/>
      <c r="AF337" s="1085"/>
      <c r="AG337" s="1304">
        <f t="shared" si="191"/>
        <v>-9000</v>
      </c>
      <c r="AH337" s="938"/>
      <c r="AI337" s="926" t="s">
        <v>95</v>
      </c>
      <c r="AJ337" s="926"/>
      <c r="AK337" s="926">
        <f t="shared" si="192"/>
        <v>18000</v>
      </c>
      <c r="AL337" s="926"/>
      <c r="AM337" s="858">
        <f t="shared" si="194"/>
        <v>18000</v>
      </c>
      <c r="AP337" s="926"/>
      <c r="AQ337" s="926"/>
      <c r="AS337" s="926">
        <f>I337*2</f>
        <v>18000</v>
      </c>
      <c r="AT337" s="926"/>
      <c r="AU337" s="926"/>
      <c r="AV337" s="926"/>
      <c r="BE337" s="858"/>
      <c r="BN337" s="857">
        <f>I337</f>
        <v>9000</v>
      </c>
      <c r="BP337" s="857">
        <f>I337</f>
        <v>9000</v>
      </c>
      <c r="BQ337" s="857">
        <f>I337</f>
        <v>9000</v>
      </c>
      <c r="BU337" s="939">
        <f t="shared" si="178"/>
        <v>18000</v>
      </c>
      <c r="BV337" s="939">
        <f>BV336+BU337</f>
        <v>2717564</v>
      </c>
      <c r="BW337" s="939"/>
      <c r="BX337" s="939"/>
      <c r="BY337" s="939"/>
      <c r="BZ337" s="939"/>
      <c r="CA337" s="857">
        <f>SUM(BX$1:CB$1)-BV337</f>
        <v>102436</v>
      </c>
      <c r="CC337" s="857">
        <f>AW337+AX337+BE337+BF337</f>
        <v>0</v>
      </c>
      <c r="CD337" s="939">
        <f>CD336+CC337</f>
        <v>51536.5714285714</v>
      </c>
      <c r="CE337" s="939"/>
      <c r="CF337" s="939"/>
      <c r="CG337" s="939"/>
      <c r="CH337" s="939">
        <f>$CF$1+$CG$1+$CH$1+$CI$1-CD337</f>
        <v>8463.4285714286</v>
      </c>
      <c r="CI337" s="939"/>
    </row>
    <row r="338" s="974" customFormat="1" ht="32" customHeight="1" spans="1:87">
      <c r="A338" s="1281">
        <v>46140</v>
      </c>
      <c r="B338" s="1282" t="s">
        <v>1090</v>
      </c>
      <c r="C338" s="1003" t="s">
        <v>125</v>
      </c>
      <c r="D338" s="1283" t="s">
        <v>1361</v>
      </c>
      <c r="E338" s="1282" t="s">
        <v>1362</v>
      </c>
      <c r="F338" s="1283" t="s">
        <v>1363</v>
      </c>
      <c r="G338" s="1004" t="s">
        <v>353</v>
      </c>
      <c r="H338" s="1004" t="s">
        <v>189</v>
      </c>
      <c r="I338" s="1296">
        <v>312</v>
      </c>
      <c r="J338" s="1004">
        <v>0</v>
      </c>
      <c r="K338" s="1004">
        <v>6</v>
      </c>
      <c r="L338" s="1232">
        <f t="shared" ref="L338:L357" si="195">I338/K338</f>
        <v>52</v>
      </c>
      <c r="M338" s="1007">
        <v>46182</v>
      </c>
      <c r="N338" s="1007">
        <v>46178</v>
      </c>
      <c r="O338" s="1024"/>
      <c r="P338" s="1285" t="s">
        <v>86</v>
      </c>
      <c r="Q338" s="1004"/>
      <c r="R338" s="1035">
        <v>46140</v>
      </c>
      <c r="S338" s="1035" t="s">
        <v>98</v>
      </c>
      <c r="T338" s="1009" t="s">
        <v>1364</v>
      </c>
      <c r="U338" s="1009"/>
      <c r="V338" s="1010" t="s">
        <v>1365</v>
      </c>
      <c r="W338" s="1007" t="s">
        <v>217</v>
      </c>
      <c r="X338" s="1010">
        <v>1.1666</v>
      </c>
      <c r="Y338" s="1236">
        <f t="shared" ref="Y338:Y357" si="196">I338*X338</f>
        <v>363.9792</v>
      </c>
      <c r="Z338" s="1236"/>
      <c r="AA338" s="1004"/>
      <c r="AB338" s="1004" t="s">
        <v>1277</v>
      </c>
      <c r="AC338" s="1004" t="s">
        <v>93</v>
      </c>
      <c r="AD338" s="1040" t="s">
        <v>94</v>
      </c>
      <c r="AE338" s="1004"/>
      <c r="AF338" s="1023">
        <v>312</v>
      </c>
      <c r="AG338" s="1002">
        <f t="shared" ref="AG338:AG357" si="197">AF338-I338</f>
        <v>0</v>
      </c>
      <c r="AH338" s="1055"/>
      <c r="AI338" s="1004"/>
      <c r="AJ338" s="1004"/>
      <c r="AK338" s="1004">
        <f t="shared" ref="AK338:AK344" si="198">I338</f>
        <v>312</v>
      </c>
      <c r="AL338" s="1004"/>
      <c r="AM338" s="1004">
        <f t="shared" ref="AM338:AM345" si="199">I338</f>
        <v>312</v>
      </c>
      <c r="AP338" s="1004"/>
      <c r="AQ338" s="1004"/>
      <c r="AS338" s="1004">
        <f t="shared" ref="AS338:AS345" si="200">I338</f>
        <v>312</v>
      </c>
      <c r="AT338" s="1004"/>
      <c r="AU338" s="1004"/>
      <c r="AV338" s="1004"/>
      <c r="BB338" s="974">
        <f t="shared" ref="BB338:BB344" si="201">I338/6</f>
        <v>52</v>
      </c>
      <c r="BE338" s="1016"/>
      <c r="BU338" s="1018">
        <f t="shared" ref="BU338:BU357" si="202">AK338+AL338</f>
        <v>312</v>
      </c>
      <c r="BV338" s="1018">
        <f t="shared" ref="BV338:BV344" si="203">BV337+BU338</f>
        <v>2717876</v>
      </c>
      <c r="BW338" s="1018"/>
      <c r="BX338" s="1018"/>
      <c r="BY338" s="1018"/>
      <c r="BZ338" s="1018"/>
      <c r="CA338" s="974">
        <f t="shared" ref="CA338:CA344" si="204">SUM(BX$1:CB$1)-BV338</f>
        <v>102124</v>
      </c>
      <c r="CC338" s="974">
        <f t="shared" ref="CC338:CC354" si="205">AW338+AX338+BE338+BF338</f>
        <v>0</v>
      </c>
      <c r="CD338" s="1018">
        <f t="shared" ref="CD338:CD344" si="206">CD337+CC338</f>
        <v>51536.5714285714</v>
      </c>
      <c r="CE338" s="1018"/>
      <c r="CF338" s="1018"/>
      <c r="CG338" s="1018"/>
      <c r="CH338" s="1018">
        <f t="shared" ref="CH338:CH346" si="207">$CF$1+$CG$1+$CH$1+$CI$1-CD338</f>
        <v>8463.4285714286</v>
      </c>
      <c r="CI338" s="1018"/>
    </row>
    <row r="339" s="974" customFormat="1" ht="32" customHeight="1" spans="1:87">
      <c r="A339" s="1281">
        <v>46140</v>
      </c>
      <c r="B339" s="1282" t="s">
        <v>1090</v>
      </c>
      <c r="C339" s="1003" t="s">
        <v>125</v>
      </c>
      <c r="D339" s="1283" t="s">
        <v>1361</v>
      </c>
      <c r="E339" s="1282" t="s">
        <v>1366</v>
      </c>
      <c r="F339" s="1283" t="s">
        <v>1367</v>
      </c>
      <c r="G339" s="1004" t="s">
        <v>353</v>
      </c>
      <c r="H339" s="1004" t="s">
        <v>189</v>
      </c>
      <c r="I339" s="1296">
        <v>138</v>
      </c>
      <c r="J339" s="1004">
        <v>0</v>
      </c>
      <c r="K339" s="1004">
        <v>6</v>
      </c>
      <c r="L339" s="1232">
        <f t="shared" si="195"/>
        <v>23</v>
      </c>
      <c r="M339" s="1007">
        <v>46182</v>
      </c>
      <c r="N339" s="1007">
        <v>46178</v>
      </c>
      <c r="O339" s="1024"/>
      <c r="P339" s="1285" t="s">
        <v>86</v>
      </c>
      <c r="Q339" s="1004"/>
      <c r="R339" s="1035">
        <v>46140</v>
      </c>
      <c r="S339" s="1035" t="s">
        <v>98</v>
      </c>
      <c r="T339" s="1009" t="s">
        <v>1364</v>
      </c>
      <c r="U339" s="1009"/>
      <c r="V339" s="1010" t="s">
        <v>1365</v>
      </c>
      <c r="W339" s="1007" t="s">
        <v>217</v>
      </c>
      <c r="X339" s="1010">
        <v>1.1667</v>
      </c>
      <c r="Y339" s="1236">
        <f t="shared" si="196"/>
        <v>161.0046</v>
      </c>
      <c r="Z339" s="1236"/>
      <c r="AA339" s="1004"/>
      <c r="AB339" s="1004" t="s">
        <v>1277</v>
      </c>
      <c r="AC339" s="974" t="s">
        <v>93</v>
      </c>
      <c r="AD339" s="1040" t="s">
        <v>94</v>
      </c>
      <c r="AE339" s="1004"/>
      <c r="AF339" s="1004">
        <v>138</v>
      </c>
      <c r="AG339" s="1002">
        <f t="shared" si="197"/>
        <v>0</v>
      </c>
      <c r="AH339" s="1055"/>
      <c r="AI339" s="1004"/>
      <c r="AJ339" s="1004"/>
      <c r="AK339" s="1004">
        <f t="shared" si="198"/>
        <v>138</v>
      </c>
      <c r="AL339" s="1004"/>
      <c r="AM339" s="1004">
        <f t="shared" si="199"/>
        <v>138</v>
      </c>
      <c r="AP339" s="1004"/>
      <c r="AQ339" s="1004"/>
      <c r="AS339" s="1004">
        <f t="shared" si="200"/>
        <v>138</v>
      </c>
      <c r="AT339" s="1004"/>
      <c r="AU339" s="1004"/>
      <c r="AV339" s="1004"/>
      <c r="BB339" s="974">
        <f t="shared" si="201"/>
        <v>23</v>
      </c>
      <c r="BE339" s="1016"/>
      <c r="BU339" s="1018">
        <f t="shared" si="202"/>
        <v>138</v>
      </c>
      <c r="BV339" s="1018">
        <f t="shared" si="203"/>
        <v>2718014</v>
      </c>
      <c r="BW339" s="1018"/>
      <c r="BX339" s="1018"/>
      <c r="BY339" s="1018"/>
      <c r="BZ339" s="1018"/>
      <c r="CA339" s="974">
        <f t="shared" si="204"/>
        <v>101986</v>
      </c>
      <c r="CC339" s="974">
        <f t="shared" si="205"/>
        <v>0</v>
      </c>
      <c r="CD339" s="1018">
        <f t="shared" si="206"/>
        <v>51536.5714285714</v>
      </c>
      <c r="CE339" s="1018"/>
      <c r="CF339" s="1018"/>
      <c r="CG339" s="1018"/>
      <c r="CH339" s="1018">
        <f t="shared" si="207"/>
        <v>8463.4285714286</v>
      </c>
      <c r="CI339" s="1018"/>
    </row>
    <row r="340" s="974" customFormat="1" ht="32" customHeight="1" spans="1:87">
      <c r="A340" s="1281">
        <v>46140</v>
      </c>
      <c r="B340" s="1282" t="s">
        <v>1090</v>
      </c>
      <c r="C340" s="1003" t="s">
        <v>125</v>
      </c>
      <c r="D340" s="1283" t="s">
        <v>1361</v>
      </c>
      <c r="E340" s="1282" t="s">
        <v>1368</v>
      </c>
      <c r="F340" s="1283" t="s">
        <v>1369</v>
      </c>
      <c r="G340" s="1004" t="s">
        <v>353</v>
      </c>
      <c r="H340" s="1004" t="s">
        <v>189</v>
      </c>
      <c r="I340" s="1296">
        <v>450</v>
      </c>
      <c r="J340" s="1004">
        <v>0</v>
      </c>
      <c r="K340" s="1004">
        <v>6</v>
      </c>
      <c r="L340" s="1232">
        <f t="shared" si="195"/>
        <v>75</v>
      </c>
      <c r="M340" s="1007">
        <v>46182</v>
      </c>
      <c r="N340" s="1007">
        <v>46178</v>
      </c>
      <c r="O340" s="1024"/>
      <c r="P340" s="1285" t="s">
        <v>86</v>
      </c>
      <c r="Q340" s="1004"/>
      <c r="R340" s="1035">
        <v>46140</v>
      </c>
      <c r="S340" s="1035" t="s">
        <v>98</v>
      </c>
      <c r="T340" s="1009" t="s">
        <v>1364</v>
      </c>
      <c r="U340" s="1009"/>
      <c r="V340" s="1010" t="s">
        <v>1365</v>
      </c>
      <c r="W340" s="1007" t="s">
        <v>217</v>
      </c>
      <c r="X340" s="1010">
        <v>1.1666</v>
      </c>
      <c r="Y340" s="1236">
        <f t="shared" si="196"/>
        <v>524.97</v>
      </c>
      <c r="Z340" s="1236"/>
      <c r="AA340" s="1004"/>
      <c r="AB340" s="1004" t="s">
        <v>1277</v>
      </c>
      <c r="AC340" s="1004" t="s">
        <v>93</v>
      </c>
      <c r="AD340" s="1040" t="s">
        <v>94</v>
      </c>
      <c r="AE340" s="1004"/>
      <c r="AF340" s="1004">
        <v>450</v>
      </c>
      <c r="AG340" s="1002">
        <f t="shared" si="197"/>
        <v>0</v>
      </c>
      <c r="AH340" s="1055"/>
      <c r="AI340" s="1004"/>
      <c r="AJ340" s="1004"/>
      <c r="AK340" s="1004">
        <f t="shared" si="198"/>
        <v>450</v>
      </c>
      <c r="AL340" s="1004"/>
      <c r="AM340" s="1004">
        <f t="shared" si="199"/>
        <v>450</v>
      </c>
      <c r="AP340" s="1004"/>
      <c r="AQ340" s="1004"/>
      <c r="AS340" s="1004">
        <f t="shared" si="200"/>
        <v>450</v>
      </c>
      <c r="AT340" s="1004"/>
      <c r="AU340" s="1004"/>
      <c r="AV340" s="1004"/>
      <c r="BB340" s="974">
        <f t="shared" si="201"/>
        <v>75</v>
      </c>
      <c r="BE340" s="1016"/>
      <c r="BU340" s="1018">
        <f t="shared" si="202"/>
        <v>450</v>
      </c>
      <c r="BV340" s="1018">
        <f t="shared" si="203"/>
        <v>2718464</v>
      </c>
      <c r="BW340" s="1018"/>
      <c r="BX340" s="1018"/>
      <c r="BY340" s="1018"/>
      <c r="BZ340" s="1018"/>
      <c r="CA340" s="974">
        <f t="shared" si="204"/>
        <v>101536</v>
      </c>
      <c r="CC340" s="974">
        <f t="shared" si="205"/>
        <v>0</v>
      </c>
      <c r="CD340" s="1018">
        <f t="shared" si="206"/>
        <v>51536.5714285714</v>
      </c>
      <c r="CE340" s="1018"/>
      <c r="CF340" s="1018"/>
      <c r="CG340" s="1018"/>
      <c r="CH340" s="1018">
        <f t="shared" si="207"/>
        <v>8463.4285714286</v>
      </c>
      <c r="CI340" s="1018"/>
    </row>
    <row r="341" s="974" customFormat="1" ht="32" customHeight="1" spans="1:87">
      <c r="A341" s="1281">
        <v>46140</v>
      </c>
      <c r="B341" s="1282" t="s">
        <v>1090</v>
      </c>
      <c r="C341" s="1003" t="s">
        <v>125</v>
      </c>
      <c r="D341" s="1283" t="s">
        <v>1361</v>
      </c>
      <c r="E341" s="1282" t="s">
        <v>1370</v>
      </c>
      <c r="F341" s="1283" t="s">
        <v>1371</v>
      </c>
      <c r="G341" s="1004" t="s">
        <v>353</v>
      </c>
      <c r="H341" s="1004" t="s">
        <v>189</v>
      </c>
      <c r="I341" s="1296">
        <v>384</v>
      </c>
      <c r="J341" s="1004">
        <v>0</v>
      </c>
      <c r="K341" s="1004">
        <v>6</v>
      </c>
      <c r="L341" s="1232">
        <f t="shared" si="195"/>
        <v>64</v>
      </c>
      <c r="M341" s="1007">
        <v>46182</v>
      </c>
      <c r="N341" s="1007">
        <v>46178</v>
      </c>
      <c r="O341" s="1024"/>
      <c r="P341" s="1285" t="s">
        <v>86</v>
      </c>
      <c r="Q341" s="1004"/>
      <c r="R341" s="1035">
        <v>46140</v>
      </c>
      <c r="S341" s="1035" t="s">
        <v>98</v>
      </c>
      <c r="T341" s="1009" t="s">
        <v>1364</v>
      </c>
      <c r="U341" s="1009"/>
      <c r="V341" s="1010" t="s">
        <v>1365</v>
      </c>
      <c r="W341" s="1007" t="s">
        <v>217</v>
      </c>
      <c r="X341" s="1010">
        <v>1.1666</v>
      </c>
      <c r="Y341" s="1236">
        <f t="shared" si="196"/>
        <v>447.9744</v>
      </c>
      <c r="Z341" s="1236"/>
      <c r="AA341" s="1004"/>
      <c r="AB341" s="1004" t="s">
        <v>1277</v>
      </c>
      <c r="AC341" s="974" t="s">
        <v>93</v>
      </c>
      <c r="AD341" s="1040" t="s">
        <v>94</v>
      </c>
      <c r="AE341" s="1004"/>
      <c r="AF341" s="1004">
        <v>384</v>
      </c>
      <c r="AG341" s="1002">
        <f t="shared" si="197"/>
        <v>0</v>
      </c>
      <c r="AH341" s="1055"/>
      <c r="AI341" s="1004"/>
      <c r="AJ341" s="1004"/>
      <c r="AK341" s="1004">
        <f t="shared" si="198"/>
        <v>384</v>
      </c>
      <c r="AL341" s="1004"/>
      <c r="AM341" s="1004">
        <f t="shared" si="199"/>
        <v>384</v>
      </c>
      <c r="AP341" s="1004"/>
      <c r="AQ341" s="1004"/>
      <c r="AS341" s="1004">
        <f t="shared" si="200"/>
        <v>384</v>
      </c>
      <c r="AT341" s="1004"/>
      <c r="AU341" s="1004"/>
      <c r="AV341" s="1004"/>
      <c r="BB341" s="974">
        <f t="shared" si="201"/>
        <v>64</v>
      </c>
      <c r="BE341" s="1016"/>
      <c r="BU341" s="1018">
        <f t="shared" si="202"/>
        <v>384</v>
      </c>
      <c r="BV341" s="1018">
        <f t="shared" si="203"/>
        <v>2718848</v>
      </c>
      <c r="BW341" s="1018"/>
      <c r="BX341" s="1018"/>
      <c r="BY341" s="1018"/>
      <c r="BZ341" s="1018"/>
      <c r="CA341" s="974">
        <f t="shared" si="204"/>
        <v>101152</v>
      </c>
      <c r="CC341" s="974">
        <f t="shared" si="205"/>
        <v>0</v>
      </c>
      <c r="CD341" s="1018">
        <f t="shared" si="206"/>
        <v>51536.5714285714</v>
      </c>
      <c r="CE341" s="1018"/>
      <c r="CF341" s="1018"/>
      <c r="CG341" s="1018"/>
      <c r="CH341" s="1018">
        <f t="shared" si="207"/>
        <v>8463.4285714286</v>
      </c>
      <c r="CI341" s="1018"/>
    </row>
    <row r="342" s="974" customFormat="1" ht="32" customHeight="1" spans="1:87">
      <c r="A342" s="1281">
        <v>46140</v>
      </c>
      <c r="B342" s="1282" t="s">
        <v>1090</v>
      </c>
      <c r="C342" s="1003" t="s">
        <v>125</v>
      </c>
      <c r="D342" s="1283" t="s">
        <v>1361</v>
      </c>
      <c r="E342" s="1282" t="s">
        <v>1372</v>
      </c>
      <c r="F342" s="1283" t="s">
        <v>1373</v>
      </c>
      <c r="G342" s="1004" t="s">
        <v>353</v>
      </c>
      <c r="H342" s="1004" t="s">
        <v>189</v>
      </c>
      <c r="I342" s="1296">
        <v>588</v>
      </c>
      <c r="J342" s="1004">
        <v>0</v>
      </c>
      <c r="K342" s="1004">
        <v>6</v>
      </c>
      <c r="L342" s="1232">
        <f t="shared" si="195"/>
        <v>98</v>
      </c>
      <c r="M342" s="1007">
        <v>46182</v>
      </c>
      <c r="N342" s="1007">
        <v>46178</v>
      </c>
      <c r="O342" s="1024"/>
      <c r="P342" s="1285" t="s">
        <v>86</v>
      </c>
      <c r="Q342" s="1004"/>
      <c r="R342" s="1035">
        <v>46140</v>
      </c>
      <c r="S342" s="1035" t="s">
        <v>98</v>
      </c>
      <c r="T342" s="1009" t="s">
        <v>1364</v>
      </c>
      <c r="U342" s="1009"/>
      <c r="V342" s="1010" t="s">
        <v>1365</v>
      </c>
      <c r="W342" s="1007" t="s">
        <v>217</v>
      </c>
      <c r="X342" s="1010">
        <v>1.1666</v>
      </c>
      <c r="Y342" s="1236">
        <f t="shared" si="196"/>
        <v>685.9608</v>
      </c>
      <c r="Z342" s="1236"/>
      <c r="AA342" s="1004"/>
      <c r="AB342" s="1004" t="s">
        <v>1277</v>
      </c>
      <c r="AC342" s="974" t="s">
        <v>93</v>
      </c>
      <c r="AD342" s="1040" t="s">
        <v>94</v>
      </c>
      <c r="AE342" s="1004"/>
      <c r="AF342" s="1004">
        <v>588</v>
      </c>
      <c r="AG342" s="1002">
        <f t="shared" si="197"/>
        <v>0</v>
      </c>
      <c r="AH342" s="1055"/>
      <c r="AI342" s="1004"/>
      <c r="AJ342" s="1004"/>
      <c r="AK342" s="1004">
        <f t="shared" si="198"/>
        <v>588</v>
      </c>
      <c r="AL342" s="1004"/>
      <c r="AM342" s="1004">
        <f t="shared" si="199"/>
        <v>588</v>
      </c>
      <c r="AP342" s="1004"/>
      <c r="AQ342" s="1004"/>
      <c r="AS342" s="1004">
        <f t="shared" si="200"/>
        <v>588</v>
      </c>
      <c r="AT342" s="1004"/>
      <c r="AU342" s="1004"/>
      <c r="AV342" s="1004"/>
      <c r="BB342" s="974">
        <f t="shared" si="201"/>
        <v>98</v>
      </c>
      <c r="BE342" s="1016"/>
      <c r="BU342" s="1018">
        <f t="shared" si="202"/>
        <v>588</v>
      </c>
      <c r="BV342" s="1018">
        <f t="shared" si="203"/>
        <v>2719436</v>
      </c>
      <c r="BW342" s="1018"/>
      <c r="BX342" s="1018"/>
      <c r="BY342" s="1018"/>
      <c r="BZ342" s="1018"/>
      <c r="CA342" s="974">
        <f t="shared" si="204"/>
        <v>100564</v>
      </c>
      <c r="CC342" s="974">
        <f t="shared" si="205"/>
        <v>0</v>
      </c>
      <c r="CD342" s="1018">
        <f t="shared" si="206"/>
        <v>51536.5714285714</v>
      </c>
      <c r="CE342" s="1018"/>
      <c r="CF342" s="1018"/>
      <c r="CG342" s="1018"/>
      <c r="CH342" s="1018">
        <f t="shared" si="207"/>
        <v>8463.4285714286</v>
      </c>
      <c r="CI342" s="1018"/>
    </row>
    <row r="343" s="974" customFormat="1" ht="32" customHeight="1" spans="1:87">
      <c r="A343" s="1281">
        <v>46140</v>
      </c>
      <c r="B343" s="1282" t="s">
        <v>1090</v>
      </c>
      <c r="C343" s="1003" t="s">
        <v>125</v>
      </c>
      <c r="D343" s="1283" t="s">
        <v>1361</v>
      </c>
      <c r="E343" s="1282" t="s">
        <v>1374</v>
      </c>
      <c r="F343" s="1283" t="s">
        <v>1375</v>
      </c>
      <c r="G343" s="1004" t="s">
        <v>353</v>
      </c>
      <c r="H343" s="1004" t="s">
        <v>189</v>
      </c>
      <c r="I343" s="1296">
        <v>66</v>
      </c>
      <c r="J343" s="1004">
        <v>0</v>
      </c>
      <c r="K343" s="1004">
        <v>6</v>
      </c>
      <c r="L343" s="1232">
        <f t="shared" si="195"/>
        <v>11</v>
      </c>
      <c r="M343" s="1007">
        <v>46182</v>
      </c>
      <c r="N343" s="1007">
        <v>46178</v>
      </c>
      <c r="O343" s="1024"/>
      <c r="P343" s="1285" t="s">
        <v>86</v>
      </c>
      <c r="Q343" s="1004"/>
      <c r="R343" s="1035">
        <v>46140</v>
      </c>
      <c r="S343" s="1035" t="s">
        <v>98</v>
      </c>
      <c r="T343" s="1009" t="s">
        <v>1364</v>
      </c>
      <c r="U343" s="1009"/>
      <c r="V343" s="1010" t="s">
        <v>1365</v>
      </c>
      <c r="W343" s="1007" t="s">
        <v>217</v>
      </c>
      <c r="X343" s="1010">
        <v>1.1667</v>
      </c>
      <c r="Y343" s="1236">
        <f t="shared" si="196"/>
        <v>77.0022</v>
      </c>
      <c r="Z343" s="1236"/>
      <c r="AA343" s="1004"/>
      <c r="AB343" s="1004" t="s">
        <v>1277</v>
      </c>
      <c r="AC343" s="974" t="s">
        <v>93</v>
      </c>
      <c r="AD343" s="1040" t="s">
        <v>94</v>
      </c>
      <c r="AE343" s="1004"/>
      <c r="AF343" s="1004">
        <v>66</v>
      </c>
      <c r="AG343" s="1002">
        <f t="shared" si="197"/>
        <v>0</v>
      </c>
      <c r="AH343" s="1055"/>
      <c r="AI343" s="1004"/>
      <c r="AJ343" s="1004"/>
      <c r="AK343" s="1004">
        <f t="shared" si="198"/>
        <v>66</v>
      </c>
      <c r="AL343" s="1004"/>
      <c r="AM343" s="1004">
        <f t="shared" si="199"/>
        <v>66</v>
      </c>
      <c r="AP343" s="1004"/>
      <c r="AQ343" s="1004"/>
      <c r="AS343" s="1004">
        <f t="shared" si="200"/>
        <v>66</v>
      </c>
      <c r="AT343" s="1004"/>
      <c r="AU343" s="1004"/>
      <c r="AV343" s="1004"/>
      <c r="BB343" s="974">
        <f t="shared" si="201"/>
        <v>11</v>
      </c>
      <c r="BE343" s="1016"/>
      <c r="BU343" s="1018">
        <f t="shared" si="202"/>
        <v>66</v>
      </c>
      <c r="BV343" s="1018">
        <f t="shared" si="203"/>
        <v>2719502</v>
      </c>
      <c r="BW343" s="1018"/>
      <c r="BX343" s="1018"/>
      <c r="BY343" s="1018"/>
      <c r="BZ343" s="1018"/>
      <c r="CA343" s="974">
        <f t="shared" si="204"/>
        <v>100498</v>
      </c>
      <c r="CC343" s="974">
        <f t="shared" si="205"/>
        <v>0</v>
      </c>
      <c r="CD343" s="1018">
        <f t="shared" si="206"/>
        <v>51536.5714285714</v>
      </c>
      <c r="CE343" s="1018"/>
      <c r="CF343" s="1018"/>
      <c r="CG343" s="1018"/>
      <c r="CH343" s="1018">
        <f t="shared" si="207"/>
        <v>8463.4285714286</v>
      </c>
      <c r="CI343" s="1018"/>
    </row>
    <row r="344" s="974" customFormat="1" ht="32" customHeight="1" spans="1:87">
      <c r="A344" s="1281">
        <v>46140</v>
      </c>
      <c r="B344" s="1282" t="s">
        <v>1090</v>
      </c>
      <c r="C344" s="1003" t="s">
        <v>125</v>
      </c>
      <c r="D344" s="1283" t="s">
        <v>1361</v>
      </c>
      <c r="E344" s="1282" t="s">
        <v>1376</v>
      </c>
      <c r="F344" s="1283" t="s">
        <v>1377</v>
      </c>
      <c r="G344" s="1004" t="s">
        <v>353</v>
      </c>
      <c r="H344" s="1004" t="s">
        <v>189</v>
      </c>
      <c r="I344" s="1296">
        <v>276</v>
      </c>
      <c r="J344" s="1004">
        <v>0</v>
      </c>
      <c r="K344" s="1004">
        <v>6</v>
      </c>
      <c r="L344" s="1232">
        <f t="shared" si="195"/>
        <v>46</v>
      </c>
      <c r="M344" s="1007">
        <v>46182</v>
      </c>
      <c r="N344" s="1007">
        <v>46178</v>
      </c>
      <c r="O344" s="1024"/>
      <c r="P344" s="1285" t="s">
        <v>86</v>
      </c>
      <c r="Q344" s="1004"/>
      <c r="R344" s="1035">
        <v>46140</v>
      </c>
      <c r="S344" s="1035" t="s">
        <v>98</v>
      </c>
      <c r="T344" s="1009" t="s">
        <v>1364</v>
      </c>
      <c r="U344" s="1009"/>
      <c r="V344" s="1010" t="s">
        <v>1365</v>
      </c>
      <c r="W344" s="1007" t="s">
        <v>217</v>
      </c>
      <c r="X344" s="1010">
        <v>1.1804</v>
      </c>
      <c r="Y344" s="1236">
        <f t="shared" si="196"/>
        <v>325.7904</v>
      </c>
      <c r="Z344" s="1236"/>
      <c r="AA344" s="1004"/>
      <c r="AB344" s="1004" t="s">
        <v>1277</v>
      </c>
      <c r="AC344" s="974" t="s">
        <v>93</v>
      </c>
      <c r="AD344" s="1040" t="s">
        <v>94</v>
      </c>
      <c r="AE344" s="1004"/>
      <c r="AF344" s="1004">
        <v>276</v>
      </c>
      <c r="AG344" s="1002">
        <f t="shared" si="197"/>
        <v>0</v>
      </c>
      <c r="AH344" s="1055"/>
      <c r="AI344" s="1004"/>
      <c r="AJ344" s="1004"/>
      <c r="AK344" s="1004">
        <f t="shared" si="198"/>
        <v>276</v>
      </c>
      <c r="AL344" s="1004"/>
      <c r="AM344" s="1004">
        <f t="shared" si="199"/>
        <v>276</v>
      </c>
      <c r="AP344" s="1004"/>
      <c r="AQ344" s="1004"/>
      <c r="AS344" s="1004">
        <f t="shared" si="200"/>
        <v>276</v>
      </c>
      <c r="AT344" s="1004"/>
      <c r="AU344" s="1004"/>
      <c r="AV344" s="1004"/>
      <c r="BB344" s="974">
        <f t="shared" si="201"/>
        <v>46</v>
      </c>
      <c r="BE344" s="1016"/>
      <c r="BU344" s="1018">
        <f t="shared" si="202"/>
        <v>276</v>
      </c>
      <c r="BV344" s="1018">
        <f t="shared" si="203"/>
        <v>2719778</v>
      </c>
      <c r="BW344" s="1018"/>
      <c r="BX344" s="1018"/>
      <c r="BY344" s="1018"/>
      <c r="BZ344" s="1018"/>
      <c r="CA344" s="974">
        <f t="shared" si="204"/>
        <v>100222</v>
      </c>
      <c r="CC344" s="974">
        <f t="shared" si="205"/>
        <v>0</v>
      </c>
      <c r="CD344" s="1018">
        <f t="shared" si="206"/>
        <v>51536.5714285714</v>
      </c>
      <c r="CE344" s="1018"/>
      <c r="CF344" s="1018"/>
      <c r="CG344" s="1018"/>
      <c r="CH344" s="1018">
        <f t="shared" si="207"/>
        <v>8463.4285714286</v>
      </c>
      <c r="CI344" s="1018"/>
    </row>
    <row r="345" s="859" customFormat="1" ht="32" customHeight="1" spans="1:87">
      <c r="A345" s="985">
        <v>46063</v>
      </c>
      <c r="B345" s="1061" t="s">
        <v>971</v>
      </c>
      <c r="C345" s="954" t="s">
        <v>440</v>
      </c>
      <c r="D345" s="950">
        <v>4500193377</v>
      </c>
      <c r="E345" s="954" t="s">
        <v>1378</v>
      </c>
      <c r="F345" s="950" t="s">
        <v>1379</v>
      </c>
      <c r="G345" s="951" t="s">
        <v>205</v>
      </c>
      <c r="H345" s="951" t="s">
        <v>189</v>
      </c>
      <c r="I345" s="1305">
        <v>500</v>
      </c>
      <c r="J345" s="951">
        <v>0</v>
      </c>
      <c r="K345" s="951">
        <v>50</v>
      </c>
      <c r="L345" s="1252">
        <f t="shared" si="195"/>
        <v>10</v>
      </c>
      <c r="M345" s="1306">
        <v>46189</v>
      </c>
      <c r="N345" s="1306">
        <f>M345-4</f>
        <v>46185</v>
      </c>
      <c r="O345" s="980"/>
      <c r="P345" s="1285" t="s">
        <v>86</v>
      </c>
      <c r="Q345" s="951"/>
      <c r="R345" s="992">
        <v>46160</v>
      </c>
      <c r="S345" s="992" t="s">
        <v>98</v>
      </c>
      <c r="T345" s="958" t="s">
        <v>98</v>
      </c>
      <c r="U345" s="958"/>
      <c r="V345" s="1307" t="s">
        <v>1380</v>
      </c>
      <c r="W345" s="956" t="s">
        <v>1059</v>
      </c>
      <c r="X345" s="1273">
        <v>1.9438</v>
      </c>
      <c r="Y345" s="1254">
        <f t="shared" si="196"/>
        <v>971.9</v>
      </c>
      <c r="Z345" s="1254"/>
      <c r="AA345" s="951"/>
      <c r="AB345" s="951" t="s">
        <v>205</v>
      </c>
      <c r="AC345" s="951" t="s">
        <v>93</v>
      </c>
      <c r="AD345" s="1040" t="s">
        <v>94</v>
      </c>
      <c r="AE345" s="951"/>
      <c r="AF345" s="951">
        <v>500</v>
      </c>
      <c r="AG345" s="949">
        <f t="shared" si="197"/>
        <v>0</v>
      </c>
      <c r="AH345" s="1255"/>
      <c r="AI345" s="951"/>
      <c r="AJ345" s="951"/>
      <c r="AK345" s="951">
        <f t="shared" ref="AK345:AK357" si="208">I345*2</f>
        <v>1000</v>
      </c>
      <c r="AL345" s="951"/>
      <c r="AM345" s="962">
        <f t="shared" si="199"/>
        <v>500</v>
      </c>
      <c r="AP345" s="951"/>
      <c r="AQ345" s="951"/>
      <c r="AS345" s="951">
        <f t="shared" si="200"/>
        <v>500</v>
      </c>
      <c r="AT345" s="951"/>
      <c r="AU345" s="951"/>
      <c r="AV345" s="951"/>
      <c r="BE345" s="962">
        <f>I345/25</f>
        <v>20</v>
      </c>
      <c r="BU345" s="963">
        <f t="shared" si="202"/>
        <v>1000</v>
      </c>
      <c r="BV345" s="963">
        <f>BV289+BU345</f>
        <v>2729118</v>
      </c>
      <c r="BW345" s="963"/>
      <c r="BX345" s="963"/>
      <c r="BY345" s="963"/>
      <c r="BZ345" s="963"/>
      <c r="CC345" s="859">
        <f t="shared" si="205"/>
        <v>20</v>
      </c>
      <c r="CD345" s="963">
        <f>CD289+CC345</f>
        <v>51536.5714285714</v>
      </c>
      <c r="CE345" s="963"/>
      <c r="CF345" s="963"/>
      <c r="CG345" s="963"/>
      <c r="CH345" s="963">
        <f t="shared" si="207"/>
        <v>8463.4285714286</v>
      </c>
      <c r="CI345" s="963"/>
    </row>
    <row r="346" s="859" customFormat="1" ht="32" customHeight="1" spans="1:87">
      <c r="A346" s="985">
        <v>46142</v>
      </c>
      <c r="B346" s="988" t="s">
        <v>1042</v>
      </c>
      <c r="C346" s="954" t="s">
        <v>125</v>
      </c>
      <c r="D346" s="987" t="s">
        <v>1381</v>
      </c>
      <c r="E346" s="988" t="s">
        <v>1382</v>
      </c>
      <c r="F346" s="987" t="s">
        <v>1383</v>
      </c>
      <c r="G346" s="951" t="s">
        <v>196</v>
      </c>
      <c r="H346" s="951" t="s">
        <v>197</v>
      </c>
      <c r="I346" s="1305">
        <v>600</v>
      </c>
      <c r="J346" s="951">
        <v>0</v>
      </c>
      <c r="K346" s="951">
        <v>12</v>
      </c>
      <c r="L346" s="1252">
        <f t="shared" si="195"/>
        <v>50</v>
      </c>
      <c r="M346" s="956">
        <v>46192</v>
      </c>
      <c r="N346" s="956">
        <v>46188</v>
      </c>
      <c r="O346" s="980"/>
      <c r="P346" s="1285" t="s">
        <v>86</v>
      </c>
      <c r="Q346" s="951"/>
      <c r="R346" s="992">
        <v>46154</v>
      </c>
      <c r="S346" s="992" t="s">
        <v>98</v>
      </c>
      <c r="T346" s="958" t="s">
        <v>1384</v>
      </c>
      <c r="U346" s="958"/>
      <c r="V346" s="952" t="s">
        <v>1385</v>
      </c>
      <c r="W346" s="956" t="s">
        <v>874</v>
      </c>
      <c r="X346" s="952">
        <v>2.4826</v>
      </c>
      <c r="Y346" s="1254">
        <f t="shared" si="196"/>
        <v>1489.56</v>
      </c>
      <c r="Z346" s="1254"/>
      <c r="AA346" s="951"/>
      <c r="AB346" s="951" t="s">
        <v>984</v>
      </c>
      <c r="AC346" s="859" t="s">
        <v>93</v>
      </c>
      <c r="AD346" s="1040" t="s">
        <v>94</v>
      </c>
      <c r="AE346" s="951"/>
      <c r="AF346" s="949">
        <v>600</v>
      </c>
      <c r="AG346" s="949">
        <f t="shared" si="197"/>
        <v>0</v>
      </c>
      <c r="AH346" s="1255"/>
      <c r="AI346" s="954"/>
      <c r="AJ346" s="951"/>
      <c r="AK346" s="951">
        <f t="shared" si="208"/>
        <v>1200</v>
      </c>
      <c r="AL346" s="951"/>
      <c r="AM346" s="962">
        <f>I346*2</f>
        <v>1200</v>
      </c>
      <c r="AP346" s="951"/>
      <c r="AQ346" s="951"/>
      <c r="AS346" s="951">
        <f t="shared" ref="AS346:AS357" si="209">I346*2</f>
        <v>1200</v>
      </c>
      <c r="AT346" s="951"/>
      <c r="AU346" s="951"/>
      <c r="AV346" s="951"/>
      <c r="BE346" s="962"/>
      <c r="BN346" s="859">
        <f t="shared" ref="BN346:BN357" si="210">I346</f>
        <v>600</v>
      </c>
      <c r="BO346" s="859">
        <f>I346</f>
        <v>600</v>
      </c>
      <c r="BQ346" s="859">
        <f t="shared" ref="BQ346:BQ357" si="211">I346</f>
        <v>600</v>
      </c>
      <c r="BU346" s="963">
        <f t="shared" si="202"/>
        <v>1200</v>
      </c>
      <c r="BV346" s="963">
        <f>BV344+BU346</f>
        <v>2720978</v>
      </c>
      <c r="BW346" s="963"/>
      <c r="BX346" s="963"/>
      <c r="BY346" s="963"/>
      <c r="BZ346" s="963"/>
      <c r="CA346" s="859">
        <f t="shared" ref="CA346:CA354" si="212">SUM(BX$1:CB$1)-BV346</f>
        <v>99022</v>
      </c>
      <c r="CC346" s="859">
        <f t="shared" si="205"/>
        <v>0</v>
      </c>
      <c r="CD346" s="963">
        <f>CD344+CC346</f>
        <v>51536.5714285714</v>
      </c>
      <c r="CE346" s="963"/>
      <c r="CF346" s="963"/>
      <c r="CG346" s="963"/>
      <c r="CH346" s="963">
        <f t="shared" si="207"/>
        <v>8463.4285714286</v>
      </c>
      <c r="CI346" s="963"/>
    </row>
    <row r="347" s="857" customFormat="1" ht="32" customHeight="1" spans="1:87">
      <c r="A347" s="1044">
        <v>46149</v>
      </c>
      <c r="B347" s="1048" t="s">
        <v>594</v>
      </c>
      <c r="C347" s="928" t="s">
        <v>103</v>
      </c>
      <c r="D347" s="1047" t="s">
        <v>1386</v>
      </c>
      <c r="E347" s="1048" t="s">
        <v>1387</v>
      </c>
      <c r="F347" s="1047" t="s">
        <v>1388</v>
      </c>
      <c r="G347" s="926" t="s">
        <v>196</v>
      </c>
      <c r="H347" s="926" t="s">
        <v>197</v>
      </c>
      <c r="I347" s="1294">
        <v>492</v>
      </c>
      <c r="J347" s="926">
        <v>0</v>
      </c>
      <c r="K347" s="926">
        <v>12</v>
      </c>
      <c r="L347" s="1201">
        <f t="shared" si="195"/>
        <v>41</v>
      </c>
      <c r="M347" s="930">
        <v>46202</v>
      </c>
      <c r="N347" s="930">
        <v>46198</v>
      </c>
      <c r="O347" s="937"/>
      <c r="P347" s="1285" t="s">
        <v>86</v>
      </c>
      <c r="Q347" s="1041">
        <v>46214</v>
      </c>
      <c r="R347" s="932" t="s">
        <v>597</v>
      </c>
      <c r="S347" s="1037" t="s">
        <v>88</v>
      </c>
      <c r="T347" s="1067" t="s">
        <v>1389</v>
      </c>
      <c r="U347" s="932"/>
      <c r="V347" s="933" t="s">
        <v>1390</v>
      </c>
      <c r="W347" s="930" t="s">
        <v>1391</v>
      </c>
      <c r="X347" s="933">
        <v>4.1376</v>
      </c>
      <c r="Y347" s="1204">
        <f t="shared" si="196"/>
        <v>2035.6992</v>
      </c>
      <c r="Z347" s="1204"/>
      <c r="AA347" s="926"/>
      <c r="AB347" s="926" t="s">
        <v>637</v>
      </c>
      <c r="AC347" s="857" t="s">
        <v>93</v>
      </c>
      <c r="AD347" s="1040" t="s">
        <v>94</v>
      </c>
      <c r="AE347" s="1303"/>
      <c r="AF347" s="1085">
        <v>492</v>
      </c>
      <c r="AG347" s="1304">
        <f t="shared" si="197"/>
        <v>0</v>
      </c>
      <c r="AH347" s="938"/>
      <c r="AI347" s="926"/>
      <c r="AJ347" s="926"/>
      <c r="AK347" s="926">
        <f t="shared" si="208"/>
        <v>984</v>
      </c>
      <c r="AL347" s="926"/>
      <c r="AM347" s="926"/>
      <c r="AO347" s="857">
        <f>I347*2</f>
        <v>984</v>
      </c>
      <c r="AP347" s="926"/>
      <c r="AQ347" s="926"/>
      <c r="AS347" s="926">
        <f t="shared" si="209"/>
        <v>984</v>
      </c>
      <c r="AT347" s="926"/>
      <c r="AU347" s="926"/>
      <c r="AV347" s="926"/>
      <c r="BE347" s="858"/>
      <c r="BN347" s="857">
        <f t="shared" si="210"/>
        <v>492</v>
      </c>
      <c r="BO347" s="857">
        <f>I347</f>
        <v>492</v>
      </c>
      <c r="BQ347" s="857">
        <f t="shared" si="211"/>
        <v>492</v>
      </c>
      <c r="BU347" s="939">
        <f t="shared" si="202"/>
        <v>984</v>
      </c>
      <c r="BV347" s="939">
        <f>BV346+BU347</f>
        <v>2721962</v>
      </c>
      <c r="BW347" s="939"/>
      <c r="BX347" s="939"/>
      <c r="BY347" s="939"/>
      <c r="BZ347" s="939"/>
      <c r="CA347" s="857">
        <f t="shared" si="212"/>
        <v>98038</v>
      </c>
      <c r="CC347" s="857">
        <f t="shared" si="205"/>
        <v>0</v>
      </c>
      <c r="CD347" s="939">
        <f>CD346+CC347</f>
        <v>51536.5714285714</v>
      </c>
      <c r="CE347" s="939"/>
      <c r="CF347" s="939"/>
      <c r="CG347" s="939"/>
      <c r="CH347" s="939"/>
      <c r="CI347" s="939"/>
    </row>
    <row r="348" s="857" customFormat="1" ht="32" customHeight="1" spans="1:87">
      <c r="A348" s="1044">
        <v>46155</v>
      </c>
      <c r="B348" s="1048" t="s">
        <v>1042</v>
      </c>
      <c r="C348" s="928" t="s">
        <v>125</v>
      </c>
      <c r="D348" s="1047" t="s">
        <v>1392</v>
      </c>
      <c r="E348" s="1048" t="s">
        <v>1393</v>
      </c>
      <c r="F348" s="1047" t="s">
        <v>1394</v>
      </c>
      <c r="G348" s="926" t="s">
        <v>196</v>
      </c>
      <c r="H348" s="926" t="s">
        <v>197</v>
      </c>
      <c r="I348" s="1294">
        <v>600</v>
      </c>
      <c r="J348" s="926">
        <v>0</v>
      </c>
      <c r="K348" s="926">
        <v>12</v>
      </c>
      <c r="L348" s="1201">
        <f t="shared" si="195"/>
        <v>50</v>
      </c>
      <c r="M348" s="930">
        <v>46220</v>
      </c>
      <c r="N348" s="930">
        <v>46216</v>
      </c>
      <c r="O348" s="937"/>
      <c r="P348" s="1285" t="s">
        <v>86</v>
      </c>
      <c r="Q348" s="1041">
        <v>46234</v>
      </c>
      <c r="R348" s="1037">
        <v>46175</v>
      </c>
      <c r="S348" s="1037" t="s">
        <v>98</v>
      </c>
      <c r="T348" s="1067" t="s">
        <v>1395</v>
      </c>
      <c r="U348" s="932"/>
      <c r="V348" s="933" t="s">
        <v>1396</v>
      </c>
      <c r="W348" s="930" t="s">
        <v>874</v>
      </c>
      <c r="X348" s="933">
        <v>2.5233</v>
      </c>
      <c r="Y348" s="1204">
        <f t="shared" si="196"/>
        <v>1513.98</v>
      </c>
      <c r="Z348" s="1204"/>
      <c r="AA348" s="926"/>
      <c r="AB348" s="926" t="s">
        <v>984</v>
      </c>
      <c r="AC348" s="857" t="s">
        <v>93</v>
      </c>
      <c r="AD348" s="1040" t="s">
        <v>94</v>
      </c>
      <c r="AE348" s="1303"/>
      <c r="AF348" s="1085">
        <v>600</v>
      </c>
      <c r="AG348" s="1304">
        <f t="shared" si="197"/>
        <v>0</v>
      </c>
      <c r="AH348" s="938"/>
      <c r="AI348" s="1069" t="s">
        <v>95</v>
      </c>
      <c r="AJ348" s="926"/>
      <c r="AK348" s="926">
        <f t="shared" si="208"/>
        <v>1200</v>
      </c>
      <c r="AL348" s="926"/>
      <c r="AM348" s="858">
        <f t="shared" ref="AM348:AM354" si="213">I348*2</f>
        <v>1200</v>
      </c>
      <c r="AP348" s="926"/>
      <c r="AQ348" s="926"/>
      <c r="AS348" s="926">
        <f t="shared" si="209"/>
        <v>1200</v>
      </c>
      <c r="AT348" s="926"/>
      <c r="AU348" s="926"/>
      <c r="AV348" s="926"/>
      <c r="BE348" s="858"/>
      <c r="BN348" s="857">
        <f t="shared" si="210"/>
        <v>600</v>
      </c>
      <c r="BO348" s="857">
        <f>I348</f>
        <v>600</v>
      </c>
      <c r="BQ348" s="857">
        <f t="shared" si="211"/>
        <v>600</v>
      </c>
      <c r="BU348" s="939">
        <f t="shared" si="202"/>
        <v>1200</v>
      </c>
      <c r="BV348" s="939">
        <f>BV347+BU348</f>
        <v>2723162</v>
      </c>
      <c r="BW348" s="939"/>
      <c r="BX348" s="939"/>
      <c r="BY348" s="939"/>
      <c r="BZ348" s="939"/>
      <c r="CA348" s="857">
        <f t="shared" si="212"/>
        <v>96838</v>
      </c>
      <c r="CC348" s="857">
        <f t="shared" si="205"/>
        <v>0</v>
      </c>
      <c r="CD348" s="939">
        <f>CD347+CC348</f>
        <v>51536.5714285714</v>
      </c>
      <c r="CE348" s="939"/>
      <c r="CF348" s="939"/>
      <c r="CG348" s="939"/>
      <c r="CH348" s="939">
        <f t="shared" ref="CH348:CH354" si="214">$CF$1+$CG$1+$CH$1+$CI$1-CD348</f>
        <v>8463.4285714286</v>
      </c>
      <c r="CI348" s="939"/>
    </row>
    <row r="349" s="857" customFormat="1" ht="32" customHeight="1" spans="1:87">
      <c r="A349" s="1044">
        <v>46188</v>
      </c>
      <c r="B349" s="1048" t="s">
        <v>314</v>
      </c>
      <c r="C349" s="928" t="s">
        <v>125</v>
      </c>
      <c r="D349" s="1047" t="s">
        <v>1397</v>
      </c>
      <c r="E349" s="1048" t="s">
        <v>1398</v>
      </c>
      <c r="F349" s="1047" t="s">
        <v>1399</v>
      </c>
      <c r="G349" s="926" t="s">
        <v>196</v>
      </c>
      <c r="H349" s="926" t="s">
        <v>197</v>
      </c>
      <c r="I349" s="1294">
        <v>2244</v>
      </c>
      <c r="J349" s="926">
        <v>0</v>
      </c>
      <c r="K349" s="926">
        <v>12</v>
      </c>
      <c r="L349" s="1201">
        <f t="shared" si="195"/>
        <v>187</v>
      </c>
      <c r="M349" s="930">
        <v>46232</v>
      </c>
      <c r="N349" s="1066">
        <v>46231</v>
      </c>
      <c r="O349" s="937"/>
      <c r="P349" s="1285" t="s">
        <v>86</v>
      </c>
      <c r="Q349" s="1041">
        <v>46234</v>
      </c>
      <c r="R349" s="1308">
        <v>46199</v>
      </c>
      <c r="S349" s="1308" t="s">
        <v>98</v>
      </c>
      <c r="T349" s="1067" t="s">
        <v>1400</v>
      </c>
      <c r="U349" s="932"/>
      <c r="V349" s="933" t="s">
        <v>1401</v>
      </c>
      <c r="W349" s="930" t="s">
        <v>1335</v>
      </c>
      <c r="X349" s="933">
        <v>2.516</v>
      </c>
      <c r="Y349" s="1204">
        <f t="shared" si="196"/>
        <v>5645.904</v>
      </c>
      <c r="Z349" s="1204"/>
      <c r="AA349" s="926"/>
      <c r="AB349" s="926" t="s">
        <v>984</v>
      </c>
      <c r="AC349" s="1202" t="s">
        <v>93</v>
      </c>
      <c r="AD349" s="1040" t="s">
        <v>94</v>
      </c>
      <c r="AE349" s="1303"/>
      <c r="AF349" s="1309">
        <v>2244</v>
      </c>
      <c r="AG349" s="1304">
        <f t="shared" si="197"/>
        <v>0</v>
      </c>
      <c r="AH349" s="938"/>
      <c r="AI349" s="1069" t="s">
        <v>95</v>
      </c>
      <c r="AJ349" s="926"/>
      <c r="AK349" s="926">
        <f t="shared" si="208"/>
        <v>4488</v>
      </c>
      <c r="AL349" s="926"/>
      <c r="AM349" s="858">
        <f t="shared" si="213"/>
        <v>4488</v>
      </c>
      <c r="AP349" s="926"/>
      <c r="AQ349" s="926"/>
      <c r="AS349" s="926">
        <f t="shared" si="209"/>
        <v>4488</v>
      </c>
      <c r="AT349" s="926"/>
      <c r="AU349" s="926"/>
      <c r="AV349" s="926"/>
      <c r="BE349" s="858"/>
      <c r="BN349" s="857">
        <f t="shared" si="210"/>
        <v>2244</v>
      </c>
      <c r="BP349" s="857">
        <f t="shared" ref="BP349:BP354" si="215">I349</f>
        <v>2244</v>
      </c>
      <c r="BQ349" s="857">
        <f t="shared" si="211"/>
        <v>2244</v>
      </c>
      <c r="BU349" s="939">
        <f t="shared" si="202"/>
        <v>4488</v>
      </c>
      <c r="BV349" s="939">
        <f>BV355+BU349</f>
        <v>2729834</v>
      </c>
      <c r="BW349" s="939"/>
      <c r="BX349" s="939"/>
      <c r="BY349" s="939"/>
      <c r="BZ349" s="939"/>
      <c r="CA349" s="857">
        <f t="shared" si="212"/>
        <v>90166</v>
      </c>
      <c r="CC349" s="857">
        <f t="shared" si="205"/>
        <v>0</v>
      </c>
      <c r="CD349" s="939">
        <f>CD355+CC349</f>
        <v>0</v>
      </c>
      <c r="CE349" s="939"/>
      <c r="CF349" s="939"/>
      <c r="CG349" s="939"/>
      <c r="CH349" s="939">
        <f t="shared" si="214"/>
        <v>60000</v>
      </c>
      <c r="CI349" s="939"/>
    </row>
    <row r="350" s="857" customFormat="1" ht="32" customHeight="1" spans="1:87">
      <c r="A350" s="1044">
        <v>46188</v>
      </c>
      <c r="B350" s="1048" t="s">
        <v>314</v>
      </c>
      <c r="C350" s="928" t="s">
        <v>125</v>
      </c>
      <c r="D350" s="1047" t="s">
        <v>1402</v>
      </c>
      <c r="E350" s="1048" t="s">
        <v>1403</v>
      </c>
      <c r="F350" s="1047" t="s">
        <v>1404</v>
      </c>
      <c r="G350" s="926" t="s">
        <v>196</v>
      </c>
      <c r="H350" s="926" t="s">
        <v>197</v>
      </c>
      <c r="I350" s="1294">
        <v>2256</v>
      </c>
      <c r="J350" s="926">
        <v>0</v>
      </c>
      <c r="K350" s="926">
        <v>12</v>
      </c>
      <c r="L350" s="1201">
        <f t="shared" si="195"/>
        <v>188</v>
      </c>
      <c r="M350" s="930">
        <v>46232</v>
      </c>
      <c r="N350" s="1066">
        <v>46231</v>
      </c>
      <c r="O350" s="937"/>
      <c r="P350" s="1285" t="s">
        <v>86</v>
      </c>
      <c r="Q350" s="1041">
        <v>46234</v>
      </c>
      <c r="R350" s="1308">
        <v>46199</v>
      </c>
      <c r="S350" s="1308" t="s">
        <v>98</v>
      </c>
      <c r="T350" s="1067" t="s">
        <v>1405</v>
      </c>
      <c r="U350" s="932"/>
      <c r="V350" s="933" t="s">
        <v>1406</v>
      </c>
      <c r="W350" s="930" t="s">
        <v>1335</v>
      </c>
      <c r="X350" s="933">
        <v>2.516</v>
      </c>
      <c r="Y350" s="1204">
        <f t="shared" si="196"/>
        <v>5676.096</v>
      </c>
      <c r="Z350" s="1204"/>
      <c r="AA350" s="926"/>
      <c r="AB350" s="926" t="s">
        <v>984</v>
      </c>
      <c r="AC350" s="1202" t="s">
        <v>93</v>
      </c>
      <c r="AD350" s="1040" t="s">
        <v>94</v>
      </c>
      <c r="AE350" s="1303"/>
      <c r="AF350" s="1309">
        <v>2256</v>
      </c>
      <c r="AG350" s="1304">
        <f t="shared" si="197"/>
        <v>0</v>
      </c>
      <c r="AH350" s="938"/>
      <c r="AI350" s="1069" t="s">
        <v>95</v>
      </c>
      <c r="AJ350" s="926"/>
      <c r="AK350" s="926">
        <f t="shared" si="208"/>
        <v>4512</v>
      </c>
      <c r="AL350" s="926"/>
      <c r="AM350" s="858">
        <f t="shared" si="213"/>
        <v>4512</v>
      </c>
      <c r="AP350" s="926"/>
      <c r="AQ350" s="926"/>
      <c r="AS350" s="926">
        <f t="shared" si="209"/>
        <v>4512</v>
      </c>
      <c r="AT350" s="926"/>
      <c r="AU350" s="926"/>
      <c r="AV350" s="926"/>
      <c r="BE350" s="858"/>
      <c r="BN350" s="857">
        <f t="shared" si="210"/>
        <v>2256</v>
      </c>
      <c r="BP350" s="857">
        <f t="shared" si="215"/>
        <v>2256</v>
      </c>
      <c r="BQ350" s="857">
        <f t="shared" si="211"/>
        <v>2256</v>
      </c>
      <c r="BU350" s="939">
        <f t="shared" si="202"/>
        <v>4512</v>
      </c>
      <c r="BV350" s="939">
        <f>BV349+BU350</f>
        <v>2734346</v>
      </c>
      <c r="BW350" s="939"/>
      <c r="BX350" s="939"/>
      <c r="BY350" s="939"/>
      <c r="BZ350" s="939"/>
      <c r="CA350" s="857">
        <f t="shared" si="212"/>
        <v>85654</v>
      </c>
      <c r="CC350" s="857">
        <f t="shared" si="205"/>
        <v>0</v>
      </c>
      <c r="CD350" s="939">
        <f>CD349+CC350</f>
        <v>0</v>
      </c>
      <c r="CE350" s="939"/>
      <c r="CF350" s="939"/>
      <c r="CG350" s="939"/>
      <c r="CH350" s="939">
        <f t="shared" si="214"/>
        <v>60000</v>
      </c>
      <c r="CI350" s="939"/>
    </row>
    <row r="351" s="857" customFormat="1" ht="32" customHeight="1" spans="1:87">
      <c r="A351" s="1044">
        <v>46188</v>
      </c>
      <c r="B351" s="1048" t="s">
        <v>314</v>
      </c>
      <c r="C351" s="928" t="s">
        <v>125</v>
      </c>
      <c r="D351" s="1047" t="s">
        <v>1407</v>
      </c>
      <c r="E351" s="1048" t="s">
        <v>1408</v>
      </c>
      <c r="F351" s="1047" t="s">
        <v>1409</v>
      </c>
      <c r="G351" s="926" t="s">
        <v>196</v>
      </c>
      <c r="H351" s="926" t="s">
        <v>197</v>
      </c>
      <c r="I351" s="1294">
        <v>3000</v>
      </c>
      <c r="J351" s="926">
        <v>0</v>
      </c>
      <c r="K351" s="926">
        <v>12</v>
      </c>
      <c r="L351" s="1201">
        <f t="shared" si="195"/>
        <v>250</v>
      </c>
      <c r="M351" s="930">
        <v>46239</v>
      </c>
      <c r="N351" s="930">
        <v>46235</v>
      </c>
      <c r="O351" s="937"/>
      <c r="P351" s="1278" t="s">
        <v>86</v>
      </c>
      <c r="Q351" s="1310">
        <v>46249</v>
      </c>
      <c r="R351" s="1308">
        <v>46199</v>
      </c>
      <c r="S351" s="1308" t="s">
        <v>98</v>
      </c>
      <c r="T351" s="1067" t="s">
        <v>1405</v>
      </c>
      <c r="U351" s="932"/>
      <c r="V351" s="1077" t="s">
        <v>1410</v>
      </c>
      <c r="W351" s="930" t="s">
        <v>1335</v>
      </c>
      <c r="X351" s="933">
        <v>2.5328</v>
      </c>
      <c r="Y351" s="1204">
        <f t="shared" si="196"/>
        <v>7598.4</v>
      </c>
      <c r="Z351" s="1204"/>
      <c r="AA351" s="926"/>
      <c r="AB351" s="926" t="s">
        <v>984</v>
      </c>
      <c r="AC351" s="1202" t="s">
        <v>93</v>
      </c>
      <c r="AD351" s="1040" t="s">
        <v>94</v>
      </c>
      <c r="AE351" s="1303"/>
      <c r="AF351" s="1309">
        <v>3000</v>
      </c>
      <c r="AG351" s="1304">
        <f t="shared" si="197"/>
        <v>0</v>
      </c>
      <c r="AH351" s="938"/>
      <c r="AI351" s="1069" t="s">
        <v>95</v>
      </c>
      <c r="AJ351" s="926"/>
      <c r="AK351" s="926">
        <f t="shared" si="208"/>
        <v>6000</v>
      </c>
      <c r="AL351" s="926"/>
      <c r="AM351" s="858">
        <f t="shared" si="213"/>
        <v>6000</v>
      </c>
      <c r="AP351" s="926"/>
      <c r="AQ351" s="926"/>
      <c r="AS351" s="926">
        <f t="shared" si="209"/>
        <v>6000</v>
      </c>
      <c r="AT351" s="926"/>
      <c r="AU351" s="926"/>
      <c r="AV351" s="926"/>
      <c r="BE351" s="858"/>
      <c r="BN351" s="857">
        <f t="shared" si="210"/>
        <v>3000</v>
      </c>
      <c r="BP351" s="857">
        <f t="shared" si="215"/>
        <v>3000</v>
      </c>
      <c r="BQ351" s="857">
        <f t="shared" si="211"/>
        <v>3000</v>
      </c>
      <c r="BU351" s="939">
        <f t="shared" si="202"/>
        <v>6000</v>
      </c>
      <c r="BV351" s="939">
        <f>BV350+BU351</f>
        <v>2740346</v>
      </c>
      <c r="BW351" s="939"/>
      <c r="BX351" s="939"/>
      <c r="BY351" s="939"/>
      <c r="BZ351" s="939"/>
      <c r="CA351" s="857">
        <f t="shared" si="212"/>
        <v>79654</v>
      </c>
      <c r="CC351" s="857">
        <f t="shared" si="205"/>
        <v>0</v>
      </c>
      <c r="CD351" s="939">
        <f>CD350+CC351</f>
        <v>0</v>
      </c>
      <c r="CE351" s="939"/>
      <c r="CF351" s="939"/>
      <c r="CG351" s="939"/>
      <c r="CH351" s="939">
        <f t="shared" si="214"/>
        <v>60000</v>
      </c>
      <c r="CI351" s="939"/>
    </row>
    <row r="352" s="857" customFormat="1" ht="32" customHeight="1" spans="1:87">
      <c r="A352" s="1044">
        <v>46188</v>
      </c>
      <c r="B352" s="1048" t="s">
        <v>314</v>
      </c>
      <c r="C352" s="928" t="s">
        <v>125</v>
      </c>
      <c r="D352" s="1047" t="s">
        <v>1411</v>
      </c>
      <c r="E352" s="1048" t="s">
        <v>1412</v>
      </c>
      <c r="F352" s="1047" t="s">
        <v>1413</v>
      </c>
      <c r="G352" s="926" t="s">
        <v>196</v>
      </c>
      <c r="H352" s="926" t="s">
        <v>197</v>
      </c>
      <c r="I352" s="1294">
        <v>3000</v>
      </c>
      <c r="J352" s="926">
        <v>0</v>
      </c>
      <c r="K352" s="926">
        <v>12</v>
      </c>
      <c r="L352" s="1201">
        <f t="shared" si="195"/>
        <v>250</v>
      </c>
      <c r="M352" s="930">
        <v>46239</v>
      </c>
      <c r="N352" s="930">
        <v>46235</v>
      </c>
      <c r="O352" s="937"/>
      <c r="P352" s="1278" t="s">
        <v>86</v>
      </c>
      <c r="Q352" s="1069" t="s">
        <v>1414</v>
      </c>
      <c r="R352" s="1308">
        <v>46199</v>
      </c>
      <c r="S352" s="1308" t="s">
        <v>98</v>
      </c>
      <c r="T352" s="1067" t="s">
        <v>1405</v>
      </c>
      <c r="U352" s="932"/>
      <c r="V352" s="933" t="s">
        <v>1415</v>
      </c>
      <c r="W352" s="930" t="s">
        <v>1335</v>
      </c>
      <c r="X352" s="933">
        <v>2.5328</v>
      </c>
      <c r="Y352" s="1204">
        <f t="shared" si="196"/>
        <v>7598.4</v>
      </c>
      <c r="Z352" s="1204"/>
      <c r="AA352" s="926"/>
      <c r="AB352" s="926" t="s">
        <v>984</v>
      </c>
      <c r="AC352" s="1202" t="s">
        <v>93</v>
      </c>
      <c r="AD352" s="1040" t="s">
        <v>94</v>
      </c>
      <c r="AE352" s="1303"/>
      <c r="AF352" s="1309">
        <v>3000</v>
      </c>
      <c r="AG352" s="1304">
        <f t="shared" si="197"/>
        <v>0</v>
      </c>
      <c r="AH352" s="938"/>
      <c r="AI352" s="1069" t="s">
        <v>95</v>
      </c>
      <c r="AJ352" s="926"/>
      <c r="AK352" s="926">
        <f t="shared" si="208"/>
        <v>6000</v>
      </c>
      <c r="AL352" s="926"/>
      <c r="AM352" s="858">
        <f t="shared" si="213"/>
        <v>6000</v>
      </c>
      <c r="AP352" s="926"/>
      <c r="AQ352" s="926"/>
      <c r="AS352" s="926">
        <f t="shared" si="209"/>
        <v>6000</v>
      </c>
      <c r="AT352" s="926"/>
      <c r="AU352" s="926"/>
      <c r="AV352" s="926"/>
      <c r="BE352" s="858"/>
      <c r="BN352" s="857">
        <f t="shared" si="210"/>
        <v>3000</v>
      </c>
      <c r="BP352" s="857">
        <f t="shared" si="215"/>
        <v>3000</v>
      </c>
      <c r="BQ352" s="857">
        <f t="shared" si="211"/>
        <v>3000</v>
      </c>
      <c r="BU352" s="939">
        <f t="shared" si="202"/>
        <v>6000</v>
      </c>
      <c r="BV352" s="939">
        <f>BV351+BU352</f>
        <v>2746346</v>
      </c>
      <c r="BW352" s="939"/>
      <c r="BX352" s="939"/>
      <c r="BY352" s="939"/>
      <c r="BZ352" s="939"/>
      <c r="CA352" s="857">
        <f t="shared" si="212"/>
        <v>73654</v>
      </c>
      <c r="CC352" s="857">
        <f t="shared" si="205"/>
        <v>0</v>
      </c>
      <c r="CD352" s="939">
        <f>CD351+CC352</f>
        <v>0</v>
      </c>
      <c r="CE352" s="939"/>
      <c r="CF352" s="939"/>
      <c r="CG352" s="939"/>
      <c r="CH352" s="939">
        <f t="shared" si="214"/>
        <v>60000</v>
      </c>
      <c r="CI352" s="939"/>
    </row>
    <row r="353" s="857" customFormat="1" ht="32" customHeight="1" spans="1:87">
      <c r="A353" s="1044">
        <v>46188</v>
      </c>
      <c r="B353" s="1048" t="s">
        <v>314</v>
      </c>
      <c r="C353" s="928" t="s">
        <v>125</v>
      </c>
      <c r="D353" s="1047" t="s">
        <v>1416</v>
      </c>
      <c r="E353" s="1048" t="s">
        <v>1417</v>
      </c>
      <c r="F353" s="1047" t="s">
        <v>1418</v>
      </c>
      <c r="G353" s="926" t="s">
        <v>196</v>
      </c>
      <c r="H353" s="926" t="s">
        <v>197</v>
      </c>
      <c r="I353" s="1294">
        <v>3000</v>
      </c>
      <c r="J353" s="926">
        <v>0</v>
      </c>
      <c r="K353" s="926">
        <v>12</v>
      </c>
      <c r="L353" s="1201">
        <f t="shared" si="195"/>
        <v>250</v>
      </c>
      <c r="M353" s="930">
        <v>46239</v>
      </c>
      <c r="N353" s="930">
        <v>46235</v>
      </c>
      <c r="O353" s="937"/>
      <c r="P353" s="1278" t="s">
        <v>86</v>
      </c>
      <c r="Q353" s="1069" t="s">
        <v>1414</v>
      </c>
      <c r="R353" s="1308">
        <v>46199</v>
      </c>
      <c r="S353" s="1308" t="s">
        <v>98</v>
      </c>
      <c r="T353" s="1067" t="s">
        <v>1405</v>
      </c>
      <c r="U353" s="932"/>
      <c r="V353" s="933" t="s">
        <v>1419</v>
      </c>
      <c r="W353" s="930" t="s">
        <v>1335</v>
      </c>
      <c r="X353" s="933">
        <v>2.5328</v>
      </c>
      <c r="Y353" s="1204">
        <f t="shared" si="196"/>
        <v>7598.4</v>
      </c>
      <c r="Z353" s="1204"/>
      <c r="AA353" s="926"/>
      <c r="AB353" s="926" t="s">
        <v>984</v>
      </c>
      <c r="AC353" s="1202" t="s">
        <v>93</v>
      </c>
      <c r="AD353" s="1040" t="s">
        <v>94</v>
      </c>
      <c r="AE353" s="1303"/>
      <c r="AF353" s="1309">
        <v>3000</v>
      </c>
      <c r="AG353" s="1304">
        <f t="shared" si="197"/>
        <v>0</v>
      </c>
      <c r="AH353" s="938"/>
      <c r="AI353" s="1069" t="s">
        <v>95</v>
      </c>
      <c r="AJ353" s="926"/>
      <c r="AK353" s="926">
        <f t="shared" si="208"/>
        <v>6000</v>
      </c>
      <c r="AL353" s="926"/>
      <c r="AM353" s="858">
        <f t="shared" si="213"/>
        <v>6000</v>
      </c>
      <c r="AP353" s="926"/>
      <c r="AQ353" s="926"/>
      <c r="AS353" s="926">
        <f t="shared" si="209"/>
        <v>6000</v>
      </c>
      <c r="AT353" s="926"/>
      <c r="AU353" s="926"/>
      <c r="AV353" s="926"/>
      <c r="BE353" s="858"/>
      <c r="BN353" s="857">
        <f t="shared" si="210"/>
        <v>3000</v>
      </c>
      <c r="BP353" s="857">
        <f t="shared" si="215"/>
        <v>3000</v>
      </c>
      <c r="BQ353" s="857">
        <f t="shared" si="211"/>
        <v>3000</v>
      </c>
      <c r="BU353" s="939">
        <f t="shared" si="202"/>
        <v>6000</v>
      </c>
      <c r="BV353" s="939">
        <f>BV352+BU353</f>
        <v>2752346</v>
      </c>
      <c r="BW353" s="939"/>
      <c r="BX353" s="939"/>
      <c r="BY353" s="939"/>
      <c r="BZ353" s="939"/>
      <c r="CA353" s="857">
        <f t="shared" si="212"/>
        <v>67654</v>
      </c>
      <c r="CC353" s="857">
        <f t="shared" si="205"/>
        <v>0</v>
      </c>
      <c r="CD353" s="939">
        <f>CD352+CC353</f>
        <v>0</v>
      </c>
      <c r="CE353" s="939"/>
      <c r="CF353" s="939"/>
      <c r="CG353" s="939"/>
      <c r="CH353" s="939">
        <f t="shared" si="214"/>
        <v>60000</v>
      </c>
      <c r="CI353" s="939"/>
    </row>
    <row r="354" s="857" customFormat="1" ht="32" customHeight="1" spans="1:87">
      <c r="A354" s="1044">
        <v>46188</v>
      </c>
      <c r="B354" s="1048" t="s">
        <v>314</v>
      </c>
      <c r="C354" s="928" t="s">
        <v>125</v>
      </c>
      <c r="D354" s="1047" t="s">
        <v>1420</v>
      </c>
      <c r="E354" s="1048" t="s">
        <v>1421</v>
      </c>
      <c r="F354" s="1047" t="s">
        <v>1422</v>
      </c>
      <c r="G354" s="926" t="s">
        <v>196</v>
      </c>
      <c r="H354" s="926" t="s">
        <v>197</v>
      </c>
      <c r="I354" s="1294">
        <v>3000</v>
      </c>
      <c r="J354" s="926">
        <v>0</v>
      </c>
      <c r="K354" s="926">
        <v>12</v>
      </c>
      <c r="L354" s="1201">
        <f t="shared" si="195"/>
        <v>250</v>
      </c>
      <c r="M354" s="930">
        <v>46239</v>
      </c>
      <c r="N354" s="930">
        <v>46235</v>
      </c>
      <c r="O354" s="937"/>
      <c r="P354" s="1278" t="s">
        <v>86</v>
      </c>
      <c r="Q354" s="1069" t="s">
        <v>1414</v>
      </c>
      <c r="R354" s="1308">
        <v>46199</v>
      </c>
      <c r="S354" s="1308" t="s">
        <v>98</v>
      </c>
      <c r="T354" s="1067" t="s">
        <v>1405</v>
      </c>
      <c r="U354" s="932"/>
      <c r="V354" s="1077" t="s">
        <v>1423</v>
      </c>
      <c r="W354" s="930" t="s">
        <v>1335</v>
      </c>
      <c r="X354" s="933">
        <v>2.5328</v>
      </c>
      <c r="Y354" s="1204">
        <f t="shared" si="196"/>
        <v>7598.4</v>
      </c>
      <c r="Z354" s="1204"/>
      <c r="AA354" s="926"/>
      <c r="AB354" s="926" t="s">
        <v>984</v>
      </c>
      <c r="AC354" s="1202" t="s">
        <v>93</v>
      </c>
      <c r="AD354" s="1040" t="s">
        <v>94</v>
      </c>
      <c r="AE354" s="1303"/>
      <c r="AF354" s="1309">
        <v>3000</v>
      </c>
      <c r="AG354" s="1304">
        <f t="shared" si="197"/>
        <v>0</v>
      </c>
      <c r="AH354" s="938"/>
      <c r="AI354" s="1069" t="s">
        <v>95</v>
      </c>
      <c r="AJ354" s="926"/>
      <c r="AK354" s="926">
        <f t="shared" si="208"/>
        <v>6000</v>
      </c>
      <c r="AL354" s="926"/>
      <c r="AM354" s="858">
        <f t="shared" si="213"/>
        <v>6000</v>
      </c>
      <c r="AP354" s="926"/>
      <c r="AQ354" s="926"/>
      <c r="AS354" s="926">
        <f t="shared" si="209"/>
        <v>6000</v>
      </c>
      <c r="AT354" s="926"/>
      <c r="AU354" s="926"/>
      <c r="AV354" s="926"/>
      <c r="BE354" s="858"/>
      <c r="BN354" s="857">
        <f t="shared" si="210"/>
        <v>3000</v>
      </c>
      <c r="BP354" s="857">
        <f t="shared" si="215"/>
        <v>3000</v>
      </c>
      <c r="BQ354" s="857">
        <f t="shared" si="211"/>
        <v>3000</v>
      </c>
      <c r="BU354" s="939">
        <f t="shared" si="202"/>
        <v>6000</v>
      </c>
      <c r="BV354" s="939">
        <f>BV353+BU354</f>
        <v>2758346</v>
      </c>
      <c r="BW354" s="939"/>
      <c r="BX354" s="939"/>
      <c r="BY354" s="939"/>
      <c r="BZ354" s="939"/>
      <c r="CA354" s="857">
        <f t="shared" si="212"/>
        <v>61654</v>
      </c>
      <c r="CC354" s="857">
        <f t="shared" si="205"/>
        <v>0</v>
      </c>
      <c r="CD354" s="939">
        <f>CD353+CC354</f>
        <v>0</v>
      </c>
      <c r="CE354" s="939"/>
      <c r="CF354" s="939"/>
      <c r="CG354" s="939"/>
      <c r="CH354" s="939">
        <f t="shared" si="214"/>
        <v>60000</v>
      </c>
      <c r="CI354" s="939"/>
    </row>
    <row r="355" s="857" customFormat="1" ht="32" customHeight="1" spans="1:87">
      <c r="A355" s="1044">
        <v>46171</v>
      </c>
      <c r="B355" s="1048" t="s">
        <v>1424</v>
      </c>
      <c r="C355" s="928" t="s">
        <v>103</v>
      </c>
      <c r="D355" s="1047">
        <v>4500209704</v>
      </c>
      <c r="E355" s="1048" t="s">
        <v>1425</v>
      </c>
      <c r="F355" s="1047" t="s">
        <v>1426</v>
      </c>
      <c r="G355" s="926" t="s">
        <v>196</v>
      </c>
      <c r="H355" s="926" t="s">
        <v>197</v>
      </c>
      <c r="I355" s="1294">
        <v>492</v>
      </c>
      <c r="J355" s="926">
        <v>0</v>
      </c>
      <c r="K355" s="926">
        <v>12</v>
      </c>
      <c r="L355" s="1201">
        <f t="shared" si="195"/>
        <v>41</v>
      </c>
      <c r="M355" s="930">
        <v>46225</v>
      </c>
      <c r="N355" s="930">
        <v>46221</v>
      </c>
      <c r="O355" s="937"/>
      <c r="P355" s="1278" t="s">
        <v>86</v>
      </c>
      <c r="Q355" s="1041">
        <v>46233</v>
      </c>
      <c r="R355" s="1308" t="s">
        <v>1071</v>
      </c>
      <c r="S355" s="1308" t="s">
        <v>88</v>
      </c>
      <c r="T355" s="1067" t="s">
        <v>1427</v>
      </c>
      <c r="U355" s="1067"/>
      <c r="V355" s="1077" t="s">
        <v>1428</v>
      </c>
      <c r="W355" s="930" t="s">
        <v>1429</v>
      </c>
      <c r="X355" s="933">
        <v>4.2055</v>
      </c>
      <c r="Y355" s="1204">
        <f t="shared" si="196"/>
        <v>2069.106</v>
      </c>
      <c r="Z355" s="1311" t="s">
        <v>1430</v>
      </c>
      <c r="AA355" s="926"/>
      <c r="AB355" s="926" t="s">
        <v>808</v>
      </c>
      <c r="AC355" s="1202" t="s">
        <v>93</v>
      </c>
      <c r="AD355" s="1040" t="s">
        <v>94</v>
      </c>
      <c r="AE355" s="1303"/>
      <c r="AF355" s="1085">
        <v>492</v>
      </c>
      <c r="AG355" s="1304">
        <f t="shared" si="197"/>
        <v>0</v>
      </c>
      <c r="AH355" s="938"/>
      <c r="AI355" s="1069" t="s">
        <v>95</v>
      </c>
      <c r="AJ355" s="926"/>
      <c r="AK355" s="926">
        <f t="shared" si="208"/>
        <v>984</v>
      </c>
      <c r="AL355" s="926"/>
      <c r="AM355" s="858"/>
      <c r="AN355" s="857"/>
      <c r="AO355" s="857">
        <f>I355*2</f>
        <v>984</v>
      </c>
      <c r="AP355" s="926"/>
      <c r="AQ355" s="926"/>
      <c r="AS355" s="926">
        <f t="shared" si="209"/>
        <v>984</v>
      </c>
      <c r="AT355" s="926"/>
      <c r="AU355" s="926"/>
      <c r="AV355" s="926"/>
      <c r="BE355" s="858"/>
      <c r="BN355" s="857">
        <f t="shared" si="210"/>
        <v>492</v>
      </c>
      <c r="BO355" s="857">
        <f>I355</f>
        <v>492</v>
      </c>
      <c r="BQ355" s="857">
        <f t="shared" si="211"/>
        <v>492</v>
      </c>
      <c r="BU355" s="939">
        <f t="shared" si="202"/>
        <v>984</v>
      </c>
      <c r="BV355" s="939">
        <f>BV367+BU355</f>
        <v>2725346</v>
      </c>
      <c r="BW355" s="939"/>
      <c r="BX355" s="939"/>
      <c r="BY355" s="939"/>
      <c r="BZ355" s="939"/>
      <c r="CA355" s="857"/>
      <c r="CD355" s="939"/>
      <c r="CE355" s="939"/>
      <c r="CF355" s="939"/>
      <c r="CG355" s="939"/>
      <c r="CH355" s="939"/>
      <c r="CI355" s="939"/>
    </row>
    <row r="356" s="857" customFormat="1" ht="32" customHeight="1" spans="1:87">
      <c r="A356" s="1044">
        <v>46188</v>
      </c>
      <c r="B356" s="1048" t="s">
        <v>314</v>
      </c>
      <c r="C356" s="928" t="s">
        <v>125</v>
      </c>
      <c r="D356" s="1047" t="s">
        <v>1431</v>
      </c>
      <c r="E356" s="1048" t="s">
        <v>1432</v>
      </c>
      <c r="F356" s="1047" t="s">
        <v>1433</v>
      </c>
      <c r="G356" s="926" t="s">
        <v>196</v>
      </c>
      <c r="H356" s="926" t="s">
        <v>197</v>
      </c>
      <c r="I356" s="1294">
        <v>3000</v>
      </c>
      <c r="J356" s="926">
        <v>0</v>
      </c>
      <c r="K356" s="926">
        <v>12</v>
      </c>
      <c r="L356" s="1201">
        <f t="shared" si="195"/>
        <v>250</v>
      </c>
      <c r="M356" s="930">
        <v>46246</v>
      </c>
      <c r="N356" s="930">
        <v>46242</v>
      </c>
      <c r="O356" s="937"/>
      <c r="P356" s="1278" t="s">
        <v>86</v>
      </c>
      <c r="Q356" s="1069" t="s">
        <v>1434</v>
      </c>
      <c r="R356" s="1308">
        <v>46199</v>
      </c>
      <c r="S356" s="1308" t="s">
        <v>98</v>
      </c>
      <c r="T356" s="1067" t="s">
        <v>1435</v>
      </c>
      <c r="U356" s="932"/>
      <c r="V356" s="1077" t="s">
        <v>1436</v>
      </c>
      <c r="W356" s="930" t="s">
        <v>1335</v>
      </c>
      <c r="X356" s="933">
        <v>2.5328</v>
      </c>
      <c r="Y356" s="1204">
        <f t="shared" si="196"/>
        <v>7598.4</v>
      </c>
      <c r="Z356" s="1204"/>
      <c r="AA356" s="926"/>
      <c r="AB356" s="926" t="s">
        <v>984</v>
      </c>
      <c r="AC356" s="1202" t="s">
        <v>93</v>
      </c>
      <c r="AD356" s="1040" t="s">
        <v>94</v>
      </c>
      <c r="AE356" s="1303"/>
      <c r="AF356" s="1309">
        <v>3000</v>
      </c>
      <c r="AG356" s="1304">
        <f t="shared" si="197"/>
        <v>0</v>
      </c>
      <c r="AH356" s="938"/>
      <c r="AI356" s="1069" t="s">
        <v>95</v>
      </c>
      <c r="AJ356" s="926"/>
      <c r="AK356" s="926">
        <f t="shared" si="208"/>
        <v>6000</v>
      </c>
      <c r="AL356" s="926"/>
      <c r="AM356" s="858">
        <f>I356*2</f>
        <v>6000</v>
      </c>
      <c r="AP356" s="926"/>
      <c r="AQ356" s="926"/>
      <c r="AS356" s="926">
        <f t="shared" si="209"/>
        <v>6000</v>
      </c>
      <c r="AT356" s="926"/>
      <c r="AU356" s="926"/>
      <c r="AV356" s="926"/>
      <c r="BE356" s="858"/>
      <c r="BN356" s="857">
        <f t="shared" si="210"/>
        <v>3000</v>
      </c>
      <c r="BP356" s="857">
        <f>I356</f>
        <v>3000</v>
      </c>
      <c r="BQ356" s="857">
        <f t="shared" si="211"/>
        <v>3000</v>
      </c>
      <c r="BU356" s="939">
        <f t="shared" si="202"/>
        <v>6000</v>
      </c>
      <c r="BV356" s="939">
        <f>BV354+BU356</f>
        <v>2764346</v>
      </c>
      <c r="BW356" s="939"/>
      <c r="BX356" s="939"/>
      <c r="BY356" s="939"/>
      <c r="BZ356" s="939"/>
      <c r="CA356" s="857">
        <f>SUM(BX$1:CB$1)-BV356</f>
        <v>55654</v>
      </c>
      <c r="CC356" s="857">
        <f>AW356+AX356+BE356+BF356</f>
        <v>0</v>
      </c>
      <c r="CD356" s="939">
        <f>CD354+CC356</f>
        <v>0</v>
      </c>
      <c r="CE356" s="939"/>
      <c r="CF356" s="939"/>
      <c r="CG356" s="939"/>
      <c r="CH356" s="939">
        <f>$CF$1+$CG$1+$CH$1+$CI$1-CD356</f>
        <v>60000</v>
      </c>
      <c r="CI356" s="939"/>
    </row>
    <row r="357" s="857" customFormat="1" ht="32" customHeight="1" spans="1:87">
      <c r="A357" s="1044">
        <v>46188</v>
      </c>
      <c r="B357" s="1048" t="s">
        <v>314</v>
      </c>
      <c r="C357" s="928" t="s">
        <v>125</v>
      </c>
      <c r="D357" s="1047" t="s">
        <v>1437</v>
      </c>
      <c r="E357" s="1048" t="s">
        <v>1438</v>
      </c>
      <c r="F357" s="1047" t="s">
        <v>1439</v>
      </c>
      <c r="G357" s="926" t="s">
        <v>196</v>
      </c>
      <c r="H357" s="926" t="s">
        <v>197</v>
      </c>
      <c r="I357" s="1294">
        <v>3000</v>
      </c>
      <c r="J357" s="926">
        <v>0</v>
      </c>
      <c r="K357" s="926">
        <v>12</v>
      </c>
      <c r="L357" s="1201">
        <f t="shared" si="195"/>
        <v>250</v>
      </c>
      <c r="M357" s="930">
        <v>46246</v>
      </c>
      <c r="N357" s="930">
        <v>46242</v>
      </c>
      <c r="O357" s="937"/>
      <c r="P357" s="1278" t="s">
        <v>86</v>
      </c>
      <c r="Q357" s="1069" t="s">
        <v>1440</v>
      </c>
      <c r="R357" s="1308">
        <v>46199</v>
      </c>
      <c r="S357" s="1308" t="s">
        <v>98</v>
      </c>
      <c r="T357" s="1067" t="s">
        <v>1405</v>
      </c>
      <c r="U357" s="932"/>
      <c r="V357" s="1077" t="s">
        <v>1441</v>
      </c>
      <c r="W357" s="930" t="s">
        <v>1335</v>
      </c>
      <c r="X357" s="933">
        <v>2.5328</v>
      </c>
      <c r="Y357" s="1204">
        <f t="shared" si="196"/>
        <v>7598.4</v>
      </c>
      <c r="Z357" s="1204"/>
      <c r="AA357" s="926"/>
      <c r="AB357" s="926" t="s">
        <v>984</v>
      </c>
      <c r="AC357" s="1202" t="s">
        <v>93</v>
      </c>
      <c r="AD357" s="1040" t="s">
        <v>94</v>
      </c>
      <c r="AE357" s="1303"/>
      <c r="AF357" s="1309">
        <v>3000</v>
      </c>
      <c r="AG357" s="1304">
        <f t="shared" si="197"/>
        <v>0</v>
      </c>
      <c r="AH357" s="938"/>
      <c r="AI357" s="1069" t="s">
        <v>95</v>
      </c>
      <c r="AJ357" s="926"/>
      <c r="AK357" s="926">
        <f t="shared" si="208"/>
        <v>6000</v>
      </c>
      <c r="AL357" s="926"/>
      <c r="AM357" s="858">
        <f>I357*2</f>
        <v>6000</v>
      </c>
      <c r="AP357" s="926"/>
      <c r="AQ357" s="926"/>
      <c r="AR357" s="857"/>
      <c r="AS357" s="926">
        <f t="shared" si="209"/>
        <v>6000</v>
      </c>
      <c r="AT357" s="926"/>
      <c r="AU357" s="926"/>
      <c r="AV357" s="926"/>
      <c r="BE357" s="858"/>
      <c r="BN357" s="857">
        <f t="shared" si="210"/>
        <v>3000</v>
      </c>
      <c r="BP357" s="857">
        <f>I357</f>
        <v>3000</v>
      </c>
      <c r="BQ357" s="857">
        <f t="shared" si="211"/>
        <v>3000</v>
      </c>
      <c r="BU357" s="939">
        <f t="shared" si="202"/>
        <v>6000</v>
      </c>
      <c r="BV357" s="939">
        <f>BV356+BU357</f>
        <v>2770346</v>
      </c>
      <c r="BW357" s="939"/>
      <c r="BX357" s="939"/>
      <c r="BY357" s="939"/>
      <c r="BZ357" s="939"/>
      <c r="CA357" s="857">
        <f>SUM(BX$1:CB$1)-BV357</f>
        <v>49654</v>
      </c>
      <c r="CC357" s="857">
        <f>AW357+AX357+BE357+BF357</f>
        <v>0</v>
      </c>
      <c r="CD357" s="939">
        <f>CD356+CC357</f>
        <v>0</v>
      </c>
      <c r="CE357" s="939"/>
      <c r="CF357" s="939"/>
      <c r="CG357" s="939"/>
      <c r="CH357" s="939">
        <f>$CF$1+$CG$1+$CH$1+$CI$1-CD357</f>
        <v>60000</v>
      </c>
      <c r="CI357" s="939"/>
    </row>
    <row r="358" s="857" customFormat="1" ht="32" customHeight="1" spans="1:87">
      <c r="A358" s="1044">
        <v>46204</v>
      </c>
      <c r="B358" s="1048" t="s">
        <v>1442</v>
      </c>
      <c r="C358" s="928" t="s">
        <v>125</v>
      </c>
      <c r="D358" s="1047" t="s">
        <v>1443</v>
      </c>
      <c r="E358" s="1048" t="s">
        <v>1444</v>
      </c>
      <c r="F358" s="1047" t="s">
        <v>1445</v>
      </c>
      <c r="G358" s="926" t="s">
        <v>353</v>
      </c>
      <c r="H358" s="926" t="s">
        <v>189</v>
      </c>
      <c r="I358" s="1294">
        <v>1500</v>
      </c>
      <c r="J358" s="926">
        <v>0</v>
      </c>
      <c r="K358" s="926">
        <v>6</v>
      </c>
      <c r="L358" s="1201">
        <f t="shared" ref="L358:L374" si="216">I358/K358</f>
        <v>250</v>
      </c>
      <c r="M358" s="930">
        <v>46245</v>
      </c>
      <c r="N358" s="930">
        <v>46241</v>
      </c>
      <c r="O358" s="937"/>
      <c r="P358" s="1278" t="s">
        <v>86</v>
      </c>
      <c r="Q358" s="1041">
        <v>46244</v>
      </c>
      <c r="R358" s="1308">
        <v>46209</v>
      </c>
      <c r="S358" s="1308" t="s">
        <v>98</v>
      </c>
      <c r="T358" s="932" t="s">
        <v>1364</v>
      </c>
      <c r="U358" s="932"/>
      <c r="V358" s="933" t="s">
        <v>1446</v>
      </c>
      <c r="W358" s="930" t="s">
        <v>1447</v>
      </c>
      <c r="X358" s="933">
        <v>1.2112</v>
      </c>
      <c r="Y358" s="1204">
        <f t="shared" ref="Y358:Y374" si="217">I358*X358</f>
        <v>1816.8</v>
      </c>
      <c r="Z358" s="1204"/>
      <c r="AA358" s="926"/>
      <c r="AB358" s="926" t="s">
        <v>1277</v>
      </c>
      <c r="AC358" s="1202" t="s">
        <v>93</v>
      </c>
      <c r="AD358" s="1040" t="s">
        <v>94</v>
      </c>
      <c r="AE358" s="1303"/>
      <c r="AF358" s="1312">
        <v>1500</v>
      </c>
      <c r="AG358" s="1304">
        <f t="shared" ref="AG358:AG374" si="218">AF358-I358</f>
        <v>0</v>
      </c>
      <c r="AH358" s="938"/>
      <c r="AI358" s="1073"/>
      <c r="AJ358" s="926"/>
      <c r="AK358" s="926">
        <f t="shared" ref="AK358:AK366" si="219">I358</f>
        <v>1500</v>
      </c>
      <c r="AL358" s="926"/>
      <c r="AM358" s="926">
        <f t="shared" ref="AM358:AM366" si="220">I358</f>
        <v>1500</v>
      </c>
      <c r="AP358" s="926"/>
      <c r="AQ358" s="926"/>
      <c r="AS358" s="926">
        <f t="shared" ref="AS358:AS366" si="221">I358</f>
        <v>1500</v>
      </c>
      <c r="AT358" s="926"/>
      <c r="AU358" s="926"/>
      <c r="AV358" s="926"/>
      <c r="BB358" s="857">
        <f t="shared" ref="BB358:BB366" si="222">I358/6</f>
        <v>250</v>
      </c>
      <c r="BE358" s="858"/>
      <c r="BU358" s="939">
        <f t="shared" ref="BU358:BU374" si="223">AK358+AL358</f>
        <v>1500</v>
      </c>
      <c r="BV358" s="939">
        <f>BV373+BU358</f>
        <v>2682026</v>
      </c>
      <c r="BW358" s="939"/>
      <c r="BX358" s="939"/>
      <c r="BY358" s="939"/>
      <c r="BZ358" s="939"/>
      <c r="CA358" s="857">
        <f t="shared" ref="CA358:CA367" si="224">SUM(BX$1:CB$1)-BV358</f>
        <v>137974</v>
      </c>
      <c r="CC358" s="857">
        <f t="shared" ref="CC358:CC367" si="225">AW358+AX358+BE358+BF358</f>
        <v>0</v>
      </c>
      <c r="CD358" s="939">
        <f>CD354+CC358</f>
        <v>0</v>
      </c>
      <c r="CE358" s="939"/>
      <c r="CF358" s="939"/>
      <c r="CG358" s="939"/>
      <c r="CH358" s="939">
        <f t="shared" ref="CH358:CH367" si="226">$CF$1+$CG$1+$CH$1+$CI$1-CD358</f>
        <v>60000</v>
      </c>
      <c r="CI358" s="939"/>
    </row>
    <row r="359" s="857" customFormat="1" ht="32" customHeight="1" spans="1:87">
      <c r="A359" s="1044">
        <v>46204</v>
      </c>
      <c r="B359" s="1048" t="s">
        <v>1442</v>
      </c>
      <c r="C359" s="928" t="s">
        <v>125</v>
      </c>
      <c r="D359" s="1047" t="s">
        <v>1443</v>
      </c>
      <c r="E359" s="1048" t="s">
        <v>1448</v>
      </c>
      <c r="F359" s="1047" t="s">
        <v>1449</v>
      </c>
      <c r="G359" s="926" t="s">
        <v>353</v>
      </c>
      <c r="H359" s="926" t="s">
        <v>189</v>
      </c>
      <c r="I359" s="1294">
        <v>924</v>
      </c>
      <c r="J359" s="926">
        <v>0</v>
      </c>
      <c r="K359" s="926">
        <v>6</v>
      </c>
      <c r="L359" s="1201">
        <f t="shared" si="216"/>
        <v>154</v>
      </c>
      <c r="M359" s="930">
        <v>46245</v>
      </c>
      <c r="N359" s="1066">
        <v>46241</v>
      </c>
      <c r="O359" s="937"/>
      <c r="P359" s="1278" t="s">
        <v>86</v>
      </c>
      <c r="Q359" s="1041">
        <v>46244</v>
      </c>
      <c r="R359" s="1308">
        <v>46209</v>
      </c>
      <c r="S359" s="1308" t="s">
        <v>98</v>
      </c>
      <c r="T359" s="932" t="s">
        <v>1364</v>
      </c>
      <c r="U359" s="932"/>
      <c r="V359" s="933" t="s">
        <v>1446</v>
      </c>
      <c r="W359" s="930" t="s">
        <v>1447</v>
      </c>
      <c r="X359" s="933">
        <v>1.2112</v>
      </c>
      <c r="Y359" s="1204">
        <f t="shared" si="217"/>
        <v>1119.1488</v>
      </c>
      <c r="Z359" s="1204"/>
      <c r="AA359" s="926"/>
      <c r="AB359" s="926" t="s">
        <v>1277</v>
      </c>
      <c r="AC359" s="1202" t="s">
        <v>93</v>
      </c>
      <c r="AD359" s="1040" t="s">
        <v>94</v>
      </c>
      <c r="AE359" s="1303"/>
      <c r="AF359" s="1303">
        <v>924</v>
      </c>
      <c r="AG359" s="1304">
        <f t="shared" si="218"/>
        <v>0</v>
      </c>
      <c r="AH359" s="938"/>
      <c r="AI359" s="1313"/>
      <c r="AJ359" s="926"/>
      <c r="AK359" s="926">
        <f t="shared" si="219"/>
        <v>924</v>
      </c>
      <c r="AL359" s="926"/>
      <c r="AM359" s="926">
        <f t="shared" si="220"/>
        <v>924</v>
      </c>
      <c r="AP359" s="926"/>
      <c r="AQ359" s="926"/>
      <c r="AS359" s="926">
        <f t="shared" si="221"/>
        <v>924</v>
      </c>
      <c r="AT359" s="926"/>
      <c r="AU359" s="926"/>
      <c r="AV359" s="926"/>
      <c r="BB359" s="857">
        <f t="shared" si="222"/>
        <v>154</v>
      </c>
      <c r="BE359" s="858"/>
      <c r="BU359" s="939">
        <f t="shared" si="223"/>
        <v>924</v>
      </c>
      <c r="BV359" s="939">
        <f t="shared" ref="BV358:BV366" si="227">BV358+BU359</f>
        <v>2682950</v>
      </c>
      <c r="BW359" s="939"/>
      <c r="BX359" s="939"/>
      <c r="BY359" s="939"/>
      <c r="BZ359" s="939"/>
      <c r="CA359" s="857">
        <f t="shared" si="224"/>
        <v>137050</v>
      </c>
      <c r="CC359" s="857">
        <f t="shared" si="225"/>
        <v>0</v>
      </c>
      <c r="CD359" s="939">
        <f t="shared" ref="CD358:CD366" si="228">CD358+CC359</f>
        <v>0</v>
      </c>
      <c r="CE359" s="939"/>
      <c r="CF359" s="939"/>
      <c r="CG359" s="939"/>
      <c r="CH359" s="939">
        <f t="shared" si="226"/>
        <v>60000</v>
      </c>
      <c r="CI359" s="939"/>
    </row>
    <row r="360" s="857" customFormat="1" ht="32" customHeight="1" spans="1:87">
      <c r="A360" s="1044">
        <v>46204</v>
      </c>
      <c r="B360" s="1048" t="s">
        <v>1442</v>
      </c>
      <c r="C360" s="928" t="s">
        <v>125</v>
      </c>
      <c r="D360" s="1047" t="s">
        <v>1443</v>
      </c>
      <c r="E360" s="1048" t="s">
        <v>1450</v>
      </c>
      <c r="F360" s="1047" t="s">
        <v>1451</v>
      </c>
      <c r="G360" s="926" t="s">
        <v>353</v>
      </c>
      <c r="H360" s="926" t="s">
        <v>189</v>
      </c>
      <c r="I360" s="1294">
        <v>2340</v>
      </c>
      <c r="J360" s="926">
        <v>0</v>
      </c>
      <c r="K360" s="926">
        <v>6</v>
      </c>
      <c r="L360" s="1201">
        <f t="shared" si="216"/>
        <v>390</v>
      </c>
      <c r="M360" s="930">
        <v>46245</v>
      </c>
      <c r="N360" s="1066">
        <v>46241</v>
      </c>
      <c r="O360" s="937"/>
      <c r="P360" s="1278" t="s">
        <v>86</v>
      </c>
      <c r="Q360" s="1041">
        <v>46244</v>
      </c>
      <c r="R360" s="1308">
        <v>46209</v>
      </c>
      <c r="S360" s="1308" t="s">
        <v>98</v>
      </c>
      <c r="T360" s="932" t="s">
        <v>1364</v>
      </c>
      <c r="U360" s="932"/>
      <c r="V360" s="933" t="s">
        <v>1446</v>
      </c>
      <c r="W360" s="930" t="s">
        <v>1447</v>
      </c>
      <c r="X360" s="933">
        <v>1.2112</v>
      </c>
      <c r="Y360" s="1204">
        <f t="shared" si="217"/>
        <v>2834.208</v>
      </c>
      <c r="Z360" s="1204"/>
      <c r="AA360" s="926"/>
      <c r="AB360" s="926" t="s">
        <v>1277</v>
      </c>
      <c r="AC360" s="1202" t="s">
        <v>93</v>
      </c>
      <c r="AD360" s="1040" t="s">
        <v>94</v>
      </c>
      <c r="AE360" s="1303"/>
      <c r="AF360" s="1303">
        <v>2340</v>
      </c>
      <c r="AG360" s="1304">
        <f t="shared" si="218"/>
        <v>0</v>
      </c>
      <c r="AH360" s="938"/>
      <c r="AI360" s="1313"/>
      <c r="AJ360" s="926"/>
      <c r="AK360" s="926">
        <f t="shared" si="219"/>
        <v>2340</v>
      </c>
      <c r="AL360" s="926"/>
      <c r="AM360" s="926">
        <f t="shared" si="220"/>
        <v>2340</v>
      </c>
      <c r="AP360" s="926"/>
      <c r="AQ360" s="926"/>
      <c r="AS360" s="926">
        <f t="shared" si="221"/>
        <v>2340</v>
      </c>
      <c r="AT360" s="926"/>
      <c r="AU360" s="926"/>
      <c r="AV360" s="926"/>
      <c r="BB360" s="857">
        <f t="shared" si="222"/>
        <v>390</v>
      </c>
      <c r="BE360" s="858"/>
      <c r="BU360" s="939">
        <f t="shared" si="223"/>
        <v>2340</v>
      </c>
      <c r="BV360" s="939">
        <f t="shared" si="227"/>
        <v>2685290</v>
      </c>
      <c r="BW360" s="939"/>
      <c r="BX360" s="939"/>
      <c r="BY360" s="939"/>
      <c r="BZ360" s="939"/>
      <c r="CA360" s="857">
        <f t="shared" si="224"/>
        <v>134710</v>
      </c>
      <c r="CC360" s="857">
        <f t="shared" si="225"/>
        <v>0</v>
      </c>
      <c r="CD360" s="939">
        <f t="shared" si="228"/>
        <v>0</v>
      </c>
      <c r="CE360" s="939"/>
      <c r="CF360" s="939"/>
      <c r="CG360" s="939"/>
      <c r="CH360" s="939">
        <f t="shared" si="226"/>
        <v>60000</v>
      </c>
      <c r="CI360" s="939"/>
    </row>
    <row r="361" s="857" customFormat="1" ht="32" customHeight="1" spans="1:87">
      <c r="A361" s="1044">
        <v>46204</v>
      </c>
      <c r="B361" s="1048" t="s">
        <v>1442</v>
      </c>
      <c r="C361" s="928" t="s">
        <v>125</v>
      </c>
      <c r="D361" s="1047" t="s">
        <v>1443</v>
      </c>
      <c r="E361" s="1048" t="s">
        <v>1452</v>
      </c>
      <c r="F361" s="1047" t="s">
        <v>1453</v>
      </c>
      <c r="G361" s="926" t="s">
        <v>353</v>
      </c>
      <c r="H361" s="926" t="s">
        <v>189</v>
      </c>
      <c r="I361" s="1294">
        <v>1020</v>
      </c>
      <c r="J361" s="926">
        <v>0</v>
      </c>
      <c r="K361" s="926">
        <v>6</v>
      </c>
      <c r="L361" s="1201">
        <f t="shared" si="216"/>
        <v>170</v>
      </c>
      <c r="M361" s="930">
        <v>46245</v>
      </c>
      <c r="N361" s="1066">
        <v>46241</v>
      </c>
      <c r="O361" s="937"/>
      <c r="P361" s="1278" t="s">
        <v>86</v>
      </c>
      <c r="Q361" s="1041">
        <v>46244</v>
      </c>
      <c r="R361" s="1308">
        <v>46209</v>
      </c>
      <c r="S361" s="1308" t="s">
        <v>98</v>
      </c>
      <c r="T361" s="932" t="s">
        <v>1364</v>
      </c>
      <c r="U361" s="932"/>
      <c r="V361" s="933" t="s">
        <v>1446</v>
      </c>
      <c r="W361" s="930" t="s">
        <v>1447</v>
      </c>
      <c r="X361" s="933">
        <v>1.2112</v>
      </c>
      <c r="Y361" s="1204">
        <f t="shared" si="217"/>
        <v>1235.424</v>
      </c>
      <c r="Z361" s="1204"/>
      <c r="AA361" s="926"/>
      <c r="AB361" s="926" t="s">
        <v>1277</v>
      </c>
      <c r="AC361" s="1202" t="s">
        <v>93</v>
      </c>
      <c r="AD361" s="1040" t="s">
        <v>94</v>
      </c>
      <c r="AE361" s="1303"/>
      <c r="AF361" s="1303">
        <v>1020</v>
      </c>
      <c r="AG361" s="1304">
        <f t="shared" si="218"/>
        <v>0</v>
      </c>
      <c r="AH361" s="938"/>
      <c r="AI361" s="1313"/>
      <c r="AJ361" s="926"/>
      <c r="AK361" s="926">
        <f t="shared" si="219"/>
        <v>1020</v>
      </c>
      <c r="AL361" s="926"/>
      <c r="AM361" s="926">
        <f t="shared" si="220"/>
        <v>1020</v>
      </c>
      <c r="AP361" s="926"/>
      <c r="AQ361" s="926"/>
      <c r="AS361" s="926">
        <f t="shared" si="221"/>
        <v>1020</v>
      </c>
      <c r="AT361" s="926"/>
      <c r="AU361" s="926"/>
      <c r="AV361" s="926"/>
      <c r="BB361" s="857">
        <f t="shared" si="222"/>
        <v>170</v>
      </c>
      <c r="BE361" s="858"/>
      <c r="BU361" s="939">
        <f t="shared" si="223"/>
        <v>1020</v>
      </c>
      <c r="BV361" s="939">
        <f t="shared" si="227"/>
        <v>2686310</v>
      </c>
      <c r="BW361" s="939"/>
      <c r="BX361" s="939"/>
      <c r="BY361" s="939"/>
      <c r="BZ361" s="939"/>
      <c r="CA361" s="857">
        <f t="shared" si="224"/>
        <v>133690</v>
      </c>
      <c r="CC361" s="857">
        <f t="shared" si="225"/>
        <v>0</v>
      </c>
      <c r="CD361" s="939">
        <f t="shared" si="228"/>
        <v>0</v>
      </c>
      <c r="CE361" s="939"/>
      <c r="CF361" s="939"/>
      <c r="CG361" s="939"/>
      <c r="CH361" s="939">
        <f t="shared" si="226"/>
        <v>60000</v>
      </c>
      <c r="CI361" s="939"/>
    </row>
    <row r="362" s="857" customFormat="1" ht="32" customHeight="1" spans="1:87">
      <c r="A362" s="1044">
        <v>46204</v>
      </c>
      <c r="B362" s="1048" t="s">
        <v>1442</v>
      </c>
      <c r="C362" s="928" t="s">
        <v>125</v>
      </c>
      <c r="D362" s="1047" t="s">
        <v>1443</v>
      </c>
      <c r="E362" s="1048" t="s">
        <v>1454</v>
      </c>
      <c r="F362" s="1047" t="s">
        <v>1455</v>
      </c>
      <c r="G362" s="926" t="s">
        <v>353</v>
      </c>
      <c r="H362" s="926" t="s">
        <v>189</v>
      </c>
      <c r="I362" s="1294">
        <v>2376</v>
      </c>
      <c r="J362" s="926">
        <v>0</v>
      </c>
      <c r="K362" s="926">
        <v>6</v>
      </c>
      <c r="L362" s="1201">
        <f t="shared" si="216"/>
        <v>396</v>
      </c>
      <c r="M362" s="930">
        <v>46245</v>
      </c>
      <c r="N362" s="1066">
        <v>46241</v>
      </c>
      <c r="O362" s="937"/>
      <c r="P362" s="1278" t="s">
        <v>86</v>
      </c>
      <c r="Q362" s="1041">
        <v>46244</v>
      </c>
      <c r="R362" s="1308">
        <v>46209</v>
      </c>
      <c r="S362" s="1308" t="s">
        <v>98</v>
      </c>
      <c r="T362" s="932" t="s">
        <v>1364</v>
      </c>
      <c r="U362" s="932"/>
      <c r="V362" s="933" t="s">
        <v>1446</v>
      </c>
      <c r="W362" s="930" t="s">
        <v>1447</v>
      </c>
      <c r="X362" s="933">
        <v>1.2112</v>
      </c>
      <c r="Y362" s="1204">
        <f t="shared" si="217"/>
        <v>2877.8112</v>
      </c>
      <c r="Z362" s="1204"/>
      <c r="AA362" s="926"/>
      <c r="AB362" s="926" t="s">
        <v>1277</v>
      </c>
      <c r="AC362" s="1202" t="s">
        <v>93</v>
      </c>
      <c r="AD362" s="1040" t="s">
        <v>94</v>
      </c>
      <c r="AE362" s="1303"/>
      <c r="AF362" s="1303">
        <v>2376</v>
      </c>
      <c r="AG362" s="1304">
        <f t="shared" si="218"/>
        <v>0</v>
      </c>
      <c r="AH362" s="938"/>
      <c r="AI362" s="1313"/>
      <c r="AJ362" s="926"/>
      <c r="AK362" s="926">
        <f t="shared" si="219"/>
        <v>2376</v>
      </c>
      <c r="AL362" s="926"/>
      <c r="AM362" s="926">
        <f t="shared" si="220"/>
        <v>2376</v>
      </c>
      <c r="AP362" s="926"/>
      <c r="AQ362" s="926"/>
      <c r="AS362" s="926">
        <f t="shared" si="221"/>
        <v>2376</v>
      </c>
      <c r="AT362" s="926"/>
      <c r="AU362" s="926"/>
      <c r="AV362" s="926"/>
      <c r="BB362" s="857">
        <f t="shared" si="222"/>
        <v>396</v>
      </c>
      <c r="BE362" s="858"/>
      <c r="BU362" s="939">
        <f t="shared" si="223"/>
        <v>2376</v>
      </c>
      <c r="BV362" s="939">
        <f t="shared" si="227"/>
        <v>2688686</v>
      </c>
      <c r="BW362" s="939"/>
      <c r="BX362" s="939"/>
      <c r="BY362" s="939"/>
      <c r="BZ362" s="939"/>
      <c r="CA362" s="857">
        <f t="shared" si="224"/>
        <v>131314</v>
      </c>
      <c r="CC362" s="857">
        <f t="shared" si="225"/>
        <v>0</v>
      </c>
      <c r="CD362" s="939">
        <f t="shared" si="228"/>
        <v>0</v>
      </c>
      <c r="CE362" s="939"/>
      <c r="CF362" s="939"/>
      <c r="CG362" s="939"/>
      <c r="CH362" s="939">
        <f t="shared" si="226"/>
        <v>60000</v>
      </c>
      <c r="CI362" s="939"/>
    </row>
    <row r="363" s="857" customFormat="1" ht="32" customHeight="1" spans="1:87">
      <c r="A363" s="1044">
        <v>46204</v>
      </c>
      <c r="B363" s="1048" t="s">
        <v>1442</v>
      </c>
      <c r="C363" s="928" t="s">
        <v>125</v>
      </c>
      <c r="D363" s="1047" t="s">
        <v>1443</v>
      </c>
      <c r="E363" s="1048" t="s">
        <v>1456</v>
      </c>
      <c r="F363" s="1047" t="s">
        <v>1457</v>
      </c>
      <c r="G363" s="926" t="s">
        <v>353</v>
      </c>
      <c r="H363" s="926" t="s">
        <v>189</v>
      </c>
      <c r="I363" s="1294">
        <v>1008</v>
      </c>
      <c r="J363" s="926">
        <v>0</v>
      </c>
      <c r="K363" s="926">
        <v>6</v>
      </c>
      <c r="L363" s="1201">
        <f t="shared" si="216"/>
        <v>168</v>
      </c>
      <c r="M363" s="930">
        <v>46245</v>
      </c>
      <c r="N363" s="1066">
        <v>46241</v>
      </c>
      <c r="O363" s="937"/>
      <c r="P363" s="1278" t="s">
        <v>86</v>
      </c>
      <c r="Q363" s="1041">
        <v>46244</v>
      </c>
      <c r="R363" s="1308">
        <v>46209</v>
      </c>
      <c r="S363" s="1308" t="s">
        <v>98</v>
      </c>
      <c r="T363" s="932" t="s">
        <v>1364</v>
      </c>
      <c r="U363" s="932"/>
      <c r="V363" s="933" t="s">
        <v>1446</v>
      </c>
      <c r="W363" s="930" t="s">
        <v>1447</v>
      </c>
      <c r="X363" s="933">
        <v>1.2112</v>
      </c>
      <c r="Y363" s="1204">
        <f t="shared" si="217"/>
        <v>1220.8896</v>
      </c>
      <c r="Z363" s="1204"/>
      <c r="AA363" s="926"/>
      <c r="AB363" s="926" t="s">
        <v>1277</v>
      </c>
      <c r="AC363" s="1202" t="s">
        <v>93</v>
      </c>
      <c r="AD363" s="1040" t="s">
        <v>94</v>
      </c>
      <c r="AE363" s="1303"/>
      <c r="AF363" s="1303">
        <v>1008</v>
      </c>
      <c r="AG363" s="1304">
        <f t="shared" si="218"/>
        <v>0</v>
      </c>
      <c r="AH363" s="938"/>
      <c r="AI363" s="1313"/>
      <c r="AJ363" s="926"/>
      <c r="AK363" s="926">
        <f t="shared" si="219"/>
        <v>1008</v>
      </c>
      <c r="AL363" s="926"/>
      <c r="AM363" s="926">
        <f t="shared" si="220"/>
        <v>1008</v>
      </c>
      <c r="AP363" s="926"/>
      <c r="AQ363" s="926"/>
      <c r="AS363" s="926">
        <f t="shared" si="221"/>
        <v>1008</v>
      </c>
      <c r="AT363" s="926"/>
      <c r="AU363" s="926"/>
      <c r="AV363" s="926"/>
      <c r="BB363" s="857">
        <f t="shared" si="222"/>
        <v>168</v>
      </c>
      <c r="BE363" s="858"/>
      <c r="BU363" s="939">
        <f t="shared" si="223"/>
        <v>1008</v>
      </c>
      <c r="BV363" s="939">
        <f t="shared" si="227"/>
        <v>2689694</v>
      </c>
      <c r="BW363" s="939"/>
      <c r="BX363" s="939"/>
      <c r="BY363" s="939"/>
      <c r="BZ363" s="939"/>
      <c r="CA363" s="857">
        <f t="shared" si="224"/>
        <v>130306</v>
      </c>
      <c r="CC363" s="857">
        <f t="shared" si="225"/>
        <v>0</v>
      </c>
      <c r="CD363" s="939">
        <f t="shared" si="228"/>
        <v>0</v>
      </c>
      <c r="CE363" s="939"/>
      <c r="CF363" s="939"/>
      <c r="CG363" s="939"/>
      <c r="CH363" s="939">
        <f t="shared" si="226"/>
        <v>60000</v>
      </c>
      <c r="CI363" s="939"/>
    </row>
    <row r="364" s="857" customFormat="1" ht="32" customHeight="1" spans="1:87">
      <c r="A364" s="1044">
        <v>46204</v>
      </c>
      <c r="B364" s="1048" t="s">
        <v>1442</v>
      </c>
      <c r="C364" s="928" t="s">
        <v>125</v>
      </c>
      <c r="D364" s="1047" t="s">
        <v>1443</v>
      </c>
      <c r="E364" s="1048" t="s">
        <v>1458</v>
      </c>
      <c r="F364" s="1047" t="s">
        <v>1459</v>
      </c>
      <c r="G364" s="926" t="s">
        <v>353</v>
      </c>
      <c r="H364" s="926" t="s">
        <v>189</v>
      </c>
      <c r="I364" s="1294">
        <v>1200</v>
      </c>
      <c r="J364" s="926">
        <v>0</v>
      </c>
      <c r="K364" s="926">
        <v>6</v>
      </c>
      <c r="L364" s="1201">
        <f t="shared" si="216"/>
        <v>200</v>
      </c>
      <c r="M364" s="930">
        <v>46245</v>
      </c>
      <c r="N364" s="1066">
        <v>46241</v>
      </c>
      <c r="O364" s="937"/>
      <c r="P364" s="1278" t="s">
        <v>86</v>
      </c>
      <c r="Q364" s="1041">
        <v>46244</v>
      </c>
      <c r="R364" s="1308">
        <v>46209</v>
      </c>
      <c r="S364" s="1308" t="s">
        <v>98</v>
      </c>
      <c r="T364" s="932" t="s">
        <v>1364</v>
      </c>
      <c r="U364" s="932"/>
      <c r="V364" s="933" t="s">
        <v>1446</v>
      </c>
      <c r="W364" s="930" t="s">
        <v>1447</v>
      </c>
      <c r="X364" s="933">
        <v>1.2112</v>
      </c>
      <c r="Y364" s="1204">
        <f t="shared" si="217"/>
        <v>1453.44</v>
      </c>
      <c r="Z364" s="1204"/>
      <c r="AA364" s="926"/>
      <c r="AB364" s="926" t="s">
        <v>1277</v>
      </c>
      <c r="AC364" s="1202" t="s">
        <v>93</v>
      </c>
      <c r="AD364" s="1040" t="s">
        <v>94</v>
      </c>
      <c r="AE364" s="1303"/>
      <c r="AF364" s="1303">
        <v>1200</v>
      </c>
      <c r="AG364" s="1304">
        <f t="shared" si="218"/>
        <v>0</v>
      </c>
      <c r="AH364" s="938"/>
      <c r="AI364" s="1313"/>
      <c r="AJ364" s="926"/>
      <c r="AK364" s="926">
        <f t="shared" si="219"/>
        <v>1200</v>
      </c>
      <c r="AL364" s="926"/>
      <c r="AM364" s="926">
        <f t="shared" si="220"/>
        <v>1200</v>
      </c>
      <c r="AP364" s="926"/>
      <c r="AQ364" s="926"/>
      <c r="AS364" s="926">
        <f t="shared" si="221"/>
        <v>1200</v>
      </c>
      <c r="AT364" s="926"/>
      <c r="AU364" s="926"/>
      <c r="AV364" s="926"/>
      <c r="BB364" s="857">
        <f t="shared" si="222"/>
        <v>200</v>
      </c>
      <c r="BE364" s="858"/>
      <c r="BU364" s="939">
        <f t="shared" si="223"/>
        <v>1200</v>
      </c>
      <c r="BV364" s="939">
        <f t="shared" si="227"/>
        <v>2690894</v>
      </c>
      <c r="BW364" s="939"/>
      <c r="BX364" s="939"/>
      <c r="BY364" s="939"/>
      <c r="BZ364" s="939"/>
      <c r="CA364" s="857">
        <f t="shared" si="224"/>
        <v>129106</v>
      </c>
      <c r="CC364" s="857">
        <f t="shared" si="225"/>
        <v>0</v>
      </c>
      <c r="CD364" s="939">
        <f t="shared" si="228"/>
        <v>0</v>
      </c>
      <c r="CE364" s="939"/>
      <c r="CF364" s="939"/>
      <c r="CG364" s="939"/>
      <c r="CH364" s="939">
        <f t="shared" si="226"/>
        <v>60000</v>
      </c>
      <c r="CI364" s="939"/>
    </row>
    <row r="365" s="857" customFormat="1" ht="32" customHeight="1" spans="1:87">
      <c r="A365" s="1044">
        <v>46204</v>
      </c>
      <c r="B365" s="1048" t="s">
        <v>1442</v>
      </c>
      <c r="C365" s="928" t="s">
        <v>125</v>
      </c>
      <c r="D365" s="1047" t="s">
        <v>1443</v>
      </c>
      <c r="E365" s="1048" t="s">
        <v>1460</v>
      </c>
      <c r="F365" s="1047" t="s">
        <v>1461</v>
      </c>
      <c r="G365" s="926" t="s">
        <v>353</v>
      </c>
      <c r="H365" s="926" t="s">
        <v>189</v>
      </c>
      <c r="I365" s="1294">
        <v>1602</v>
      </c>
      <c r="J365" s="926">
        <v>0</v>
      </c>
      <c r="K365" s="926">
        <v>6</v>
      </c>
      <c r="L365" s="1201">
        <f t="shared" si="216"/>
        <v>267</v>
      </c>
      <c r="M365" s="930">
        <v>46245</v>
      </c>
      <c r="N365" s="1066">
        <v>46241</v>
      </c>
      <c r="O365" s="937"/>
      <c r="P365" s="1278" t="s">
        <v>86</v>
      </c>
      <c r="Q365" s="1041">
        <v>46244</v>
      </c>
      <c r="R365" s="1308">
        <v>46209</v>
      </c>
      <c r="S365" s="1308" t="s">
        <v>98</v>
      </c>
      <c r="T365" s="932" t="s">
        <v>1364</v>
      </c>
      <c r="U365" s="932"/>
      <c r="V365" s="933" t="s">
        <v>1446</v>
      </c>
      <c r="W365" s="930" t="s">
        <v>1447</v>
      </c>
      <c r="X365" s="933">
        <v>1.2112</v>
      </c>
      <c r="Y365" s="1204">
        <f t="shared" si="217"/>
        <v>1940.3424</v>
      </c>
      <c r="Z365" s="1204"/>
      <c r="AA365" s="926"/>
      <c r="AB365" s="926" t="s">
        <v>1277</v>
      </c>
      <c r="AC365" s="1202" t="s">
        <v>93</v>
      </c>
      <c r="AD365" s="1040" t="s">
        <v>94</v>
      </c>
      <c r="AE365" s="1303"/>
      <c r="AF365" s="1303">
        <v>1602</v>
      </c>
      <c r="AG365" s="1304">
        <f t="shared" si="218"/>
        <v>0</v>
      </c>
      <c r="AH365" s="938"/>
      <c r="AI365" s="1313"/>
      <c r="AJ365" s="926"/>
      <c r="AK365" s="926">
        <f t="shared" si="219"/>
        <v>1602</v>
      </c>
      <c r="AL365" s="926"/>
      <c r="AM365" s="926">
        <f t="shared" si="220"/>
        <v>1602</v>
      </c>
      <c r="AP365" s="926"/>
      <c r="AQ365" s="926"/>
      <c r="AS365" s="926">
        <f t="shared" si="221"/>
        <v>1602</v>
      </c>
      <c r="AT365" s="926"/>
      <c r="AU365" s="926"/>
      <c r="AV365" s="926"/>
      <c r="BB365" s="857">
        <f t="shared" si="222"/>
        <v>267</v>
      </c>
      <c r="BE365" s="858"/>
      <c r="BU365" s="939">
        <f t="shared" si="223"/>
        <v>1602</v>
      </c>
      <c r="BV365" s="939">
        <f t="shared" si="227"/>
        <v>2692496</v>
      </c>
      <c r="BW365" s="939"/>
      <c r="BX365" s="939"/>
      <c r="BY365" s="939"/>
      <c r="BZ365" s="939"/>
      <c r="CA365" s="857">
        <f t="shared" si="224"/>
        <v>127504</v>
      </c>
      <c r="CC365" s="857">
        <f t="shared" si="225"/>
        <v>0</v>
      </c>
      <c r="CD365" s="939">
        <f t="shared" si="228"/>
        <v>0</v>
      </c>
      <c r="CE365" s="939"/>
      <c r="CF365" s="939"/>
      <c r="CG365" s="939"/>
      <c r="CH365" s="939">
        <f t="shared" si="226"/>
        <v>60000</v>
      </c>
      <c r="CI365" s="939"/>
    </row>
    <row r="366" s="857" customFormat="1" ht="32" customHeight="1" spans="1:87">
      <c r="A366" s="1044">
        <v>46204</v>
      </c>
      <c r="B366" s="1048" t="s">
        <v>1442</v>
      </c>
      <c r="C366" s="928" t="s">
        <v>125</v>
      </c>
      <c r="D366" s="1047" t="s">
        <v>1443</v>
      </c>
      <c r="E366" s="1048" t="s">
        <v>1462</v>
      </c>
      <c r="F366" s="1047" t="s">
        <v>1463</v>
      </c>
      <c r="G366" s="926" t="s">
        <v>353</v>
      </c>
      <c r="H366" s="926" t="s">
        <v>189</v>
      </c>
      <c r="I366" s="1294">
        <v>1278</v>
      </c>
      <c r="J366" s="926">
        <v>0</v>
      </c>
      <c r="K366" s="926">
        <v>6</v>
      </c>
      <c r="L366" s="1201">
        <f t="shared" si="216"/>
        <v>213</v>
      </c>
      <c r="M366" s="930">
        <v>46245</v>
      </c>
      <c r="N366" s="1066">
        <v>46241</v>
      </c>
      <c r="O366" s="937"/>
      <c r="P366" s="1278" t="s">
        <v>86</v>
      </c>
      <c r="Q366" s="1041">
        <v>46244</v>
      </c>
      <c r="R366" s="1308">
        <v>46209</v>
      </c>
      <c r="S366" s="1308" t="s">
        <v>98</v>
      </c>
      <c r="T366" s="932" t="s">
        <v>1364</v>
      </c>
      <c r="U366" s="932"/>
      <c r="V366" s="933" t="s">
        <v>1446</v>
      </c>
      <c r="W366" s="930" t="s">
        <v>1447</v>
      </c>
      <c r="X366" s="933">
        <v>1.2112</v>
      </c>
      <c r="Y366" s="1204">
        <f t="shared" si="217"/>
        <v>1547.9136</v>
      </c>
      <c r="Z366" s="1204"/>
      <c r="AA366" s="926"/>
      <c r="AB366" s="926" t="s">
        <v>1277</v>
      </c>
      <c r="AC366" s="1202" t="s">
        <v>93</v>
      </c>
      <c r="AD366" s="1040" t="s">
        <v>94</v>
      </c>
      <c r="AE366" s="1303"/>
      <c r="AF366" s="1314">
        <v>1278</v>
      </c>
      <c r="AG366" s="1304">
        <f t="shared" si="218"/>
        <v>0</v>
      </c>
      <c r="AH366" s="938"/>
      <c r="AI366" s="1132"/>
      <c r="AJ366" s="926"/>
      <c r="AK366" s="926">
        <f t="shared" si="219"/>
        <v>1278</v>
      </c>
      <c r="AL366" s="926"/>
      <c r="AM366" s="926">
        <f t="shared" si="220"/>
        <v>1278</v>
      </c>
      <c r="AP366" s="926"/>
      <c r="AQ366" s="926"/>
      <c r="AS366" s="926">
        <f t="shared" si="221"/>
        <v>1278</v>
      </c>
      <c r="AT366" s="926"/>
      <c r="AU366" s="926"/>
      <c r="AV366" s="926"/>
      <c r="BB366" s="857">
        <f t="shared" si="222"/>
        <v>213</v>
      </c>
      <c r="BE366" s="858"/>
      <c r="BU366" s="939">
        <f t="shared" si="223"/>
        <v>1278</v>
      </c>
      <c r="BV366" s="939">
        <f t="shared" si="227"/>
        <v>2693774</v>
      </c>
      <c r="BW366" s="939"/>
      <c r="BX366" s="939"/>
      <c r="BY366" s="939"/>
      <c r="BZ366" s="939"/>
      <c r="CA366" s="857">
        <f t="shared" si="224"/>
        <v>126226</v>
      </c>
      <c r="CC366" s="857">
        <f t="shared" si="225"/>
        <v>0</v>
      </c>
      <c r="CD366" s="939">
        <f t="shared" si="228"/>
        <v>0</v>
      </c>
      <c r="CE366" s="939"/>
      <c r="CF366" s="939"/>
      <c r="CG366" s="939"/>
      <c r="CH366" s="939">
        <f t="shared" si="226"/>
        <v>60000</v>
      </c>
      <c r="CI366" s="939"/>
    </row>
    <row r="367" s="964" customFormat="1" ht="32" customHeight="1" spans="1:87">
      <c r="A367" s="1258">
        <v>46162</v>
      </c>
      <c r="B367" s="1259" t="s">
        <v>1042</v>
      </c>
      <c r="C367" s="1036" t="s">
        <v>125</v>
      </c>
      <c r="D367" s="1260" t="s">
        <v>1464</v>
      </c>
      <c r="E367" s="1259" t="s">
        <v>1465</v>
      </c>
      <c r="F367" s="1260" t="s">
        <v>1466</v>
      </c>
      <c r="G367" s="307" t="s">
        <v>196</v>
      </c>
      <c r="H367" s="307" t="s">
        <v>197</v>
      </c>
      <c r="I367" s="1315">
        <v>600</v>
      </c>
      <c r="J367" s="307">
        <v>0</v>
      </c>
      <c r="K367" s="307">
        <v>12</v>
      </c>
      <c r="L367" s="1262">
        <f t="shared" si="216"/>
        <v>50</v>
      </c>
      <c r="M367" s="1188">
        <v>46255</v>
      </c>
      <c r="N367" s="1188">
        <v>46251</v>
      </c>
      <c r="O367" s="1263"/>
      <c r="P367" s="1264"/>
      <c r="Q367" s="307"/>
      <c r="R367" s="1265">
        <v>46162</v>
      </c>
      <c r="S367" s="1265" t="s">
        <v>98</v>
      </c>
      <c r="T367" s="1171" t="s">
        <v>1467</v>
      </c>
      <c r="U367" s="1196"/>
      <c r="V367" s="1197" t="s">
        <v>1468</v>
      </c>
      <c r="W367" s="1188" t="s">
        <v>874</v>
      </c>
      <c r="X367" s="1266">
        <v>2.5233</v>
      </c>
      <c r="Y367" s="1267">
        <f t="shared" si="217"/>
        <v>1513.98</v>
      </c>
      <c r="Z367" s="1267"/>
      <c r="AA367" s="307"/>
      <c r="AB367" s="307" t="s">
        <v>984</v>
      </c>
      <c r="AC367" s="964" t="s">
        <v>93</v>
      </c>
      <c r="AD367" s="1040" t="s">
        <v>94</v>
      </c>
      <c r="AE367" s="1316"/>
      <c r="AF367" s="1317">
        <v>600</v>
      </c>
      <c r="AG367" s="1318">
        <f t="shared" si="218"/>
        <v>0</v>
      </c>
      <c r="AH367" s="1269"/>
      <c r="AI367" s="1079" t="s">
        <v>95</v>
      </c>
      <c r="AJ367" s="307"/>
      <c r="AK367" s="1004">
        <f t="shared" ref="AK365:AK374" si="229">I367*2</f>
        <v>1200</v>
      </c>
      <c r="AL367" s="307"/>
      <c r="AM367" s="1016">
        <f>I367*2</f>
        <v>1200</v>
      </c>
      <c r="AP367" s="307"/>
      <c r="AQ367" s="307"/>
      <c r="AS367" s="951">
        <f>I367*2</f>
        <v>1200</v>
      </c>
      <c r="AT367" s="307"/>
      <c r="AU367" s="307"/>
      <c r="AV367" s="307"/>
      <c r="BE367" s="1194"/>
      <c r="BN367" s="964">
        <f>I367</f>
        <v>600</v>
      </c>
      <c r="BO367" s="974">
        <f>I367</f>
        <v>600</v>
      </c>
      <c r="BQ367" s="974">
        <f>I367</f>
        <v>600</v>
      </c>
      <c r="BU367" s="308">
        <f t="shared" si="223"/>
        <v>1200</v>
      </c>
      <c r="BV367" s="308">
        <f>BV348+BU367</f>
        <v>2724362</v>
      </c>
      <c r="BW367" s="308"/>
      <c r="BX367" s="308"/>
      <c r="BY367" s="308"/>
      <c r="BZ367" s="308"/>
      <c r="CA367" s="856">
        <f t="shared" si="224"/>
        <v>95638</v>
      </c>
      <c r="CC367" s="964">
        <f t="shared" si="225"/>
        <v>0</v>
      </c>
      <c r="CD367" s="939">
        <f>CD348+CC367</f>
        <v>51536.5714285714</v>
      </c>
      <c r="CE367" s="308"/>
      <c r="CF367" s="308"/>
      <c r="CG367" s="308"/>
      <c r="CH367" s="939">
        <f t="shared" si="226"/>
        <v>8463.4285714286</v>
      </c>
      <c r="CI367" s="308"/>
    </row>
    <row r="368" s="856" customFormat="1" ht="32" customHeight="1" spans="1:87">
      <c r="A368" s="1319">
        <v>46213</v>
      </c>
      <c r="B368" s="1320" t="s">
        <v>1469</v>
      </c>
      <c r="C368" s="905" t="s">
        <v>329</v>
      </c>
      <c r="D368" s="1321">
        <v>4500215818</v>
      </c>
      <c r="E368" s="1320" t="s">
        <v>1470</v>
      </c>
      <c r="F368" s="1321" t="s">
        <v>1471</v>
      </c>
      <c r="G368" s="910" t="s">
        <v>196</v>
      </c>
      <c r="H368" s="307" t="s">
        <v>197</v>
      </c>
      <c r="I368" s="1322">
        <v>492</v>
      </c>
      <c r="J368" s="910">
        <v>0</v>
      </c>
      <c r="K368" s="910">
        <v>12</v>
      </c>
      <c r="L368" s="1323">
        <f t="shared" si="216"/>
        <v>41</v>
      </c>
      <c r="M368" s="907">
        <v>46261</v>
      </c>
      <c r="N368" s="907">
        <v>46258</v>
      </c>
      <c r="O368" s="918"/>
      <c r="P368" s="1324"/>
      <c r="Q368" s="1079" t="s">
        <v>1472</v>
      </c>
      <c r="R368" s="1325" t="s">
        <v>1473</v>
      </c>
      <c r="S368" s="1265" t="s">
        <v>98</v>
      </c>
      <c r="T368" s="1171" t="s">
        <v>1474</v>
      </c>
      <c r="U368" s="1326"/>
      <c r="V368" s="1182" t="s">
        <v>1475</v>
      </c>
      <c r="W368" s="907" t="s">
        <v>1476</v>
      </c>
      <c r="X368" s="1327">
        <v>4.2055</v>
      </c>
      <c r="Y368" s="1328">
        <f t="shared" si="217"/>
        <v>2069.106</v>
      </c>
      <c r="Z368" s="1329" t="s">
        <v>1477</v>
      </c>
      <c r="AA368" s="910"/>
      <c r="AB368" s="1004" t="s">
        <v>808</v>
      </c>
      <c r="AC368" s="1330" t="s">
        <v>93</v>
      </c>
      <c r="AD368" s="1040" t="s">
        <v>94</v>
      </c>
      <c r="AE368" s="1331"/>
      <c r="AF368" s="1317"/>
      <c r="AG368" s="1318">
        <f t="shared" si="218"/>
        <v>-492</v>
      </c>
      <c r="AH368" s="1332"/>
      <c r="AI368" s="910"/>
      <c r="AJ368" s="910"/>
      <c r="AK368" s="910">
        <f t="shared" si="229"/>
        <v>984</v>
      </c>
      <c r="AL368" s="910"/>
      <c r="AM368" s="920"/>
      <c r="AO368" s="964">
        <f>I368*2</f>
        <v>984</v>
      </c>
      <c r="AP368" s="910"/>
      <c r="AQ368" s="910"/>
      <c r="AS368" s="951">
        <f>I368*2</f>
        <v>984</v>
      </c>
      <c r="AT368" s="910"/>
      <c r="AU368" s="910"/>
      <c r="AV368" s="910"/>
      <c r="BE368" s="920"/>
      <c r="BN368" s="856">
        <f>I368</f>
        <v>492</v>
      </c>
      <c r="BO368" s="974">
        <f>I368</f>
        <v>492</v>
      </c>
      <c r="BQ368" s="974">
        <f>I368</f>
        <v>492</v>
      </c>
      <c r="BU368" s="1177">
        <f t="shared" si="223"/>
        <v>984</v>
      </c>
      <c r="BV368" s="1177">
        <f>BV354+BU368</f>
        <v>2759330</v>
      </c>
      <c r="BW368" s="1177"/>
      <c r="BX368" s="1177"/>
      <c r="BY368" s="1177"/>
      <c r="BZ368" s="1177"/>
      <c r="CD368" s="1177"/>
      <c r="CE368" s="1177"/>
      <c r="CF368" s="1177"/>
      <c r="CG368" s="1177"/>
      <c r="CH368" s="1177"/>
      <c r="CI368" s="1177"/>
    </row>
    <row r="369" s="856" customFormat="1" ht="32" customHeight="1" spans="1:112">
      <c r="A369" s="1319">
        <v>46225</v>
      </c>
      <c r="B369" s="1320" t="s">
        <v>1478</v>
      </c>
      <c r="C369" s="905" t="s">
        <v>81</v>
      </c>
      <c r="D369" s="1321">
        <v>4500217358</v>
      </c>
      <c r="E369" s="1320" t="s">
        <v>1479</v>
      </c>
      <c r="F369" s="1321" t="s">
        <v>1480</v>
      </c>
      <c r="G369" s="910" t="s">
        <v>196</v>
      </c>
      <c r="H369" s="910" t="s">
        <v>197</v>
      </c>
      <c r="I369" s="1322">
        <v>36</v>
      </c>
      <c r="J369" s="910">
        <v>0</v>
      </c>
      <c r="K369" s="910">
        <v>12</v>
      </c>
      <c r="L369" s="1323">
        <f t="shared" si="216"/>
        <v>3</v>
      </c>
      <c r="M369" s="907">
        <v>46266</v>
      </c>
      <c r="N369" s="1169">
        <v>46266</v>
      </c>
      <c r="O369" s="918"/>
      <c r="P369" s="1324"/>
      <c r="Q369" s="910"/>
      <c r="R369" s="1180" t="s">
        <v>654</v>
      </c>
      <c r="S369" s="910" t="s">
        <v>88</v>
      </c>
      <c r="T369" s="1171" t="s">
        <v>1481</v>
      </c>
      <c r="U369" s="1180"/>
      <c r="V369" s="1172" t="s">
        <v>1482</v>
      </c>
      <c r="W369" s="907" t="s">
        <v>1483</v>
      </c>
      <c r="X369" s="1327">
        <v>4.2055</v>
      </c>
      <c r="Y369" s="1328">
        <f t="shared" si="217"/>
        <v>151.398</v>
      </c>
      <c r="Z369" s="1328"/>
      <c r="AA369" s="910"/>
      <c r="AB369" s="910" t="s">
        <v>808</v>
      </c>
      <c r="AC369" s="1330" t="s">
        <v>93</v>
      </c>
      <c r="AD369" s="1040" t="s">
        <v>94</v>
      </c>
      <c r="AE369" s="1331"/>
      <c r="AF369" s="1333"/>
      <c r="AG369" s="919">
        <f t="shared" si="218"/>
        <v>-36</v>
      </c>
      <c r="AH369" s="1332"/>
      <c r="AI369" s="1079"/>
      <c r="AJ369" s="910"/>
      <c r="AK369" s="910">
        <f t="shared" si="229"/>
        <v>72</v>
      </c>
      <c r="AL369" s="910"/>
      <c r="AM369" s="920"/>
      <c r="AO369" s="856">
        <f>I369*2</f>
        <v>72</v>
      </c>
      <c r="AP369" s="910"/>
      <c r="AQ369" s="910"/>
      <c r="AS369" s="910">
        <f>I369*2</f>
        <v>72</v>
      </c>
      <c r="AT369" s="910"/>
      <c r="AU369" s="910"/>
      <c r="AV369" s="910"/>
      <c r="BE369" s="920"/>
      <c r="BN369" s="856">
        <f>I369</f>
        <v>36</v>
      </c>
      <c r="BO369" s="856">
        <f>I369</f>
        <v>36</v>
      </c>
      <c r="BQ369" s="856">
        <f>I369</f>
        <v>36</v>
      </c>
      <c r="BU369" s="1177">
        <f t="shared" si="223"/>
        <v>72</v>
      </c>
      <c r="BV369" s="1177">
        <f>BV368+BU369</f>
        <v>2759402</v>
      </c>
      <c r="BW369" s="1177"/>
      <c r="BX369" s="1177"/>
      <c r="BY369" s="1177"/>
      <c r="BZ369" s="1177"/>
      <c r="CA369" s="856">
        <f>SUM(BX$1:CB$1)-BV369</f>
        <v>60598</v>
      </c>
      <c r="CC369" s="856">
        <f>AW369+AX369+BE369+BF369</f>
        <v>0</v>
      </c>
      <c r="CD369" s="1177">
        <f>CD368+CC369</f>
        <v>0</v>
      </c>
      <c r="CE369" s="1177"/>
      <c r="CF369" s="1177"/>
      <c r="CG369" s="1177"/>
      <c r="CH369" s="1177">
        <f>$CF$1+$CG$1+$CH$1+$CI$1-CD369</f>
        <v>60000</v>
      </c>
      <c r="CI369" s="1177"/>
    </row>
    <row r="370" s="856" customFormat="1" ht="32" customHeight="1" spans="1:112">
      <c r="A370" s="1319">
        <v>46225</v>
      </c>
      <c r="B370" s="1320" t="s">
        <v>1478</v>
      </c>
      <c r="C370" s="905" t="s">
        <v>81</v>
      </c>
      <c r="D370" s="1321">
        <v>4500217358</v>
      </c>
      <c r="E370" s="1320" t="s">
        <v>1484</v>
      </c>
      <c r="F370" s="1321" t="s">
        <v>1485</v>
      </c>
      <c r="G370" s="910" t="s">
        <v>196</v>
      </c>
      <c r="H370" s="910" t="s">
        <v>197</v>
      </c>
      <c r="I370" s="1322">
        <v>36</v>
      </c>
      <c r="J370" s="910">
        <v>0</v>
      </c>
      <c r="K370" s="910">
        <v>12</v>
      </c>
      <c r="L370" s="1323">
        <f t="shared" si="216"/>
        <v>3</v>
      </c>
      <c r="M370" s="907">
        <v>46266</v>
      </c>
      <c r="N370" s="1169">
        <v>46266</v>
      </c>
      <c r="O370" s="918"/>
      <c r="P370" s="1324"/>
      <c r="Q370" s="910"/>
      <c r="R370" s="1180" t="s">
        <v>654</v>
      </c>
      <c r="S370" s="910" t="s">
        <v>88</v>
      </c>
      <c r="T370" s="1171" t="s">
        <v>1481</v>
      </c>
      <c r="U370" s="1180"/>
      <c r="V370" s="1172" t="s">
        <v>1482</v>
      </c>
      <c r="W370" s="907" t="s">
        <v>1483</v>
      </c>
      <c r="X370" s="1327">
        <v>4.2055</v>
      </c>
      <c r="Y370" s="1328">
        <f t="shared" si="217"/>
        <v>151.398</v>
      </c>
      <c r="Z370" s="1328"/>
      <c r="AA370" s="910"/>
      <c r="AB370" s="910" t="s">
        <v>808</v>
      </c>
      <c r="AC370" s="1330" t="s">
        <v>93</v>
      </c>
      <c r="AD370" s="1040" t="s">
        <v>94</v>
      </c>
      <c r="AE370" s="1331"/>
      <c r="AF370" s="1333"/>
      <c r="AG370" s="919">
        <f t="shared" si="218"/>
        <v>-36</v>
      </c>
      <c r="AH370" s="1332"/>
      <c r="AI370" s="1079"/>
      <c r="AJ370" s="910"/>
      <c r="AK370" s="910">
        <f t="shared" si="229"/>
        <v>72</v>
      </c>
      <c r="AL370" s="910"/>
      <c r="AM370" s="920"/>
      <c r="AO370" s="856">
        <f>I370*2</f>
        <v>72</v>
      </c>
      <c r="AP370" s="910"/>
      <c r="AQ370" s="910"/>
      <c r="AS370" s="910">
        <f>I370*2</f>
        <v>72</v>
      </c>
      <c r="AT370" s="910"/>
      <c r="AU370" s="910"/>
      <c r="AV370" s="910"/>
      <c r="BE370" s="920"/>
      <c r="BN370" s="856">
        <f>I370</f>
        <v>36</v>
      </c>
      <c r="BO370" s="856">
        <f>I370</f>
        <v>36</v>
      </c>
      <c r="BQ370" s="856">
        <f>I370</f>
        <v>36</v>
      </c>
      <c r="BU370" s="1177">
        <f t="shared" si="223"/>
        <v>72</v>
      </c>
      <c r="BV370" s="1177">
        <f>BV369+BU370</f>
        <v>2759474</v>
      </c>
      <c r="BW370" s="1177"/>
      <c r="BX370" s="1177"/>
      <c r="BY370" s="1177"/>
      <c r="BZ370" s="1177"/>
      <c r="CA370" s="856">
        <f>SUM(BX$1:CB$1)-BV370</f>
        <v>60526</v>
      </c>
      <c r="CC370" s="856">
        <f>AW370+AX370+BE370+BF370</f>
        <v>0</v>
      </c>
      <c r="CD370" s="1177">
        <f>CD369+CC370</f>
        <v>0</v>
      </c>
      <c r="CE370" s="1177"/>
      <c r="CF370" s="1177"/>
      <c r="CG370" s="1177"/>
      <c r="CH370" s="1177">
        <f>$CF$1+$CG$1+$CH$1+$CI$1-CD370</f>
        <v>60000</v>
      </c>
      <c r="CI370" s="1177"/>
    </row>
    <row r="371" s="856" customFormat="1" ht="32" customHeight="1" spans="1:112">
      <c r="A371" s="1319">
        <v>46225</v>
      </c>
      <c r="B371" s="1320" t="s">
        <v>1478</v>
      </c>
      <c r="C371" s="905" t="s">
        <v>81</v>
      </c>
      <c r="D371" s="1321">
        <v>4500217358</v>
      </c>
      <c r="E371" s="1320" t="s">
        <v>1486</v>
      </c>
      <c r="F371" s="1321" t="s">
        <v>1487</v>
      </c>
      <c r="G371" s="910" t="s">
        <v>196</v>
      </c>
      <c r="H371" s="910" t="s">
        <v>197</v>
      </c>
      <c r="I371" s="1322">
        <v>12</v>
      </c>
      <c r="J371" s="910">
        <v>0</v>
      </c>
      <c r="K371" s="910">
        <v>12</v>
      </c>
      <c r="L371" s="1323">
        <f t="shared" si="216"/>
        <v>1</v>
      </c>
      <c r="M371" s="907">
        <v>46266</v>
      </c>
      <c r="N371" s="1169">
        <v>46266</v>
      </c>
      <c r="O371" s="918"/>
      <c r="P371" s="1324"/>
      <c r="Q371" s="910"/>
      <c r="R371" s="1180" t="s">
        <v>654</v>
      </c>
      <c r="S371" s="910" t="s">
        <v>88</v>
      </c>
      <c r="T371" s="1171" t="s">
        <v>1481</v>
      </c>
      <c r="U371" s="1180"/>
      <c r="V371" s="1172" t="s">
        <v>1482</v>
      </c>
      <c r="W371" s="907" t="s">
        <v>1483</v>
      </c>
      <c r="X371" s="1327">
        <v>4.2455</v>
      </c>
      <c r="Y371" s="1328">
        <f t="shared" si="217"/>
        <v>50.946</v>
      </c>
      <c r="Z371" s="1328"/>
      <c r="AA371" s="910"/>
      <c r="AB371" s="910" t="s">
        <v>808</v>
      </c>
      <c r="AC371" s="1330" t="s">
        <v>93</v>
      </c>
      <c r="AD371" s="1040" t="s">
        <v>94</v>
      </c>
      <c r="AE371" s="1331"/>
      <c r="AF371" s="1333"/>
      <c r="AG371" s="919">
        <f t="shared" si="218"/>
        <v>-12</v>
      </c>
      <c r="AH371" s="1332"/>
      <c r="AI371" s="1079"/>
      <c r="AJ371" s="910"/>
      <c r="AK371" s="910">
        <f t="shared" si="229"/>
        <v>24</v>
      </c>
      <c r="AL371" s="910"/>
      <c r="AM371" s="920"/>
      <c r="AO371" s="856">
        <f>I371*2</f>
        <v>24</v>
      </c>
      <c r="AP371" s="910"/>
      <c r="AQ371" s="910"/>
      <c r="AS371" s="910">
        <f>I371*2</f>
        <v>24</v>
      </c>
      <c r="AT371" s="910"/>
      <c r="AU371" s="910"/>
      <c r="AV371" s="910"/>
      <c r="BE371" s="920"/>
      <c r="BN371" s="856">
        <f>I371</f>
        <v>12</v>
      </c>
      <c r="BO371" s="856">
        <f>I371</f>
        <v>12</v>
      </c>
      <c r="BQ371" s="856">
        <f>I371</f>
        <v>12</v>
      </c>
      <c r="BU371" s="1177">
        <f t="shared" si="223"/>
        <v>24</v>
      </c>
      <c r="BV371" s="1177">
        <f>BV370+BU371</f>
        <v>2759498</v>
      </c>
      <c r="BW371" s="1177"/>
      <c r="BX371" s="1177"/>
      <c r="BY371" s="1177"/>
      <c r="BZ371" s="1177"/>
      <c r="CA371" s="856">
        <f>SUM(BX$1:CB$1)-BV371</f>
        <v>60502</v>
      </c>
      <c r="CC371" s="856">
        <f>AW371+AX371+BE371+BF371</f>
        <v>0</v>
      </c>
      <c r="CD371" s="1177">
        <f>CD370+CC371</f>
        <v>0</v>
      </c>
      <c r="CE371" s="1177"/>
      <c r="CF371" s="1177"/>
      <c r="CG371" s="1177"/>
      <c r="CH371" s="1177">
        <f>$CF$1+$CG$1+$CH$1+$CI$1-CD371</f>
        <v>60000</v>
      </c>
      <c r="CI371" s="1177"/>
    </row>
    <row r="372" s="856" customFormat="1" ht="32" customHeight="1" spans="1:112">
      <c r="A372" s="1319">
        <v>46232</v>
      </c>
      <c r="B372" s="913" t="s">
        <v>1488</v>
      </c>
      <c r="C372" s="905" t="s">
        <v>125</v>
      </c>
      <c r="D372" s="1166">
        <v>4500218039</v>
      </c>
      <c r="E372" s="905"/>
      <c r="F372" s="1166" t="s">
        <v>1489</v>
      </c>
      <c r="G372" s="910" t="s">
        <v>205</v>
      </c>
      <c r="H372" s="910" t="s">
        <v>189</v>
      </c>
      <c r="I372" s="1322">
        <v>500</v>
      </c>
      <c r="J372" s="910">
        <v>0</v>
      </c>
      <c r="K372" s="910">
        <v>50</v>
      </c>
      <c r="L372" s="1323">
        <f t="shared" si="216"/>
        <v>10</v>
      </c>
      <c r="M372" s="907">
        <v>46276</v>
      </c>
      <c r="N372" s="907">
        <f>M372-4</f>
        <v>46272</v>
      </c>
      <c r="O372" s="918"/>
      <c r="P372" s="1324"/>
      <c r="Q372" s="910"/>
      <c r="R372" s="911">
        <v>46246</v>
      </c>
      <c r="S372" s="911" t="s">
        <v>98</v>
      </c>
      <c r="T372" s="1171" t="s">
        <v>98</v>
      </c>
      <c r="U372" s="1180"/>
      <c r="V372" s="1172" t="s">
        <v>1490</v>
      </c>
      <c r="W372" s="907" t="s">
        <v>1491</v>
      </c>
      <c r="X372" s="1334">
        <v>1.2046</v>
      </c>
      <c r="Y372" s="1328">
        <f t="shared" si="217"/>
        <v>602.3</v>
      </c>
      <c r="Z372" s="1328"/>
      <c r="AA372" s="910"/>
      <c r="AB372" s="910" t="s">
        <v>205</v>
      </c>
      <c r="AC372" s="1079" t="s">
        <v>93</v>
      </c>
      <c r="AD372" s="1040" t="s">
        <v>94</v>
      </c>
      <c r="AE372" s="910"/>
      <c r="AF372" s="910"/>
      <c r="AG372" s="919">
        <f t="shared" si="218"/>
        <v>-500</v>
      </c>
      <c r="AH372" s="1332"/>
      <c r="AI372" s="910"/>
      <c r="AJ372" s="910"/>
      <c r="AK372" s="910">
        <f t="shared" si="229"/>
        <v>1000</v>
      </c>
      <c r="AL372" s="910"/>
      <c r="AM372" s="920">
        <f>I372</f>
        <v>500</v>
      </c>
      <c r="AP372" s="910"/>
      <c r="AQ372" s="910"/>
      <c r="AS372" s="910">
        <f>I372</f>
        <v>500</v>
      </c>
      <c r="AT372" s="910"/>
      <c r="AU372" s="910"/>
      <c r="AV372" s="910"/>
      <c r="BE372" s="920">
        <f>I372/25</f>
        <v>20</v>
      </c>
      <c r="BU372" s="1177">
        <f t="shared" si="223"/>
        <v>1000</v>
      </c>
      <c r="BV372" s="1177">
        <f>BV316+BU372</f>
        <v>2679450</v>
      </c>
      <c r="BW372" s="1177"/>
      <c r="BX372" s="1177"/>
      <c r="BY372" s="1177"/>
      <c r="BZ372" s="1177"/>
      <c r="CD372" s="1177"/>
      <c r="CE372" s="1177"/>
      <c r="CF372" s="1177"/>
      <c r="CG372" s="1177"/>
      <c r="CH372" s="1177"/>
      <c r="CI372" s="1177"/>
    </row>
    <row r="373" s="964" customFormat="1" ht="32" customHeight="1" spans="1:112">
      <c r="A373" s="1258">
        <v>46185</v>
      </c>
      <c r="B373" s="1259" t="s">
        <v>1042</v>
      </c>
      <c r="C373" s="1036" t="s">
        <v>125</v>
      </c>
      <c r="D373" s="1260" t="s">
        <v>1492</v>
      </c>
      <c r="E373" s="1259" t="s">
        <v>1493</v>
      </c>
      <c r="F373" s="1260" t="s">
        <v>1494</v>
      </c>
      <c r="G373" s="307" t="s">
        <v>196</v>
      </c>
      <c r="H373" s="307" t="s">
        <v>197</v>
      </c>
      <c r="I373" s="1315">
        <v>600</v>
      </c>
      <c r="J373" s="307">
        <v>0</v>
      </c>
      <c r="K373" s="307">
        <v>12</v>
      </c>
      <c r="L373" s="1262">
        <f t="shared" si="216"/>
        <v>50</v>
      </c>
      <c r="M373" s="1188">
        <v>46283</v>
      </c>
      <c r="N373" s="1188">
        <v>46279</v>
      </c>
      <c r="O373" s="1263"/>
      <c r="P373" s="1264"/>
      <c r="Q373" s="307"/>
      <c r="R373" s="1265">
        <v>46185</v>
      </c>
      <c r="S373" s="1265" t="s">
        <v>98</v>
      </c>
      <c r="T373" s="1171" t="s">
        <v>1495</v>
      </c>
      <c r="U373" s="1196"/>
      <c r="V373" s="1197" t="s">
        <v>1496</v>
      </c>
      <c r="W373" s="1188" t="s">
        <v>1497</v>
      </c>
      <c r="X373" s="1266">
        <v>2.5233</v>
      </c>
      <c r="Y373" s="1267">
        <f t="shared" si="217"/>
        <v>1513.98</v>
      </c>
      <c r="Z373" s="1267"/>
      <c r="AA373" s="307"/>
      <c r="AB373" s="307" t="s">
        <v>984</v>
      </c>
      <c r="AC373" s="1330" t="s">
        <v>93</v>
      </c>
      <c r="AD373" s="1040" t="s">
        <v>94</v>
      </c>
      <c r="AE373" s="1316"/>
      <c r="AF373" s="1317"/>
      <c r="AG373" s="1318">
        <f t="shared" si="218"/>
        <v>-600</v>
      </c>
      <c r="AH373" s="1269"/>
      <c r="AI373" s="307"/>
      <c r="AJ373" s="307"/>
      <c r="AK373" s="1004">
        <f t="shared" si="229"/>
        <v>1200</v>
      </c>
      <c r="AL373" s="307"/>
      <c r="AM373" s="1016">
        <f>I373*2</f>
        <v>1200</v>
      </c>
      <c r="AP373" s="307"/>
      <c r="AQ373" s="307"/>
      <c r="AS373" s="951">
        <f>I373*2</f>
        <v>1200</v>
      </c>
      <c r="AT373" s="307"/>
      <c r="AU373" s="307"/>
      <c r="AV373" s="307"/>
      <c r="BE373" s="1194"/>
      <c r="BN373" s="964">
        <f>I373</f>
        <v>600</v>
      </c>
      <c r="BO373" s="974">
        <f>I373</f>
        <v>600</v>
      </c>
      <c r="BQ373" s="974">
        <f>I373</f>
        <v>600</v>
      </c>
      <c r="BU373" s="1177">
        <f t="shared" si="223"/>
        <v>1200</v>
      </c>
      <c r="BV373" s="1177">
        <f>BV317+BU373</f>
        <v>2680526</v>
      </c>
      <c r="BW373" s="308"/>
      <c r="BX373" s="308"/>
      <c r="BY373" s="308"/>
      <c r="BZ373" s="308"/>
      <c r="CA373" s="856"/>
      <c r="CD373" s="939"/>
      <c r="CE373" s="308"/>
      <c r="CF373" s="308"/>
      <c r="CG373" s="308"/>
      <c r="CH373" s="939"/>
      <c r="CI373" s="308"/>
    </row>
    <row r="374" s="856" customFormat="1" ht="32" customHeight="1" spans="1:112">
      <c r="A374" s="1319">
        <v>46237</v>
      </c>
      <c r="B374" s="1320" t="s">
        <v>1042</v>
      </c>
      <c r="C374" s="905" t="s">
        <v>125</v>
      </c>
      <c r="D374" s="1321" t="s">
        <v>1498</v>
      </c>
      <c r="E374" s="1320" t="s">
        <v>1499</v>
      </c>
      <c r="F374" s="1321" t="s">
        <v>1500</v>
      </c>
      <c r="G374" s="910" t="s">
        <v>196</v>
      </c>
      <c r="H374" s="910" t="s">
        <v>197</v>
      </c>
      <c r="I374" s="1322">
        <v>600</v>
      </c>
      <c r="J374" s="910">
        <v>0</v>
      </c>
      <c r="K374" s="910">
        <v>12</v>
      </c>
      <c r="L374" s="1323">
        <f t="shared" si="216"/>
        <v>50</v>
      </c>
      <c r="M374" s="907">
        <v>46345</v>
      </c>
      <c r="N374" s="907">
        <v>46342</v>
      </c>
      <c r="O374" s="918"/>
      <c r="P374" s="1324"/>
      <c r="Q374" s="910"/>
      <c r="R374" s="921">
        <v>46238</v>
      </c>
      <c r="S374" s="921" t="s">
        <v>98</v>
      </c>
      <c r="T374" s="1171" t="s">
        <v>1501</v>
      </c>
      <c r="U374" s="1171" t="s">
        <v>1502</v>
      </c>
      <c r="V374" s="1172" t="s">
        <v>1503</v>
      </c>
      <c r="W374" s="907" t="s">
        <v>1497</v>
      </c>
      <c r="X374" s="1327">
        <v>2.5233</v>
      </c>
      <c r="Y374" s="1328">
        <f t="shared" si="217"/>
        <v>1513.98</v>
      </c>
      <c r="Z374" s="1328"/>
      <c r="AA374" s="910"/>
      <c r="AB374" s="910" t="s">
        <v>984</v>
      </c>
      <c r="AC374" s="1330" t="s">
        <v>93</v>
      </c>
      <c r="AD374" s="901"/>
      <c r="AE374" s="1331"/>
      <c r="AF374" s="1333"/>
      <c r="AG374" s="1335">
        <f t="shared" si="218"/>
        <v>-600</v>
      </c>
      <c r="AH374" s="1332"/>
      <c r="AI374" s="910"/>
      <c r="AJ374" s="910"/>
      <c r="AK374" s="910">
        <f t="shared" si="229"/>
        <v>1200</v>
      </c>
      <c r="AL374" s="910"/>
      <c r="AM374" s="920">
        <f>I374*2</f>
        <v>1200</v>
      </c>
      <c r="AP374" s="910"/>
      <c r="AQ374" s="910"/>
      <c r="AS374" s="910">
        <f>I374*2</f>
        <v>1200</v>
      </c>
      <c r="AT374" s="910"/>
      <c r="AU374" s="910"/>
      <c r="AV374" s="910"/>
      <c r="BE374" s="920"/>
      <c r="BN374" s="856">
        <f>I374</f>
        <v>600</v>
      </c>
      <c r="BO374" s="856">
        <f>I374</f>
        <v>600</v>
      </c>
      <c r="BQ374" s="856">
        <f>I374</f>
        <v>600</v>
      </c>
      <c r="BU374" s="1177">
        <f t="shared" si="223"/>
        <v>1200</v>
      </c>
      <c r="BV374" s="1177">
        <f>BV318+BU374</f>
        <v>2680766</v>
      </c>
      <c r="BW374" s="1177"/>
      <c r="BX374" s="1177"/>
      <c r="BY374" s="1177"/>
      <c r="BZ374" s="1177"/>
      <c r="CA374" s="856"/>
      <c r="CD374" s="1177"/>
      <c r="CE374" s="1177"/>
      <c r="CF374" s="1177"/>
      <c r="CG374" s="1177"/>
      <c r="CH374" s="1177"/>
      <c r="CI374" s="1177"/>
    </row>
    <row r="375" s="857" customFormat="1" ht="31" customHeight="1" spans="1:112">
      <c r="A375" s="923"/>
      <c r="B375" s="942"/>
      <c r="C375" s="925"/>
      <c r="E375" s="926"/>
      <c r="F375" s="933"/>
      <c r="G375" s="927"/>
      <c r="H375" s="928"/>
      <c r="I375" s="928"/>
      <c r="J375" s="928"/>
      <c r="K375" s="928"/>
      <c r="L375" s="929"/>
      <c r="M375" s="930"/>
      <c r="N375" s="930"/>
      <c r="O375" s="937"/>
      <c r="P375" s="931"/>
      <c r="Q375" s="926"/>
      <c r="R375" s="932"/>
      <c r="S375" s="932"/>
      <c r="T375" s="932"/>
      <c r="U375" s="932"/>
      <c r="V375" s="933"/>
      <c r="W375" s="934"/>
      <c r="X375" s="935"/>
      <c r="Y375" s="936"/>
      <c r="Z375" s="936"/>
      <c r="AA375" s="926"/>
      <c r="AB375" s="926"/>
      <c r="AC375" s="928"/>
      <c r="AD375" s="928"/>
      <c r="AE375" s="1303"/>
      <c r="AF375" s="1303"/>
      <c r="AG375" s="1336"/>
      <c r="AH375" s="947"/>
      <c r="AI375" s="1337"/>
      <c r="AJ375" s="926"/>
      <c r="AK375" s="858"/>
      <c r="AM375" s="858"/>
      <c r="AN375" s="858"/>
      <c r="AO375" s="858"/>
      <c r="AP375" s="858"/>
      <c r="AQ375" s="858"/>
      <c r="BH375" s="925"/>
      <c r="BI375" s="925"/>
      <c r="BJ375" s="925"/>
      <c r="BK375" s="925"/>
      <c r="BL375" s="925"/>
      <c r="BU375" s="939"/>
      <c r="BV375" s="939"/>
      <c r="BW375" s="939"/>
      <c r="BX375" s="939"/>
      <c r="BY375" s="939"/>
      <c r="BZ375" s="939"/>
      <c r="CD375" s="939"/>
      <c r="CE375" s="939"/>
      <c r="CF375" s="1338"/>
      <c r="CG375" s="939"/>
      <c r="CH375" s="939"/>
      <c r="CI375" s="939"/>
      <c r="CM375" s="940"/>
      <c r="CN375" s="940"/>
      <c r="CO375" s="940"/>
      <c r="CP375" s="940"/>
      <c r="CQ375" s="940"/>
      <c r="CR375" s="940"/>
      <c r="CS375" s="940"/>
      <c r="CT375" s="940"/>
      <c r="CU375" s="940"/>
      <c r="CV375" s="940"/>
      <c r="CW375" s="940"/>
      <c r="CX375" s="940"/>
      <c r="CY375" s="940"/>
      <c r="CZ375" s="940"/>
      <c r="DA375" s="940"/>
      <c r="DB375" s="940"/>
      <c r="DC375" s="940"/>
      <c r="DD375" s="940"/>
      <c r="DE375" s="940"/>
      <c r="DF375" s="940"/>
      <c r="DG375" s="940"/>
      <c r="DH375" s="940"/>
    </row>
    <row r="376" s="857" customFormat="1" ht="31" customHeight="1" spans="1:112">
      <c r="A376" s="923"/>
      <c r="B376" s="924"/>
      <c r="C376" s="925"/>
      <c r="E376" s="926"/>
      <c r="F376" s="933"/>
      <c r="G376" s="927"/>
      <c r="H376" s="928"/>
      <c r="I376" s="928"/>
      <c r="J376" s="928"/>
      <c r="K376" s="928"/>
      <c r="L376" s="929"/>
      <c r="M376" s="930"/>
      <c r="N376" s="930"/>
      <c r="O376" s="937"/>
      <c r="W376" s="1339"/>
      <c r="X376" s="926"/>
      <c r="Y376" s="932"/>
      <c r="Z376" s="932"/>
      <c r="AA376" s="932"/>
      <c r="AB376" s="932"/>
      <c r="AC376" s="933"/>
      <c r="AD376" s="934"/>
      <c r="AE376" s="1340"/>
      <c r="AF376" s="1340"/>
      <c r="AG376" s="1341"/>
      <c r="AH376" s="926"/>
      <c r="AI376" s="928"/>
      <c r="AJ376" s="928"/>
      <c r="AK376" s="926"/>
      <c r="AL376" s="946"/>
      <c r="AM376" s="946"/>
      <c r="AN376" s="947"/>
      <c r="AO376" s="1337"/>
      <c r="AP376" s="926"/>
      <c r="AQ376" s="858"/>
      <c r="AS376" s="858"/>
      <c r="AT376" s="1337"/>
      <c r="BH376" s="925"/>
      <c r="BI376" s="925"/>
      <c r="BJ376" s="925"/>
      <c r="BK376" s="925"/>
      <c r="BL376" s="925"/>
      <c r="BU376" s="939"/>
      <c r="BV376" s="939"/>
      <c r="BW376" s="939"/>
      <c r="BX376" s="939"/>
      <c r="BY376" s="939"/>
      <c r="BZ376" s="939"/>
      <c r="CD376" s="939"/>
      <c r="CE376" s="939"/>
      <c r="CF376" s="1338"/>
      <c r="CG376" s="939"/>
      <c r="CH376" s="939"/>
      <c r="CI376" s="939"/>
      <c r="CM376" s="940"/>
      <c r="CN376" s="940"/>
      <c r="CO376" s="940"/>
      <c r="CP376" s="940"/>
      <c r="CQ376" s="940"/>
      <c r="CR376" s="940"/>
      <c r="CS376" s="940"/>
      <c r="CT376" s="940"/>
      <c r="CU376" s="940"/>
      <c r="CV376" s="940"/>
      <c r="CW376" s="940"/>
      <c r="CX376" s="940"/>
      <c r="CY376" s="940"/>
      <c r="CZ376" s="940"/>
      <c r="DA376" s="940"/>
      <c r="DB376" s="940"/>
      <c r="DC376" s="940"/>
      <c r="DD376" s="940"/>
      <c r="DE376" s="940"/>
      <c r="DF376" s="940"/>
      <c r="DG376" s="940"/>
      <c r="DH376" s="940"/>
    </row>
    <row r="377" s="857" customFormat="1" ht="31" customHeight="1" spans="1:112">
      <c r="A377" s="923"/>
      <c r="B377" s="924"/>
      <c r="C377" s="925"/>
      <c r="E377" s="926"/>
      <c r="G377" s="927"/>
      <c r="H377" s="928"/>
      <c r="I377" s="928"/>
      <c r="J377" s="928"/>
      <c r="K377" s="928"/>
      <c r="L377" s="929"/>
      <c r="M377" s="930"/>
      <c r="N377" s="930"/>
      <c r="O377" s="937"/>
      <c r="W377" s="1339"/>
      <c r="X377" s="926"/>
      <c r="Y377" s="932"/>
      <c r="Z377" s="932"/>
      <c r="AA377" s="932"/>
      <c r="AB377" s="932"/>
      <c r="AC377" s="933"/>
      <c r="AD377" s="934"/>
      <c r="AE377" s="1340"/>
      <c r="AF377" s="1340"/>
      <c r="AG377" s="1341"/>
      <c r="AH377" s="926"/>
      <c r="AI377" s="928"/>
      <c r="AJ377" s="928"/>
      <c r="AK377" s="926"/>
      <c r="AL377" s="946"/>
      <c r="AM377" s="946"/>
      <c r="AN377" s="947"/>
      <c r="AS377" s="858"/>
      <c r="AT377" s="858"/>
      <c r="BH377" s="925"/>
      <c r="BI377" s="925"/>
      <c r="BJ377" s="925"/>
      <c r="BK377" s="925"/>
      <c r="BL377" s="925"/>
      <c r="BU377" s="939"/>
      <c r="BV377" s="939"/>
      <c r="BW377" s="939"/>
      <c r="BX377" s="939"/>
      <c r="BY377" s="939"/>
      <c r="BZ377" s="939"/>
      <c r="CD377" s="939"/>
      <c r="CE377" s="939"/>
      <c r="CF377" s="1338"/>
      <c r="CG377" s="939"/>
      <c r="CH377" s="939"/>
      <c r="CI377" s="939"/>
      <c r="CM377" s="940"/>
      <c r="CN377" s="940"/>
      <c r="CO377" s="940"/>
      <c r="CP377" s="940"/>
      <c r="CQ377" s="940"/>
      <c r="CR377" s="940"/>
      <c r="CS377" s="940"/>
      <c r="CT377" s="940"/>
      <c r="CU377" s="940"/>
      <c r="CV377" s="940"/>
      <c r="CW377" s="940"/>
      <c r="CX377" s="940"/>
      <c r="CY377" s="940"/>
      <c r="CZ377" s="940"/>
      <c r="DA377" s="940"/>
      <c r="DB377" s="940"/>
      <c r="DC377" s="940"/>
      <c r="DD377" s="940"/>
      <c r="DE377" s="940"/>
      <c r="DF377" s="940"/>
      <c r="DG377" s="940"/>
      <c r="DH377" s="940"/>
    </row>
    <row r="378" s="857" customFormat="1" ht="31" customHeight="1" spans="1:112">
      <c r="A378" s="923"/>
      <c r="B378" s="1342"/>
      <c r="C378" s="941"/>
      <c r="E378" s="1342"/>
      <c r="G378" s="927"/>
      <c r="H378" s="928"/>
      <c r="I378" s="928"/>
      <c r="J378" s="928"/>
      <c r="K378" s="928"/>
      <c r="L378" s="929"/>
      <c r="M378" s="930"/>
      <c r="N378" s="930"/>
      <c r="O378" s="937"/>
      <c r="P378" s="1339" t="s">
        <v>1504</v>
      </c>
      <c r="Q378" s="926"/>
      <c r="R378" s="932"/>
      <c r="S378" s="932"/>
      <c r="T378" s="932"/>
      <c r="U378" s="932"/>
      <c r="V378" s="933"/>
      <c r="W378" s="934"/>
      <c r="X378" s="935"/>
      <c r="Y378" s="936"/>
      <c r="Z378" s="936"/>
      <c r="AA378" s="926"/>
      <c r="AB378" s="926"/>
      <c r="AC378" s="928"/>
      <c r="AD378" s="928"/>
      <c r="AE378" s="1303"/>
      <c r="AF378" s="1303"/>
      <c r="AG378" s="1336"/>
      <c r="AH378" s="947"/>
      <c r="AI378" s="1337"/>
      <c r="AJ378" s="926"/>
      <c r="AK378" s="858"/>
      <c r="AM378" s="858"/>
      <c r="AN378" s="858"/>
      <c r="AO378" s="858"/>
      <c r="AP378" s="858"/>
      <c r="AQ378" s="858"/>
      <c r="BH378" s="925"/>
      <c r="BI378" s="925"/>
      <c r="BJ378" s="925"/>
      <c r="BK378" s="925"/>
      <c r="BL378" s="925"/>
      <c r="BU378" s="939"/>
      <c r="BV378" s="939"/>
      <c r="BW378" s="939"/>
      <c r="BX378" s="939"/>
      <c r="BY378" s="939"/>
      <c r="BZ378" s="939"/>
      <c r="CD378" s="939"/>
      <c r="CE378" s="939"/>
      <c r="CF378" s="1338"/>
      <c r="CG378" s="939"/>
      <c r="CH378" s="939"/>
      <c r="CI378" s="939"/>
      <c r="CM378" s="940"/>
      <c r="CN378" s="940"/>
      <c r="CO378" s="940"/>
      <c r="CP378" s="940"/>
      <c r="CQ378" s="940"/>
      <c r="CR378" s="940"/>
      <c r="CS378" s="940"/>
      <c r="CT378" s="940"/>
      <c r="CU378" s="940"/>
      <c r="CV378" s="940"/>
      <c r="CW378" s="940"/>
      <c r="CX378" s="940"/>
      <c r="CY378" s="940"/>
      <c r="CZ378" s="940"/>
      <c r="DA378" s="940"/>
      <c r="DB378" s="940"/>
      <c r="DC378" s="940"/>
      <c r="DD378" s="940"/>
      <c r="DE378" s="940"/>
      <c r="DF378" s="940"/>
      <c r="DG378" s="940"/>
      <c r="DH378" s="940"/>
    </row>
    <row r="379" s="857" customFormat="1" ht="31" customHeight="1" spans="1:112">
      <c r="A379" s="923"/>
      <c r="B379" s="924"/>
      <c r="C379" s="925"/>
      <c r="E379" s="926"/>
      <c r="F379" s="933"/>
      <c r="G379" s="927"/>
      <c r="H379" s="928"/>
      <c r="I379" s="928"/>
      <c r="J379" s="928"/>
      <c r="K379" s="928"/>
      <c r="L379" s="929"/>
      <c r="M379" s="930"/>
      <c r="N379" s="930"/>
      <c r="O379" s="937"/>
      <c r="P379" s="1339"/>
      <c r="Q379" s="926"/>
      <c r="R379" s="932"/>
      <c r="S379" s="932"/>
      <c r="T379" s="932"/>
      <c r="U379" s="932"/>
      <c r="V379" s="933"/>
      <c r="W379" s="934"/>
      <c r="X379" s="935"/>
      <c r="Y379" s="936"/>
      <c r="Z379" s="936"/>
      <c r="AA379" s="926"/>
      <c r="AB379" s="926"/>
      <c r="AC379" s="928"/>
      <c r="AD379" s="928"/>
      <c r="AE379" s="1303"/>
      <c r="AF379" s="1303"/>
      <c r="AG379" s="1336"/>
      <c r="AH379" s="947"/>
      <c r="AI379" s="1337"/>
      <c r="AJ379" s="926"/>
      <c r="AK379" s="858"/>
      <c r="AM379" s="858"/>
      <c r="AN379" s="858"/>
      <c r="AO379" s="858"/>
      <c r="AP379" s="858"/>
      <c r="AQ379" s="858"/>
      <c r="BH379" s="925"/>
      <c r="BI379" s="925"/>
      <c r="BJ379" s="925"/>
      <c r="BK379" s="925"/>
      <c r="BL379" s="925"/>
      <c r="BU379" s="939"/>
      <c r="BV379" s="939"/>
      <c r="BW379" s="939"/>
      <c r="BX379" s="939"/>
      <c r="BY379" s="939"/>
      <c r="BZ379" s="939"/>
      <c r="CD379" s="939"/>
      <c r="CE379" s="939"/>
      <c r="CF379" s="1338"/>
      <c r="CG379" s="939"/>
      <c r="CH379" s="939"/>
      <c r="CI379" s="939"/>
      <c r="CM379" s="940"/>
      <c r="CN379" s="940"/>
      <c r="CO379" s="940"/>
      <c r="CP379" s="940"/>
      <c r="CQ379" s="940"/>
      <c r="CR379" s="940"/>
      <c r="CS379" s="940"/>
      <c r="CT379" s="940"/>
      <c r="CU379" s="940"/>
      <c r="CV379" s="940"/>
      <c r="CW379" s="940"/>
      <c r="CX379" s="940"/>
      <c r="CY379" s="940"/>
      <c r="CZ379" s="940"/>
      <c r="DA379" s="940"/>
      <c r="DB379" s="940"/>
      <c r="DC379" s="940"/>
      <c r="DD379" s="940"/>
      <c r="DE379" s="940"/>
      <c r="DF379" s="940"/>
      <c r="DG379" s="940"/>
      <c r="DH379" s="940"/>
    </row>
    <row r="380" s="1206" customFormat="1" ht="31" customHeight="1" spans="1:112">
      <c r="A380" s="1343"/>
      <c r="B380" s="1344"/>
      <c r="C380" s="1345"/>
      <c r="E380" s="1205"/>
      <c r="G380" s="1346"/>
      <c r="H380" s="1347"/>
      <c r="I380" s="1347"/>
      <c r="J380" s="1347"/>
      <c r="K380" s="1347"/>
      <c r="L380" s="1348"/>
      <c r="M380" s="930"/>
      <c r="N380" s="1349"/>
      <c r="O380" s="1350"/>
      <c r="P380" s="1339"/>
      <c r="Q380" s="1205"/>
      <c r="R380" s="1351"/>
      <c r="S380" s="1351"/>
      <c r="T380" s="1351"/>
      <c r="U380" s="1351"/>
      <c r="V380" s="1352"/>
      <c r="W380" s="1353"/>
      <c r="X380" s="1354"/>
      <c r="Y380" s="1355"/>
      <c r="Z380" s="1355"/>
      <c r="AA380" s="1205"/>
      <c r="AB380" s="1205"/>
      <c r="AC380" s="1346"/>
      <c r="AD380" s="1347"/>
      <c r="AE380" s="1356"/>
      <c r="AF380" s="1356"/>
      <c r="AG380" s="1357"/>
      <c r="AH380" s="1358"/>
      <c r="AI380" s="1337"/>
      <c r="AJ380" s="1205"/>
      <c r="AK380" s="1359"/>
      <c r="AM380" s="1359"/>
      <c r="AN380" s="1359"/>
      <c r="AO380" s="1359"/>
      <c r="AP380" s="1359"/>
      <c r="AQ380" s="1359"/>
      <c r="BH380" s="1345"/>
      <c r="BI380" s="1345"/>
      <c r="BJ380" s="1345"/>
      <c r="BK380" s="1345"/>
      <c r="BL380" s="1345"/>
      <c r="BU380" s="1222"/>
      <c r="BV380" s="1222"/>
      <c r="BW380" s="1222"/>
      <c r="BX380" s="1222"/>
      <c r="BY380" s="1222"/>
      <c r="BZ380" s="1222"/>
      <c r="CD380" s="1222"/>
      <c r="CE380" s="1222"/>
      <c r="CF380" s="1360"/>
      <c r="CG380" s="1222"/>
      <c r="CH380" s="1222"/>
      <c r="CI380" s="1222"/>
      <c r="CM380" s="1361"/>
      <c r="CN380" s="1361"/>
      <c r="CO380" s="1361"/>
      <c r="CP380" s="1361"/>
      <c r="CQ380" s="1361"/>
      <c r="CR380" s="1361"/>
      <c r="CS380" s="1361"/>
      <c r="CT380" s="1361"/>
      <c r="CU380" s="1361"/>
      <c r="CV380" s="1361"/>
      <c r="CW380" s="1361"/>
      <c r="CX380" s="1361"/>
      <c r="CY380" s="1361"/>
      <c r="CZ380" s="1361"/>
      <c r="DA380" s="1361"/>
      <c r="DB380" s="1361"/>
      <c r="DC380" s="1361"/>
      <c r="DD380" s="1361"/>
      <c r="DE380" s="1361"/>
      <c r="DF380" s="1361"/>
      <c r="DG380" s="1361"/>
      <c r="DH380" s="1361"/>
    </row>
    <row r="381" s="1206" customFormat="1" ht="31" customHeight="1" spans="1:112">
      <c r="A381" s="1343"/>
      <c r="B381" s="1344"/>
      <c r="C381" s="1345"/>
      <c r="E381" s="1205"/>
      <c r="G381" s="1346"/>
      <c r="H381" s="1347"/>
      <c r="I381" s="1347"/>
      <c r="J381" s="1347"/>
      <c r="K381" s="1347"/>
      <c r="L381" s="1348"/>
      <c r="M381" s="930"/>
      <c r="N381" s="1349"/>
      <c r="O381" s="1350"/>
      <c r="P381" s="1339"/>
      <c r="Q381" s="1205"/>
      <c r="R381" s="1351"/>
      <c r="S381" s="1351"/>
      <c r="T381" s="1351"/>
      <c r="U381" s="1351"/>
      <c r="V381" s="1352"/>
      <c r="W381" s="1353"/>
      <c r="X381" s="1354"/>
      <c r="Y381" s="1355"/>
      <c r="Z381" s="1355"/>
      <c r="AA381" s="1205"/>
      <c r="AB381" s="1205"/>
      <c r="AC381" s="1347"/>
      <c r="AD381" s="1347"/>
      <c r="AE381" s="1356"/>
      <c r="AF381" s="1356"/>
      <c r="AG381" s="1357"/>
      <c r="AH381" s="1358"/>
      <c r="AI381" s="1337"/>
      <c r="AJ381" s="1205"/>
      <c r="AK381" s="1359"/>
      <c r="AM381" s="1359"/>
      <c r="AN381" s="1359"/>
      <c r="AO381" s="1359"/>
      <c r="AP381" s="1359"/>
      <c r="AQ381" s="1359"/>
      <c r="BH381" s="1345"/>
      <c r="BI381" s="1345"/>
      <c r="BJ381" s="1345"/>
      <c r="BK381" s="1345"/>
      <c r="BL381" s="1345"/>
      <c r="BU381" s="1222"/>
      <c r="BV381" s="1222"/>
      <c r="BW381" s="1222"/>
      <c r="BX381" s="1222"/>
      <c r="BY381" s="1222"/>
      <c r="BZ381" s="1222"/>
      <c r="CD381" s="1222"/>
      <c r="CE381" s="1222"/>
      <c r="CF381" s="1360"/>
      <c r="CG381" s="1222"/>
      <c r="CH381" s="1222"/>
      <c r="CI381" s="1222"/>
      <c r="CM381" s="1361"/>
      <c r="CN381" s="1361"/>
      <c r="CO381" s="1361"/>
      <c r="CP381" s="1361"/>
      <c r="CQ381" s="1361"/>
      <c r="CR381" s="1361"/>
      <c r="CS381" s="1361"/>
      <c r="CT381" s="1361"/>
      <c r="CU381" s="1361"/>
      <c r="CV381" s="1361"/>
      <c r="CW381" s="1361"/>
      <c r="CX381" s="1361"/>
      <c r="CY381" s="1361"/>
      <c r="CZ381" s="1361"/>
      <c r="DA381" s="1361"/>
      <c r="DB381" s="1361"/>
      <c r="DC381" s="1361"/>
      <c r="DD381" s="1361"/>
      <c r="DE381" s="1361"/>
      <c r="DF381" s="1361"/>
      <c r="DG381" s="1361"/>
      <c r="DH381" s="1361"/>
    </row>
    <row r="382" s="857" customFormat="1" ht="31" customHeight="1" spans="1:112">
      <c r="A382" s="923"/>
      <c r="B382" s="924"/>
      <c r="C382" s="925"/>
      <c r="E382" s="926"/>
      <c r="G382" s="927"/>
      <c r="H382" s="928"/>
      <c r="I382" s="928"/>
      <c r="J382" s="928"/>
      <c r="K382" s="928"/>
      <c r="L382" s="929"/>
      <c r="M382" s="930"/>
      <c r="N382" s="930"/>
      <c r="O382" s="937"/>
      <c r="P382" s="1339"/>
      <c r="Q382" s="926"/>
      <c r="R382" s="932"/>
      <c r="S382" s="932"/>
      <c r="T382" s="932"/>
      <c r="U382" s="932"/>
      <c r="V382" s="933"/>
      <c r="W382" s="934"/>
      <c r="X382" s="935"/>
      <c r="Y382" s="936"/>
      <c r="Z382" s="936"/>
      <c r="AA382" s="926"/>
      <c r="AB382" s="926"/>
      <c r="AC382" s="928"/>
      <c r="AD382" s="928"/>
      <c r="AE382" s="1303"/>
      <c r="AF382" s="1303"/>
      <c r="AG382" s="1336"/>
      <c r="AH382" s="947"/>
      <c r="AI382" s="1362"/>
      <c r="AJ382" s="926"/>
      <c r="AK382" s="858"/>
      <c r="AM382" s="858"/>
      <c r="AN382" s="858"/>
      <c r="AO382" s="858"/>
      <c r="AP382" s="858"/>
      <c r="AQ382" s="858"/>
      <c r="BH382" s="925"/>
      <c r="BI382" s="925"/>
      <c r="BJ382" s="925"/>
      <c r="BK382" s="925"/>
      <c r="BL382" s="925"/>
      <c r="BU382" s="939"/>
      <c r="BV382" s="939"/>
      <c r="BW382" s="939"/>
      <c r="BX382" s="939"/>
      <c r="BY382" s="939"/>
      <c r="BZ382" s="939"/>
      <c r="CD382" s="939"/>
      <c r="CE382" s="939"/>
      <c r="CF382" s="1338"/>
      <c r="CG382" s="939"/>
      <c r="CH382" s="939"/>
      <c r="CI382" s="939"/>
      <c r="CM382" s="940"/>
      <c r="CN382" s="940"/>
      <c r="CO382" s="940"/>
      <c r="CP382" s="940"/>
      <c r="CQ382" s="940"/>
      <c r="CR382" s="940"/>
      <c r="CS382" s="940"/>
      <c r="CT382" s="940"/>
      <c r="CU382" s="940"/>
      <c r="CV382" s="940"/>
      <c r="CW382" s="940"/>
      <c r="CX382" s="940"/>
      <c r="CY382" s="940"/>
      <c r="CZ382" s="940"/>
      <c r="DA382" s="940"/>
      <c r="DB382" s="940"/>
      <c r="DC382" s="940"/>
      <c r="DD382" s="940"/>
      <c r="DE382" s="940"/>
      <c r="DF382" s="940"/>
      <c r="DG382" s="940"/>
      <c r="DH382" s="940"/>
    </row>
    <row r="383" s="857" customFormat="1" ht="31" customHeight="1" spans="1:112">
      <c r="A383" s="923"/>
      <c r="B383" s="1342"/>
      <c r="C383" s="941"/>
      <c r="E383" s="1342"/>
      <c r="G383" s="927"/>
      <c r="H383" s="928"/>
      <c r="I383" s="928"/>
      <c r="J383" s="928"/>
      <c r="K383" s="928"/>
      <c r="L383" s="929"/>
      <c r="M383" s="930"/>
      <c r="N383" s="930"/>
      <c r="O383" s="937"/>
      <c r="P383" s="1339"/>
      <c r="Q383" s="926"/>
      <c r="R383" s="932"/>
      <c r="S383" s="932"/>
      <c r="T383" s="932"/>
      <c r="U383" s="932"/>
      <c r="V383" s="933"/>
      <c r="W383" s="930"/>
      <c r="X383" s="935"/>
      <c r="Y383" s="936"/>
      <c r="Z383" s="936"/>
      <c r="AA383" s="926"/>
      <c r="AB383" s="926"/>
      <c r="AC383" s="927"/>
      <c r="AD383" s="928"/>
      <c r="AE383" s="1303"/>
      <c r="AF383" s="1303"/>
      <c r="AG383" s="1336"/>
      <c r="AH383" s="947"/>
      <c r="AI383" s="1362"/>
      <c r="AJ383" s="926"/>
      <c r="AK383" s="858"/>
      <c r="AM383" s="858"/>
      <c r="AN383" s="858"/>
      <c r="AO383" s="858"/>
      <c r="AP383" s="858"/>
      <c r="AQ383" s="858"/>
      <c r="BH383" s="925"/>
      <c r="BI383" s="925"/>
      <c r="BJ383" s="925"/>
      <c r="BK383" s="925"/>
      <c r="BL383" s="925"/>
      <c r="BU383" s="939"/>
      <c r="BV383" s="939"/>
      <c r="BW383" s="939"/>
      <c r="BX383" s="939"/>
      <c r="BY383" s="939"/>
      <c r="BZ383" s="939"/>
      <c r="CD383" s="939"/>
      <c r="CE383" s="939"/>
      <c r="CF383" s="1338"/>
      <c r="CG383" s="939"/>
      <c r="CH383" s="939"/>
      <c r="CI383" s="939"/>
      <c r="CM383" s="940"/>
      <c r="CN383" s="940"/>
      <c r="CO383" s="940"/>
      <c r="CP383" s="940"/>
      <c r="CQ383" s="940"/>
      <c r="CR383" s="940"/>
      <c r="CS383" s="940"/>
      <c r="CT383" s="940"/>
      <c r="CU383" s="940"/>
      <c r="CV383" s="940"/>
      <c r="CW383" s="940"/>
      <c r="CX383" s="940"/>
      <c r="CY383" s="940"/>
      <c r="CZ383" s="940"/>
      <c r="DA383" s="940"/>
      <c r="DB383" s="940"/>
      <c r="DC383" s="940"/>
      <c r="DD383" s="940"/>
      <c r="DE383" s="940"/>
      <c r="DF383" s="940"/>
      <c r="DG383" s="940"/>
      <c r="DH383" s="940"/>
    </row>
    <row r="384" s="857" customFormat="1" ht="31" customHeight="1" spans="1:112">
      <c r="A384" s="923"/>
      <c r="B384" s="924"/>
      <c r="C384" s="925"/>
      <c r="E384" s="926"/>
      <c r="G384" s="927"/>
      <c r="H384" s="928"/>
      <c r="I384" s="928"/>
      <c r="J384" s="928"/>
      <c r="K384" s="928"/>
      <c r="L384" s="929"/>
      <c r="M384" s="930"/>
      <c r="N384" s="930"/>
      <c r="O384" s="937"/>
      <c r="P384" s="1339"/>
      <c r="Q384" s="926"/>
      <c r="R384" s="932"/>
      <c r="S384" s="932"/>
      <c r="T384" s="932"/>
      <c r="U384" s="932"/>
      <c r="V384" s="933"/>
      <c r="W384" s="934"/>
      <c r="X384" s="935"/>
      <c r="Y384" s="936"/>
      <c r="Z384" s="936"/>
      <c r="AA384" s="926"/>
      <c r="AB384" s="926"/>
      <c r="AC384" s="927"/>
      <c r="AD384" s="928"/>
      <c r="AE384" s="1303"/>
      <c r="AF384" s="1303"/>
      <c r="AG384" s="1336"/>
      <c r="AH384" s="947"/>
      <c r="AI384" s="1362"/>
      <c r="AJ384" s="926"/>
      <c r="AK384" s="858"/>
      <c r="AM384" s="858"/>
      <c r="AN384" s="858"/>
      <c r="AO384" s="858"/>
      <c r="AP384" s="858"/>
      <c r="AQ384" s="858"/>
      <c r="BH384" s="925"/>
      <c r="BI384" s="925"/>
      <c r="BJ384" s="925"/>
      <c r="BK384" s="925"/>
      <c r="BL384" s="925"/>
      <c r="BU384" s="939"/>
      <c r="BV384" s="939"/>
      <c r="BW384" s="939"/>
      <c r="BX384" s="939"/>
      <c r="BY384" s="939"/>
      <c r="BZ384" s="939"/>
      <c r="CD384" s="939"/>
      <c r="CE384" s="939"/>
      <c r="CF384" s="1338"/>
      <c r="CG384" s="939"/>
      <c r="CH384" s="939"/>
      <c r="CI384" s="939"/>
      <c r="CM384" s="940"/>
      <c r="CN384" s="940"/>
      <c r="CO384" s="940"/>
      <c r="CP384" s="940"/>
      <c r="CQ384" s="940"/>
      <c r="CR384" s="940"/>
      <c r="CS384" s="940"/>
      <c r="CT384" s="940"/>
      <c r="CU384" s="940"/>
      <c r="CV384" s="940"/>
      <c r="CW384" s="940"/>
      <c r="CX384" s="940"/>
      <c r="CY384" s="940"/>
      <c r="CZ384" s="940"/>
      <c r="DA384" s="940"/>
      <c r="DB384" s="940"/>
      <c r="DC384" s="940"/>
      <c r="DD384" s="940"/>
      <c r="DE384" s="940"/>
      <c r="DF384" s="940"/>
      <c r="DG384" s="940"/>
      <c r="DH384" s="940"/>
    </row>
    <row r="385" s="857" customFormat="1" ht="31" customHeight="1" spans="1:87">
      <c r="A385" s="923"/>
      <c r="B385" s="933"/>
      <c r="C385" s="926"/>
      <c r="E385" s="926"/>
      <c r="F385" s="926"/>
      <c r="G385" s="930"/>
      <c r="H385" s="926"/>
      <c r="I385" s="926"/>
      <c r="J385" s="926"/>
      <c r="K385" s="926"/>
      <c r="L385" s="1201"/>
      <c r="M385" s="930"/>
      <c r="N385" s="930"/>
      <c r="O385" s="937"/>
      <c r="P385" s="937"/>
      <c r="Q385" s="926"/>
      <c r="R385" s="1037"/>
      <c r="S385" s="1037"/>
      <c r="T385" s="1037"/>
      <c r="U385" s="1037"/>
      <c r="W385" s="930"/>
      <c r="X385" s="1203"/>
      <c r="Y385" s="1204"/>
      <c r="Z385" s="1204"/>
      <c r="AA385" s="926"/>
      <c r="AB385" s="926"/>
      <c r="AC385" s="926"/>
      <c r="AD385" s="926"/>
      <c r="AE385" s="1303"/>
      <c r="AF385" s="1303"/>
      <c r="AG385" s="1363"/>
      <c r="AH385" s="924"/>
      <c r="AI385" s="1337"/>
      <c r="AJ385" s="926"/>
      <c r="BU385" s="939"/>
      <c r="BV385" s="939"/>
      <c r="BW385" s="939"/>
      <c r="BX385" s="939"/>
      <c r="BY385" s="939"/>
      <c r="BZ385" s="939"/>
      <c r="CD385" s="939"/>
      <c r="CE385" s="939"/>
      <c r="CF385" s="939"/>
      <c r="CG385" s="939"/>
      <c r="CH385" s="939"/>
      <c r="CI385" s="939"/>
    </row>
    <row r="386" s="857" customFormat="1" ht="31" customHeight="1" spans="1:87">
      <c r="A386" s="923"/>
      <c r="B386" s="933"/>
      <c r="C386" s="926"/>
      <c r="E386" s="926"/>
      <c r="F386" s="926"/>
      <c r="G386" s="1364"/>
      <c r="H386" s="926"/>
      <c r="I386" s="926"/>
      <c r="J386" s="926"/>
      <c r="K386" s="926"/>
      <c r="L386" s="1201"/>
      <c r="M386" s="930"/>
      <c r="N386" s="930"/>
      <c r="O386" s="937"/>
      <c r="P386" s="937"/>
      <c r="Q386" s="926"/>
      <c r="R386" s="1037"/>
      <c r="S386" s="1037"/>
      <c r="T386" s="1037"/>
      <c r="U386" s="1037"/>
      <c r="W386" s="930"/>
      <c r="X386" s="1203"/>
      <c r="Y386" s="1204"/>
      <c r="Z386" s="1204"/>
      <c r="AA386" s="926"/>
      <c r="AB386" s="926"/>
      <c r="AC386" s="926"/>
      <c r="AD386" s="926"/>
      <c r="AE386" s="1303"/>
      <c r="AF386" s="1303"/>
      <c r="AG386" s="1336"/>
      <c r="AH386" s="1040"/>
      <c r="AI386" s="1337"/>
      <c r="AJ386" s="926"/>
      <c r="BU386" s="939"/>
      <c r="BV386" s="939"/>
      <c r="BW386" s="939"/>
      <c r="BX386" s="939"/>
      <c r="BY386" s="939"/>
      <c r="BZ386" s="939"/>
      <c r="CD386" s="939"/>
      <c r="CE386" s="939"/>
      <c r="CF386" s="939"/>
      <c r="CG386" s="939"/>
      <c r="CH386" s="939"/>
      <c r="CI386" s="939"/>
    </row>
    <row r="387" s="857" customFormat="1" ht="31" customHeight="1" spans="1:87">
      <c r="A387" s="923"/>
      <c r="B387" s="933"/>
      <c r="C387" s="926"/>
      <c r="E387" s="926"/>
      <c r="F387" s="926"/>
      <c r="G387" s="1364"/>
      <c r="H387" s="926"/>
      <c r="I387" s="926"/>
      <c r="J387" s="926"/>
      <c r="K387" s="926"/>
      <c r="L387" s="1201"/>
      <c r="M387" s="930"/>
      <c r="N387" s="930"/>
      <c r="O387" s="937"/>
      <c r="P387" s="937"/>
      <c r="Q387" s="926"/>
      <c r="R387" s="932"/>
      <c r="S387" s="1037"/>
      <c r="T387" s="932"/>
      <c r="U387" s="932"/>
      <c r="W387" s="930"/>
      <c r="X387" s="1365"/>
      <c r="Y387" s="1204"/>
      <c r="Z387" s="1204"/>
      <c r="AA387" s="926"/>
      <c r="AB387" s="926"/>
      <c r="AC387" s="926"/>
      <c r="AD387" s="926"/>
      <c r="AE387" s="1303"/>
      <c r="AF387" s="1303"/>
      <c r="AG387" s="1366"/>
      <c r="AH387" s="926"/>
      <c r="AI387" s="1337"/>
      <c r="AJ387" s="926"/>
      <c r="BU387" s="939"/>
      <c r="BV387" s="939"/>
      <c r="BW387" s="939"/>
      <c r="BX387" s="939"/>
      <c r="BY387" s="939"/>
      <c r="BZ387" s="939"/>
      <c r="CD387" s="939"/>
      <c r="CE387" s="939"/>
      <c r="CF387" s="939"/>
      <c r="CG387" s="939"/>
      <c r="CH387" s="939"/>
      <c r="CI387" s="939"/>
    </row>
    <row r="388" s="857" customFormat="1" ht="31" customHeight="1" spans="1:87">
      <c r="A388" s="923"/>
      <c r="B388" s="933"/>
      <c r="C388" s="926"/>
      <c r="E388" s="926"/>
      <c r="F388" s="926"/>
      <c r="G388" s="930"/>
      <c r="H388" s="926"/>
      <c r="I388" s="926"/>
      <c r="J388" s="926"/>
      <c r="K388" s="926"/>
      <c r="L388" s="1201"/>
      <c r="M388" s="930"/>
      <c r="N388" s="930"/>
      <c r="O388" s="937"/>
      <c r="P388" s="937"/>
      <c r="Q388" s="926"/>
      <c r="R388" s="1037"/>
      <c r="S388" s="1037"/>
      <c r="T388" s="1037"/>
      <c r="U388" s="1037"/>
      <c r="W388" s="930"/>
      <c r="X388" s="1203"/>
      <c r="Y388" s="1204"/>
      <c r="Z388" s="1204"/>
      <c r="AA388" s="926"/>
      <c r="AB388" s="926"/>
      <c r="AC388" s="926"/>
      <c r="AD388" s="926"/>
      <c r="AE388" s="1303"/>
      <c r="AF388" s="1303"/>
      <c r="AG388" s="1366"/>
      <c r="AH388" s="926"/>
      <c r="AI388" s="1337"/>
      <c r="AJ388" s="926"/>
      <c r="BU388" s="939"/>
      <c r="BV388" s="939"/>
      <c r="BW388" s="939"/>
      <c r="BX388" s="939"/>
      <c r="BY388" s="939"/>
      <c r="BZ388" s="939"/>
      <c r="CD388" s="939"/>
      <c r="CE388" s="939"/>
      <c r="CF388" s="939"/>
      <c r="CG388" s="939"/>
      <c r="CH388" s="939"/>
      <c r="CI388" s="939"/>
    </row>
    <row r="389" ht="14.25" spans="1:87">
      <c r="M389" s="930"/>
      <c r="AF389" s="860"/>
    </row>
    <row r="390" spans="1:87">
      <c r="C390" s="1367"/>
      <c r="G390" s="1368" t="s">
        <v>142</v>
      </c>
      <c r="I390" s="1368">
        <f>SUM(I2:I389)</f>
        <v>575524</v>
      </c>
      <c r="J390" s="1367"/>
      <c r="K390" s="1367"/>
      <c r="L390" s="1367"/>
      <c r="M390" s="1367"/>
      <c r="N390" s="1367"/>
      <c r="O390" s="1367"/>
      <c r="P390" s="1367"/>
      <c r="Q390" s="1367"/>
      <c r="R390" s="1367"/>
      <c r="S390" s="1367"/>
      <c r="T390" s="1367"/>
      <c r="U390" s="1367"/>
      <c r="X390" s="1369"/>
      <c r="Y390" s="1370"/>
      <c r="Z390" s="1370"/>
      <c r="AA390" s="868"/>
      <c r="AD390" s="868"/>
      <c r="AE390" s="1367"/>
      <c r="AF390" s="1367"/>
      <c r="AH390" s="1371"/>
      <c r="AI390" s="1372"/>
      <c r="AJ390" s="1371"/>
      <c r="AK390" s="1368">
        <f t="shared" ref="AK390:BJ390" si="230">SUM(AK2:AK389)</f>
        <v>764750</v>
      </c>
      <c r="AL390" s="1368">
        <f t="shared" si="230"/>
        <v>16002</v>
      </c>
      <c r="AM390" s="1368">
        <f t="shared" si="230"/>
        <v>610930</v>
      </c>
      <c r="AN390" s="1368">
        <f t="shared" si="230"/>
        <v>5712</v>
      </c>
      <c r="AO390" s="1368">
        <f t="shared" si="230"/>
        <v>61128</v>
      </c>
      <c r="AP390" s="1368">
        <f t="shared" si="230"/>
        <v>107768</v>
      </c>
      <c r="AQ390" s="1368">
        <f t="shared" si="230"/>
        <v>0</v>
      </c>
      <c r="AR390" s="1368">
        <f t="shared" si="230"/>
        <v>0</v>
      </c>
      <c r="AS390" s="1368">
        <f t="shared" si="230"/>
        <v>668533</v>
      </c>
      <c r="AT390" s="1368">
        <f t="shared" si="230"/>
        <v>0</v>
      </c>
      <c r="AU390" s="1368">
        <f t="shared" si="230"/>
        <v>107136</v>
      </c>
      <c r="AV390" s="1368">
        <f t="shared" si="230"/>
        <v>0</v>
      </c>
      <c r="AW390" s="1368">
        <f t="shared" si="230"/>
        <v>0</v>
      </c>
      <c r="AX390" s="1368">
        <f t="shared" si="230"/>
        <v>0</v>
      </c>
      <c r="AY390" s="1368">
        <f t="shared" si="230"/>
        <v>0</v>
      </c>
      <c r="AZ390" s="1368">
        <f t="shared" si="230"/>
        <v>9312</v>
      </c>
      <c r="BA390" s="1368">
        <f t="shared" si="230"/>
        <v>0</v>
      </c>
      <c r="BB390" s="1368">
        <f t="shared" si="230"/>
        <v>10190</v>
      </c>
      <c r="BC390" s="1368">
        <f t="shared" si="230"/>
        <v>3138</v>
      </c>
      <c r="BD390" s="1368">
        <f t="shared" si="230"/>
        <v>92</v>
      </c>
      <c r="BE390" s="1368">
        <f t="shared" si="230"/>
        <v>1414.48</v>
      </c>
      <c r="BF390" s="1368">
        <f t="shared" si="230"/>
        <v>3554</v>
      </c>
      <c r="BG390" s="1368">
        <f t="shared" si="230"/>
        <v>0</v>
      </c>
      <c r="BH390" s="1368">
        <f t="shared" si="230"/>
        <v>0</v>
      </c>
      <c r="BI390" s="1368">
        <f t="shared" si="230"/>
        <v>0</v>
      </c>
      <c r="BJ390" s="1368">
        <f t="shared" si="230"/>
        <v>87</v>
      </c>
      <c r="BK390" s="1368"/>
      <c r="BL390" s="1368">
        <f>SUM(BL2:BL389)</f>
        <v>0</v>
      </c>
      <c r="BM390" s="1368">
        <f>SUM(BM2:BM389)</f>
        <v>0</v>
      </c>
      <c r="BN390" s="1368">
        <f>SUM(BN2:BN389)</f>
        <v>177396</v>
      </c>
      <c r="BO390" s="1368">
        <f>SUM(BO2:BO389)</f>
        <v>61380</v>
      </c>
      <c r="BQ390" s="1368">
        <f>SUM(BQ2:BQ389)</f>
        <v>177396</v>
      </c>
      <c r="BR390" s="1368">
        <f>SUM(BR2:BR389)</f>
        <v>11592</v>
      </c>
      <c r="BS390" s="1368">
        <f>SUM(BS2:BS389)</f>
        <v>11592</v>
      </c>
      <c r="BT390" s="1368">
        <f>SUM(BT2:BT389)</f>
        <v>11592</v>
      </c>
      <c r="BU390" s="1373"/>
      <c r="BV390" s="1373"/>
      <c r="BW390" s="1373"/>
      <c r="BX390" s="1373"/>
      <c r="BY390" s="1373">
        <f>SUM(BY2:BY389)</f>
        <v>0</v>
      </c>
      <c r="BZ390" s="1373">
        <f>SUM(BZ2:BZ389)</f>
        <v>0</v>
      </c>
      <c r="CA390" s="1368">
        <f>SUM(CA2:CA389)</f>
        <v>107209018</v>
      </c>
      <c r="CB390" s="1368"/>
      <c r="CC390" s="1368">
        <f>SUM(CC2:CC389)</f>
        <v>4706</v>
      </c>
      <c r="CD390" s="1373"/>
      <c r="CE390" s="1373">
        <f>SUM(CE2:CE389)</f>
        <v>0</v>
      </c>
      <c r="CF390" s="1373">
        <f>SUM(CF2:CF389)</f>
        <v>0</v>
      </c>
      <c r="CG390" s="1373">
        <f>SUM(CG2:CG389)</f>
        <v>0</v>
      </c>
      <c r="CH390" s="1373">
        <f>SUM(CH2:CH389)</f>
        <v>4545850.57142859</v>
      </c>
    </row>
    <row r="391" spans="1:87">
      <c r="AF391" s="860"/>
    </row>
    <row r="392" ht="19" customHeight="1" spans="1:87">
      <c r="AF392" s="860"/>
    </row>
    <row r="393" spans="1:87">
      <c r="A393" s="1207"/>
      <c r="B393" s="1207"/>
      <c r="C393" s="1207"/>
      <c r="D393" s="1207"/>
      <c r="E393" s="1207"/>
      <c r="F393" s="1207"/>
      <c r="G393" s="1207"/>
      <c r="H393" s="1207"/>
      <c r="I393" s="1207"/>
      <c r="X393" s="860"/>
      <c r="Y393" s="864"/>
      <c r="Z393" s="864"/>
      <c r="AA393" s="865"/>
      <c r="AB393" s="1370"/>
      <c r="AE393" s="866"/>
      <c r="AF393" s="866"/>
      <c r="AH393" s="1374"/>
      <c r="AI393" s="1208" t="s">
        <v>41</v>
      </c>
      <c r="AJ393" s="1208"/>
      <c r="AK393" s="870">
        <v>2188428</v>
      </c>
    </row>
    <row r="394" spans="1:87">
      <c r="A394" s="1207"/>
      <c r="B394" s="1207"/>
      <c r="C394" s="1207"/>
      <c r="D394" s="1207"/>
      <c r="E394" s="1207"/>
      <c r="F394" s="1207"/>
      <c r="G394" s="1207"/>
      <c r="H394" s="1207"/>
      <c r="I394" s="1207"/>
      <c r="X394" s="860"/>
      <c r="Y394" s="864"/>
      <c r="Z394" s="864"/>
      <c r="AA394" s="865"/>
      <c r="AB394" s="1370"/>
      <c r="AE394" s="866"/>
      <c r="AF394" s="1367"/>
      <c r="AH394" s="1374"/>
      <c r="AI394" s="870"/>
      <c r="AJ394" s="1208"/>
      <c r="AK394" s="870"/>
    </row>
    <row r="395" spans="1:87">
      <c r="A395" s="1207"/>
      <c r="B395" s="1207"/>
      <c r="C395" s="1207"/>
      <c r="D395" s="1207"/>
      <c r="E395" s="1207"/>
      <c r="F395" s="1207"/>
      <c r="G395" s="1207"/>
      <c r="H395" s="1207"/>
      <c r="I395" s="1207"/>
      <c r="X395" s="860"/>
      <c r="Y395" s="864"/>
      <c r="Z395" s="864"/>
      <c r="AA395" s="865"/>
      <c r="AB395" s="1370"/>
      <c r="AE395" s="866"/>
      <c r="AF395" s="1367"/>
      <c r="AH395" s="1374"/>
      <c r="AI395" s="870"/>
      <c r="AJ395" s="1208"/>
      <c r="AK395" s="870"/>
    </row>
    <row r="396" spans="1:87">
      <c r="A396" s="1207"/>
      <c r="B396" s="1207"/>
      <c r="C396" s="1207"/>
      <c r="D396" s="1207"/>
      <c r="E396" s="1207"/>
      <c r="F396" s="1207"/>
      <c r="G396" s="1207"/>
      <c r="H396" s="1207"/>
      <c r="I396" s="1207"/>
      <c r="X396" s="860"/>
      <c r="Y396" s="864"/>
      <c r="Z396" s="864"/>
      <c r="AA396" s="865"/>
      <c r="AB396" s="1370"/>
      <c r="AE396" s="866"/>
      <c r="AF396" s="1367"/>
      <c r="AH396" s="1374"/>
      <c r="AI396" s="870"/>
      <c r="AJ396" s="1208"/>
      <c r="AK396" s="870"/>
    </row>
    <row r="397" spans="1:87">
      <c r="A397" s="1207"/>
      <c r="B397" s="1207"/>
      <c r="C397" s="1207"/>
      <c r="D397" s="1207"/>
      <c r="E397" s="1207"/>
      <c r="F397" s="1207"/>
      <c r="G397" s="1207"/>
      <c r="H397" s="1207"/>
      <c r="I397" s="1207"/>
      <c r="X397" s="860"/>
      <c r="Y397" s="864"/>
      <c r="Z397" s="864"/>
      <c r="AA397" s="865"/>
      <c r="AB397" s="1370"/>
      <c r="AE397" s="866"/>
      <c r="AF397" s="1367"/>
      <c r="AH397" s="1374"/>
      <c r="AI397" s="870"/>
      <c r="AJ397" s="1208"/>
      <c r="AK397" s="870"/>
    </row>
    <row r="398" spans="1:87">
      <c r="A398" s="1207"/>
      <c r="B398" s="1207"/>
      <c r="C398" s="1207"/>
      <c r="D398" s="1207"/>
      <c r="E398" s="1207"/>
      <c r="F398" s="1207"/>
      <c r="G398" s="1207"/>
      <c r="H398" s="1207"/>
      <c r="I398" s="1207"/>
      <c r="X398" s="860"/>
      <c r="Y398" s="864"/>
      <c r="Z398" s="864"/>
      <c r="AA398" s="865"/>
      <c r="AB398" s="1370"/>
      <c r="AE398" s="866"/>
      <c r="AF398" s="1367"/>
      <c r="AH398" s="1374"/>
      <c r="AI398" s="870"/>
      <c r="AJ398" s="1208"/>
      <c r="AK398" s="870"/>
    </row>
    <row r="399" spans="1:87">
      <c r="A399" s="1207"/>
      <c r="B399" s="1207"/>
      <c r="C399" s="1207"/>
      <c r="D399" s="1207"/>
      <c r="E399" s="1207"/>
      <c r="F399" s="1207"/>
      <c r="G399" s="1207"/>
      <c r="H399" s="1207"/>
      <c r="I399" s="1207"/>
      <c r="X399" s="860"/>
      <c r="Y399" s="864"/>
      <c r="Z399" s="864"/>
      <c r="AA399" s="865"/>
      <c r="AB399" s="1370"/>
      <c r="AE399" s="866"/>
      <c r="AF399" s="1367"/>
      <c r="AH399" s="1374"/>
      <c r="AI399" s="870"/>
      <c r="AJ399" s="1208"/>
      <c r="AK399" s="870"/>
    </row>
    <row r="400" spans="1:87">
      <c r="A400" s="1207"/>
      <c r="B400" s="1207"/>
      <c r="C400" s="1207"/>
      <c r="D400" s="1207"/>
      <c r="E400" s="1207"/>
      <c r="F400" s="1207"/>
      <c r="G400" s="1207"/>
      <c r="H400" s="1207"/>
      <c r="I400" s="1207"/>
      <c r="X400" s="860"/>
      <c r="Y400" s="864"/>
      <c r="Z400" s="864"/>
      <c r="AA400" s="865"/>
      <c r="AB400" s="1370"/>
      <c r="AE400" s="866"/>
      <c r="AF400" s="1367"/>
      <c r="AH400" s="1374"/>
      <c r="AI400" s="870"/>
      <c r="AJ400" s="1208"/>
      <c r="AK400" s="870"/>
    </row>
    <row r="401" spans="1:87">
      <c r="A401" s="1207"/>
      <c r="B401" s="1207"/>
      <c r="C401" s="1207"/>
      <c r="D401" s="1207"/>
      <c r="E401" s="1207"/>
      <c r="F401" s="1207"/>
      <c r="G401" s="1207"/>
      <c r="H401" s="1207"/>
      <c r="I401" s="1207"/>
      <c r="X401" s="860"/>
      <c r="Y401" s="864"/>
      <c r="Z401" s="864"/>
      <c r="AA401" s="865"/>
      <c r="AB401" s="1370"/>
      <c r="AE401" s="866"/>
      <c r="AF401" s="1367"/>
      <c r="AH401" s="1374"/>
      <c r="AI401" s="870"/>
      <c r="AJ401" s="1208"/>
      <c r="AK401" s="870"/>
    </row>
    <row r="402" spans="1:87">
      <c r="A402" s="1207"/>
      <c r="B402" s="1207"/>
      <c r="C402" s="1207"/>
      <c r="D402" s="1207"/>
      <c r="E402" s="1207"/>
      <c r="F402" s="1207"/>
      <c r="G402" s="1207"/>
      <c r="H402" s="1207"/>
      <c r="I402" s="1207"/>
      <c r="X402" s="860"/>
      <c r="Y402" s="864"/>
      <c r="Z402" s="864"/>
      <c r="AA402" s="865"/>
      <c r="AB402" s="1370"/>
      <c r="AE402" s="866"/>
      <c r="AF402" s="1367"/>
      <c r="AH402" s="1374"/>
      <c r="AI402" s="870"/>
      <c r="AJ402" s="1208"/>
      <c r="AK402" s="870"/>
    </row>
    <row r="403" spans="1:87">
      <c r="A403" s="1207"/>
      <c r="B403" s="1207"/>
      <c r="C403" s="1207"/>
      <c r="D403" s="1207"/>
      <c r="E403" s="1207"/>
      <c r="F403" s="1207"/>
      <c r="G403" s="1207"/>
      <c r="H403" s="1207"/>
      <c r="I403" s="1207"/>
      <c r="X403" s="860"/>
      <c r="Y403" s="864"/>
      <c r="Z403" s="864"/>
      <c r="AA403" s="865"/>
      <c r="AB403" s="1370"/>
      <c r="AE403" s="866"/>
      <c r="AF403" s="1367"/>
      <c r="AH403" s="1374"/>
      <c r="AI403" s="870"/>
      <c r="AJ403" s="1208"/>
      <c r="AK403" s="870"/>
    </row>
    <row r="404" spans="1:87">
      <c r="A404" s="1207"/>
      <c r="B404" s="1207"/>
      <c r="C404" s="1207"/>
      <c r="D404" s="1207"/>
      <c r="E404" s="1207"/>
      <c r="F404" s="1207"/>
      <c r="G404" s="1207"/>
      <c r="H404" s="1207"/>
      <c r="I404" s="1207"/>
      <c r="X404" s="860"/>
      <c r="Y404" s="864"/>
      <c r="Z404" s="864"/>
      <c r="AA404" s="865"/>
      <c r="AB404" s="1370"/>
      <c r="AE404" s="866"/>
      <c r="AF404" s="1367"/>
      <c r="AH404" s="1374"/>
      <c r="AI404" s="870"/>
      <c r="AJ404" s="1208"/>
      <c r="AK404" s="870"/>
    </row>
    <row r="405" spans="1:87">
      <c r="A405" s="1207"/>
      <c r="B405" s="1207"/>
      <c r="C405" s="1207"/>
      <c r="D405" s="1207"/>
      <c r="E405" s="1207"/>
      <c r="F405" s="1207"/>
      <c r="G405" s="1207"/>
      <c r="H405" s="1207"/>
      <c r="I405" s="1207"/>
      <c r="X405" s="860"/>
      <c r="Y405" s="864"/>
      <c r="Z405" s="864"/>
      <c r="AA405" s="865"/>
      <c r="AB405" s="1370"/>
      <c r="AE405" s="866"/>
      <c r="AF405" s="1367"/>
      <c r="AH405" s="1374"/>
      <c r="AI405" s="870"/>
      <c r="AJ405" s="1208"/>
      <c r="AK405" s="870"/>
    </row>
    <row r="406" spans="1:87">
      <c r="A406" s="1207"/>
      <c r="B406" s="1207"/>
      <c r="C406" s="1207"/>
      <c r="D406" s="1207"/>
      <c r="E406" s="1207"/>
      <c r="F406" s="1207"/>
      <c r="G406" s="1207"/>
      <c r="H406" s="1207"/>
      <c r="I406" s="1207"/>
      <c r="X406" s="860"/>
      <c r="Y406" s="864"/>
      <c r="Z406" s="864"/>
      <c r="AA406" s="865"/>
      <c r="AB406" s="1370"/>
      <c r="AE406" s="866"/>
      <c r="AF406" s="1367"/>
      <c r="AH406" s="1374"/>
      <c r="AI406" s="870"/>
      <c r="AJ406" s="1208"/>
      <c r="AK406" s="870"/>
    </row>
    <row r="407" spans="1:87">
      <c r="A407" s="1207"/>
      <c r="B407" s="1207"/>
      <c r="C407" s="1207"/>
      <c r="D407" s="1207"/>
      <c r="E407" s="1207"/>
      <c r="F407" s="1207"/>
      <c r="G407" s="1207"/>
      <c r="H407" s="1207"/>
      <c r="I407" s="1207"/>
      <c r="X407" s="860"/>
      <c r="Y407" s="864"/>
      <c r="Z407" s="864"/>
      <c r="AA407" s="865"/>
      <c r="AB407" s="1370"/>
      <c r="AE407" s="866"/>
      <c r="AF407" s="1367"/>
      <c r="AH407" s="1374"/>
      <c r="AI407" s="870"/>
      <c r="AJ407" s="1208"/>
      <c r="AK407" s="870"/>
    </row>
    <row r="408" spans="1:87">
      <c r="A408" s="1207"/>
      <c r="B408" s="1207"/>
      <c r="C408" s="1207"/>
      <c r="D408" s="1207"/>
      <c r="E408" s="1207"/>
      <c r="F408" s="1207"/>
      <c r="G408" s="1207"/>
      <c r="H408" s="1207"/>
      <c r="I408" s="1207"/>
      <c r="X408" s="860"/>
      <c r="Y408" s="864"/>
      <c r="Z408" s="864"/>
      <c r="AA408" s="865"/>
      <c r="AB408" s="1370"/>
      <c r="AE408" s="866"/>
      <c r="AF408" s="1367"/>
      <c r="AH408" s="1374"/>
      <c r="AI408" s="870"/>
      <c r="AJ408" s="1208"/>
      <c r="AK408" s="870"/>
    </row>
    <row r="409" spans="1:87">
      <c r="A409" s="1207"/>
      <c r="B409" s="1207"/>
      <c r="C409" s="1207"/>
      <c r="D409" s="1207"/>
      <c r="E409" s="1207"/>
      <c r="F409" s="1207"/>
      <c r="G409" s="1207"/>
      <c r="H409" s="1207"/>
      <c r="I409" s="1207"/>
      <c r="X409" s="860"/>
      <c r="Y409" s="864"/>
      <c r="Z409" s="864"/>
      <c r="AA409" s="865"/>
      <c r="AB409" s="1370"/>
      <c r="AE409" s="866"/>
      <c r="AF409" s="1367"/>
      <c r="AH409" s="1374"/>
      <c r="AI409" s="870"/>
      <c r="AJ409" s="1208"/>
      <c r="AK409" s="870"/>
    </row>
    <row r="410" spans="1:87">
      <c r="A410" s="1207"/>
      <c r="B410" s="1207"/>
      <c r="C410" s="1207"/>
      <c r="D410" s="1207"/>
      <c r="E410" s="1207"/>
      <c r="F410" s="1207"/>
      <c r="G410" s="1207"/>
      <c r="H410" s="1207"/>
      <c r="I410" s="1207"/>
      <c r="X410" s="860"/>
      <c r="Y410" s="864"/>
      <c r="Z410" s="864"/>
      <c r="AA410" s="865"/>
      <c r="AB410" s="1370"/>
      <c r="AE410" s="866"/>
      <c r="AF410" s="1367"/>
      <c r="AH410" s="1374"/>
      <c r="AI410" s="870"/>
      <c r="AJ410" s="1208"/>
      <c r="AK410" s="870"/>
    </row>
    <row r="411" spans="1:87">
      <c r="A411" s="1207"/>
      <c r="B411" s="1207"/>
      <c r="C411" s="1207"/>
      <c r="D411" s="1207"/>
      <c r="E411" s="1207"/>
      <c r="F411" s="1207"/>
      <c r="G411" s="1207"/>
      <c r="H411" s="1207"/>
      <c r="I411" s="1207"/>
      <c r="X411" s="860"/>
      <c r="Y411" s="864"/>
      <c r="Z411" s="864"/>
      <c r="AA411" s="865"/>
      <c r="AB411" s="1370"/>
      <c r="AE411" s="866"/>
      <c r="AF411" s="1367"/>
      <c r="AH411" s="1374"/>
      <c r="AI411" s="870"/>
      <c r="AJ411" s="1208"/>
      <c r="AK411" s="870"/>
    </row>
    <row r="412" spans="1:87">
      <c r="A412" s="1207"/>
      <c r="B412" s="1207"/>
      <c r="C412" s="1207"/>
      <c r="D412" s="1207"/>
      <c r="E412" s="1207"/>
      <c r="F412" s="1207"/>
      <c r="G412" s="1207"/>
      <c r="H412" s="1207"/>
      <c r="I412" s="1207"/>
      <c r="X412" s="860"/>
      <c r="Y412" s="864"/>
      <c r="Z412" s="864"/>
      <c r="AA412" s="865"/>
      <c r="AB412" s="1370"/>
      <c r="AE412" s="866"/>
      <c r="AF412" s="1367"/>
      <c r="AH412" s="1374"/>
      <c r="AI412" s="870"/>
      <c r="AJ412" s="1208"/>
      <c r="AK412" s="870"/>
    </row>
    <row r="413" spans="1:87">
      <c r="A413" s="1207"/>
      <c r="B413" s="1207"/>
      <c r="C413" s="1207"/>
      <c r="D413" s="1207"/>
      <c r="E413" s="1207"/>
      <c r="F413" s="1207"/>
      <c r="G413" s="1207"/>
      <c r="H413" s="1207"/>
      <c r="I413" s="1207"/>
      <c r="X413" s="860"/>
      <c r="Y413" s="864"/>
      <c r="Z413" s="864"/>
      <c r="AA413" s="865"/>
      <c r="AB413" s="1370"/>
      <c r="AE413" s="866"/>
      <c r="AF413" s="1367"/>
      <c r="AH413" s="1374"/>
      <c r="AI413" s="870"/>
      <c r="AJ413" s="1208"/>
      <c r="AK413" s="870"/>
    </row>
    <row r="414" spans="1:87">
      <c r="A414" s="1207"/>
      <c r="B414" s="1207"/>
      <c r="C414" s="1207"/>
      <c r="D414" s="1207"/>
      <c r="E414" s="1207"/>
      <c r="F414" s="1207"/>
      <c r="G414" s="1207"/>
      <c r="H414" s="1207"/>
      <c r="I414" s="1207"/>
      <c r="X414" s="860"/>
      <c r="Y414" s="864"/>
      <c r="Z414" s="864"/>
      <c r="AA414" s="865"/>
      <c r="AB414" s="1370"/>
      <c r="AE414" s="866"/>
      <c r="AF414" s="1367"/>
      <c r="AH414" s="1374"/>
      <c r="AI414" s="870"/>
      <c r="AJ414" s="1208"/>
      <c r="AK414" s="870"/>
    </row>
    <row r="415" spans="1:87">
      <c r="A415" s="1207"/>
      <c r="B415" s="1207"/>
      <c r="C415" s="1207"/>
      <c r="D415" s="1207"/>
      <c r="E415" s="1207"/>
      <c r="F415" s="1207"/>
      <c r="G415" s="1207"/>
      <c r="H415" s="1207"/>
      <c r="I415" s="1207"/>
      <c r="X415" s="860"/>
      <c r="Y415" s="864"/>
      <c r="Z415" s="864"/>
      <c r="AA415" s="865"/>
      <c r="AB415" s="1370"/>
      <c r="AE415" s="866"/>
      <c r="AF415" s="1367"/>
      <c r="AH415" s="1374"/>
      <c r="AI415" s="870"/>
      <c r="AJ415" s="1208"/>
      <c r="AK415" s="870"/>
    </row>
    <row r="416" s="860" customFormat="1" spans="1:87">
      <c r="A416" s="1207"/>
      <c r="B416" s="1207"/>
      <c r="C416" s="1207"/>
      <c r="D416" s="1207"/>
      <c r="E416" s="1207"/>
      <c r="F416" s="1207"/>
      <c r="G416" s="1207"/>
      <c r="H416" s="1207"/>
      <c r="I416" s="1207"/>
      <c r="X416" s="864"/>
      <c r="Y416" s="865"/>
      <c r="Z416" s="865"/>
      <c r="AA416" s="866"/>
      <c r="AB416" s="867"/>
      <c r="AC416" s="868"/>
      <c r="AD416" s="866"/>
      <c r="AF416" s="869"/>
      <c r="AG416" s="869"/>
      <c r="AH416" s="870"/>
      <c r="AI416" s="1208"/>
      <c r="AJ416" s="870"/>
      <c r="BU416" s="872"/>
      <c r="BV416" s="872"/>
      <c r="BW416" s="872"/>
      <c r="BX416" s="872"/>
      <c r="BY416" s="872"/>
      <c r="BZ416" s="872"/>
      <c r="CD416" s="872"/>
      <c r="CE416" s="872"/>
      <c r="CF416" s="872"/>
      <c r="CG416" s="872"/>
      <c r="CH416" s="872"/>
      <c r="CI416" s="872"/>
    </row>
    <row r="417" spans="1:9">
      <c r="A417" s="1207"/>
      <c r="B417" s="1207"/>
      <c r="C417" s="1207"/>
      <c r="D417" s="1207"/>
      <c r="E417" s="1207"/>
      <c r="F417" s="1207"/>
      <c r="G417" s="1207"/>
      <c r="H417" s="1207"/>
      <c r="I417" s="1207"/>
    </row>
    <row r="418" spans="1:9">
      <c r="A418" s="1207"/>
      <c r="B418" s="1207"/>
      <c r="C418" s="1207"/>
      <c r="D418" s="1207"/>
      <c r="E418" s="1207"/>
      <c r="F418" s="1207"/>
      <c r="G418" s="1207"/>
      <c r="H418" s="1207"/>
      <c r="I418" s="1207"/>
    </row>
    <row r="419" spans="1:9">
      <c r="A419" s="1207"/>
      <c r="B419" s="1207"/>
      <c r="C419" s="1207"/>
      <c r="D419" s="1207"/>
      <c r="E419" s="1207"/>
      <c r="F419" s="1207"/>
      <c r="G419" s="1207"/>
      <c r="H419" s="1207"/>
      <c r="I419" s="1207"/>
    </row>
    <row r="420" spans="1:9">
      <c r="A420" s="1207"/>
      <c r="B420" s="1207"/>
      <c r="C420" s="1207"/>
      <c r="D420" s="1207"/>
      <c r="E420" s="1207"/>
      <c r="F420" s="1207"/>
      <c r="G420" s="1207"/>
      <c r="H420" s="1207"/>
      <c r="I420" s="1207"/>
    </row>
    <row r="421" spans="1:9">
      <c r="A421" s="1207"/>
      <c r="B421" s="1207"/>
      <c r="C421" s="1207"/>
      <c r="D421" s="1207"/>
      <c r="E421" s="1207"/>
      <c r="F421" s="1207"/>
      <c r="G421" s="1207"/>
      <c r="H421" s="1207"/>
      <c r="I421" s="1207"/>
    </row>
    <row r="422" spans="1:9">
      <c r="A422" s="1207"/>
      <c r="B422" s="1207"/>
      <c r="C422" s="1207"/>
      <c r="D422" s="1207"/>
      <c r="E422" s="1207"/>
      <c r="F422" s="1207"/>
      <c r="G422" s="1207"/>
      <c r="H422" s="1207"/>
      <c r="I422" s="1207"/>
    </row>
    <row r="423" spans="1:9">
      <c r="A423" s="1207"/>
      <c r="B423" s="1207"/>
      <c r="C423" s="1207"/>
      <c r="D423" s="1207"/>
      <c r="E423" s="1207"/>
      <c r="F423" s="1207"/>
      <c r="G423" s="1207"/>
      <c r="H423" s="1207"/>
      <c r="I423" s="1207"/>
    </row>
    <row r="424" spans="1:9">
      <c r="A424" s="1207"/>
      <c r="B424" s="1207"/>
      <c r="C424" s="1207"/>
      <c r="D424" s="1207"/>
      <c r="E424" s="1207"/>
      <c r="F424" s="1207"/>
      <c r="G424" s="1207"/>
      <c r="H424" s="1207"/>
      <c r="I424" s="1207"/>
    </row>
    <row r="425" spans="1:9">
      <c r="A425" s="1207"/>
      <c r="B425" s="1207"/>
      <c r="C425" s="1207"/>
      <c r="D425" s="1207"/>
      <c r="E425" s="1207"/>
      <c r="F425" s="1207"/>
      <c r="G425" s="1207"/>
      <c r="H425" s="1207"/>
      <c r="I425" s="1207"/>
    </row>
    <row r="426" spans="1:9">
      <c r="A426" s="1207"/>
      <c r="B426" s="1207"/>
      <c r="C426" s="1207"/>
      <c r="D426" s="1207"/>
      <c r="E426" s="1207"/>
      <c r="F426" s="1207"/>
      <c r="G426" s="1207"/>
      <c r="H426" s="1207"/>
      <c r="I426" s="1207"/>
    </row>
    <row r="427" spans="1:9">
      <c r="A427" s="1207"/>
      <c r="B427" s="1207"/>
      <c r="C427" s="1207"/>
      <c r="D427" s="1207"/>
      <c r="E427" s="1207"/>
      <c r="F427" s="1207"/>
      <c r="G427" s="1207"/>
      <c r="H427" s="1207"/>
      <c r="I427" s="1207"/>
    </row>
    <row r="428" spans="1:9">
      <c r="A428" s="1207"/>
      <c r="B428" s="1207"/>
      <c r="C428" s="1207"/>
      <c r="D428" s="1207"/>
      <c r="E428" s="1207"/>
      <c r="F428" s="1207"/>
      <c r="G428" s="1207"/>
      <c r="H428" s="1207"/>
      <c r="I428" s="1207"/>
    </row>
    <row r="429" spans="1:9">
      <c r="A429" s="1207"/>
      <c r="B429" s="1207"/>
      <c r="C429" s="1207"/>
      <c r="D429" s="1207"/>
      <c r="E429" s="1207"/>
      <c r="F429" s="1207"/>
      <c r="G429" s="1207"/>
      <c r="H429" s="1207"/>
      <c r="I429" s="1207"/>
    </row>
    <row r="430" spans="1:9">
      <c r="A430" s="1207"/>
      <c r="B430" s="1207"/>
      <c r="C430" s="1207"/>
      <c r="D430" s="1207"/>
      <c r="E430" s="1207"/>
      <c r="F430" s="1207"/>
      <c r="G430" s="1207"/>
      <c r="H430" s="1207"/>
      <c r="I430" s="1207"/>
    </row>
    <row r="431" spans="1:9">
      <c r="A431" s="1207"/>
      <c r="B431" s="1207"/>
      <c r="C431" s="1207"/>
      <c r="D431" s="1207"/>
      <c r="E431" s="1207"/>
      <c r="F431" s="1207"/>
      <c r="G431" s="1207"/>
      <c r="H431" s="1207"/>
      <c r="I431" s="1207"/>
    </row>
    <row r="432" spans="1:9">
      <c r="A432" s="1207"/>
      <c r="B432" s="1207"/>
      <c r="C432" s="1207"/>
      <c r="D432" s="1207"/>
      <c r="E432" s="1207"/>
      <c r="F432" s="1207"/>
      <c r="G432" s="1207"/>
      <c r="H432" s="1207"/>
      <c r="I432" s="1207"/>
    </row>
    <row r="433" spans="1:9">
      <c r="A433" s="1207"/>
      <c r="B433" s="1207"/>
      <c r="C433" s="1207"/>
      <c r="D433" s="1207"/>
      <c r="E433" s="1207"/>
      <c r="F433" s="1207"/>
      <c r="G433" s="1207"/>
      <c r="H433" s="1207"/>
      <c r="I433" s="1207"/>
    </row>
    <row r="434" spans="1:9">
      <c r="A434" s="1207"/>
      <c r="B434" s="1207"/>
      <c r="C434" s="1207"/>
      <c r="D434" s="1207"/>
      <c r="E434" s="1207"/>
      <c r="F434" s="1207"/>
      <c r="G434" s="1207"/>
      <c r="H434" s="1207"/>
      <c r="I434" s="1207"/>
    </row>
    <row r="435" spans="1:9">
      <c r="A435" s="1207"/>
      <c r="B435" s="1207"/>
      <c r="C435" s="1207"/>
      <c r="D435" s="1207"/>
      <c r="E435" s="1207"/>
      <c r="F435" s="1207"/>
      <c r="G435" s="1207"/>
      <c r="H435" s="1207"/>
      <c r="I435" s="1207"/>
    </row>
    <row r="436" spans="1:9">
      <c r="A436" s="1207"/>
      <c r="B436" s="1207"/>
      <c r="C436" s="1207"/>
      <c r="D436" s="1207"/>
      <c r="E436" s="1207"/>
      <c r="F436" s="1207"/>
      <c r="G436" s="1207"/>
      <c r="H436" s="1207"/>
      <c r="I436" s="1207"/>
    </row>
    <row r="437" spans="1:9">
      <c r="A437" s="1207"/>
      <c r="B437" s="1207"/>
      <c r="C437" s="1207"/>
      <c r="D437" s="1207"/>
      <c r="E437" s="1207"/>
      <c r="F437" s="1207"/>
      <c r="G437" s="1207"/>
      <c r="H437" s="1207"/>
      <c r="I437" s="1207"/>
    </row>
    <row r="438" spans="1:9">
      <c r="A438" s="1207"/>
      <c r="B438" s="1207"/>
      <c r="C438" s="1207"/>
      <c r="D438" s="1207"/>
      <c r="E438" s="1207"/>
      <c r="F438" s="1207"/>
      <c r="G438" s="1207"/>
      <c r="H438" s="1207"/>
      <c r="I438" s="1207"/>
    </row>
    <row r="439" spans="1:9">
      <c r="A439" s="1207"/>
      <c r="B439" s="1207"/>
      <c r="C439" s="1207"/>
      <c r="D439" s="1207"/>
      <c r="E439" s="1207"/>
      <c r="F439" s="1207"/>
      <c r="G439" s="1207"/>
      <c r="H439" s="1207"/>
      <c r="I439" s="1207"/>
    </row>
    <row r="440" spans="1:9">
      <c r="A440" s="1207"/>
      <c r="B440" s="1207"/>
      <c r="C440" s="1207"/>
      <c r="D440" s="1207"/>
      <c r="E440" s="1207"/>
      <c r="F440" s="1207"/>
      <c r="G440" s="1207"/>
      <c r="H440" s="1207"/>
      <c r="I440" s="1207"/>
    </row>
    <row r="441" spans="1:9">
      <c r="A441" s="1207"/>
      <c r="B441" s="1207"/>
      <c r="C441" s="1207"/>
      <c r="D441" s="1207"/>
      <c r="E441" s="1207"/>
      <c r="F441" s="1207"/>
      <c r="G441" s="1207"/>
      <c r="H441" s="1207"/>
      <c r="I441" s="1207"/>
    </row>
    <row r="442" spans="1:9">
      <c r="A442" s="1207"/>
      <c r="B442" s="1207"/>
      <c r="C442" s="1207"/>
      <c r="D442" s="1207"/>
      <c r="E442" s="1207"/>
      <c r="F442" s="1207"/>
      <c r="G442" s="1207"/>
      <c r="H442" s="1207"/>
      <c r="I442" s="1207"/>
    </row>
    <row r="443" spans="1:9">
      <c r="A443" s="1207"/>
      <c r="B443" s="1207"/>
      <c r="C443" s="1207"/>
      <c r="D443" s="1207"/>
      <c r="E443" s="1207"/>
      <c r="F443" s="1207"/>
      <c r="G443" s="1207"/>
      <c r="H443" s="1207"/>
      <c r="I443" s="1207"/>
    </row>
    <row r="444" spans="1:9">
      <c r="A444" s="1207"/>
      <c r="B444" s="1207"/>
      <c r="C444" s="1207"/>
      <c r="D444" s="1207"/>
      <c r="E444" s="1207"/>
      <c r="F444" s="1207"/>
      <c r="G444" s="1207"/>
      <c r="H444" s="1207"/>
      <c r="I444" s="1207"/>
    </row>
    <row r="445" ht="14.25" spans="1:9">
      <c r="F445" s="1316"/>
    </row>
    <row r="447" s="1207" customFormat="1"/>
    <row r="448" s="1207" customFormat="1"/>
    <row r="449" s="1207" customFormat="1"/>
    <row r="450" s="1207" customFormat="1"/>
    <row r="451" s="1207" customFormat="1"/>
    <row r="452" s="1207" customFormat="1"/>
    <row r="453" s="1207" customFormat="1"/>
    <row r="454" s="1207" customFormat="1"/>
    <row r="455" s="1207" customFormat="1"/>
    <row r="456" s="1207" customFormat="1"/>
  </sheetData>
  <sheetProtection formatCells="0" formatColumns="0" formatRows="0" insertRows="0" insertColumns="0" insertHyperlinks="0" deleteColumns="0" deleteRows="0" sort="0" autoFilter="0" pivotTables="0"/>
  <protectedRanges>
    <protectedRange sqref="AE$1:AI$1048576" name="Range1"/>
    <protectedRange sqref="A$1:AD$1048576 AJ$1:CI$1048576" name="Range2"/>
  </protectedRanges>
  <autoFilter xmlns:etc="http://www.wps.cn/officeDocument/2017/etCustomData" ref="A1:DH445" etc:filterBottomFollowUsedRange="1">
    <extLst/>
  </autoFilter>
  <mergeCells count="31">
    <mergeCell ref="AF9:AF10"/>
    <mergeCell ref="AF25:AF26"/>
    <mergeCell ref="AF29:AF30"/>
    <mergeCell ref="AF45:AF46"/>
    <mergeCell ref="AF47:AF49"/>
    <mergeCell ref="AF54:AF56"/>
    <mergeCell ref="AF66:AF70"/>
    <mergeCell ref="AF78:AF79"/>
    <mergeCell ref="AF82:AF84"/>
    <mergeCell ref="AF106:AF107"/>
    <mergeCell ref="AF113:AF115"/>
    <mergeCell ref="AF120:AF121"/>
    <mergeCell ref="AF134:AF141"/>
    <mergeCell ref="AF165:AF166"/>
    <mergeCell ref="AF168:AF169"/>
    <mergeCell ref="AF198:AF199"/>
    <mergeCell ref="AF200:AF202"/>
    <mergeCell ref="AF216:AF222"/>
    <mergeCell ref="AF253:AF254"/>
    <mergeCell ref="AF261:AF262"/>
    <mergeCell ref="AF269:AF271"/>
    <mergeCell ref="AF276:AF278"/>
    <mergeCell ref="AF287:AF288"/>
    <mergeCell ref="AF310:AF312"/>
    <mergeCell ref="AF320:AF321"/>
    <mergeCell ref="AF336:AF337"/>
    <mergeCell ref="AG385:AG386"/>
    <mergeCell ref="AI36:AI42"/>
    <mergeCell ref="AI43:AI44"/>
    <mergeCell ref="AI315:AI323"/>
    <mergeCell ref="AI358:AI366"/>
  </mergeCells>
  <conditionalFormatting sqref="R1:U1">
    <cfRule type="cellIs" dxfId="0" priority="15121" operator="equal">
      <formula>"欠"</formula>
    </cfRule>
  </conditionalFormatting>
  <conditionalFormatting sqref="AC1:AD1">
    <cfRule type="cellIs" dxfId="0" priority="15098" operator="equal">
      <formula>"未完成"</formula>
    </cfRule>
  </conditionalFormatting>
  <conditionalFormatting sqref="AF1:AJ1">
    <cfRule type="cellIs" dxfId="1" priority="15119" operator="equal">
      <formula>"未完成"</formula>
    </cfRule>
    <cfRule type="cellIs" dxfId="0" priority="15120" operator="equal">
      <formula>"未完成"</formula>
    </cfRule>
  </conditionalFormatting>
  <conditionalFormatting sqref="R2">
    <cfRule type="cellIs" dxfId="0" priority="7424" operator="equal">
      <formula>"欠"</formula>
    </cfRule>
  </conditionalFormatting>
  <conditionalFormatting sqref="T2:U2">
    <cfRule type="cellIs" dxfId="0" priority="7425" operator="equal">
      <formula>"欠"</formula>
    </cfRule>
  </conditionalFormatting>
  <conditionalFormatting sqref="AE2">
    <cfRule type="cellIs" dxfId="0" priority="7436" operator="equal">
      <formula>"未完成"</formula>
    </cfRule>
  </conditionalFormatting>
  <conditionalFormatting sqref="AI2:AJ2">
    <cfRule type="cellIs" dxfId="1" priority="7434" operator="equal">
      <formula>"未完成"</formula>
    </cfRule>
    <cfRule type="cellIs" dxfId="0" priority="7435" operator="equal">
      <formula>"未完成"</formula>
    </cfRule>
  </conditionalFormatting>
  <conditionalFormatting sqref="AL2">
    <cfRule type="cellIs" dxfId="1" priority="7426" operator="equal">
      <formula>"未完成"</formula>
    </cfRule>
    <cfRule type="cellIs" dxfId="0" priority="7427" operator="equal">
      <formula>"未完成"</formula>
    </cfRule>
  </conditionalFormatting>
  <conditionalFormatting sqref="AM2">
    <cfRule type="cellIs" dxfId="1" priority="7422" operator="equal">
      <formula>"未完成"</formula>
    </cfRule>
    <cfRule type="cellIs" dxfId="0" priority="7423" operator="equal">
      <formula>"未完成"</formula>
    </cfRule>
  </conditionalFormatting>
  <conditionalFormatting sqref="AP2:AQ2">
    <cfRule type="cellIs" dxfId="1" priority="7432" operator="equal">
      <formula>"未完成"</formula>
    </cfRule>
    <cfRule type="cellIs" dxfId="0" priority="7433" operator="equal">
      <formula>"未完成"</formula>
    </cfRule>
  </conditionalFormatting>
  <conditionalFormatting sqref="AT2:AV2">
    <cfRule type="cellIs" dxfId="1" priority="7428" operator="equal">
      <formula>"未完成"</formula>
    </cfRule>
    <cfRule type="cellIs" dxfId="0" priority="7429" operator="equal">
      <formula>"未完成"</formula>
    </cfRule>
  </conditionalFormatting>
  <conditionalFormatting sqref="R3">
    <cfRule type="cellIs" dxfId="0" priority="7376" operator="equal">
      <formula>"欠"</formula>
    </cfRule>
  </conditionalFormatting>
  <conditionalFormatting sqref="T3:U3">
    <cfRule type="cellIs" dxfId="0" priority="7378" operator="equal">
      <formula>"欠"</formula>
    </cfRule>
  </conditionalFormatting>
  <conditionalFormatting sqref="AE3">
    <cfRule type="cellIs" dxfId="0" priority="7400" operator="equal">
      <formula>"未完成"</formula>
    </cfRule>
  </conditionalFormatting>
  <conditionalFormatting sqref="AI3:AJ3">
    <cfRule type="cellIs" dxfId="1" priority="7396" operator="equal">
      <formula>"未完成"</formula>
    </cfRule>
    <cfRule type="cellIs" dxfId="0" priority="7398" operator="equal">
      <formula>"未完成"</formula>
    </cfRule>
  </conditionalFormatting>
  <conditionalFormatting sqref="AL3">
    <cfRule type="cellIs" dxfId="1" priority="7380" operator="equal">
      <formula>"未完成"</formula>
    </cfRule>
    <cfRule type="cellIs" dxfId="0" priority="7382" operator="equal">
      <formula>"未完成"</formula>
    </cfRule>
  </conditionalFormatting>
  <conditionalFormatting sqref="AM3">
    <cfRule type="cellIs" dxfId="1" priority="7372" operator="equal">
      <formula>"未完成"</formula>
    </cfRule>
    <cfRule type="cellIs" dxfId="0" priority="7374" operator="equal">
      <formula>"未完成"</formula>
    </cfRule>
  </conditionalFormatting>
  <conditionalFormatting sqref="AP3:AQ3">
    <cfRule type="cellIs" dxfId="1" priority="7392" operator="equal">
      <formula>"未完成"</formula>
    </cfRule>
    <cfRule type="cellIs" dxfId="0" priority="7394" operator="equal">
      <formula>"未完成"</formula>
    </cfRule>
  </conditionalFormatting>
  <conditionalFormatting sqref="AT3:AV3">
    <cfRule type="cellIs" dxfId="1" priority="7384" operator="equal">
      <formula>"未完成"</formula>
    </cfRule>
    <cfRule type="cellIs" dxfId="0" priority="7386" operator="equal">
      <formula>"未完成"</formula>
    </cfRule>
  </conditionalFormatting>
  <conditionalFormatting sqref="R4">
    <cfRule type="cellIs" dxfId="0" priority="7375" operator="equal">
      <formula>"欠"</formula>
    </cfRule>
  </conditionalFormatting>
  <conditionalFormatting sqref="T4:U4">
    <cfRule type="cellIs" dxfId="0" priority="7377" operator="equal">
      <formula>"欠"</formula>
    </cfRule>
  </conditionalFormatting>
  <conditionalFormatting sqref="AE4">
    <cfRule type="cellIs" dxfId="0" priority="7399" operator="equal">
      <formula>"未完成"</formula>
    </cfRule>
  </conditionalFormatting>
  <conditionalFormatting sqref="AI4:AJ4">
    <cfRule type="cellIs" dxfId="1" priority="7395" operator="equal">
      <formula>"未完成"</formula>
    </cfRule>
    <cfRule type="cellIs" dxfId="0" priority="7397" operator="equal">
      <formula>"未完成"</formula>
    </cfRule>
  </conditionalFormatting>
  <conditionalFormatting sqref="AL4">
    <cfRule type="cellIs" dxfId="1" priority="7379" operator="equal">
      <formula>"未完成"</formula>
    </cfRule>
    <cfRule type="cellIs" dxfId="0" priority="7381" operator="equal">
      <formula>"未完成"</formula>
    </cfRule>
  </conditionalFormatting>
  <conditionalFormatting sqref="AM4">
    <cfRule type="cellIs" dxfId="1" priority="7371" operator="equal">
      <formula>"未完成"</formula>
    </cfRule>
    <cfRule type="cellIs" dxfId="0" priority="7373" operator="equal">
      <formula>"未完成"</formula>
    </cfRule>
  </conditionalFormatting>
  <conditionalFormatting sqref="AP4:AQ4">
    <cfRule type="cellIs" dxfId="1" priority="7391" operator="equal">
      <formula>"未完成"</formula>
    </cfRule>
    <cfRule type="cellIs" dxfId="0" priority="7393" operator="equal">
      <formula>"未完成"</formula>
    </cfRule>
  </conditionalFormatting>
  <conditionalFormatting sqref="AT4:AV4">
    <cfRule type="cellIs" dxfId="1" priority="7383" operator="equal">
      <formula>"未完成"</formula>
    </cfRule>
    <cfRule type="cellIs" dxfId="0" priority="7385" operator="equal">
      <formula>"未完成"</formula>
    </cfRule>
  </conditionalFormatting>
  <conditionalFormatting sqref="R5">
    <cfRule type="cellIs" dxfId="0" priority="7316" operator="equal">
      <formula>"欠"</formula>
    </cfRule>
  </conditionalFormatting>
  <conditionalFormatting sqref="T5:U5">
    <cfRule type="cellIs" dxfId="0" priority="7317" operator="equal">
      <formula>"欠"</formula>
    </cfRule>
  </conditionalFormatting>
  <conditionalFormatting sqref="AE5">
    <cfRule type="cellIs" dxfId="0" priority="7328" operator="equal">
      <formula>"未完成"</formula>
    </cfRule>
  </conditionalFormatting>
  <conditionalFormatting sqref="AI5:AJ5">
    <cfRule type="cellIs" dxfId="1" priority="7326" operator="equal">
      <formula>"未完成"</formula>
    </cfRule>
    <cfRule type="cellIs" dxfId="0" priority="7327" operator="equal">
      <formula>"未完成"</formula>
    </cfRule>
  </conditionalFormatting>
  <conditionalFormatting sqref="AL5">
    <cfRule type="cellIs" dxfId="1" priority="7318" operator="equal">
      <formula>"未完成"</formula>
    </cfRule>
    <cfRule type="cellIs" dxfId="0" priority="7319" operator="equal">
      <formula>"未完成"</formula>
    </cfRule>
  </conditionalFormatting>
  <conditionalFormatting sqref="AM5">
    <cfRule type="cellIs" dxfId="1" priority="7314" operator="equal">
      <formula>"未完成"</formula>
    </cfRule>
    <cfRule type="cellIs" dxfId="0" priority="7315" operator="equal">
      <formula>"未完成"</formula>
    </cfRule>
  </conditionalFormatting>
  <conditionalFormatting sqref="AP5:AQ5">
    <cfRule type="cellIs" dxfId="1" priority="7324" operator="equal">
      <formula>"未完成"</formula>
    </cfRule>
    <cfRule type="cellIs" dxfId="0" priority="7325" operator="equal">
      <formula>"未完成"</formula>
    </cfRule>
  </conditionalFormatting>
  <conditionalFormatting sqref="AT5:AV5">
    <cfRule type="cellIs" dxfId="1" priority="7320" operator="equal">
      <formula>"未完成"</formula>
    </cfRule>
    <cfRule type="cellIs" dxfId="0" priority="7321" operator="equal">
      <formula>"未完成"</formula>
    </cfRule>
  </conditionalFormatting>
  <conditionalFormatting sqref="R6">
    <cfRule type="cellIs" dxfId="0" priority="7193" operator="equal">
      <formula>"欠"</formula>
    </cfRule>
  </conditionalFormatting>
  <conditionalFormatting sqref="T6:U6">
    <cfRule type="cellIs" dxfId="0" priority="7203" operator="equal">
      <formula>"欠"</formula>
    </cfRule>
  </conditionalFormatting>
  <conditionalFormatting sqref="AE6">
    <cfRule type="cellIs" dxfId="0" priority="7313" operator="equal">
      <formula>"未完成"</formula>
    </cfRule>
  </conditionalFormatting>
  <conditionalFormatting sqref="AI6:AJ6">
    <cfRule type="cellIs" dxfId="1" priority="7293" operator="equal">
      <formula>"未完成"</formula>
    </cfRule>
    <cfRule type="cellIs" dxfId="0" priority="7303" operator="equal">
      <formula>"未完成"</formula>
    </cfRule>
  </conditionalFormatting>
  <conditionalFormatting sqref="AL6">
    <cfRule type="cellIs" dxfId="1" priority="7213" operator="equal">
      <formula>"未完成"</formula>
    </cfRule>
    <cfRule type="cellIs" dxfId="0" priority="7223" operator="equal">
      <formula>"未完成"</formula>
    </cfRule>
  </conditionalFormatting>
  <conditionalFormatting sqref="AM6">
    <cfRule type="cellIs" dxfId="1" priority="7173" operator="equal">
      <formula>"未完成"</formula>
    </cfRule>
    <cfRule type="cellIs" dxfId="0" priority="7183" operator="equal">
      <formula>"未完成"</formula>
    </cfRule>
  </conditionalFormatting>
  <conditionalFormatting sqref="AP6:AQ6">
    <cfRule type="cellIs" dxfId="1" priority="7273" operator="equal">
      <formula>"未完成"</formula>
    </cfRule>
    <cfRule type="cellIs" dxfId="0" priority="7283" operator="equal">
      <formula>"未完成"</formula>
    </cfRule>
  </conditionalFormatting>
  <conditionalFormatting sqref="AT6:AV6">
    <cfRule type="cellIs" dxfId="1" priority="7233" operator="equal">
      <formula>"未完成"</formula>
    </cfRule>
    <cfRule type="cellIs" dxfId="0" priority="7243" operator="equal">
      <formula>"未完成"</formula>
    </cfRule>
  </conditionalFormatting>
  <conditionalFormatting sqref="R7">
    <cfRule type="cellIs" dxfId="0" priority="7192" operator="equal">
      <formula>"欠"</formula>
    </cfRule>
  </conditionalFormatting>
  <conditionalFormatting sqref="T7:U7">
    <cfRule type="cellIs" dxfId="0" priority="7202" operator="equal">
      <formula>"欠"</formula>
    </cfRule>
  </conditionalFormatting>
  <conditionalFormatting sqref="AE7">
    <cfRule type="cellIs" dxfId="0" priority="7312" operator="equal">
      <formula>"未完成"</formula>
    </cfRule>
  </conditionalFormatting>
  <conditionalFormatting sqref="AI7:AJ7">
    <cfRule type="cellIs" dxfId="1" priority="7292" operator="equal">
      <formula>"未完成"</formula>
    </cfRule>
    <cfRule type="cellIs" dxfId="0" priority="7302" operator="equal">
      <formula>"未完成"</formula>
    </cfRule>
  </conditionalFormatting>
  <conditionalFormatting sqref="AL7">
    <cfRule type="cellIs" dxfId="1" priority="7212" operator="equal">
      <formula>"未完成"</formula>
    </cfRule>
    <cfRule type="cellIs" dxfId="0" priority="7222" operator="equal">
      <formula>"未完成"</formula>
    </cfRule>
  </conditionalFormatting>
  <conditionalFormatting sqref="AM7">
    <cfRule type="cellIs" dxfId="1" priority="7172" operator="equal">
      <formula>"未完成"</formula>
    </cfRule>
    <cfRule type="cellIs" dxfId="0" priority="7182" operator="equal">
      <formula>"未完成"</formula>
    </cfRule>
  </conditionalFormatting>
  <conditionalFormatting sqref="AP7:AQ7">
    <cfRule type="cellIs" dxfId="1" priority="7272" operator="equal">
      <formula>"未完成"</formula>
    </cfRule>
    <cfRule type="cellIs" dxfId="0" priority="7282" operator="equal">
      <formula>"未完成"</formula>
    </cfRule>
  </conditionalFormatting>
  <conditionalFormatting sqref="AS7">
    <cfRule type="cellIs" dxfId="1" priority="7252" operator="equal">
      <formula>"未完成"</formula>
    </cfRule>
    <cfRule type="cellIs" dxfId="0" priority="7262" operator="equal">
      <formula>"未完成"</formula>
    </cfRule>
  </conditionalFormatting>
  <conditionalFormatting sqref="AT7:AV7">
    <cfRule type="cellIs" dxfId="1" priority="7232" operator="equal">
      <formula>"未完成"</formula>
    </cfRule>
    <cfRule type="cellIs" dxfId="0" priority="7242" operator="equal">
      <formula>"未完成"</formula>
    </cfRule>
  </conditionalFormatting>
  <conditionalFormatting sqref="R8">
    <cfRule type="cellIs" dxfId="0" priority="7191" operator="equal">
      <formula>"欠"</formula>
    </cfRule>
  </conditionalFormatting>
  <conditionalFormatting sqref="T8:U8">
    <cfRule type="cellIs" dxfId="0" priority="7201" operator="equal">
      <formula>"欠"</formula>
    </cfRule>
  </conditionalFormatting>
  <conditionalFormatting sqref="AE8">
    <cfRule type="cellIs" dxfId="0" priority="7311" operator="equal">
      <formula>"未完成"</formula>
    </cfRule>
  </conditionalFormatting>
  <conditionalFormatting sqref="AI8:AJ8">
    <cfRule type="cellIs" dxfId="1" priority="7291" operator="equal">
      <formula>"未完成"</formula>
    </cfRule>
    <cfRule type="cellIs" dxfId="0" priority="7301" operator="equal">
      <formula>"未完成"</formula>
    </cfRule>
  </conditionalFormatting>
  <conditionalFormatting sqref="AL8">
    <cfRule type="cellIs" dxfId="1" priority="7211" operator="equal">
      <formula>"未完成"</formula>
    </cfRule>
    <cfRule type="cellIs" dxfId="0" priority="7221" operator="equal">
      <formula>"未完成"</formula>
    </cfRule>
  </conditionalFormatting>
  <conditionalFormatting sqref="AP8:AQ8">
    <cfRule type="cellIs" dxfId="1" priority="7271" operator="equal">
      <formula>"未完成"</formula>
    </cfRule>
    <cfRule type="cellIs" dxfId="0" priority="7281" operator="equal">
      <formula>"未完成"</formula>
    </cfRule>
  </conditionalFormatting>
  <conditionalFormatting sqref="AT8:AV8">
    <cfRule type="cellIs" dxfId="1" priority="7231" operator="equal">
      <formula>"未完成"</formula>
    </cfRule>
    <cfRule type="cellIs" dxfId="0" priority="7241" operator="equal">
      <formula>"未完成"</formula>
    </cfRule>
  </conditionalFormatting>
  <conditionalFormatting sqref="R9">
    <cfRule type="cellIs" dxfId="0" priority="7190" operator="equal">
      <formula>"欠"</formula>
    </cfRule>
  </conditionalFormatting>
  <conditionalFormatting sqref="T9:U9">
    <cfRule type="cellIs" dxfId="0" priority="7200" operator="equal">
      <formula>"欠"</formula>
    </cfRule>
  </conditionalFormatting>
  <conditionalFormatting sqref="AE9">
    <cfRule type="cellIs" dxfId="0" priority="7310" operator="equal">
      <formula>"未完成"</formula>
    </cfRule>
  </conditionalFormatting>
  <conditionalFormatting sqref="AI9:AJ9">
    <cfRule type="cellIs" dxfId="1" priority="7290" operator="equal">
      <formula>"未完成"</formula>
    </cfRule>
    <cfRule type="cellIs" dxfId="0" priority="7300" operator="equal">
      <formula>"未完成"</formula>
    </cfRule>
  </conditionalFormatting>
  <conditionalFormatting sqref="AL9">
    <cfRule type="cellIs" dxfId="1" priority="7210" operator="equal">
      <formula>"未完成"</formula>
    </cfRule>
    <cfRule type="cellIs" dxfId="0" priority="7220" operator="equal">
      <formula>"未完成"</formula>
    </cfRule>
  </conditionalFormatting>
  <conditionalFormatting sqref="AP9:AQ9">
    <cfRule type="cellIs" dxfId="1" priority="7270" operator="equal">
      <formula>"未完成"</formula>
    </cfRule>
    <cfRule type="cellIs" dxfId="0" priority="7280" operator="equal">
      <formula>"未完成"</formula>
    </cfRule>
  </conditionalFormatting>
  <conditionalFormatting sqref="AS9">
    <cfRule type="cellIs" dxfId="1" priority="7250" operator="equal">
      <formula>"未完成"</formula>
    </cfRule>
    <cfRule type="cellIs" dxfId="0" priority="7260" operator="equal">
      <formula>"未完成"</formula>
    </cfRule>
  </conditionalFormatting>
  <conditionalFormatting sqref="AT9:AV9">
    <cfRule type="cellIs" dxfId="1" priority="7230" operator="equal">
      <formula>"未完成"</formula>
    </cfRule>
    <cfRule type="cellIs" dxfId="0" priority="7240" operator="equal">
      <formula>"未完成"</formula>
    </cfRule>
  </conditionalFormatting>
  <conditionalFormatting sqref="R10">
    <cfRule type="cellIs" dxfId="0" priority="7189" operator="equal">
      <formula>"欠"</formula>
    </cfRule>
  </conditionalFormatting>
  <conditionalFormatting sqref="T10:U10">
    <cfRule type="cellIs" dxfId="0" priority="7199" operator="equal">
      <formula>"欠"</formula>
    </cfRule>
  </conditionalFormatting>
  <conditionalFormatting sqref="AE10">
    <cfRule type="cellIs" dxfId="0" priority="7309" operator="equal">
      <formula>"未完成"</formula>
    </cfRule>
  </conditionalFormatting>
  <conditionalFormatting sqref="AI10:AJ10">
    <cfRule type="cellIs" dxfId="1" priority="7289" operator="equal">
      <formula>"未完成"</formula>
    </cfRule>
    <cfRule type="cellIs" dxfId="0" priority="7299" operator="equal">
      <formula>"未完成"</formula>
    </cfRule>
  </conditionalFormatting>
  <conditionalFormatting sqref="AL10">
    <cfRule type="cellIs" dxfId="1" priority="7209" operator="equal">
      <formula>"未完成"</formula>
    </cfRule>
    <cfRule type="cellIs" dxfId="0" priority="7219" operator="equal">
      <formula>"未完成"</formula>
    </cfRule>
  </conditionalFormatting>
  <conditionalFormatting sqref="AP10:AQ10">
    <cfRule type="cellIs" dxfId="1" priority="7269" operator="equal">
      <formula>"未完成"</formula>
    </cfRule>
    <cfRule type="cellIs" dxfId="0" priority="7279" operator="equal">
      <formula>"未完成"</formula>
    </cfRule>
  </conditionalFormatting>
  <conditionalFormatting sqref="AS10">
    <cfRule type="cellIs" dxfId="1" priority="7249" operator="equal">
      <formula>"未完成"</formula>
    </cfRule>
    <cfRule type="cellIs" dxfId="0" priority="7259" operator="equal">
      <formula>"未完成"</formula>
    </cfRule>
  </conditionalFormatting>
  <conditionalFormatting sqref="AT10:AV10">
    <cfRule type="cellIs" dxfId="1" priority="7229" operator="equal">
      <formula>"未完成"</formula>
    </cfRule>
    <cfRule type="cellIs" dxfId="0" priority="7239" operator="equal">
      <formula>"未完成"</formula>
    </cfRule>
  </conditionalFormatting>
  <conditionalFormatting sqref="R11">
    <cfRule type="cellIs" dxfId="0" priority="7188" operator="equal">
      <formula>"欠"</formula>
    </cfRule>
  </conditionalFormatting>
  <conditionalFormatting sqref="T11:U11">
    <cfRule type="cellIs" dxfId="0" priority="7198" operator="equal">
      <formula>"欠"</formula>
    </cfRule>
  </conditionalFormatting>
  <conditionalFormatting sqref="AE11">
    <cfRule type="cellIs" dxfId="0" priority="7308" operator="equal">
      <formula>"未完成"</formula>
    </cfRule>
  </conditionalFormatting>
  <conditionalFormatting sqref="AI11:AJ11">
    <cfRule type="cellIs" dxfId="1" priority="7288" operator="equal">
      <formula>"未完成"</formula>
    </cfRule>
    <cfRule type="cellIs" dxfId="0" priority="7298" operator="equal">
      <formula>"未完成"</formula>
    </cfRule>
  </conditionalFormatting>
  <conditionalFormatting sqref="AL11">
    <cfRule type="cellIs" dxfId="1" priority="7208" operator="equal">
      <formula>"未完成"</formula>
    </cfRule>
    <cfRule type="cellIs" dxfId="0" priority="7218" operator="equal">
      <formula>"未完成"</formula>
    </cfRule>
  </conditionalFormatting>
  <conditionalFormatting sqref="AP11:AQ11">
    <cfRule type="cellIs" dxfId="1" priority="7268" operator="equal">
      <formula>"未完成"</formula>
    </cfRule>
    <cfRule type="cellIs" dxfId="0" priority="7278" operator="equal">
      <formula>"未完成"</formula>
    </cfRule>
  </conditionalFormatting>
  <conditionalFormatting sqref="AS11">
    <cfRule type="cellIs" dxfId="1" priority="7248" operator="equal">
      <formula>"未完成"</formula>
    </cfRule>
    <cfRule type="cellIs" dxfId="0" priority="7258" operator="equal">
      <formula>"未完成"</formula>
    </cfRule>
  </conditionalFormatting>
  <conditionalFormatting sqref="AT11:AV11">
    <cfRule type="cellIs" dxfId="1" priority="7228" operator="equal">
      <formula>"未完成"</formula>
    </cfRule>
    <cfRule type="cellIs" dxfId="0" priority="7238" operator="equal">
      <formula>"未完成"</formula>
    </cfRule>
  </conditionalFormatting>
  <conditionalFormatting sqref="R12">
    <cfRule type="cellIs" dxfId="0" priority="7187" operator="equal">
      <formula>"欠"</formula>
    </cfRule>
  </conditionalFormatting>
  <conditionalFormatting sqref="T12:U12">
    <cfRule type="cellIs" dxfId="0" priority="7197" operator="equal">
      <formula>"欠"</formula>
    </cfRule>
  </conditionalFormatting>
  <conditionalFormatting sqref="AE12">
    <cfRule type="cellIs" dxfId="0" priority="7307" operator="equal">
      <formula>"未完成"</formula>
    </cfRule>
  </conditionalFormatting>
  <conditionalFormatting sqref="AI12:AJ12">
    <cfRule type="cellIs" dxfId="1" priority="7287" operator="equal">
      <formula>"未完成"</formula>
    </cfRule>
    <cfRule type="cellIs" dxfId="0" priority="7297" operator="equal">
      <formula>"未完成"</formula>
    </cfRule>
  </conditionalFormatting>
  <conditionalFormatting sqref="AL12">
    <cfRule type="cellIs" dxfId="1" priority="7207" operator="equal">
      <formula>"未完成"</formula>
    </cfRule>
    <cfRule type="cellIs" dxfId="0" priority="7217" operator="equal">
      <formula>"未完成"</formula>
    </cfRule>
  </conditionalFormatting>
  <conditionalFormatting sqref="AP12:AQ12">
    <cfRule type="cellIs" dxfId="1" priority="7267" operator="equal">
      <formula>"未完成"</formula>
    </cfRule>
    <cfRule type="cellIs" dxfId="0" priority="7277" operator="equal">
      <formula>"未完成"</formula>
    </cfRule>
  </conditionalFormatting>
  <conditionalFormatting sqref="AS12">
    <cfRule type="cellIs" dxfId="1" priority="7247" operator="equal">
      <formula>"未完成"</formula>
    </cfRule>
    <cfRule type="cellIs" dxfId="0" priority="7257" operator="equal">
      <formula>"未完成"</formula>
    </cfRule>
  </conditionalFormatting>
  <conditionalFormatting sqref="AT12:AV12">
    <cfRule type="cellIs" dxfId="1" priority="7227" operator="equal">
      <formula>"未完成"</formula>
    </cfRule>
    <cfRule type="cellIs" dxfId="0" priority="7237" operator="equal">
      <formula>"未完成"</formula>
    </cfRule>
  </conditionalFormatting>
  <conditionalFormatting sqref="R13">
    <cfRule type="cellIs" dxfId="0" priority="7186" operator="equal">
      <formula>"欠"</formula>
    </cfRule>
  </conditionalFormatting>
  <conditionalFormatting sqref="T13:U13">
    <cfRule type="cellIs" dxfId="0" priority="7196" operator="equal">
      <formula>"欠"</formula>
    </cfRule>
  </conditionalFormatting>
  <conditionalFormatting sqref="AE13">
    <cfRule type="cellIs" dxfId="0" priority="7306" operator="equal">
      <formula>"未完成"</formula>
    </cfRule>
  </conditionalFormatting>
  <conditionalFormatting sqref="AI13:AJ13">
    <cfRule type="cellIs" dxfId="1" priority="7286" operator="equal">
      <formula>"未完成"</formula>
    </cfRule>
    <cfRule type="cellIs" dxfId="0" priority="7296" operator="equal">
      <formula>"未完成"</formula>
    </cfRule>
  </conditionalFormatting>
  <conditionalFormatting sqref="AL13">
    <cfRule type="cellIs" dxfId="1" priority="7206" operator="equal">
      <formula>"未完成"</formula>
    </cfRule>
    <cfRule type="cellIs" dxfId="0" priority="7216" operator="equal">
      <formula>"未完成"</formula>
    </cfRule>
  </conditionalFormatting>
  <conditionalFormatting sqref="AP13:AQ13">
    <cfRule type="cellIs" dxfId="1" priority="7266" operator="equal">
      <formula>"未完成"</formula>
    </cfRule>
    <cfRule type="cellIs" dxfId="0" priority="7276" operator="equal">
      <formula>"未完成"</formula>
    </cfRule>
  </conditionalFormatting>
  <conditionalFormatting sqref="AS13">
    <cfRule type="cellIs" dxfId="1" priority="7246" operator="equal">
      <formula>"未完成"</formula>
    </cfRule>
    <cfRule type="cellIs" dxfId="0" priority="7256" operator="equal">
      <formula>"未完成"</formula>
    </cfRule>
  </conditionalFormatting>
  <conditionalFormatting sqref="AT13:AV13">
    <cfRule type="cellIs" dxfId="1" priority="7226" operator="equal">
      <formula>"未完成"</formula>
    </cfRule>
    <cfRule type="cellIs" dxfId="0" priority="7236" operator="equal">
      <formula>"未完成"</formula>
    </cfRule>
  </conditionalFormatting>
  <conditionalFormatting sqref="R14">
    <cfRule type="cellIs" dxfId="0" priority="7185" operator="equal">
      <formula>"欠"</formula>
    </cfRule>
  </conditionalFormatting>
  <conditionalFormatting sqref="T14:U14">
    <cfRule type="cellIs" dxfId="0" priority="7195" operator="equal">
      <formula>"欠"</formula>
    </cfRule>
  </conditionalFormatting>
  <conditionalFormatting sqref="AE14">
    <cfRule type="cellIs" dxfId="0" priority="7305" operator="equal">
      <formula>"未完成"</formula>
    </cfRule>
  </conditionalFormatting>
  <conditionalFormatting sqref="AI14:AJ14">
    <cfRule type="cellIs" dxfId="1" priority="7285" operator="equal">
      <formula>"未完成"</formula>
    </cfRule>
    <cfRule type="cellIs" dxfId="0" priority="7295" operator="equal">
      <formula>"未完成"</formula>
    </cfRule>
  </conditionalFormatting>
  <conditionalFormatting sqref="AL14">
    <cfRule type="cellIs" dxfId="1" priority="7205" operator="equal">
      <formula>"未完成"</formula>
    </cfRule>
    <cfRule type="cellIs" dxfId="0" priority="7215" operator="equal">
      <formula>"未完成"</formula>
    </cfRule>
  </conditionalFormatting>
  <conditionalFormatting sqref="AP14:AQ14">
    <cfRule type="cellIs" dxfId="1" priority="7265" operator="equal">
      <formula>"未完成"</formula>
    </cfRule>
    <cfRule type="cellIs" dxfId="0" priority="7275" operator="equal">
      <formula>"未完成"</formula>
    </cfRule>
  </conditionalFormatting>
  <conditionalFormatting sqref="AS14">
    <cfRule type="cellIs" dxfId="1" priority="7245" operator="equal">
      <formula>"未完成"</formula>
    </cfRule>
    <cfRule type="cellIs" dxfId="0" priority="7255" operator="equal">
      <formula>"未完成"</formula>
    </cfRule>
  </conditionalFormatting>
  <conditionalFormatting sqref="AT14:AV14">
    <cfRule type="cellIs" dxfId="1" priority="7225" operator="equal">
      <formula>"未完成"</formula>
    </cfRule>
    <cfRule type="cellIs" dxfId="0" priority="7235" operator="equal">
      <formula>"未完成"</formula>
    </cfRule>
  </conditionalFormatting>
  <conditionalFormatting sqref="R15">
    <cfRule type="cellIs" dxfId="0" priority="7184" operator="equal">
      <formula>"欠"</formula>
    </cfRule>
  </conditionalFormatting>
  <conditionalFormatting sqref="T15:U15">
    <cfRule type="cellIs" dxfId="0" priority="7194" operator="equal">
      <formula>"欠"</formula>
    </cfRule>
  </conditionalFormatting>
  <conditionalFormatting sqref="AE15">
    <cfRule type="cellIs" dxfId="0" priority="7304" operator="equal">
      <formula>"未完成"</formula>
    </cfRule>
  </conditionalFormatting>
  <conditionalFormatting sqref="AI15:AJ15">
    <cfRule type="cellIs" dxfId="1" priority="7284" operator="equal">
      <formula>"未完成"</formula>
    </cfRule>
    <cfRule type="cellIs" dxfId="0" priority="7294" operator="equal">
      <formula>"未完成"</formula>
    </cfRule>
  </conditionalFormatting>
  <conditionalFormatting sqref="AL15">
    <cfRule type="cellIs" dxfId="1" priority="7204" operator="equal">
      <formula>"未完成"</formula>
    </cfRule>
    <cfRule type="cellIs" dxfId="0" priority="7214" operator="equal">
      <formula>"未完成"</formula>
    </cfRule>
  </conditionalFormatting>
  <conditionalFormatting sqref="AP15:AQ15">
    <cfRule type="cellIs" dxfId="1" priority="7264" operator="equal">
      <formula>"未完成"</formula>
    </cfRule>
    <cfRule type="cellIs" dxfId="0" priority="7274" operator="equal">
      <formula>"未完成"</formula>
    </cfRule>
  </conditionalFormatting>
  <conditionalFormatting sqref="AS15">
    <cfRule type="cellIs" dxfId="1" priority="7244" operator="equal">
      <formula>"未完成"</formula>
    </cfRule>
    <cfRule type="cellIs" dxfId="0" priority="7254" operator="equal">
      <formula>"未完成"</formula>
    </cfRule>
  </conditionalFormatting>
  <conditionalFormatting sqref="AT15:AV15">
    <cfRule type="cellIs" dxfId="1" priority="7224" operator="equal">
      <formula>"未完成"</formula>
    </cfRule>
    <cfRule type="cellIs" dxfId="0" priority="7234" operator="equal">
      <formula>"未完成"</formula>
    </cfRule>
  </conditionalFormatting>
  <conditionalFormatting sqref="R16">
    <cfRule type="cellIs" dxfId="0" priority="7147" operator="equal">
      <formula>"欠"</formula>
    </cfRule>
  </conditionalFormatting>
  <conditionalFormatting sqref="T16:U16">
    <cfRule type="cellIs" dxfId="0" priority="7148" operator="equal">
      <formula>"欠"</formula>
    </cfRule>
  </conditionalFormatting>
  <conditionalFormatting sqref="AE16">
    <cfRule type="cellIs" dxfId="0" priority="7159" operator="equal">
      <formula>"未完成"</formula>
    </cfRule>
  </conditionalFormatting>
  <conditionalFormatting sqref="AI16:AJ16">
    <cfRule type="cellIs" dxfId="1" priority="7157" operator="equal">
      <formula>"未完成"</formula>
    </cfRule>
    <cfRule type="cellIs" dxfId="0" priority="7158" operator="equal">
      <formula>"未完成"</formula>
    </cfRule>
  </conditionalFormatting>
  <conditionalFormatting sqref="AK16">
    <cfRule type="cellIs" dxfId="1" priority="6596" operator="equal">
      <formula>"未完成"</formula>
    </cfRule>
    <cfRule type="cellIs" dxfId="0" priority="6597" operator="equal">
      <formula>"未完成"</formula>
    </cfRule>
  </conditionalFormatting>
  <conditionalFormatting sqref="AL16">
    <cfRule type="cellIs" dxfId="1" priority="7149" operator="equal">
      <formula>"未完成"</formula>
    </cfRule>
    <cfRule type="cellIs" dxfId="0" priority="7150" operator="equal">
      <formula>"未完成"</formula>
    </cfRule>
  </conditionalFormatting>
  <conditionalFormatting sqref="AP16:AQ16">
    <cfRule type="cellIs" dxfId="1" priority="7155" operator="equal">
      <formula>"未完成"</formula>
    </cfRule>
    <cfRule type="cellIs" dxfId="0" priority="7156" operator="equal">
      <formula>"未完成"</formula>
    </cfRule>
  </conditionalFormatting>
  <conditionalFormatting sqref="AS16">
    <cfRule type="cellIs" dxfId="1" priority="7153" operator="equal">
      <formula>"未完成"</formula>
    </cfRule>
    <cfRule type="cellIs" dxfId="0" priority="7154" operator="equal">
      <formula>"未完成"</formula>
    </cfRule>
  </conditionalFormatting>
  <conditionalFormatting sqref="AT16:AV16">
    <cfRule type="cellIs" dxfId="1" priority="7151" operator="equal">
      <formula>"未完成"</formula>
    </cfRule>
    <cfRule type="cellIs" dxfId="0" priority="7152" operator="equal">
      <formula>"未完成"</formula>
    </cfRule>
  </conditionalFormatting>
  <conditionalFormatting sqref="R17">
    <cfRule type="cellIs" dxfId="0" priority="7132" operator="equal">
      <formula>"欠"</formula>
    </cfRule>
  </conditionalFormatting>
  <conditionalFormatting sqref="T17:U17">
    <cfRule type="cellIs" dxfId="0" priority="7133" operator="equal">
      <formula>"欠"</formula>
    </cfRule>
  </conditionalFormatting>
  <conditionalFormatting sqref="AE17">
    <cfRule type="cellIs" dxfId="0" priority="7144" operator="equal">
      <formula>"未完成"</formula>
    </cfRule>
  </conditionalFormatting>
  <conditionalFormatting sqref="AI17:AJ17">
    <cfRule type="cellIs" dxfId="1" priority="7142" operator="equal">
      <formula>"未完成"</formula>
    </cfRule>
    <cfRule type="cellIs" dxfId="0" priority="7143" operator="equal">
      <formula>"未完成"</formula>
    </cfRule>
  </conditionalFormatting>
  <conditionalFormatting sqref="AL17">
    <cfRule type="cellIs" dxfId="1" priority="7134" operator="equal">
      <formula>"未完成"</formula>
    </cfRule>
    <cfRule type="cellIs" dxfId="0" priority="7135" operator="equal">
      <formula>"未完成"</formula>
    </cfRule>
  </conditionalFormatting>
  <conditionalFormatting sqref="AM17">
    <cfRule type="cellIs" dxfId="1" priority="7130" operator="equal">
      <formula>"未完成"</formula>
    </cfRule>
    <cfRule type="cellIs" dxfId="0" priority="7131" operator="equal">
      <formula>"未完成"</formula>
    </cfRule>
  </conditionalFormatting>
  <conditionalFormatting sqref="AP17:AQ17">
    <cfRule type="cellIs" dxfId="1" priority="7140" operator="equal">
      <formula>"未完成"</formula>
    </cfRule>
    <cfRule type="cellIs" dxfId="0" priority="7141" operator="equal">
      <formula>"未完成"</formula>
    </cfRule>
  </conditionalFormatting>
  <conditionalFormatting sqref="AT17:AV17">
    <cfRule type="cellIs" dxfId="1" priority="7136" operator="equal">
      <formula>"未完成"</formula>
    </cfRule>
    <cfRule type="cellIs" dxfId="0" priority="7137" operator="equal">
      <formula>"未完成"</formula>
    </cfRule>
  </conditionalFormatting>
  <conditionalFormatting sqref="R18">
    <cfRule type="cellIs" dxfId="0" priority="6976" operator="equal">
      <formula>"欠"</formula>
    </cfRule>
  </conditionalFormatting>
  <conditionalFormatting sqref="T18:U18">
    <cfRule type="cellIs" dxfId="0" priority="6987" operator="equal">
      <formula>"欠"</formula>
    </cfRule>
  </conditionalFormatting>
  <conditionalFormatting sqref="AE18">
    <cfRule type="cellIs" dxfId="0" priority="7108" operator="equal">
      <formula>"未完成"</formula>
    </cfRule>
  </conditionalFormatting>
  <conditionalFormatting sqref="AI18:AJ18">
    <cfRule type="cellIs" dxfId="1" priority="7086" operator="equal">
      <formula>"未完成"</formula>
    </cfRule>
    <cfRule type="cellIs" dxfId="0" priority="7097" operator="equal">
      <formula>"未完成"</formula>
    </cfRule>
  </conditionalFormatting>
  <conditionalFormatting sqref="AL18">
    <cfRule type="cellIs" dxfId="1" priority="6998" operator="equal">
      <formula>"未完成"</formula>
    </cfRule>
    <cfRule type="cellIs" dxfId="0" priority="7009" operator="equal">
      <formula>"未完成"</formula>
    </cfRule>
  </conditionalFormatting>
  <conditionalFormatting sqref="AM18">
    <cfRule type="cellIs" dxfId="1" priority="6954" operator="equal">
      <formula>"未完成"</formula>
    </cfRule>
    <cfRule type="cellIs" dxfId="0" priority="6965" operator="equal">
      <formula>"未完成"</formula>
    </cfRule>
  </conditionalFormatting>
  <conditionalFormatting sqref="AP18:AQ18">
    <cfRule type="cellIs" dxfId="1" priority="7064" operator="equal">
      <formula>"未完成"</formula>
    </cfRule>
    <cfRule type="cellIs" dxfId="0" priority="7075" operator="equal">
      <formula>"未完成"</formula>
    </cfRule>
  </conditionalFormatting>
  <conditionalFormatting sqref="AT18:AV18">
    <cfRule type="cellIs" dxfId="1" priority="7020" operator="equal">
      <formula>"未完成"</formula>
    </cfRule>
    <cfRule type="cellIs" dxfId="0" priority="7031" operator="equal">
      <formula>"未完成"</formula>
    </cfRule>
  </conditionalFormatting>
  <conditionalFormatting sqref="R19">
    <cfRule type="cellIs" dxfId="0" priority="6975" operator="equal">
      <formula>"欠"</formula>
    </cfRule>
  </conditionalFormatting>
  <conditionalFormatting sqref="T19:U19">
    <cfRule type="cellIs" dxfId="0" priority="6986" operator="equal">
      <formula>"欠"</formula>
    </cfRule>
  </conditionalFormatting>
  <conditionalFormatting sqref="AE19">
    <cfRule type="cellIs" dxfId="0" priority="7107" operator="equal">
      <formula>"未完成"</formula>
    </cfRule>
  </conditionalFormatting>
  <conditionalFormatting sqref="AI19:AJ19">
    <cfRule type="cellIs" dxfId="1" priority="7085" operator="equal">
      <formula>"未完成"</formula>
    </cfRule>
    <cfRule type="cellIs" dxfId="0" priority="7096" operator="equal">
      <formula>"未完成"</formula>
    </cfRule>
  </conditionalFormatting>
  <conditionalFormatting sqref="AL19">
    <cfRule type="cellIs" dxfId="1" priority="6997" operator="equal">
      <formula>"未完成"</formula>
    </cfRule>
    <cfRule type="cellIs" dxfId="0" priority="7008" operator="equal">
      <formula>"未完成"</formula>
    </cfRule>
  </conditionalFormatting>
  <conditionalFormatting sqref="AM19">
    <cfRule type="cellIs" dxfId="1" priority="6953" operator="equal">
      <formula>"未完成"</formula>
    </cfRule>
    <cfRule type="cellIs" dxfId="0" priority="6964" operator="equal">
      <formula>"未完成"</formula>
    </cfRule>
  </conditionalFormatting>
  <conditionalFormatting sqref="AP19:AQ19">
    <cfRule type="cellIs" dxfId="1" priority="7063" operator="equal">
      <formula>"未完成"</formula>
    </cfRule>
    <cfRule type="cellIs" dxfId="0" priority="7074" operator="equal">
      <formula>"未完成"</formula>
    </cfRule>
  </conditionalFormatting>
  <conditionalFormatting sqref="AT19:AV19">
    <cfRule type="cellIs" dxfId="1" priority="7019" operator="equal">
      <formula>"未完成"</formula>
    </cfRule>
    <cfRule type="cellIs" dxfId="0" priority="7030" operator="equal">
      <formula>"未完成"</formula>
    </cfRule>
  </conditionalFormatting>
  <conditionalFormatting sqref="R20">
    <cfRule type="cellIs" dxfId="0" priority="6974" operator="equal">
      <formula>"欠"</formula>
    </cfRule>
  </conditionalFormatting>
  <conditionalFormatting sqref="T20:U20">
    <cfRule type="cellIs" dxfId="0" priority="6985" operator="equal">
      <formula>"欠"</formula>
    </cfRule>
  </conditionalFormatting>
  <conditionalFormatting sqref="AE20">
    <cfRule type="cellIs" dxfId="0" priority="7106" operator="equal">
      <formula>"未完成"</formula>
    </cfRule>
  </conditionalFormatting>
  <conditionalFormatting sqref="AI20:AJ20">
    <cfRule type="cellIs" dxfId="1" priority="7084" operator="equal">
      <formula>"未完成"</formula>
    </cfRule>
    <cfRule type="cellIs" dxfId="0" priority="7095" operator="equal">
      <formula>"未完成"</formula>
    </cfRule>
  </conditionalFormatting>
  <conditionalFormatting sqref="AL20">
    <cfRule type="cellIs" dxfId="1" priority="6996" operator="equal">
      <formula>"未完成"</formula>
    </cfRule>
    <cfRule type="cellIs" dxfId="0" priority="7007" operator="equal">
      <formula>"未完成"</formula>
    </cfRule>
  </conditionalFormatting>
  <conditionalFormatting sqref="AM20">
    <cfRule type="cellIs" dxfId="1" priority="6952" operator="equal">
      <formula>"未完成"</formula>
    </cfRule>
    <cfRule type="cellIs" dxfId="0" priority="6963" operator="equal">
      <formula>"未完成"</formula>
    </cfRule>
  </conditionalFormatting>
  <conditionalFormatting sqref="AP20:AQ20">
    <cfRule type="cellIs" dxfId="1" priority="7062" operator="equal">
      <formula>"未完成"</formula>
    </cfRule>
    <cfRule type="cellIs" dxfId="0" priority="7073" operator="equal">
      <formula>"未完成"</formula>
    </cfRule>
  </conditionalFormatting>
  <conditionalFormatting sqref="AT20:AV20">
    <cfRule type="cellIs" dxfId="1" priority="7018" operator="equal">
      <formula>"未完成"</formula>
    </cfRule>
    <cfRule type="cellIs" dxfId="0" priority="7029" operator="equal">
      <formula>"未完成"</formula>
    </cfRule>
  </conditionalFormatting>
  <conditionalFormatting sqref="R21">
    <cfRule type="cellIs" dxfId="0" priority="6973" operator="equal">
      <formula>"欠"</formula>
    </cfRule>
  </conditionalFormatting>
  <conditionalFormatting sqref="T21:U21">
    <cfRule type="cellIs" dxfId="0" priority="6984" operator="equal">
      <formula>"欠"</formula>
    </cfRule>
  </conditionalFormatting>
  <conditionalFormatting sqref="AE21">
    <cfRule type="cellIs" dxfId="0" priority="7105" operator="equal">
      <formula>"未完成"</formula>
    </cfRule>
  </conditionalFormatting>
  <conditionalFormatting sqref="AI21:AJ21">
    <cfRule type="cellIs" dxfId="1" priority="7083" operator="equal">
      <formula>"未完成"</formula>
    </cfRule>
    <cfRule type="cellIs" dxfId="0" priority="7094" operator="equal">
      <formula>"未完成"</formula>
    </cfRule>
  </conditionalFormatting>
  <conditionalFormatting sqref="AL21">
    <cfRule type="cellIs" dxfId="1" priority="6995" operator="equal">
      <formula>"未完成"</formula>
    </cfRule>
    <cfRule type="cellIs" dxfId="0" priority="7006" operator="equal">
      <formula>"未完成"</formula>
    </cfRule>
  </conditionalFormatting>
  <conditionalFormatting sqref="AM21">
    <cfRule type="cellIs" dxfId="1" priority="6951" operator="equal">
      <formula>"未完成"</formula>
    </cfRule>
    <cfRule type="cellIs" dxfId="0" priority="6962" operator="equal">
      <formula>"未完成"</formula>
    </cfRule>
  </conditionalFormatting>
  <conditionalFormatting sqref="AP21:AQ21">
    <cfRule type="cellIs" dxfId="1" priority="7061" operator="equal">
      <formula>"未完成"</formula>
    </cfRule>
    <cfRule type="cellIs" dxfId="0" priority="7072" operator="equal">
      <formula>"未完成"</formula>
    </cfRule>
  </conditionalFormatting>
  <conditionalFormatting sqref="AT21:AV21">
    <cfRule type="cellIs" dxfId="1" priority="7017" operator="equal">
      <formula>"未完成"</formula>
    </cfRule>
    <cfRule type="cellIs" dxfId="0" priority="7028" operator="equal">
      <formula>"未完成"</formula>
    </cfRule>
  </conditionalFormatting>
  <conditionalFormatting sqref="R22">
    <cfRule type="cellIs" dxfId="0" priority="6972" operator="equal">
      <formula>"欠"</formula>
    </cfRule>
  </conditionalFormatting>
  <conditionalFormatting sqref="T22:U22">
    <cfRule type="cellIs" dxfId="0" priority="6983" operator="equal">
      <formula>"欠"</formula>
    </cfRule>
  </conditionalFormatting>
  <conditionalFormatting sqref="AE22">
    <cfRule type="cellIs" dxfId="0" priority="7104" operator="equal">
      <formula>"未完成"</formula>
    </cfRule>
  </conditionalFormatting>
  <conditionalFormatting sqref="AI22:AJ22">
    <cfRule type="cellIs" dxfId="1" priority="7082" operator="equal">
      <formula>"未完成"</formula>
    </cfRule>
    <cfRule type="cellIs" dxfId="0" priority="7093" operator="equal">
      <formula>"未完成"</formula>
    </cfRule>
  </conditionalFormatting>
  <conditionalFormatting sqref="AP22:AQ22">
    <cfRule type="cellIs" dxfId="1" priority="7060" operator="equal">
      <formula>"未完成"</formula>
    </cfRule>
    <cfRule type="cellIs" dxfId="0" priority="7071" operator="equal">
      <formula>"未完成"</formula>
    </cfRule>
  </conditionalFormatting>
  <conditionalFormatting sqref="AT22:AV22">
    <cfRule type="cellIs" dxfId="1" priority="7016" operator="equal">
      <formula>"未完成"</formula>
    </cfRule>
    <cfRule type="cellIs" dxfId="0" priority="7027" operator="equal">
      <formula>"未完成"</formula>
    </cfRule>
  </conditionalFormatting>
  <conditionalFormatting sqref="R23">
    <cfRule type="cellIs" dxfId="0" priority="6971" operator="equal">
      <formula>"欠"</formula>
    </cfRule>
  </conditionalFormatting>
  <conditionalFormatting sqref="T23:U23">
    <cfRule type="cellIs" dxfId="0" priority="6982" operator="equal">
      <formula>"欠"</formula>
    </cfRule>
  </conditionalFormatting>
  <conditionalFormatting sqref="AE23">
    <cfRule type="cellIs" dxfId="0" priority="7103" operator="equal">
      <formula>"未完成"</formula>
    </cfRule>
  </conditionalFormatting>
  <conditionalFormatting sqref="AI23:AJ23">
    <cfRule type="cellIs" dxfId="1" priority="7081" operator="equal">
      <formula>"未完成"</formula>
    </cfRule>
    <cfRule type="cellIs" dxfId="0" priority="7092" operator="equal">
      <formula>"未完成"</formula>
    </cfRule>
  </conditionalFormatting>
  <conditionalFormatting sqref="AP23:AQ23">
    <cfRule type="cellIs" dxfId="1" priority="7059" operator="equal">
      <formula>"未完成"</formula>
    </cfRule>
    <cfRule type="cellIs" dxfId="0" priority="7070" operator="equal">
      <formula>"未完成"</formula>
    </cfRule>
  </conditionalFormatting>
  <conditionalFormatting sqref="AS23">
    <cfRule type="cellIs" dxfId="1" priority="7037" operator="equal">
      <formula>"未完成"</formula>
    </cfRule>
    <cfRule type="cellIs" dxfId="0" priority="7048" operator="equal">
      <formula>"未完成"</formula>
    </cfRule>
  </conditionalFormatting>
  <conditionalFormatting sqref="AT23:AV23">
    <cfRule type="cellIs" dxfId="1" priority="7015" operator="equal">
      <formula>"未完成"</formula>
    </cfRule>
    <cfRule type="cellIs" dxfId="0" priority="7026" operator="equal">
      <formula>"未完成"</formula>
    </cfRule>
  </conditionalFormatting>
  <conditionalFormatting sqref="R24">
    <cfRule type="cellIs" dxfId="0" priority="6970" operator="equal">
      <formula>"欠"</formula>
    </cfRule>
  </conditionalFormatting>
  <conditionalFormatting sqref="T24:U24">
    <cfRule type="cellIs" dxfId="0" priority="6981" operator="equal">
      <formula>"欠"</formula>
    </cfRule>
  </conditionalFormatting>
  <conditionalFormatting sqref="AE24">
    <cfRule type="cellIs" dxfId="0" priority="7102" operator="equal">
      <formula>"未完成"</formula>
    </cfRule>
  </conditionalFormatting>
  <conditionalFormatting sqref="AI24:AJ24">
    <cfRule type="cellIs" dxfId="1" priority="7080" operator="equal">
      <formula>"未完成"</formula>
    </cfRule>
    <cfRule type="cellIs" dxfId="0" priority="7091" operator="equal">
      <formula>"未完成"</formula>
    </cfRule>
  </conditionalFormatting>
  <conditionalFormatting sqref="AP24:AQ24">
    <cfRule type="cellIs" dxfId="1" priority="7058" operator="equal">
      <formula>"未完成"</formula>
    </cfRule>
    <cfRule type="cellIs" dxfId="0" priority="7069" operator="equal">
      <formula>"未完成"</formula>
    </cfRule>
  </conditionalFormatting>
  <conditionalFormatting sqref="AS24">
    <cfRule type="cellIs" dxfId="1" priority="7036" operator="equal">
      <formula>"未完成"</formula>
    </cfRule>
    <cfRule type="cellIs" dxfId="0" priority="7047" operator="equal">
      <formula>"未完成"</formula>
    </cfRule>
  </conditionalFormatting>
  <conditionalFormatting sqref="AT24:AV24">
    <cfRule type="cellIs" dxfId="1" priority="7014" operator="equal">
      <formula>"未完成"</formula>
    </cfRule>
    <cfRule type="cellIs" dxfId="0" priority="7025" operator="equal">
      <formula>"未完成"</formula>
    </cfRule>
  </conditionalFormatting>
  <conditionalFormatting sqref="R25">
    <cfRule type="cellIs" dxfId="0" priority="6969" operator="equal">
      <formula>"欠"</formula>
    </cfRule>
  </conditionalFormatting>
  <conditionalFormatting sqref="T25:U25">
    <cfRule type="cellIs" dxfId="0" priority="6980" operator="equal">
      <formula>"欠"</formula>
    </cfRule>
  </conditionalFormatting>
  <conditionalFormatting sqref="AE25">
    <cfRule type="cellIs" dxfId="0" priority="7101" operator="equal">
      <formula>"未完成"</formula>
    </cfRule>
  </conditionalFormatting>
  <conditionalFormatting sqref="AI25:AJ25">
    <cfRule type="cellIs" dxfId="1" priority="7079" operator="equal">
      <formula>"未完成"</formula>
    </cfRule>
    <cfRule type="cellIs" dxfId="0" priority="7090" operator="equal">
      <formula>"未完成"</formula>
    </cfRule>
  </conditionalFormatting>
  <conditionalFormatting sqref="AP25:AQ25">
    <cfRule type="cellIs" dxfId="1" priority="7057" operator="equal">
      <formula>"未完成"</formula>
    </cfRule>
    <cfRule type="cellIs" dxfId="0" priority="7068" operator="equal">
      <formula>"未完成"</formula>
    </cfRule>
  </conditionalFormatting>
  <conditionalFormatting sqref="AS25">
    <cfRule type="cellIs" dxfId="1" priority="7035" operator="equal">
      <formula>"未完成"</formula>
    </cfRule>
    <cfRule type="cellIs" dxfId="0" priority="7046" operator="equal">
      <formula>"未完成"</formula>
    </cfRule>
  </conditionalFormatting>
  <conditionalFormatting sqref="AT25:AV25">
    <cfRule type="cellIs" dxfId="1" priority="7013" operator="equal">
      <formula>"未完成"</formula>
    </cfRule>
    <cfRule type="cellIs" dxfId="0" priority="7024" operator="equal">
      <formula>"未完成"</formula>
    </cfRule>
  </conditionalFormatting>
  <conditionalFormatting sqref="R26">
    <cfRule type="cellIs" dxfId="0" priority="6968" operator="equal">
      <formula>"欠"</formula>
    </cfRule>
  </conditionalFormatting>
  <conditionalFormatting sqref="T26:U26">
    <cfRule type="cellIs" dxfId="0" priority="6979" operator="equal">
      <formula>"欠"</formula>
    </cfRule>
  </conditionalFormatting>
  <conditionalFormatting sqref="AE26">
    <cfRule type="cellIs" dxfId="0" priority="7100" operator="equal">
      <formula>"未完成"</formula>
    </cfRule>
  </conditionalFormatting>
  <conditionalFormatting sqref="AI26:AJ26">
    <cfRule type="cellIs" dxfId="1" priority="7078" operator="equal">
      <formula>"未完成"</formula>
    </cfRule>
    <cfRule type="cellIs" dxfId="0" priority="7089" operator="equal">
      <formula>"未完成"</formula>
    </cfRule>
  </conditionalFormatting>
  <conditionalFormatting sqref="AP26:AQ26">
    <cfRule type="cellIs" dxfId="1" priority="7056" operator="equal">
      <formula>"未完成"</formula>
    </cfRule>
    <cfRule type="cellIs" dxfId="0" priority="7067" operator="equal">
      <formula>"未完成"</formula>
    </cfRule>
  </conditionalFormatting>
  <conditionalFormatting sqref="AS26">
    <cfRule type="cellIs" dxfId="1" priority="7034" operator="equal">
      <formula>"未完成"</formula>
    </cfRule>
    <cfRule type="cellIs" dxfId="0" priority="7045" operator="equal">
      <formula>"未完成"</formula>
    </cfRule>
  </conditionalFormatting>
  <conditionalFormatting sqref="AT26:AV26">
    <cfRule type="cellIs" dxfId="1" priority="7012" operator="equal">
      <formula>"未完成"</formula>
    </cfRule>
    <cfRule type="cellIs" dxfId="0" priority="7023" operator="equal">
      <formula>"未完成"</formula>
    </cfRule>
  </conditionalFormatting>
  <conditionalFormatting sqref="R27">
    <cfRule type="cellIs" dxfId="0" priority="6967" operator="equal">
      <formula>"欠"</formula>
    </cfRule>
  </conditionalFormatting>
  <conditionalFormatting sqref="T27:U27">
    <cfRule type="cellIs" dxfId="0" priority="6978" operator="equal">
      <formula>"欠"</formula>
    </cfRule>
  </conditionalFormatting>
  <conditionalFormatting sqref="AE27">
    <cfRule type="cellIs" dxfId="0" priority="7099" operator="equal">
      <formula>"未完成"</formula>
    </cfRule>
  </conditionalFormatting>
  <conditionalFormatting sqref="AI27:AJ27">
    <cfRule type="cellIs" dxfId="1" priority="7077" operator="equal">
      <formula>"未完成"</formula>
    </cfRule>
    <cfRule type="cellIs" dxfId="0" priority="7088" operator="equal">
      <formula>"未完成"</formula>
    </cfRule>
  </conditionalFormatting>
  <conditionalFormatting sqref="AP27:AQ27">
    <cfRule type="cellIs" dxfId="1" priority="7055" operator="equal">
      <formula>"未完成"</formula>
    </cfRule>
    <cfRule type="cellIs" dxfId="0" priority="7066" operator="equal">
      <formula>"未完成"</formula>
    </cfRule>
  </conditionalFormatting>
  <conditionalFormatting sqref="AS27">
    <cfRule type="cellIs" dxfId="1" priority="7033" operator="equal">
      <formula>"未完成"</formula>
    </cfRule>
    <cfRule type="cellIs" dxfId="0" priority="7044" operator="equal">
      <formula>"未完成"</formula>
    </cfRule>
  </conditionalFormatting>
  <conditionalFormatting sqref="AT27:AV27">
    <cfRule type="cellIs" dxfId="1" priority="7011" operator="equal">
      <formula>"未完成"</formula>
    </cfRule>
    <cfRule type="cellIs" dxfId="0" priority="7022" operator="equal">
      <formula>"未完成"</formula>
    </cfRule>
  </conditionalFormatting>
  <conditionalFormatting sqref="R28">
    <cfRule type="cellIs" dxfId="0" priority="6966" operator="equal">
      <formula>"欠"</formula>
    </cfRule>
  </conditionalFormatting>
  <conditionalFormatting sqref="T28:U28">
    <cfRule type="cellIs" dxfId="0" priority="6977" operator="equal">
      <formula>"欠"</formula>
    </cfRule>
  </conditionalFormatting>
  <conditionalFormatting sqref="AE28">
    <cfRule type="cellIs" dxfId="0" priority="7098" operator="equal">
      <formula>"未完成"</formula>
    </cfRule>
  </conditionalFormatting>
  <conditionalFormatting sqref="AI28:AJ28">
    <cfRule type="cellIs" dxfId="1" priority="7076" operator="equal">
      <formula>"未完成"</formula>
    </cfRule>
    <cfRule type="cellIs" dxfId="0" priority="7087" operator="equal">
      <formula>"未完成"</formula>
    </cfRule>
  </conditionalFormatting>
  <conditionalFormatting sqref="AP28:AQ28">
    <cfRule type="cellIs" dxfId="1" priority="7054" operator="equal">
      <formula>"未完成"</formula>
    </cfRule>
    <cfRule type="cellIs" dxfId="0" priority="7065" operator="equal">
      <formula>"未完成"</formula>
    </cfRule>
  </conditionalFormatting>
  <conditionalFormatting sqref="AS28">
    <cfRule type="cellIs" dxfId="1" priority="7032" operator="equal">
      <formula>"未完成"</formula>
    </cfRule>
    <cfRule type="cellIs" dxfId="0" priority="7043" operator="equal">
      <formula>"未完成"</formula>
    </cfRule>
  </conditionalFormatting>
  <conditionalFormatting sqref="AT28:AV28">
    <cfRule type="cellIs" dxfId="1" priority="7010" operator="equal">
      <formula>"未完成"</formula>
    </cfRule>
    <cfRule type="cellIs" dxfId="0" priority="7021" operator="equal">
      <formula>"未完成"</formula>
    </cfRule>
  </conditionalFormatting>
  <conditionalFormatting sqref="R29">
    <cfRule type="cellIs" dxfId="0" priority="6919" operator="equal">
      <formula>"欠"</formula>
    </cfRule>
  </conditionalFormatting>
  <conditionalFormatting sqref="T29:U29">
    <cfRule type="cellIs" dxfId="0" priority="6921" operator="equal">
      <formula>"欠"</formula>
    </cfRule>
  </conditionalFormatting>
  <conditionalFormatting sqref="AE29">
    <cfRule type="cellIs" dxfId="0" priority="6943" operator="equal">
      <formula>"未完成"</formula>
    </cfRule>
  </conditionalFormatting>
  <conditionalFormatting sqref="AI29:AJ29">
    <cfRule type="cellIs" dxfId="1" priority="6939" operator="equal">
      <formula>"未完成"</formula>
    </cfRule>
    <cfRule type="cellIs" dxfId="0" priority="6941" operator="equal">
      <formula>"未完成"</formula>
    </cfRule>
  </conditionalFormatting>
  <conditionalFormatting sqref="AL29">
    <cfRule type="cellIs" dxfId="1" priority="6923" operator="equal">
      <formula>"未完成"</formula>
    </cfRule>
    <cfRule type="cellIs" dxfId="0" priority="6925" operator="equal">
      <formula>"未完成"</formula>
    </cfRule>
  </conditionalFormatting>
  <conditionalFormatting sqref="AM29">
    <cfRule type="cellIs" dxfId="1" priority="6915" operator="equal">
      <formula>"未完成"</formula>
    </cfRule>
    <cfRule type="cellIs" dxfId="0" priority="6917" operator="equal">
      <formula>"未完成"</formula>
    </cfRule>
  </conditionalFormatting>
  <conditionalFormatting sqref="AP29:AQ29">
    <cfRule type="cellIs" dxfId="1" priority="6935" operator="equal">
      <formula>"未完成"</formula>
    </cfRule>
    <cfRule type="cellIs" dxfId="0" priority="6937" operator="equal">
      <formula>"未完成"</formula>
    </cfRule>
  </conditionalFormatting>
  <conditionalFormatting sqref="AT29:AV29">
    <cfRule type="cellIs" dxfId="1" priority="6927" operator="equal">
      <formula>"未完成"</formula>
    </cfRule>
    <cfRule type="cellIs" dxfId="0" priority="6929" operator="equal">
      <formula>"未完成"</formula>
    </cfRule>
  </conditionalFormatting>
  <conditionalFormatting sqref="R30">
    <cfRule type="cellIs" dxfId="0" priority="6918" operator="equal">
      <formula>"欠"</formula>
    </cfRule>
  </conditionalFormatting>
  <conditionalFormatting sqref="T30:U30">
    <cfRule type="cellIs" dxfId="0" priority="6920" operator="equal">
      <formula>"欠"</formula>
    </cfRule>
  </conditionalFormatting>
  <conditionalFormatting sqref="AE30">
    <cfRule type="cellIs" dxfId="0" priority="6942" operator="equal">
      <formula>"未完成"</formula>
    </cfRule>
  </conditionalFormatting>
  <conditionalFormatting sqref="AI30:AJ30">
    <cfRule type="cellIs" dxfId="1" priority="6938" operator="equal">
      <formula>"未完成"</formula>
    </cfRule>
    <cfRule type="cellIs" dxfId="0" priority="6940" operator="equal">
      <formula>"未完成"</formula>
    </cfRule>
  </conditionalFormatting>
  <conditionalFormatting sqref="AL30">
    <cfRule type="cellIs" dxfId="1" priority="6922" operator="equal">
      <formula>"未完成"</formula>
    </cfRule>
    <cfRule type="cellIs" dxfId="0" priority="6924" operator="equal">
      <formula>"未完成"</formula>
    </cfRule>
  </conditionalFormatting>
  <conditionalFormatting sqref="AM30">
    <cfRule type="cellIs" dxfId="1" priority="6914" operator="equal">
      <formula>"未完成"</formula>
    </cfRule>
    <cfRule type="cellIs" dxfId="0" priority="6916" operator="equal">
      <formula>"未完成"</formula>
    </cfRule>
  </conditionalFormatting>
  <conditionalFormatting sqref="AP30:AQ30">
    <cfRule type="cellIs" dxfId="1" priority="6934" operator="equal">
      <formula>"未完成"</formula>
    </cfRule>
    <cfRule type="cellIs" dxfId="0" priority="6936" operator="equal">
      <formula>"未完成"</formula>
    </cfRule>
  </conditionalFormatting>
  <conditionalFormatting sqref="AT30:AV30">
    <cfRule type="cellIs" dxfId="1" priority="6926" operator="equal">
      <formula>"未完成"</formula>
    </cfRule>
    <cfRule type="cellIs" dxfId="0" priority="6928" operator="equal">
      <formula>"未完成"</formula>
    </cfRule>
  </conditionalFormatting>
  <conditionalFormatting sqref="R31">
    <cfRule type="cellIs" dxfId="0" priority="6853" operator="equal">
      <formula>"欠"</formula>
    </cfRule>
  </conditionalFormatting>
  <conditionalFormatting sqref="T31:U31">
    <cfRule type="cellIs" dxfId="0" priority="6858" operator="equal">
      <formula>"欠"</formula>
    </cfRule>
  </conditionalFormatting>
  <conditionalFormatting sqref="AE31">
    <cfRule type="cellIs" dxfId="0" priority="6913" operator="equal">
      <formula>"未完成"</formula>
    </cfRule>
  </conditionalFormatting>
  <conditionalFormatting sqref="AI31:AJ31">
    <cfRule type="cellIs" dxfId="1" priority="6903" operator="equal">
      <formula>"未完成"</formula>
    </cfRule>
    <cfRule type="cellIs" dxfId="0" priority="6908" operator="equal">
      <formula>"未完成"</formula>
    </cfRule>
  </conditionalFormatting>
  <conditionalFormatting sqref="AL31">
    <cfRule type="cellIs" dxfId="1" priority="6863" operator="equal">
      <formula>"未完成"</formula>
    </cfRule>
    <cfRule type="cellIs" dxfId="0" priority="6868" operator="equal">
      <formula>"未完成"</formula>
    </cfRule>
  </conditionalFormatting>
  <conditionalFormatting sqref="AM31">
    <cfRule type="cellIs" dxfId="1" priority="6843" operator="equal">
      <formula>"未完成"</formula>
    </cfRule>
    <cfRule type="cellIs" dxfId="0" priority="6848" operator="equal">
      <formula>"未完成"</formula>
    </cfRule>
  </conditionalFormatting>
  <conditionalFormatting sqref="AP31:AQ31">
    <cfRule type="cellIs" dxfId="1" priority="6893" operator="equal">
      <formula>"未完成"</formula>
    </cfRule>
    <cfRule type="cellIs" dxfId="0" priority="6898" operator="equal">
      <formula>"未完成"</formula>
    </cfRule>
  </conditionalFormatting>
  <conditionalFormatting sqref="AT31:AV31">
    <cfRule type="cellIs" dxfId="1" priority="6873" operator="equal">
      <formula>"未完成"</formula>
    </cfRule>
    <cfRule type="cellIs" dxfId="0" priority="6878" operator="equal">
      <formula>"未完成"</formula>
    </cfRule>
  </conditionalFormatting>
  <conditionalFormatting sqref="R32">
    <cfRule type="cellIs" dxfId="0" priority="6852" operator="equal">
      <formula>"欠"</formula>
    </cfRule>
  </conditionalFormatting>
  <conditionalFormatting sqref="T32:U32">
    <cfRule type="cellIs" dxfId="0" priority="6857" operator="equal">
      <formula>"欠"</formula>
    </cfRule>
  </conditionalFormatting>
  <conditionalFormatting sqref="AE32">
    <cfRule type="cellIs" dxfId="0" priority="6912" operator="equal">
      <formula>"未完成"</formula>
    </cfRule>
  </conditionalFormatting>
  <conditionalFormatting sqref="AI32:AJ32">
    <cfRule type="cellIs" dxfId="1" priority="6902" operator="equal">
      <formula>"未完成"</formula>
    </cfRule>
    <cfRule type="cellIs" dxfId="0" priority="6907" operator="equal">
      <formula>"未完成"</formula>
    </cfRule>
  </conditionalFormatting>
  <conditionalFormatting sqref="AL32">
    <cfRule type="cellIs" dxfId="1" priority="6862" operator="equal">
      <formula>"未完成"</formula>
    </cfRule>
    <cfRule type="cellIs" dxfId="0" priority="6867" operator="equal">
      <formula>"未完成"</formula>
    </cfRule>
  </conditionalFormatting>
  <conditionalFormatting sqref="AM32">
    <cfRule type="cellIs" dxfId="1" priority="6842" operator="equal">
      <formula>"未完成"</formula>
    </cfRule>
    <cfRule type="cellIs" dxfId="0" priority="6847" operator="equal">
      <formula>"未完成"</formula>
    </cfRule>
  </conditionalFormatting>
  <conditionalFormatting sqref="AP32:AQ32">
    <cfRule type="cellIs" dxfId="1" priority="6892" operator="equal">
      <formula>"未完成"</formula>
    </cfRule>
    <cfRule type="cellIs" dxfId="0" priority="6897" operator="equal">
      <formula>"未完成"</formula>
    </cfRule>
  </conditionalFormatting>
  <conditionalFormatting sqref="AS32">
    <cfRule type="cellIs" dxfId="1" priority="6882" operator="equal">
      <formula>"未完成"</formula>
    </cfRule>
    <cfRule type="cellIs" dxfId="0" priority="6887" operator="equal">
      <formula>"未完成"</formula>
    </cfRule>
  </conditionalFormatting>
  <conditionalFormatting sqref="AT32:AV32">
    <cfRule type="cellIs" dxfId="1" priority="6872" operator="equal">
      <formula>"未完成"</formula>
    </cfRule>
    <cfRule type="cellIs" dxfId="0" priority="6877" operator="equal">
      <formula>"未完成"</formula>
    </cfRule>
  </conditionalFormatting>
  <conditionalFormatting sqref="R33">
    <cfRule type="cellIs" dxfId="0" priority="6851" operator="equal">
      <formula>"欠"</formula>
    </cfRule>
  </conditionalFormatting>
  <conditionalFormatting sqref="T33:U33">
    <cfRule type="cellIs" dxfId="0" priority="6856" operator="equal">
      <formula>"欠"</formula>
    </cfRule>
  </conditionalFormatting>
  <conditionalFormatting sqref="AE33">
    <cfRule type="cellIs" dxfId="0" priority="6911" operator="equal">
      <formula>"未完成"</formula>
    </cfRule>
  </conditionalFormatting>
  <conditionalFormatting sqref="AI33:AJ33">
    <cfRule type="cellIs" dxfId="1" priority="6901" operator="equal">
      <formula>"未完成"</formula>
    </cfRule>
    <cfRule type="cellIs" dxfId="0" priority="6906" operator="equal">
      <formula>"未完成"</formula>
    </cfRule>
  </conditionalFormatting>
  <conditionalFormatting sqref="AL33">
    <cfRule type="cellIs" dxfId="1" priority="6861" operator="equal">
      <formula>"未完成"</formula>
    </cfRule>
    <cfRule type="cellIs" dxfId="0" priority="6866" operator="equal">
      <formula>"未完成"</formula>
    </cfRule>
  </conditionalFormatting>
  <conditionalFormatting sqref="AM33">
    <cfRule type="cellIs" dxfId="1" priority="6841" operator="equal">
      <formula>"未完成"</formula>
    </cfRule>
    <cfRule type="cellIs" dxfId="0" priority="6846" operator="equal">
      <formula>"未完成"</formula>
    </cfRule>
  </conditionalFormatting>
  <conditionalFormatting sqref="AP33:AQ33">
    <cfRule type="cellIs" dxfId="1" priority="6891" operator="equal">
      <formula>"未完成"</formula>
    </cfRule>
    <cfRule type="cellIs" dxfId="0" priority="6896" operator="equal">
      <formula>"未完成"</formula>
    </cfRule>
  </conditionalFormatting>
  <conditionalFormatting sqref="AS33">
    <cfRule type="cellIs" dxfId="1" priority="6881" operator="equal">
      <formula>"未完成"</formula>
    </cfRule>
    <cfRule type="cellIs" dxfId="0" priority="6886" operator="equal">
      <formula>"未完成"</formula>
    </cfRule>
  </conditionalFormatting>
  <conditionalFormatting sqref="AT33:AV33">
    <cfRule type="cellIs" dxfId="1" priority="6871" operator="equal">
      <formula>"未完成"</formula>
    </cfRule>
    <cfRule type="cellIs" dxfId="0" priority="6876" operator="equal">
      <formula>"未完成"</formula>
    </cfRule>
  </conditionalFormatting>
  <conditionalFormatting sqref="R34">
    <cfRule type="cellIs" dxfId="0" priority="6850" operator="equal">
      <formula>"欠"</formula>
    </cfRule>
  </conditionalFormatting>
  <conditionalFormatting sqref="T34:U34">
    <cfRule type="cellIs" dxfId="0" priority="6855" operator="equal">
      <formula>"欠"</formula>
    </cfRule>
  </conditionalFormatting>
  <conditionalFormatting sqref="AE34">
    <cfRule type="cellIs" dxfId="0" priority="6910" operator="equal">
      <formula>"未完成"</formula>
    </cfRule>
  </conditionalFormatting>
  <conditionalFormatting sqref="AI34:AJ34">
    <cfRule type="cellIs" dxfId="1" priority="6900" operator="equal">
      <formula>"未完成"</formula>
    </cfRule>
    <cfRule type="cellIs" dxfId="0" priority="6905" operator="equal">
      <formula>"未完成"</formula>
    </cfRule>
  </conditionalFormatting>
  <conditionalFormatting sqref="AL34">
    <cfRule type="cellIs" dxfId="1" priority="6860" operator="equal">
      <formula>"未完成"</formula>
    </cfRule>
    <cfRule type="cellIs" dxfId="0" priority="6865" operator="equal">
      <formula>"未完成"</formula>
    </cfRule>
  </conditionalFormatting>
  <conditionalFormatting sqref="AM34">
    <cfRule type="cellIs" dxfId="1" priority="6840" operator="equal">
      <formula>"未完成"</formula>
    </cfRule>
    <cfRule type="cellIs" dxfId="0" priority="6845" operator="equal">
      <formula>"未完成"</formula>
    </cfRule>
  </conditionalFormatting>
  <conditionalFormatting sqref="AP34:AQ34">
    <cfRule type="cellIs" dxfId="1" priority="6890" operator="equal">
      <formula>"未完成"</formula>
    </cfRule>
    <cfRule type="cellIs" dxfId="0" priority="6895" operator="equal">
      <formula>"未完成"</formula>
    </cfRule>
  </conditionalFormatting>
  <conditionalFormatting sqref="AS34">
    <cfRule type="cellIs" dxfId="1" priority="6880" operator="equal">
      <formula>"未完成"</formula>
    </cfRule>
    <cfRule type="cellIs" dxfId="0" priority="6885" operator="equal">
      <formula>"未完成"</formula>
    </cfRule>
  </conditionalFormatting>
  <conditionalFormatting sqref="AT34:AV34">
    <cfRule type="cellIs" dxfId="1" priority="6870" operator="equal">
      <formula>"未完成"</formula>
    </cfRule>
    <cfRule type="cellIs" dxfId="0" priority="6875" operator="equal">
      <formula>"未完成"</formula>
    </cfRule>
  </conditionalFormatting>
  <conditionalFormatting sqref="R35">
    <cfRule type="cellIs" dxfId="0" priority="6849" operator="equal">
      <formula>"欠"</formula>
    </cfRule>
  </conditionalFormatting>
  <conditionalFormatting sqref="T35:U35">
    <cfRule type="cellIs" dxfId="0" priority="6854" operator="equal">
      <formula>"欠"</formula>
    </cfRule>
  </conditionalFormatting>
  <conditionalFormatting sqref="AE35">
    <cfRule type="cellIs" dxfId="0" priority="6909" operator="equal">
      <formula>"未完成"</formula>
    </cfRule>
  </conditionalFormatting>
  <conditionalFormatting sqref="AI35:AJ35">
    <cfRule type="cellIs" dxfId="1" priority="6899" operator="equal">
      <formula>"未完成"</formula>
    </cfRule>
    <cfRule type="cellIs" dxfId="0" priority="6904" operator="equal">
      <formula>"未完成"</formula>
    </cfRule>
  </conditionalFormatting>
  <conditionalFormatting sqref="AL35">
    <cfRule type="cellIs" dxfId="1" priority="6859" operator="equal">
      <formula>"未完成"</formula>
    </cfRule>
    <cfRule type="cellIs" dxfId="0" priority="6864" operator="equal">
      <formula>"未完成"</formula>
    </cfRule>
  </conditionalFormatting>
  <conditionalFormatting sqref="AM35">
    <cfRule type="cellIs" dxfId="1" priority="6839" operator="equal">
      <formula>"未完成"</formula>
    </cfRule>
    <cfRule type="cellIs" dxfId="0" priority="6844" operator="equal">
      <formula>"未完成"</formula>
    </cfRule>
  </conditionalFormatting>
  <conditionalFormatting sqref="AP35:AQ35">
    <cfRule type="cellIs" dxfId="1" priority="6889" operator="equal">
      <formula>"未完成"</formula>
    </cfRule>
    <cfRule type="cellIs" dxfId="0" priority="6894" operator="equal">
      <formula>"未完成"</formula>
    </cfRule>
  </conditionalFormatting>
  <conditionalFormatting sqref="AS35">
    <cfRule type="cellIs" dxfId="1" priority="6879" operator="equal">
      <formula>"未完成"</formula>
    </cfRule>
    <cfRule type="cellIs" dxfId="0" priority="6884" operator="equal">
      <formula>"未完成"</formula>
    </cfRule>
  </conditionalFormatting>
  <conditionalFormatting sqref="AT35:AV35">
    <cfRule type="cellIs" dxfId="1" priority="6869" operator="equal">
      <formula>"未完成"</formula>
    </cfRule>
    <cfRule type="cellIs" dxfId="0" priority="6874" operator="equal">
      <formula>"未完成"</formula>
    </cfRule>
  </conditionalFormatting>
  <conditionalFormatting sqref="R36">
    <cfRule type="cellIs" dxfId="0" priority="8207" operator="equal">
      <formula>"欠"</formula>
    </cfRule>
  </conditionalFormatting>
  <conditionalFormatting sqref="AE36">
    <cfRule type="cellIs" dxfId="0" priority="8220" operator="equal">
      <formula>"未完成"</formula>
    </cfRule>
  </conditionalFormatting>
  <conditionalFormatting sqref="AI36:AJ36">
    <cfRule type="cellIs" dxfId="1" priority="8221" operator="equal">
      <formula>"未完成"</formula>
    </cfRule>
    <cfRule type="cellIs" dxfId="0" priority="8222" operator="equal">
      <formula>"未完成"</formula>
    </cfRule>
  </conditionalFormatting>
  <conditionalFormatting sqref="AL36">
    <cfRule type="cellIs" dxfId="1" priority="8212" operator="equal">
      <formula>"未完成"</formula>
    </cfRule>
    <cfRule type="cellIs" dxfId="0" priority="8213" operator="equal">
      <formula>"未完成"</formula>
    </cfRule>
  </conditionalFormatting>
  <conditionalFormatting sqref="AM36">
    <cfRule type="cellIs" dxfId="1" priority="8223" operator="equal">
      <formula>"未完成"</formula>
    </cfRule>
    <cfRule type="cellIs" dxfId="0" priority="8224" operator="equal">
      <formula>"未完成"</formula>
    </cfRule>
  </conditionalFormatting>
  <conditionalFormatting sqref="AP36">
    <cfRule type="cellIs" dxfId="1" priority="8234" operator="equal">
      <formula>"未完成"</formula>
    </cfRule>
    <cfRule type="cellIs" dxfId="0" priority="8235" operator="equal">
      <formula>"未完成"</formula>
    </cfRule>
  </conditionalFormatting>
  <conditionalFormatting sqref="AQ36">
    <cfRule type="cellIs" dxfId="1" priority="8236" operator="equal">
      <formula>"未完成"</formula>
    </cfRule>
    <cfRule type="cellIs" dxfId="0" priority="8237" operator="equal">
      <formula>"未完成"</formula>
    </cfRule>
  </conditionalFormatting>
  <conditionalFormatting sqref="AS36">
    <cfRule type="cellIs" dxfId="1" priority="8225" operator="equal">
      <formula>"未完成"</formula>
    </cfRule>
    <cfRule type="cellIs" dxfId="0" priority="8226" operator="equal">
      <formula>"未完成"</formula>
    </cfRule>
  </conditionalFormatting>
  <conditionalFormatting sqref="AT36">
    <cfRule type="cellIs" dxfId="1" priority="8210" operator="equal">
      <formula>"未完成"</formula>
    </cfRule>
    <cfRule type="cellIs" dxfId="0" priority="8211" operator="equal">
      <formula>"未完成"</formula>
    </cfRule>
  </conditionalFormatting>
  <conditionalFormatting sqref="AU36:AV36">
    <cfRule type="cellIs" dxfId="1" priority="8218" operator="equal">
      <formula>"未完成"</formula>
    </cfRule>
    <cfRule type="cellIs" dxfId="0" priority="8219" operator="equal">
      <formula>"未完成"</formula>
    </cfRule>
  </conditionalFormatting>
  <conditionalFormatting sqref="R37">
    <cfRule type="cellIs" dxfId="0" priority="8069" operator="equal">
      <formula>"欠"</formula>
    </cfRule>
  </conditionalFormatting>
  <conditionalFormatting sqref="AE37">
    <cfRule type="cellIs" dxfId="0" priority="8118" operator="equal">
      <formula>"未完成"</formula>
    </cfRule>
  </conditionalFormatting>
  <conditionalFormatting sqref="AJ37">
    <cfRule type="cellIs" dxfId="1" priority="8125" operator="equal">
      <formula>"未完成"</formula>
    </cfRule>
    <cfRule type="cellIs" dxfId="0" priority="8132" operator="equal">
      <formula>"未完成"</formula>
    </cfRule>
  </conditionalFormatting>
  <conditionalFormatting sqref="AL37">
    <cfRule type="cellIs" dxfId="1" priority="8090" operator="equal">
      <formula>"未完成"</formula>
    </cfRule>
    <cfRule type="cellIs" dxfId="0" priority="8097" operator="equal">
      <formula>"未完成"</formula>
    </cfRule>
  </conditionalFormatting>
  <conditionalFormatting sqref="AM37">
    <cfRule type="cellIs" dxfId="1" priority="8139" operator="equal">
      <formula>"未完成"</formula>
    </cfRule>
    <cfRule type="cellIs" dxfId="0" priority="8146" operator="equal">
      <formula>"未完成"</formula>
    </cfRule>
  </conditionalFormatting>
  <conditionalFormatting sqref="AP37">
    <cfRule type="cellIs" dxfId="1" priority="8167" operator="equal">
      <formula>"未完成"</formula>
    </cfRule>
    <cfRule type="cellIs" dxfId="0" priority="8174" operator="equal">
      <formula>"未完成"</formula>
    </cfRule>
  </conditionalFormatting>
  <conditionalFormatting sqref="AQ37">
    <cfRule type="cellIs" dxfId="1" priority="8181" operator="equal">
      <formula>"未完成"</formula>
    </cfRule>
    <cfRule type="cellIs" dxfId="0" priority="8188" operator="equal">
      <formula>"未完成"</formula>
    </cfRule>
  </conditionalFormatting>
  <conditionalFormatting sqref="AS37">
    <cfRule type="cellIs" dxfId="1" priority="8153" operator="equal">
      <formula>"未完成"</formula>
    </cfRule>
    <cfRule type="cellIs" dxfId="0" priority="8160" operator="equal">
      <formula>"未完成"</formula>
    </cfRule>
  </conditionalFormatting>
  <conditionalFormatting sqref="AT37">
    <cfRule type="cellIs" dxfId="1" priority="8076" operator="equal">
      <formula>"未完成"</formula>
    </cfRule>
    <cfRule type="cellIs" dxfId="0" priority="8083" operator="equal">
      <formula>"未完成"</formula>
    </cfRule>
  </conditionalFormatting>
  <conditionalFormatting sqref="AU37:AV37">
    <cfRule type="cellIs" dxfId="1" priority="8104" operator="equal">
      <formula>"未完成"</formula>
    </cfRule>
    <cfRule type="cellIs" dxfId="0" priority="8111" operator="equal">
      <formula>"未完成"</formula>
    </cfRule>
  </conditionalFormatting>
  <conditionalFormatting sqref="R38">
    <cfRule type="cellIs" dxfId="0" priority="8068" operator="equal">
      <formula>"欠"</formula>
    </cfRule>
  </conditionalFormatting>
  <conditionalFormatting sqref="AE38">
    <cfRule type="cellIs" dxfId="0" priority="8117" operator="equal">
      <formula>"未完成"</formula>
    </cfRule>
  </conditionalFormatting>
  <conditionalFormatting sqref="AJ38">
    <cfRule type="cellIs" dxfId="1" priority="8124" operator="equal">
      <formula>"未完成"</formula>
    </cfRule>
    <cfRule type="cellIs" dxfId="0" priority="8131" operator="equal">
      <formula>"未完成"</formula>
    </cfRule>
  </conditionalFormatting>
  <conditionalFormatting sqref="AL38">
    <cfRule type="cellIs" dxfId="1" priority="8089" operator="equal">
      <formula>"未完成"</formula>
    </cfRule>
    <cfRule type="cellIs" dxfId="0" priority="8096" operator="equal">
      <formula>"未完成"</formula>
    </cfRule>
  </conditionalFormatting>
  <conditionalFormatting sqref="AM38">
    <cfRule type="cellIs" dxfId="1" priority="8138" operator="equal">
      <formula>"未完成"</formula>
    </cfRule>
    <cfRule type="cellIs" dxfId="0" priority="8145" operator="equal">
      <formula>"未完成"</formula>
    </cfRule>
  </conditionalFormatting>
  <conditionalFormatting sqref="AP38">
    <cfRule type="cellIs" dxfId="1" priority="8166" operator="equal">
      <formula>"未完成"</formula>
    </cfRule>
    <cfRule type="cellIs" dxfId="0" priority="8173" operator="equal">
      <formula>"未完成"</formula>
    </cfRule>
  </conditionalFormatting>
  <conditionalFormatting sqref="AQ38">
    <cfRule type="cellIs" dxfId="1" priority="8180" operator="equal">
      <formula>"未完成"</formula>
    </cfRule>
    <cfRule type="cellIs" dxfId="0" priority="8187" operator="equal">
      <formula>"未完成"</formula>
    </cfRule>
  </conditionalFormatting>
  <conditionalFormatting sqref="AS38">
    <cfRule type="cellIs" dxfId="1" priority="8152" operator="equal">
      <formula>"未完成"</formula>
    </cfRule>
    <cfRule type="cellIs" dxfId="0" priority="8159" operator="equal">
      <formula>"未完成"</formula>
    </cfRule>
  </conditionalFormatting>
  <conditionalFormatting sqref="AT38">
    <cfRule type="cellIs" dxfId="1" priority="8075" operator="equal">
      <formula>"未完成"</formula>
    </cfRule>
    <cfRule type="cellIs" dxfId="0" priority="8082" operator="equal">
      <formula>"未完成"</formula>
    </cfRule>
  </conditionalFormatting>
  <conditionalFormatting sqref="AU38:AV38">
    <cfRule type="cellIs" dxfId="1" priority="8103" operator="equal">
      <formula>"未完成"</formula>
    </cfRule>
    <cfRule type="cellIs" dxfId="0" priority="8110" operator="equal">
      <formula>"未完成"</formula>
    </cfRule>
  </conditionalFormatting>
  <conditionalFormatting sqref="R39">
    <cfRule type="cellIs" dxfId="0" priority="8067" operator="equal">
      <formula>"欠"</formula>
    </cfRule>
  </conditionalFormatting>
  <conditionalFormatting sqref="AE39">
    <cfRule type="cellIs" dxfId="0" priority="8116" operator="equal">
      <formula>"未完成"</formula>
    </cfRule>
  </conditionalFormatting>
  <conditionalFormatting sqref="AJ39">
    <cfRule type="cellIs" dxfId="1" priority="8123" operator="equal">
      <formula>"未完成"</formula>
    </cfRule>
    <cfRule type="cellIs" dxfId="0" priority="8130" operator="equal">
      <formula>"未完成"</formula>
    </cfRule>
  </conditionalFormatting>
  <conditionalFormatting sqref="AL39">
    <cfRule type="cellIs" dxfId="1" priority="8088" operator="equal">
      <formula>"未完成"</formula>
    </cfRule>
    <cfRule type="cellIs" dxfId="0" priority="8095" operator="equal">
      <formula>"未完成"</formula>
    </cfRule>
  </conditionalFormatting>
  <conditionalFormatting sqref="AM39">
    <cfRule type="cellIs" dxfId="1" priority="8137" operator="equal">
      <formula>"未完成"</formula>
    </cfRule>
    <cfRule type="cellIs" dxfId="0" priority="8144" operator="equal">
      <formula>"未完成"</formula>
    </cfRule>
  </conditionalFormatting>
  <conditionalFormatting sqref="AP39">
    <cfRule type="cellIs" dxfId="1" priority="8165" operator="equal">
      <formula>"未完成"</formula>
    </cfRule>
    <cfRule type="cellIs" dxfId="0" priority="8172" operator="equal">
      <formula>"未完成"</formula>
    </cfRule>
  </conditionalFormatting>
  <conditionalFormatting sqref="AQ39">
    <cfRule type="cellIs" dxfId="1" priority="8179" operator="equal">
      <formula>"未完成"</formula>
    </cfRule>
    <cfRule type="cellIs" dxfId="0" priority="8186" operator="equal">
      <formula>"未完成"</formula>
    </cfRule>
  </conditionalFormatting>
  <conditionalFormatting sqref="AS39">
    <cfRule type="cellIs" dxfId="1" priority="8151" operator="equal">
      <formula>"未完成"</formula>
    </cfRule>
    <cfRule type="cellIs" dxfId="0" priority="8158" operator="equal">
      <formula>"未完成"</formula>
    </cfRule>
  </conditionalFormatting>
  <conditionalFormatting sqref="AT39">
    <cfRule type="cellIs" dxfId="1" priority="8074" operator="equal">
      <formula>"未完成"</formula>
    </cfRule>
    <cfRule type="cellIs" dxfId="0" priority="8081" operator="equal">
      <formula>"未完成"</formula>
    </cfRule>
  </conditionalFormatting>
  <conditionalFormatting sqref="AU39:AV39">
    <cfRule type="cellIs" dxfId="1" priority="8102" operator="equal">
      <formula>"未完成"</formula>
    </cfRule>
    <cfRule type="cellIs" dxfId="0" priority="8109" operator="equal">
      <formula>"未完成"</formula>
    </cfRule>
  </conditionalFormatting>
  <conditionalFormatting sqref="R40">
    <cfRule type="cellIs" dxfId="0" priority="8066" operator="equal">
      <formula>"欠"</formula>
    </cfRule>
  </conditionalFormatting>
  <conditionalFormatting sqref="AE40">
    <cfRule type="cellIs" dxfId="0" priority="8115" operator="equal">
      <formula>"未完成"</formula>
    </cfRule>
  </conditionalFormatting>
  <conditionalFormatting sqref="AJ40">
    <cfRule type="cellIs" dxfId="1" priority="8122" operator="equal">
      <formula>"未完成"</formula>
    </cfRule>
    <cfRule type="cellIs" dxfId="0" priority="8129" operator="equal">
      <formula>"未完成"</formula>
    </cfRule>
  </conditionalFormatting>
  <conditionalFormatting sqref="AL40">
    <cfRule type="cellIs" dxfId="1" priority="8087" operator="equal">
      <formula>"未完成"</formula>
    </cfRule>
    <cfRule type="cellIs" dxfId="0" priority="8094" operator="equal">
      <formula>"未完成"</formula>
    </cfRule>
  </conditionalFormatting>
  <conditionalFormatting sqref="AM40">
    <cfRule type="cellIs" dxfId="1" priority="8136" operator="equal">
      <formula>"未完成"</formula>
    </cfRule>
    <cfRule type="cellIs" dxfId="0" priority="8143" operator="equal">
      <formula>"未完成"</formula>
    </cfRule>
  </conditionalFormatting>
  <conditionalFormatting sqref="AP40">
    <cfRule type="cellIs" dxfId="1" priority="8164" operator="equal">
      <formula>"未完成"</formula>
    </cfRule>
    <cfRule type="cellIs" dxfId="0" priority="8171" operator="equal">
      <formula>"未完成"</formula>
    </cfRule>
  </conditionalFormatting>
  <conditionalFormatting sqref="AQ40">
    <cfRule type="cellIs" dxfId="1" priority="8178" operator="equal">
      <formula>"未完成"</formula>
    </cfRule>
    <cfRule type="cellIs" dxfId="0" priority="8185" operator="equal">
      <formula>"未完成"</formula>
    </cfRule>
  </conditionalFormatting>
  <conditionalFormatting sqref="AS40">
    <cfRule type="cellIs" dxfId="1" priority="8150" operator="equal">
      <formula>"未完成"</formula>
    </cfRule>
    <cfRule type="cellIs" dxfId="0" priority="8157" operator="equal">
      <formula>"未完成"</formula>
    </cfRule>
  </conditionalFormatting>
  <conditionalFormatting sqref="AT40">
    <cfRule type="cellIs" dxfId="1" priority="8073" operator="equal">
      <formula>"未完成"</formula>
    </cfRule>
    <cfRule type="cellIs" dxfId="0" priority="8080" operator="equal">
      <formula>"未完成"</formula>
    </cfRule>
  </conditionalFormatting>
  <conditionalFormatting sqref="AU40:AV40">
    <cfRule type="cellIs" dxfId="1" priority="8101" operator="equal">
      <formula>"未完成"</formula>
    </cfRule>
    <cfRule type="cellIs" dxfId="0" priority="8108" operator="equal">
      <formula>"未完成"</formula>
    </cfRule>
  </conditionalFormatting>
  <conditionalFormatting sqref="R41">
    <cfRule type="cellIs" dxfId="0" priority="8065" operator="equal">
      <formula>"欠"</formula>
    </cfRule>
  </conditionalFormatting>
  <conditionalFormatting sqref="AE41">
    <cfRule type="cellIs" dxfId="0" priority="8114" operator="equal">
      <formula>"未完成"</formula>
    </cfRule>
  </conditionalFormatting>
  <conditionalFormatting sqref="AJ41">
    <cfRule type="cellIs" dxfId="1" priority="8121" operator="equal">
      <formula>"未完成"</formula>
    </cfRule>
    <cfRule type="cellIs" dxfId="0" priority="8128" operator="equal">
      <formula>"未完成"</formula>
    </cfRule>
  </conditionalFormatting>
  <conditionalFormatting sqref="AL41">
    <cfRule type="cellIs" dxfId="1" priority="8086" operator="equal">
      <formula>"未完成"</formula>
    </cfRule>
    <cfRule type="cellIs" dxfId="0" priority="8093" operator="equal">
      <formula>"未完成"</formula>
    </cfRule>
  </conditionalFormatting>
  <conditionalFormatting sqref="AM41">
    <cfRule type="cellIs" dxfId="1" priority="8135" operator="equal">
      <formula>"未完成"</formula>
    </cfRule>
    <cfRule type="cellIs" dxfId="0" priority="8142" operator="equal">
      <formula>"未完成"</formula>
    </cfRule>
  </conditionalFormatting>
  <conditionalFormatting sqref="AP41">
    <cfRule type="cellIs" dxfId="1" priority="8163" operator="equal">
      <formula>"未完成"</formula>
    </cfRule>
    <cfRule type="cellIs" dxfId="0" priority="8170" operator="equal">
      <formula>"未完成"</formula>
    </cfRule>
  </conditionalFormatting>
  <conditionalFormatting sqref="AQ41">
    <cfRule type="cellIs" dxfId="1" priority="8177" operator="equal">
      <formula>"未完成"</formula>
    </cfRule>
    <cfRule type="cellIs" dxfId="0" priority="8184" operator="equal">
      <formula>"未完成"</formula>
    </cfRule>
  </conditionalFormatting>
  <conditionalFormatting sqref="AS41">
    <cfRule type="cellIs" dxfId="1" priority="8149" operator="equal">
      <formula>"未完成"</formula>
    </cfRule>
    <cfRule type="cellIs" dxfId="0" priority="8156" operator="equal">
      <formula>"未完成"</formula>
    </cfRule>
  </conditionalFormatting>
  <conditionalFormatting sqref="AT41">
    <cfRule type="cellIs" dxfId="1" priority="8072" operator="equal">
      <formula>"未完成"</formula>
    </cfRule>
    <cfRule type="cellIs" dxfId="0" priority="8079" operator="equal">
      <formula>"未完成"</formula>
    </cfRule>
  </conditionalFormatting>
  <conditionalFormatting sqref="AU41:AV41">
    <cfRule type="cellIs" dxfId="1" priority="8100" operator="equal">
      <formula>"未完成"</formula>
    </cfRule>
    <cfRule type="cellIs" dxfId="0" priority="8107" operator="equal">
      <formula>"未完成"</formula>
    </cfRule>
  </conditionalFormatting>
  <conditionalFormatting sqref="R42">
    <cfRule type="cellIs" dxfId="0" priority="8064" operator="equal">
      <formula>"欠"</formula>
    </cfRule>
  </conditionalFormatting>
  <conditionalFormatting sqref="AE42">
    <cfRule type="cellIs" dxfId="0" priority="8113" operator="equal">
      <formula>"未完成"</formula>
    </cfRule>
  </conditionalFormatting>
  <conditionalFormatting sqref="AJ42">
    <cfRule type="cellIs" dxfId="1" priority="8120" operator="equal">
      <formula>"未完成"</formula>
    </cfRule>
    <cfRule type="cellIs" dxfId="0" priority="8127" operator="equal">
      <formula>"未完成"</formula>
    </cfRule>
  </conditionalFormatting>
  <conditionalFormatting sqref="AL42">
    <cfRule type="cellIs" dxfId="1" priority="8085" operator="equal">
      <formula>"未完成"</formula>
    </cfRule>
    <cfRule type="cellIs" dxfId="0" priority="8092" operator="equal">
      <formula>"未完成"</formula>
    </cfRule>
  </conditionalFormatting>
  <conditionalFormatting sqref="AP42">
    <cfRule type="cellIs" dxfId="1" priority="8162" operator="equal">
      <formula>"未完成"</formula>
    </cfRule>
    <cfRule type="cellIs" dxfId="0" priority="8169" operator="equal">
      <formula>"未完成"</formula>
    </cfRule>
  </conditionalFormatting>
  <conditionalFormatting sqref="AQ42">
    <cfRule type="cellIs" dxfId="1" priority="8176" operator="equal">
      <formula>"未完成"</formula>
    </cfRule>
    <cfRule type="cellIs" dxfId="0" priority="8183" operator="equal">
      <formula>"未完成"</formula>
    </cfRule>
  </conditionalFormatting>
  <conditionalFormatting sqref="AT42">
    <cfRule type="cellIs" dxfId="1" priority="8071" operator="equal">
      <formula>"未完成"</formula>
    </cfRule>
    <cfRule type="cellIs" dxfId="0" priority="8078" operator="equal">
      <formula>"未完成"</formula>
    </cfRule>
  </conditionalFormatting>
  <conditionalFormatting sqref="AU42:AV42">
    <cfRule type="cellIs" dxfId="1" priority="8099" operator="equal">
      <formula>"未完成"</formula>
    </cfRule>
    <cfRule type="cellIs" dxfId="0" priority="8106" operator="equal">
      <formula>"未完成"</formula>
    </cfRule>
  </conditionalFormatting>
  <conditionalFormatting sqref="R43">
    <cfRule type="cellIs" dxfId="0" priority="7443" operator="equal">
      <formula>"欠"</formula>
    </cfRule>
  </conditionalFormatting>
  <conditionalFormatting sqref="AE43">
    <cfRule type="cellIs" dxfId="0" priority="7450" operator="equal">
      <formula>"未完成"</formula>
    </cfRule>
  </conditionalFormatting>
  <conditionalFormatting sqref="AI43:AJ43">
    <cfRule type="cellIs" dxfId="1" priority="7451" operator="equal">
      <formula>"未完成"</formula>
    </cfRule>
    <cfRule type="cellIs" dxfId="0" priority="7452" operator="equal">
      <formula>"未完成"</formula>
    </cfRule>
  </conditionalFormatting>
  <conditionalFormatting sqref="AL43">
    <cfRule type="cellIs" dxfId="1" priority="7446" operator="equal">
      <formula>"未完成"</formula>
    </cfRule>
    <cfRule type="cellIs" dxfId="0" priority="7447" operator="equal">
      <formula>"未完成"</formula>
    </cfRule>
  </conditionalFormatting>
  <conditionalFormatting sqref="AM43">
    <cfRule type="cellIs" dxfId="1" priority="7453" operator="equal">
      <formula>"未完成"</formula>
    </cfRule>
    <cfRule type="cellIs" dxfId="0" priority="7454" operator="equal">
      <formula>"未完成"</formula>
    </cfRule>
  </conditionalFormatting>
  <conditionalFormatting sqref="AP43">
    <cfRule type="cellIs" dxfId="1" priority="7457" operator="equal">
      <formula>"未完成"</formula>
    </cfRule>
    <cfRule type="cellIs" dxfId="0" priority="7458" operator="equal">
      <formula>"未完成"</formula>
    </cfRule>
  </conditionalFormatting>
  <conditionalFormatting sqref="AQ43">
    <cfRule type="cellIs" dxfId="1" priority="7459" operator="equal">
      <formula>"未完成"</formula>
    </cfRule>
    <cfRule type="cellIs" dxfId="0" priority="7460" operator="equal">
      <formula>"未完成"</formula>
    </cfRule>
  </conditionalFormatting>
  <conditionalFormatting sqref="AS43">
    <cfRule type="cellIs" dxfId="1" priority="7455" operator="equal">
      <formula>"未完成"</formula>
    </cfRule>
    <cfRule type="cellIs" dxfId="0" priority="7456" operator="equal">
      <formula>"未完成"</formula>
    </cfRule>
  </conditionalFormatting>
  <conditionalFormatting sqref="AT43">
    <cfRule type="cellIs" dxfId="1" priority="7444" operator="equal">
      <formula>"未完成"</formula>
    </cfRule>
    <cfRule type="cellIs" dxfId="0" priority="7445" operator="equal">
      <formula>"未完成"</formula>
    </cfRule>
  </conditionalFormatting>
  <conditionalFormatting sqref="AU43:AV43">
    <cfRule type="cellIs" dxfId="1" priority="7448" operator="equal">
      <formula>"未完成"</formula>
    </cfRule>
    <cfRule type="cellIs" dxfId="0" priority="7449" operator="equal">
      <formula>"未完成"</formula>
    </cfRule>
  </conditionalFormatting>
  <conditionalFormatting sqref="R44">
    <cfRule type="cellIs" dxfId="0" priority="7463" operator="equal">
      <formula>"欠"</formula>
    </cfRule>
  </conditionalFormatting>
  <conditionalFormatting sqref="AE44">
    <cfRule type="cellIs" dxfId="0" priority="7478" operator="equal">
      <formula>"未完成"</formula>
    </cfRule>
  </conditionalFormatting>
  <conditionalFormatting sqref="AJ44">
    <cfRule type="cellIs" dxfId="1" priority="7479" operator="equal">
      <formula>"未完成"</formula>
    </cfRule>
    <cfRule type="cellIs" dxfId="0" priority="7480" operator="equal">
      <formula>"未完成"</formula>
    </cfRule>
  </conditionalFormatting>
  <conditionalFormatting sqref="AL44">
    <cfRule type="cellIs" dxfId="1" priority="7470" operator="equal">
      <formula>"未完成"</formula>
    </cfRule>
    <cfRule type="cellIs" dxfId="0" priority="7471" operator="equal">
      <formula>"未完成"</formula>
    </cfRule>
  </conditionalFormatting>
  <conditionalFormatting sqref="AM44">
    <cfRule type="cellIs" dxfId="1" priority="7464" operator="equal">
      <formula>"未完成"</formula>
    </cfRule>
    <cfRule type="cellIs" dxfId="0" priority="7465" operator="equal">
      <formula>"未完成"</formula>
    </cfRule>
  </conditionalFormatting>
  <conditionalFormatting sqref="AP44">
    <cfRule type="cellIs" dxfId="1" priority="7472" operator="equal">
      <formula>"未完成"</formula>
    </cfRule>
    <cfRule type="cellIs" dxfId="0" priority="7473" operator="equal">
      <formula>"未完成"</formula>
    </cfRule>
  </conditionalFormatting>
  <conditionalFormatting sqref="AQ44">
    <cfRule type="cellIs" dxfId="1" priority="7474" operator="equal">
      <formula>"未完成"</formula>
    </cfRule>
    <cfRule type="cellIs" dxfId="0" priority="7475" operator="equal">
      <formula>"未完成"</formula>
    </cfRule>
  </conditionalFormatting>
  <conditionalFormatting sqref="AT44">
    <cfRule type="cellIs" dxfId="1" priority="7468" operator="equal">
      <formula>"未完成"</formula>
    </cfRule>
    <cfRule type="cellIs" dxfId="0" priority="7469" operator="equal">
      <formula>"未完成"</formula>
    </cfRule>
  </conditionalFormatting>
  <conditionalFormatting sqref="AU44:AV44">
    <cfRule type="cellIs" dxfId="1" priority="7476" operator="equal">
      <formula>"未完成"</formula>
    </cfRule>
    <cfRule type="cellIs" dxfId="0" priority="7477" operator="equal">
      <formula>"未完成"</formula>
    </cfRule>
  </conditionalFormatting>
  <conditionalFormatting sqref="AP45">
    <cfRule type="cellIs" dxfId="1" priority="11171" operator="equal">
      <formula>"未完成"</formula>
    </cfRule>
    <cfRule type="cellIs" dxfId="0" priority="11172" operator="equal">
      <formula>"未完成"</formula>
    </cfRule>
  </conditionalFormatting>
  <conditionalFormatting sqref="AE46">
    <cfRule type="cellIs" dxfId="0" priority="8741" operator="equal">
      <formula>"未完成"</formula>
    </cfRule>
  </conditionalFormatting>
  <conditionalFormatting sqref="AJ46">
    <cfRule type="cellIs" dxfId="1" priority="8742" operator="equal">
      <formula>"未完成"</formula>
    </cfRule>
    <cfRule type="cellIs" dxfId="0" priority="8743" operator="equal">
      <formula>"未完成"</formula>
    </cfRule>
  </conditionalFormatting>
  <conditionalFormatting sqref="AL46">
    <cfRule type="cellIs" dxfId="1" priority="8728" operator="equal">
      <formula>"未完成"</formula>
    </cfRule>
    <cfRule type="cellIs" dxfId="0" priority="8729" operator="equal">
      <formula>"未完成"</formula>
    </cfRule>
  </conditionalFormatting>
  <conditionalFormatting sqref="AP46">
    <cfRule type="cellIs" dxfId="1" priority="8730" operator="equal">
      <formula>"未完成"</formula>
    </cfRule>
    <cfRule type="cellIs" dxfId="0" priority="8731" operator="equal">
      <formula>"未完成"</formula>
    </cfRule>
  </conditionalFormatting>
  <conditionalFormatting sqref="AQ46">
    <cfRule type="cellIs" dxfId="1" priority="8733" operator="equal">
      <formula>"未完成"</formula>
    </cfRule>
    <cfRule type="cellIs" dxfId="0" priority="8734" operator="equal">
      <formula>"未完成"</formula>
    </cfRule>
  </conditionalFormatting>
  <conditionalFormatting sqref="AT46">
    <cfRule type="cellIs" dxfId="1" priority="8726" operator="equal">
      <formula>"未完成"</formula>
    </cfRule>
    <cfRule type="cellIs" dxfId="0" priority="8727" operator="equal">
      <formula>"未完成"</formula>
    </cfRule>
  </conditionalFormatting>
  <conditionalFormatting sqref="AU46:AV46">
    <cfRule type="cellIs" dxfId="1" priority="8739" operator="equal">
      <formula>"未完成"</formula>
    </cfRule>
    <cfRule type="cellIs" dxfId="0" priority="8740" operator="equal">
      <formula>"未完成"</formula>
    </cfRule>
  </conditionalFormatting>
  <conditionalFormatting sqref="R47">
    <cfRule type="cellIs" dxfId="0" priority="6623" operator="equal">
      <formula>"欠"</formula>
    </cfRule>
  </conditionalFormatting>
  <conditionalFormatting sqref="T47:U47">
    <cfRule type="cellIs" dxfId="0" priority="6613" operator="equal">
      <formula>"欠"</formula>
    </cfRule>
  </conditionalFormatting>
  <conditionalFormatting sqref="AE47">
    <cfRule type="cellIs" dxfId="0" priority="6733" operator="equal">
      <formula>"未完成"</formula>
    </cfRule>
  </conditionalFormatting>
  <conditionalFormatting sqref="AJ47">
    <cfRule type="cellIs" dxfId="1" priority="6743" operator="equal">
      <formula>"未完成"</formula>
    </cfRule>
    <cfRule type="cellIs" dxfId="0" priority="6753" operator="equal">
      <formula>"未完成"</formula>
    </cfRule>
  </conditionalFormatting>
  <conditionalFormatting sqref="AK47">
    <cfRule type="cellIs" dxfId="1" priority="6803" operator="equal">
      <formula>"未完成"</formula>
    </cfRule>
    <cfRule type="cellIs" dxfId="0" priority="6813" operator="equal">
      <formula>"未完成"</formula>
    </cfRule>
  </conditionalFormatting>
  <conditionalFormatting sqref="AL47">
    <cfRule type="cellIs" dxfId="1" priority="6653" operator="equal">
      <formula>"未完成"</formula>
    </cfRule>
    <cfRule type="cellIs" dxfId="0" priority="6663" operator="equal">
      <formula>"未完成"</formula>
    </cfRule>
  </conditionalFormatting>
  <conditionalFormatting sqref="AM47">
    <cfRule type="cellIs" dxfId="1" priority="6763" operator="equal">
      <formula>"未完成"</formula>
    </cfRule>
    <cfRule type="cellIs" dxfId="0" priority="6773" operator="equal">
      <formula>"未完成"</formula>
    </cfRule>
  </conditionalFormatting>
  <conditionalFormatting sqref="AP47">
    <cfRule type="cellIs" dxfId="1" priority="6673" operator="equal">
      <formula>"未完成"</formula>
    </cfRule>
    <cfRule type="cellIs" dxfId="0" priority="6683" operator="equal">
      <formula>"未完成"</formula>
    </cfRule>
  </conditionalFormatting>
  <conditionalFormatting sqref="AQ47">
    <cfRule type="cellIs" dxfId="1" priority="6693" operator="equal">
      <formula>"未完成"</formula>
    </cfRule>
    <cfRule type="cellIs" dxfId="0" priority="6703" operator="equal">
      <formula>"未完成"</formula>
    </cfRule>
  </conditionalFormatting>
  <conditionalFormatting sqref="AS47">
    <cfRule type="cellIs" dxfId="1" priority="6783" operator="equal">
      <formula>"未完成"</formula>
    </cfRule>
    <cfRule type="cellIs" dxfId="0" priority="6793" operator="equal">
      <formula>"未完成"</formula>
    </cfRule>
  </conditionalFormatting>
  <conditionalFormatting sqref="AT47">
    <cfRule type="cellIs" dxfId="1" priority="6633" operator="equal">
      <formula>"未完成"</formula>
    </cfRule>
    <cfRule type="cellIs" dxfId="0" priority="6643" operator="equal">
      <formula>"未完成"</formula>
    </cfRule>
  </conditionalFormatting>
  <conditionalFormatting sqref="AU47:AV47">
    <cfRule type="cellIs" dxfId="1" priority="6713" operator="equal">
      <formula>"未完成"</formula>
    </cfRule>
    <cfRule type="cellIs" dxfId="0" priority="6723" operator="equal">
      <formula>"未完成"</formula>
    </cfRule>
  </conditionalFormatting>
  <conditionalFormatting sqref="R48">
    <cfRule type="cellIs" dxfId="0" priority="6622" operator="equal">
      <formula>"欠"</formula>
    </cfRule>
  </conditionalFormatting>
  <conditionalFormatting sqref="T48:U48">
    <cfRule type="cellIs" dxfId="0" priority="6612" operator="equal">
      <formula>"欠"</formula>
    </cfRule>
  </conditionalFormatting>
  <conditionalFormatting sqref="AE48">
    <cfRule type="cellIs" dxfId="0" priority="6732" operator="equal">
      <formula>"未完成"</formula>
    </cfRule>
  </conditionalFormatting>
  <conditionalFormatting sqref="AJ48">
    <cfRule type="cellIs" dxfId="1" priority="6742" operator="equal">
      <formula>"未完成"</formula>
    </cfRule>
    <cfRule type="cellIs" dxfId="0" priority="6752" operator="equal">
      <formula>"未完成"</formula>
    </cfRule>
  </conditionalFormatting>
  <conditionalFormatting sqref="AK48">
    <cfRule type="cellIs" dxfId="1" priority="6802" operator="equal">
      <formula>"未完成"</formula>
    </cfRule>
    <cfRule type="cellIs" dxfId="0" priority="6812" operator="equal">
      <formula>"未完成"</formula>
    </cfRule>
  </conditionalFormatting>
  <conditionalFormatting sqref="AL48">
    <cfRule type="cellIs" dxfId="1" priority="6652" operator="equal">
      <formula>"未完成"</formula>
    </cfRule>
    <cfRule type="cellIs" dxfId="0" priority="6662" operator="equal">
      <formula>"未完成"</formula>
    </cfRule>
  </conditionalFormatting>
  <conditionalFormatting sqref="AM48">
    <cfRule type="cellIs" dxfId="1" priority="6762" operator="equal">
      <formula>"未完成"</formula>
    </cfRule>
    <cfRule type="cellIs" dxfId="0" priority="6772" operator="equal">
      <formula>"未完成"</formula>
    </cfRule>
  </conditionalFormatting>
  <conditionalFormatting sqref="AP48">
    <cfRule type="cellIs" dxfId="1" priority="6672" operator="equal">
      <formula>"未完成"</formula>
    </cfRule>
    <cfRule type="cellIs" dxfId="0" priority="6682" operator="equal">
      <formula>"未完成"</formula>
    </cfRule>
  </conditionalFormatting>
  <conditionalFormatting sqref="AQ48">
    <cfRule type="cellIs" dxfId="1" priority="6692" operator="equal">
      <formula>"未完成"</formula>
    </cfRule>
    <cfRule type="cellIs" dxfId="0" priority="6702" operator="equal">
      <formula>"未完成"</formula>
    </cfRule>
  </conditionalFormatting>
  <conditionalFormatting sqref="AS48">
    <cfRule type="cellIs" dxfId="1" priority="6782" operator="equal">
      <formula>"未完成"</formula>
    </cfRule>
    <cfRule type="cellIs" dxfId="0" priority="6792" operator="equal">
      <formula>"未完成"</formula>
    </cfRule>
  </conditionalFormatting>
  <conditionalFormatting sqref="AT48">
    <cfRule type="cellIs" dxfId="1" priority="6632" operator="equal">
      <formula>"未完成"</formula>
    </cfRule>
    <cfRule type="cellIs" dxfId="0" priority="6642" operator="equal">
      <formula>"未完成"</formula>
    </cfRule>
  </conditionalFormatting>
  <conditionalFormatting sqref="AU48:AV48">
    <cfRule type="cellIs" dxfId="1" priority="6712" operator="equal">
      <formula>"未完成"</formula>
    </cfRule>
    <cfRule type="cellIs" dxfId="0" priority="6722" operator="equal">
      <formula>"未完成"</formula>
    </cfRule>
  </conditionalFormatting>
  <conditionalFormatting sqref="R49">
    <cfRule type="cellIs" dxfId="0" priority="6621" operator="equal">
      <formula>"欠"</formula>
    </cfRule>
  </conditionalFormatting>
  <conditionalFormatting sqref="T49:U49">
    <cfRule type="cellIs" dxfId="0" priority="6611" operator="equal">
      <formula>"欠"</formula>
    </cfRule>
  </conditionalFormatting>
  <conditionalFormatting sqref="AE49">
    <cfRule type="cellIs" dxfId="0" priority="6731" operator="equal">
      <formula>"未完成"</formula>
    </cfRule>
  </conditionalFormatting>
  <conditionalFormatting sqref="AJ49">
    <cfRule type="cellIs" dxfId="1" priority="6741" operator="equal">
      <formula>"未完成"</formula>
    </cfRule>
    <cfRule type="cellIs" dxfId="0" priority="6751" operator="equal">
      <formula>"未完成"</formula>
    </cfRule>
  </conditionalFormatting>
  <conditionalFormatting sqref="AK49">
    <cfRule type="cellIs" dxfId="1" priority="6801" operator="equal">
      <formula>"未完成"</formula>
    </cfRule>
    <cfRule type="cellIs" dxfId="0" priority="6811" operator="equal">
      <formula>"未完成"</formula>
    </cfRule>
  </conditionalFormatting>
  <conditionalFormatting sqref="AL49">
    <cfRule type="cellIs" dxfId="1" priority="6651" operator="equal">
      <formula>"未完成"</formula>
    </cfRule>
    <cfRule type="cellIs" dxfId="0" priority="6661" operator="equal">
      <formula>"未完成"</formula>
    </cfRule>
  </conditionalFormatting>
  <conditionalFormatting sqref="AM49">
    <cfRule type="cellIs" dxfId="1" priority="6761" operator="equal">
      <formula>"未完成"</formula>
    </cfRule>
    <cfRule type="cellIs" dxfId="0" priority="6771" operator="equal">
      <formula>"未完成"</formula>
    </cfRule>
  </conditionalFormatting>
  <conditionalFormatting sqref="AP49">
    <cfRule type="cellIs" dxfId="1" priority="6671" operator="equal">
      <formula>"未完成"</formula>
    </cfRule>
    <cfRule type="cellIs" dxfId="0" priority="6681" operator="equal">
      <formula>"未完成"</formula>
    </cfRule>
  </conditionalFormatting>
  <conditionalFormatting sqref="AQ49">
    <cfRule type="cellIs" dxfId="1" priority="6691" operator="equal">
      <formula>"未完成"</formula>
    </cfRule>
    <cfRule type="cellIs" dxfId="0" priority="6701" operator="equal">
      <formula>"未完成"</formula>
    </cfRule>
  </conditionalFormatting>
  <conditionalFormatting sqref="AS49">
    <cfRule type="cellIs" dxfId="1" priority="6781" operator="equal">
      <formula>"未完成"</formula>
    </cfRule>
    <cfRule type="cellIs" dxfId="0" priority="6791" operator="equal">
      <formula>"未完成"</formula>
    </cfRule>
  </conditionalFormatting>
  <conditionalFormatting sqref="AT49">
    <cfRule type="cellIs" dxfId="1" priority="6631" operator="equal">
      <formula>"未完成"</formula>
    </cfRule>
    <cfRule type="cellIs" dxfId="0" priority="6641" operator="equal">
      <formula>"未完成"</formula>
    </cfRule>
  </conditionalFormatting>
  <conditionalFormatting sqref="AU49:AV49">
    <cfRule type="cellIs" dxfId="1" priority="6711" operator="equal">
      <formula>"未完成"</formula>
    </cfRule>
    <cfRule type="cellIs" dxfId="0" priority="6721" operator="equal">
      <formula>"未完成"</formula>
    </cfRule>
  </conditionalFormatting>
  <conditionalFormatting sqref="R50">
    <cfRule type="cellIs" dxfId="0" priority="6620" operator="equal">
      <formula>"欠"</formula>
    </cfRule>
  </conditionalFormatting>
  <conditionalFormatting sqref="T50:U50">
    <cfRule type="cellIs" dxfId="0" priority="6610" operator="equal">
      <formula>"欠"</formula>
    </cfRule>
  </conditionalFormatting>
  <conditionalFormatting sqref="AE50">
    <cfRule type="cellIs" dxfId="0" priority="6730" operator="equal">
      <formula>"未完成"</formula>
    </cfRule>
  </conditionalFormatting>
  <conditionalFormatting sqref="AJ50">
    <cfRule type="cellIs" dxfId="1" priority="6740" operator="equal">
      <formula>"未完成"</formula>
    </cfRule>
    <cfRule type="cellIs" dxfId="0" priority="6750" operator="equal">
      <formula>"未完成"</formula>
    </cfRule>
  </conditionalFormatting>
  <conditionalFormatting sqref="AK50">
    <cfRule type="cellIs" dxfId="1" priority="6800" operator="equal">
      <formula>"未完成"</formula>
    </cfRule>
    <cfRule type="cellIs" dxfId="0" priority="6810" operator="equal">
      <formula>"未完成"</formula>
    </cfRule>
  </conditionalFormatting>
  <conditionalFormatting sqref="AL50">
    <cfRule type="cellIs" dxfId="1" priority="6650" operator="equal">
      <formula>"未完成"</formula>
    </cfRule>
    <cfRule type="cellIs" dxfId="0" priority="6660" operator="equal">
      <formula>"未完成"</formula>
    </cfRule>
  </conditionalFormatting>
  <conditionalFormatting sqref="AM50">
    <cfRule type="cellIs" dxfId="1" priority="6760" operator="equal">
      <formula>"未完成"</formula>
    </cfRule>
    <cfRule type="cellIs" dxfId="0" priority="6770" operator="equal">
      <formula>"未完成"</formula>
    </cfRule>
  </conditionalFormatting>
  <conditionalFormatting sqref="AP50">
    <cfRule type="cellIs" dxfId="1" priority="6670" operator="equal">
      <formula>"未完成"</formula>
    </cfRule>
    <cfRule type="cellIs" dxfId="0" priority="6680" operator="equal">
      <formula>"未完成"</formula>
    </cfRule>
  </conditionalFormatting>
  <conditionalFormatting sqref="AQ50">
    <cfRule type="cellIs" dxfId="1" priority="6690" operator="equal">
      <formula>"未完成"</formula>
    </cfRule>
    <cfRule type="cellIs" dxfId="0" priority="6700" operator="equal">
      <formula>"未完成"</formula>
    </cfRule>
  </conditionalFormatting>
  <conditionalFormatting sqref="AS50">
    <cfRule type="cellIs" dxfId="1" priority="6780" operator="equal">
      <formula>"未完成"</formula>
    </cfRule>
    <cfRule type="cellIs" dxfId="0" priority="6790" operator="equal">
      <formula>"未完成"</formula>
    </cfRule>
  </conditionalFormatting>
  <conditionalFormatting sqref="AT50">
    <cfRule type="cellIs" dxfId="1" priority="6630" operator="equal">
      <formula>"未完成"</formula>
    </cfRule>
    <cfRule type="cellIs" dxfId="0" priority="6640" operator="equal">
      <formula>"未完成"</formula>
    </cfRule>
  </conditionalFormatting>
  <conditionalFormatting sqref="AU50:AV50">
    <cfRule type="cellIs" dxfId="1" priority="6710" operator="equal">
      <formula>"未完成"</formula>
    </cfRule>
    <cfRule type="cellIs" dxfId="0" priority="6720" operator="equal">
      <formula>"未完成"</formula>
    </cfRule>
  </conditionalFormatting>
  <conditionalFormatting sqref="R51">
    <cfRule type="cellIs" dxfId="0" priority="6619" operator="equal">
      <formula>"欠"</formula>
    </cfRule>
  </conditionalFormatting>
  <conditionalFormatting sqref="T51:U51">
    <cfRule type="cellIs" dxfId="0" priority="6609" operator="equal">
      <formula>"欠"</formula>
    </cfRule>
  </conditionalFormatting>
  <conditionalFormatting sqref="AE51">
    <cfRule type="cellIs" dxfId="0" priority="6729" operator="equal">
      <formula>"未完成"</formula>
    </cfRule>
  </conditionalFormatting>
  <conditionalFormatting sqref="AJ51">
    <cfRule type="cellIs" dxfId="1" priority="6739" operator="equal">
      <formula>"未完成"</formula>
    </cfRule>
    <cfRule type="cellIs" dxfId="0" priority="6749" operator="equal">
      <formula>"未完成"</formula>
    </cfRule>
  </conditionalFormatting>
  <conditionalFormatting sqref="AK51">
    <cfRule type="cellIs" dxfId="1" priority="6799" operator="equal">
      <formula>"未完成"</formula>
    </cfRule>
    <cfRule type="cellIs" dxfId="0" priority="6809" operator="equal">
      <formula>"未完成"</formula>
    </cfRule>
  </conditionalFormatting>
  <conditionalFormatting sqref="AL51">
    <cfRule type="cellIs" dxfId="1" priority="6649" operator="equal">
      <formula>"未完成"</formula>
    </cfRule>
    <cfRule type="cellIs" dxfId="0" priority="6659" operator="equal">
      <formula>"未完成"</formula>
    </cfRule>
  </conditionalFormatting>
  <conditionalFormatting sqref="AM51">
    <cfRule type="cellIs" dxfId="1" priority="6759" operator="equal">
      <formula>"未完成"</formula>
    </cfRule>
    <cfRule type="cellIs" dxfId="0" priority="6769" operator="equal">
      <formula>"未完成"</formula>
    </cfRule>
  </conditionalFormatting>
  <conditionalFormatting sqref="AP51">
    <cfRule type="cellIs" dxfId="1" priority="6669" operator="equal">
      <formula>"未完成"</formula>
    </cfRule>
    <cfRule type="cellIs" dxfId="0" priority="6679" operator="equal">
      <formula>"未完成"</formula>
    </cfRule>
  </conditionalFormatting>
  <conditionalFormatting sqref="AQ51">
    <cfRule type="cellIs" dxfId="1" priority="6689" operator="equal">
      <formula>"未完成"</formula>
    </cfRule>
    <cfRule type="cellIs" dxfId="0" priority="6699" operator="equal">
      <formula>"未完成"</formula>
    </cfRule>
  </conditionalFormatting>
  <conditionalFormatting sqref="AS51">
    <cfRule type="cellIs" dxfId="1" priority="6779" operator="equal">
      <formula>"未完成"</formula>
    </cfRule>
    <cfRule type="cellIs" dxfId="0" priority="6789" operator="equal">
      <formula>"未完成"</formula>
    </cfRule>
  </conditionalFormatting>
  <conditionalFormatting sqref="AT51">
    <cfRule type="cellIs" dxfId="1" priority="6629" operator="equal">
      <formula>"未完成"</formula>
    </cfRule>
    <cfRule type="cellIs" dxfId="0" priority="6639" operator="equal">
      <formula>"未完成"</formula>
    </cfRule>
  </conditionalFormatting>
  <conditionalFormatting sqref="AU51:AV51">
    <cfRule type="cellIs" dxfId="1" priority="6709" operator="equal">
      <formula>"未完成"</formula>
    </cfRule>
    <cfRule type="cellIs" dxfId="0" priority="6719" operator="equal">
      <formula>"未完成"</formula>
    </cfRule>
  </conditionalFormatting>
  <conditionalFormatting sqref="R52">
    <cfRule type="cellIs" dxfId="0" priority="6618" operator="equal">
      <formula>"欠"</formula>
    </cfRule>
  </conditionalFormatting>
  <conditionalFormatting sqref="T52:U52">
    <cfRule type="cellIs" dxfId="0" priority="6608" operator="equal">
      <formula>"欠"</formula>
    </cfRule>
  </conditionalFormatting>
  <conditionalFormatting sqref="AE52">
    <cfRule type="cellIs" dxfId="0" priority="6728" operator="equal">
      <formula>"未完成"</formula>
    </cfRule>
  </conditionalFormatting>
  <conditionalFormatting sqref="AJ52">
    <cfRule type="cellIs" dxfId="1" priority="6738" operator="equal">
      <formula>"未完成"</formula>
    </cfRule>
    <cfRule type="cellIs" dxfId="0" priority="6748" operator="equal">
      <formula>"未完成"</formula>
    </cfRule>
  </conditionalFormatting>
  <conditionalFormatting sqref="AK52">
    <cfRule type="cellIs" dxfId="1" priority="6798" operator="equal">
      <formula>"未完成"</formula>
    </cfRule>
    <cfRule type="cellIs" dxfId="0" priority="6808" operator="equal">
      <formula>"未完成"</formula>
    </cfRule>
  </conditionalFormatting>
  <conditionalFormatting sqref="AL52">
    <cfRule type="cellIs" dxfId="1" priority="6648" operator="equal">
      <formula>"未完成"</formula>
    </cfRule>
    <cfRule type="cellIs" dxfId="0" priority="6658" operator="equal">
      <formula>"未完成"</formula>
    </cfRule>
  </conditionalFormatting>
  <conditionalFormatting sqref="AM52">
    <cfRule type="cellIs" dxfId="1" priority="6758" operator="equal">
      <formula>"未完成"</formula>
    </cfRule>
    <cfRule type="cellIs" dxfId="0" priority="6768" operator="equal">
      <formula>"未完成"</formula>
    </cfRule>
  </conditionalFormatting>
  <conditionalFormatting sqref="AP52">
    <cfRule type="cellIs" dxfId="1" priority="6668" operator="equal">
      <formula>"未完成"</formula>
    </cfRule>
    <cfRule type="cellIs" dxfId="0" priority="6678" operator="equal">
      <formula>"未完成"</formula>
    </cfRule>
  </conditionalFormatting>
  <conditionalFormatting sqref="AQ52">
    <cfRule type="cellIs" dxfId="1" priority="6688" operator="equal">
      <formula>"未完成"</formula>
    </cfRule>
    <cfRule type="cellIs" dxfId="0" priority="6698" operator="equal">
      <formula>"未完成"</formula>
    </cfRule>
  </conditionalFormatting>
  <conditionalFormatting sqref="AS52">
    <cfRule type="cellIs" dxfId="1" priority="6778" operator="equal">
      <formula>"未完成"</formula>
    </cfRule>
    <cfRule type="cellIs" dxfId="0" priority="6788" operator="equal">
      <formula>"未完成"</formula>
    </cfRule>
  </conditionalFormatting>
  <conditionalFormatting sqref="AT52">
    <cfRule type="cellIs" dxfId="1" priority="6628" operator="equal">
      <formula>"未完成"</formula>
    </cfRule>
    <cfRule type="cellIs" dxfId="0" priority="6638" operator="equal">
      <formula>"未完成"</formula>
    </cfRule>
  </conditionalFormatting>
  <conditionalFormatting sqref="AU52:AV52">
    <cfRule type="cellIs" dxfId="1" priority="6708" operator="equal">
      <formula>"未完成"</formula>
    </cfRule>
    <cfRule type="cellIs" dxfId="0" priority="6718" operator="equal">
      <formula>"未完成"</formula>
    </cfRule>
  </conditionalFormatting>
  <conditionalFormatting sqref="R53">
    <cfRule type="cellIs" dxfId="0" priority="6617" operator="equal">
      <formula>"欠"</formula>
    </cfRule>
  </conditionalFormatting>
  <conditionalFormatting sqref="T53:U53">
    <cfRule type="cellIs" dxfId="0" priority="6607" operator="equal">
      <formula>"欠"</formula>
    </cfRule>
  </conditionalFormatting>
  <conditionalFormatting sqref="AE53">
    <cfRule type="cellIs" dxfId="0" priority="6727" operator="equal">
      <formula>"未完成"</formula>
    </cfRule>
  </conditionalFormatting>
  <conditionalFormatting sqref="AJ53">
    <cfRule type="cellIs" dxfId="1" priority="6737" operator="equal">
      <formula>"未完成"</formula>
    </cfRule>
    <cfRule type="cellIs" dxfId="0" priority="6747" operator="equal">
      <formula>"未完成"</formula>
    </cfRule>
  </conditionalFormatting>
  <conditionalFormatting sqref="AK53">
    <cfRule type="cellIs" dxfId="1" priority="6797" operator="equal">
      <formula>"未完成"</formula>
    </cfRule>
    <cfRule type="cellIs" dxfId="0" priority="6807" operator="equal">
      <formula>"未完成"</formula>
    </cfRule>
  </conditionalFormatting>
  <conditionalFormatting sqref="AL53">
    <cfRule type="cellIs" dxfId="1" priority="6647" operator="equal">
      <formula>"未完成"</formula>
    </cfRule>
    <cfRule type="cellIs" dxfId="0" priority="6657" operator="equal">
      <formula>"未完成"</formula>
    </cfRule>
  </conditionalFormatting>
  <conditionalFormatting sqref="AM53">
    <cfRule type="cellIs" dxfId="1" priority="6757" operator="equal">
      <formula>"未完成"</formula>
    </cfRule>
    <cfRule type="cellIs" dxfId="0" priority="6767" operator="equal">
      <formula>"未完成"</formula>
    </cfRule>
  </conditionalFormatting>
  <conditionalFormatting sqref="AP53">
    <cfRule type="cellIs" dxfId="1" priority="6667" operator="equal">
      <formula>"未完成"</formula>
    </cfRule>
    <cfRule type="cellIs" dxfId="0" priority="6677" operator="equal">
      <formula>"未完成"</formula>
    </cfRule>
  </conditionalFormatting>
  <conditionalFormatting sqref="AQ53">
    <cfRule type="cellIs" dxfId="1" priority="6687" operator="equal">
      <formula>"未完成"</formula>
    </cfRule>
    <cfRule type="cellIs" dxfId="0" priority="6697" operator="equal">
      <formula>"未完成"</formula>
    </cfRule>
  </conditionalFormatting>
  <conditionalFormatting sqref="AS53">
    <cfRule type="cellIs" dxfId="1" priority="6777" operator="equal">
      <formula>"未完成"</formula>
    </cfRule>
    <cfRule type="cellIs" dxfId="0" priority="6787" operator="equal">
      <formula>"未完成"</formula>
    </cfRule>
  </conditionalFormatting>
  <conditionalFormatting sqref="AT53">
    <cfRule type="cellIs" dxfId="1" priority="6627" operator="equal">
      <formula>"未完成"</formula>
    </cfRule>
    <cfRule type="cellIs" dxfId="0" priority="6637" operator="equal">
      <formula>"未完成"</formula>
    </cfRule>
  </conditionalFormatting>
  <conditionalFormatting sqref="AU53:AV53">
    <cfRule type="cellIs" dxfId="1" priority="6707" operator="equal">
      <formula>"未完成"</formula>
    </cfRule>
    <cfRule type="cellIs" dxfId="0" priority="6717" operator="equal">
      <formula>"未完成"</formula>
    </cfRule>
  </conditionalFormatting>
  <conditionalFormatting sqref="R54">
    <cfRule type="cellIs" dxfId="0" priority="6616" operator="equal">
      <formula>"欠"</formula>
    </cfRule>
  </conditionalFormatting>
  <conditionalFormatting sqref="T54:U54">
    <cfRule type="cellIs" dxfId="0" priority="6606" operator="equal">
      <formula>"欠"</formula>
    </cfRule>
  </conditionalFormatting>
  <conditionalFormatting sqref="AE54">
    <cfRule type="cellIs" dxfId="0" priority="6726" operator="equal">
      <formula>"未完成"</formula>
    </cfRule>
  </conditionalFormatting>
  <conditionalFormatting sqref="AJ54">
    <cfRule type="cellIs" dxfId="1" priority="6736" operator="equal">
      <formula>"未完成"</formula>
    </cfRule>
    <cfRule type="cellIs" dxfId="0" priority="6746" operator="equal">
      <formula>"未完成"</formula>
    </cfRule>
  </conditionalFormatting>
  <conditionalFormatting sqref="AK54">
    <cfRule type="cellIs" dxfId="1" priority="6796" operator="equal">
      <formula>"未完成"</formula>
    </cfRule>
    <cfRule type="cellIs" dxfId="0" priority="6806" operator="equal">
      <formula>"未完成"</formula>
    </cfRule>
  </conditionalFormatting>
  <conditionalFormatting sqref="AL54">
    <cfRule type="cellIs" dxfId="1" priority="6646" operator="equal">
      <formula>"未完成"</formula>
    </cfRule>
    <cfRule type="cellIs" dxfId="0" priority="6656" operator="equal">
      <formula>"未完成"</formula>
    </cfRule>
  </conditionalFormatting>
  <conditionalFormatting sqref="AM54">
    <cfRule type="cellIs" dxfId="1" priority="6756" operator="equal">
      <formula>"未完成"</formula>
    </cfRule>
    <cfRule type="cellIs" dxfId="0" priority="6766" operator="equal">
      <formula>"未完成"</formula>
    </cfRule>
  </conditionalFormatting>
  <conditionalFormatting sqref="AP54">
    <cfRule type="cellIs" dxfId="1" priority="6666" operator="equal">
      <formula>"未完成"</formula>
    </cfRule>
    <cfRule type="cellIs" dxfId="0" priority="6676" operator="equal">
      <formula>"未完成"</formula>
    </cfRule>
  </conditionalFormatting>
  <conditionalFormatting sqref="AQ54">
    <cfRule type="cellIs" dxfId="1" priority="6686" operator="equal">
      <formula>"未完成"</formula>
    </cfRule>
    <cfRule type="cellIs" dxfId="0" priority="6696" operator="equal">
      <formula>"未完成"</formula>
    </cfRule>
  </conditionalFormatting>
  <conditionalFormatting sqref="AS54">
    <cfRule type="cellIs" dxfId="1" priority="6776" operator="equal">
      <formula>"未完成"</formula>
    </cfRule>
    <cfRule type="cellIs" dxfId="0" priority="6786" operator="equal">
      <formula>"未完成"</formula>
    </cfRule>
  </conditionalFormatting>
  <conditionalFormatting sqref="AT54">
    <cfRule type="cellIs" dxfId="1" priority="6626" operator="equal">
      <formula>"未完成"</formula>
    </cfRule>
    <cfRule type="cellIs" dxfId="0" priority="6636" operator="equal">
      <formula>"未完成"</formula>
    </cfRule>
  </conditionalFormatting>
  <conditionalFormatting sqref="AU54:AV54">
    <cfRule type="cellIs" dxfId="1" priority="6706" operator="equal">
      <formula>"未完成"</formula>
    </cfRule>
    <cfRule type="cellIs" dxfId="0" priority="6716" operator="equal">
      <formula>"未完成"</formula>
    </cfRule>
  </conditionalFormatting>
  <conditionalFormatting sqref="R55">
    <cfRule type="cellIs" dxfId="0" priority="6615" operator="equal">
      <formula>"欠"</formula>
    </cfRule>
  </conditionalFormatting>
  <conditionalFormatting sqref="T55:U55">
    <cfRule type="cellIs" dxfId="0" priority="6605" operator="equal">
      <formula>"欠"</formula>
    </cfRule>
  </conditionalFormatting>
  <conditionalFormatting sqref="AE55">
    <cfRule type="cellIs" dxfId="0" priority="6725" operator="equal">
      <formula>"未完成"</formula>
    </cfRule>
  </conditionalFormatting>
  <conditionalFormatting sqref="AJ55">
    <cfRule type="cellIs" dxfId="1" priority="6735" operator="equal">
      <formula>"未完成"</formula>
    </cfRule>
    <cfRule type="cellIs" dxfId="0" priority="6745" operator="equal">
      <formula>"未完成"</formula>
    </cfRule>
  </conditionalFormatting>
  <conditionalFormatting sqref="AK55">
    <cfRule type="cellIs" dxfId="1" priority="6795" operator="equal">
      <formula>"未完成"</formula>
    </cfRule>
    <cfRule type="cellIs" dxfId="0" priority="6805" operator="equal">
      <formula>"未完成"</formula>
    </cfRule>
  </conditionalFormatting>
  <conditionalFormatting sqref="AL55">
    <cfRule type="cellIs" dxfId="1" priority="6645" operator="equal">
      <formula>"未完成"</formula>
    </cfRule>
    <cfRule type="cellIs" dxfId="0" priority="6655" operator="equal">
      <formula>"未完成"</formula>
    </cfRule>
  </conditionalFormatting>
  <conditionalFormatting sqref="AM55">
    <cfRule type="cellIs" dxfId="1" priority="6755" operator="equal">
      <formula>"未完成"</formula>
    </cfRule>
    <cfRule type="cellIs" dxfId="0" priority="6765" operator="equal">
      <formula>"未完成"</formula>
    </cfRule>
  </conditionalFormatting>
  <conditionalFormatting sqref="AP55">
    <cfRule type="cellIs" dxfId="1" priority="6665" operator="equal">
      <formula>"未完成"</formula>
    </cfRule>
    <cfRule type="cellIs" dxfId="0" priority="6675" operator="equal">
      <formula>"未完成"</formula>
    </cfRule>
  </conditionalFormatting>
  <conditionalFormatting sqref="AQ55">
    <cfRule type="cellIs" dxfId="1" priority="6685" operator="equal">
      <formula>"未完成"</formula>
    </cfRule>
    <cfRule type="cellIs" dxfId="0" priority="6695" operator="equal">
      <formula>"未完成"</formula>
    </cfRule>
  </conditionalFormatting>
  <conditionalFormatting sqref="AS55">
    <cfRule type="cellIs" dxfId="1" priority="6775" operator="equal">
      <formula>"未完成"</formula>
    </cfRule>
    <cfRule type="cellIs" dxfId="0" priority="6785" operator="equal">
      <formula>"未完成"</formula>
    </cfRule>
  </conditionalFormatting>
  <conditionalFormatting sqref="AT55">
    <cfRule type="cellIs" dxfId="1" priority="6625" operator="equal">
      <formula>"未完成"</formula>
    </cfRule>
    <cfRule type="cellIs" dxfId="0" priority="6635" operator="equal">
      <formula>"未完成"</formula>
    </cfRule>
  </conditionalFormatting>
  <conditionalFormatting sqref="AU55:AV55">
    <cfRule type="cellIs" dxfId="1" priority="6705" operator="equal">
      <formula>"未完成"</formula>
    </cfRule>
    <cfRule type="cellIs" dxfId="0" priority="6715" operator="equal">
      <formula>"未完成"</formula>
    </cfRule>
  </conditionalFormatting>
  <conditionalFormatting sqref="R56">
    <cfRule type="cellIs" dxfId="0" priority="6614" operator="equal">
      <formula>"欠"</formula>
    </cfRule>
  </conditionalFormatting>
  <conditionalFormatting sqref="T56:U56">
    <cfRule type="cellIs" dxfId="0" priority="6604" operator="equal">
      <formula>"欠"</formula>
    </cfRule>
  </conditionalFormatting>
  <conditionalFormatting sqref="AE56">
    <cfRule type="cellIs" dxfId="0" priority="6724" operator="equal">
      <formula>"未完成"</formula>
    </cfRule>
  </conditionalFormatting>
  <conditionalFormatting sqref="AJ56">
    <cfRule type="cellIs" dxfId="1" priority="6734" operator="equal">
      <formula>"未完成"</formula>
    </cfRule>
    <cfRule type="cellIs" dxfId="0" priority="6744" operator="equal">
      <formula>"未完成"</formula>
    </cfRule>
  </conditionalFormatting>
  <conditionalFormatting sqref="AK56">
    <cfRule type="cellIs" dxfId="1" priority="6794" operator="equal">
      <formula>"未完成"</formula>
    </cfRule>
    <cfRule type="cellIs" dxfId="0" priority="6804" operator="equal">
      <formula>"未完成"</formula>
    </cfRule>
  </conditionalFormatting>
  <conditionalFormatting sqref="AL56">
    <cfRule type="cellIs" dxfId="1" priority="6644" operator="equal">
      <formula>"未完成"</formula>
    </cfRule>
    <cfRule type="cellIs" dxfId="0" priority="6654" operator="equal">
      <formula>"未完成"</formula>
    </cfRule>
  </conditionalFormatting>
  <conditionalFormatting sqref="AM56">
    <cfRule type="cellIs" dxfId="1" priority="6754" operator="equal">
      <formula>"未完成"</formula>
    </cfRule>
    <cfRule type="cellIs" dxfId="0" priority="6764" operator="equal">
      <formula>"未完成"</formula>
    </cfRule>
  </conditionalFormatting>
  <conditionalFormatting sqref="AP56">
    <cfRule type="cellIs" dxfId="1" priority="6664" operator="equal">
      <formula>"未完成"</formula>
    </cfRule>
    <cfRule type="cellIs" dxfId="0" priority="6674" operator="equal">
      <formula>"未完成"</formula>
    </cfRule>
  </conditionalFormatting>
  <conditionalFormatting sqref="AQ56">
    <cfRule type="cellIs" dxfId="1" priority="6684" operator="equal">
      <formula>"未完成"</formula>
    </cfRule>
    <cfRule type="cellIs" dxfId="0" priority="6694" operator="equal">
      <formula>"未完成"</formula>
    </cfRule>
  </conditionalFormatting>
  <conditionalFormatting sqref="AS56">
    <cfRule type="cellIs" dxfId="1" priority="6774" operator="equal">
      <formula>"未完成"</formula>
    </cfRule>
    <cfRule type="cellIs" dxfId="0" priority="6784" operator="equal">
      <formula>"未完成"</formula>
    </cfRule>
  </conditionalFormatting>
  <conditionalFormatting sqref="AT56">
    <cfRule type="cellIs" dxfId="1" priority="6624" operator="equal">
      <formula>"未完成"</formula>
    </cfRule>
    <cfRule type="cellIs" dxfId="0" priority="6634" operator="equal">
      <formula>"未完成"</formula>
    </cfRule>
  </conditionalFormatting>
  <conditionalFormatting sqref="AU56:AV56">
    <cfRule type="cellIs" dxfId="1" priority="6704" operator="equal">
      <formula>"未完成"</formula>
    </cfRule>
    <cfRule type="cellIs" dxfId="0" priority="6714" operator="equal">
      <formula>"未完成"</formula>
    </cfRule>
  </conditionalFormatting>
  <conditionalFormatting sqref="R57">
    <cfRule type="cellIs" dxfId="0" priority="6574" operator="equal">
      <formula>"欠"</formula>
    </cfRule>
  </conditionalFormatting>
  <conditionalFormatting sqref="T57:U57">
    <cfRule type="cellIs" dxfId="0" priority="6573" operator="equal">
      <formula>"欠"</formula>
    </cfRule>
  </conditionalFormatting>
  <conditionalFormatting sqref="AE57">
    <cfRule type="cellIs" dxfId="0" priority="6585" operator="equal">
      <formula>"未完成"</formula>
    </cfRule>
  </conditionalFormatting>
  <conditionalFormatting sqref="AJ57">
    <cfRule type="cellIs" dxfId="1" priority="6586" operator="equal">
      <formula>"未完成"</formula>
    </cfRule>
    <cfRule type="cellIs" dxfId="0" priority="6587" operator="equal">
      <formula>"未完成"</formula>
    </cfRule>
  </conditionalFormatting>
  <conditionalFormatting sqref="AK57">
    <cfRule type="cellIs" dxfId="1" priority="6592" operator="equal">
      <formula>"未完成"</formula>
    </cfRule>
    <cfRule type="cellIs" dxfId="0" priority="6593" operator="equal">
      <formula>"未完成"</formula>
    </cfRule>
  </conditionalFormatting>
  <conditionalFormatting sqref="AL57">
    <cfRule type="cellIs" dxfId="1" priority="6577" operator="equal">
      <formula>"未完成"</formula>
    </cfRule>
    <cfRule type="cellIs" dxfId="0" priority="6578" operator="equal">
      <formula>"未完成"</formula>
    </cfRule>
  </conditionalFormatting>
  <conditionalFormatting sqref="AM57">
    <cfRule type="cellIs" dxfId="1" priority="6588" operator="equal">
      <formula>"未完成"</formula>
    </cfRule>
    <cfRule type="cellIs" dxfId="0" priority="6589" operator="equal">
      <formula>"未完成"</formula>
    </cfRule>
  </conditionalFormatting>
  <conditionalFormatting sqref="AP57">
    <cfRule type="cellIs" dxfId="1" priority="6579" operator="equal">
      <formula>"未完成"</formula>
    </cfRule>
    <cfRule type="cellIs" dxfId="0" priority="6580" operator="equal">
      <formula>"未完成"</formula>
    </cfRule>
  </conditionalFormatting>
  <conditionalFormatting sqref="AQ57">
    <cfRule type="cellIs" dxfId="1" priority="6581" operator="equal">
      <formula>"未完成"</formula>
    </cfRule>
    <cfRule type="cellIs" dxfId="0" priority="6582" operator="equal">
      <formula>"未完成"</formula>
    </cfRule>
  </conditionalFormatting>
  <conditionalFormatting sqref="AS57">
    <cfRule type="cellIs" dxfId="1" priority="6590" operator="equal">
      <formula>"未完成"</formula>
    </cfRule>
    <cfRule type="cellIs" dxfId="0" priority="6591" operator="equal">
      <formula>"未完成"</formula>
    </cfRule>
  </conditionalFormatting>
  <conditionalFormatting sqref="AT57">
    <cfRule type="cellIs" dxfId="1" priority="6575" operator="equal">
      <formula>"未完成"</formula>
    </cfRule>
    <cfRule type="cellIs" dxfId="0" priority="6576" operator="equal">
      <formula>"未完成"</formula>
    </cfRule>
  </conditionalFormatting>
  <conditionalFormatting sqref="AU57:AV57">
    <cfRule type="cellIs" dxfId="1" priority="6583" operator="equal">
      <formula>"未完成"</formula>
    </cfRule>
    <cfRule type="cellIs" dxfId="0" priority="6584" operator="equal">
      <formula>"未完成"</formula>
    </cfRule>
  </conditionalFormatting>
  <conditionalFormatting sqref="R58">
    <cfRule type="cellIs" dxfId="0" priority="6534" operator="equal">
      <formula>"欠"</formula>
    </cfRule>
  </conditionalFormatting>
  <conditionalFormatting sqref="T58:U58">
    <cfRule type="cellIs" dxfId="0" priority="6532" operator="equal">
      <formula>"欠"</formula>
    </cfRule>
  </conditionalFormatting>
  <conditionalFormatting sqref="AE58">
    <cfRule type="cellIs" dxfId="0" priority="6556" operator="equal">
      <formula>"未完成"</formula>
    </cfRule>
  </conditionalFormatting>
  <conditionalFormatting sqref="AJ58">
    <cfRule type="cellIs" dxfId="1" priority="6558" operator="equal">
      <formula>"未完成"</formula>
    </cfRule>
    <cfRule type="cellIs" dxfId="0" priority="6560" operator="equal">
      <formula>"未完成"</formula>
    </cfRule>
  </conditionalFormatting>
  <conditionalFormatting sqref="AK58">
    <cfRule type="cellIs" dxfId="1" priority="6570" operator="equal">
      <formula>"未完成"</formula>
    </cfRule>
    <cfRule type="cellIs" dxfId="0" priority="6572" operator="equal">
      <formula>"未完成"</formula>
    </cfRule>
  </conditionalFormatting>
  <conditionalFormatting sqref="AL58">
    <cfRule type="cellIs" dxfId="1" priority="6540" operator="equal">
      <formula>"未完成"</formula>
    </cfRule>
    <cfRule type="cellIs" dxfId="0" priority="6542" operator="equal">
      <formula>"未完成"</formula>
    </cfRule>
  </conditionalFormatting>
  <conditionalFormatting sqref="AM58">
    <cfRule type="cellIs" dxfId="1" priority="6562" operator="equal">
      <formula>"未完成"</formula>
    </cfRule>
    <cfRule type="cellIs" dxfId="0" priority="6564" operator="equal">
      <formula>"未完成"</formula>
    </cfRule>
  </conditionalFormatting>
  <conditionalFormatting sqref="AP58">
    <cfRule type="cellIs" dxfId="1" priority="6544" operator="equal">
      <formula>"未完成"</formula>
    </cfRule>
    <cfRule type="cellIs" dxfId="0" priority="6546" operator="equal">
      <formula>"未完成"</formula>
    </cfRule>
  </conditionalFormatting>
  <conditionalFormatting sqref="AQ58">
    <cfRule type="cellIs" dxfId="1" priority="6548" operator="equal">
      <formula>"未完成"</formula>
    </cfRule>
    <cfRule type="cellIs" dxfId="0" priority="6550" operator="equal">
      <formula>"未完成"</formula>
    </cfRule>
  </conditionalFormatting>
  <conditionalFormatting sqref="AS58">
    <cfRule type="cellIs" dxfId="1" priority="6566" operator="equal">
      <formula>"未完成"</formula>
    </cfRule>
    <cfRule type="cellIs" dxfId="0" priority="6568" operator="equal">
      <formula>"未完成"</formula>
    </cfRule>
  </conditionalFormatting>
  <conditionalFormatting sqref="AT58">
    <cfRule type="cellIs" dxfId="1" priority="6536" operator="equal">
      <formula>"未完成"</formula>
    </cfRule>
    <cfRule type="cellIs" dxfId="0" priority="6538" operator="equal">
      <formula>"未完成"</formula>
    </cfRule>
  </conditionalFormatting>
  <conditionalFormatting sqref="AU58:AV58">
    <cfRule type="cellIs" dxfId="1" priority="6552" operator="equal">
      <formula>"未完成"</formula>
    </cfRule>
    <cfRule type="cellIs" dxfId="0" priority="6554" operator="equal">
      <formula>"未完成"</formula>
    </cfRule>
  </conditionalFormatting>
  <conditionalFormatting sqref="R59">
    <cfRule type="cellIs" dxfId="0" priority="6533" operator="equal">
      <formula>"欠"</formula>
    </cfRule>
  </conditionalFormatting>
  <conditionalFormatting sqref="T59:U59">
    <cfRule type="cellIs" dxfId="0" priority="6531" operator="equal">
      <formula>"欠"</formula>
    </cfRule>
  </conditionalFormatting>
  <conditionalFormatting sqref="AE59">
    <cfRule type="cellIs" dxfId="0" priority="6555" operator="equal">
      <formula>"未完成"</formula>
    </cfRule>
  </conditionalFormatting>
  <conditionalFormatting sqref="AJ59">
    <cfRule type="cellIs" dxfId="1" priority="6557" operator="equal">
      <formula>"未完成"</formula>
    </cfRule>
    <cfRule type="cellIs" dxfId="0" priority="6559" operator="equal">
      <formula>"未完成"</formula>
    </cfRule>
  </conditionalFormatting>
  <conditionalFormatting sqref="AK59">
    <cfRule type="cellIs" dxfId="1" priority="6569" operator="equal">
      <formula>"未完成"</formula>
    </cfRule>
    <cfRule type="cellIs" dxfId="0" priority="6571" operator="equal">
      <formula>"未完成"</formula>
    </cfRule>
  </conditionalFormatting>
  <conditionalFormatting sqref="AL59">
    <cfRule type="cellIs" dxfId="1" priority="6539" operator="equal">
      <formula>"未完成"</formula>
    </cfRule>
    <cfRule type="cellIs" dxfId="0" priority="6541" operator="equal">
      <formula>"未完成"</formula>
    </cfRule>
  </conditionalFormatting>
  <conditionalFormatting sqref="AM59">
    <cfRule type="cellIs" dxfId="1" priority="6561" operator="equal">
      <formula>"未完成"</formula>
    </cfRule>
    <cfRule type="cellIs" dxfId="0" priority="6563" operator="equal">
      <formula>"未完成"</formula>
    </cfRule>
  </conditionalFormatting>
  <conditionalFormatting sqref="AP59">
    <cfRule type="cellIs" dxfId="1" priority="6543" operator="equal">
      <formula>"未完成"</formula>
    </cfRule>
    <cfRule type="cellIs" dxfId="0" priority="6545" operator="equal">
      <formula>"未完成"</formula>
    </cfRule>
  </conditionalFormatting>
  <conditionalFormatting sqref="AQ59">
    <cfRule type="cellIs" dxfId="1" priority="6547" operator="equal">
      <formula>"未完成"</formula>
    </cfRule>
    <cfRule type="cellIs" dxfId="0" priority="6549" operator="equal">
      <formula>"未完成"</formula>
    </cfRule>
  </conditionalFormatting>
  <conditionalFormatting sqref="AS59">
    <cfRule type="cellIs" dxfId="1" priority="6565" operator="equal">
      <formula>"未完成"</formula>
    </cfRule>
    <cfRule type="cellIs" dxfId="0" priority="6567" operator="equal">
      <formula>"未完成"</formula>
    </cfRule>
  </conditionalFormatting>
  <conditionalFormatting sqref="AT59">
    <cfRule type="cellIs" dxfId="1" priority="6535" operator="equal">
      <formula>"未完成"</formula>
    </cfRule>
    <cfRule type="cellIs" dxfId="0" priority="6537" operator="equal">
      <formula>"未完成"</formula>
    </cfRule>
  </conditionalFormatting>
  <conditionalFormatting sqref="AU59:AV59">
    <cfRule type="cellIs" dxfId="1" priority="6551" operator="equal">
      <formula>"未完成"</formula>
    </cfRule>
    <cfRule type="cellIs" dxfId="0" priority="6553" operator="equal">
      <formula>"未完成"</formula>
    </cfRule>
  </conditionalFormatting>
  <conditionalFormatting sqref="R60">
    <cfRule type="cellIs" dxfId="0" priority="12131" operator="equal">
      <formula>"欠"</formula>
    </cfRule>
  </conditionalFormatting>
  <conditionalFormatting sqref="AL60">
    <cfRule type="cellIs" dxfId="1" priority="8744" operator="equal">
      <formula>"未完成"</formula>
    </cfRule>
    <cfRule type="cellIs" dxfId="0" priority="8745" operator="equal">
      <formula>"未完成"</formula>
    </cfRule>
  </conditionalFormatting>
  <conditionalFormatting sqref="AM60">
    <cfRule type="cellIs" dxfId="1" priority="14626" operator="equal">
      <formula>"未完成"</formula>
    </cfRule>
    <cfRule type="cellIs" dxfId="0" priority="14627" operator="equal">
      <formula>"未完成"</formula>
    </cfRule>
  </conditionalFormatting>
  <conditionalFormatting sqref="AP60">
    <cfRule type="cellIs" dxfId="1" priority="8693" operator="equal">
      <formula>"未完成"</formula>
    </cfRule>
    <cfRule type="cellIs" dxfId="0" priority="8694" operator="equal">
      <formula>"未完成"</formula>
    </cfRule>
  </conditionalFormatting>
  <conditionalFormatting sqref="R61">
    <cfRule type="cellIs" dxfId="0" priority="8888" operator="equal">
      <formula>"欠"</formula>
    </cfRule>
  </conditionalFormatting>
  <conditionalFormatting sqref="AK61">
    <cfRule type="cellIs" dxfId="1" priority="8894" operator="equal">
      <formula>"未完成"</formula>
    </cfRule>
    <cfRule type="cellIs" dxfId="0" priority="8896" operator="equal">
      <formula>"未完成"</formula>
    </cfRule>
  </conditionalFormatting>
  <conditionalFormatting sqref="AM61">
    <cfRule type="cellIs" dxfId="1" priority="8838" operator="equal">
      <formula>"未完成"</formula>
    </cfRule>
    <cfRule type="cellIs" dxfId="0" priority="8839" operator="equal">
      <formula>"未完成"</formula>
    </cfRule>
  </conditionalFormatting>
  <conditionalFormatting sqref="AP61">
    <cfRule type="cellIs" dxfId="1" priority="8515" operator="equal">
      <formula>"未完成"</formula>
    </cfRule>
    <cfRule type="cellIs" dxfId="0" priority="8516" operator="equal">
      <formula>"未完成"</formula>
    </cfRule>
  </conditionalFormatting>
  <conditionalFormatting sqref="AS61">
    <cfRule type="cellIs" dxfId="1" priority="8870" operator="equal">
      <formula>"未完成"</formula>
    </cfRule>
    <cfRule type="cellIs" dxfId="0" priority="8872" operator="equal">
      <formula>"未完成"</formula>
    </cfRule>
  </conditionalFormatting>
  <conditionalFormatting sqref="R62">
    <cfRule type="cellIs" dxfId="0" priority="6400" operator="equal">
      <formula>"欠"</formula>
    </cfRule>
  </conditionalFormatting>
  <conditionalFormatting sqref="T62:U62">
    <cfRule type="cellIs" dxfId="0" priority="6330" operator="equal">
      <formula>"欠"</formula>
    </cfRule>
  </conditionalFormatting>
  <conditionalFormatting sqref="AE62">
    <cfRule type="cellIs" dxfId="0" priority="6510" operator="equal">
      <formula>"未完成"</formula>
    </cfRule>
  </conditionalFormatting>
  <conditionalFormatting sqref="AI62:AJ62">
    <cfRule type="cellIs" dxfId="1" priority="6520" operator="equal">
      <formula>"未完成"</formula>
    </cfRule>
    <cfRule type="cellIs" dxfId="0" priority="6530" operator="equal">
      <formula>"未完成"</formula>
    </cfRule>
  </conditionalFormatting>
  <conditionalFormatting sqref="AK62">
    <cfRule type="cellIs" dxfId="1" priority="6410" operator="equal">
      <formula>"未完成"</formula>
    </cfRule>
    <cfRule type="cellIs" dxfId="0" priority="6420" operator="equal">
      <formula>"未完成"</formula>
    </cfRule>
  </conditionalFormatting>
  <conditionalFormatting sqref="AL62">
    <cfRule type="cellIs" dxfId="1" priority="6450" operator="equal">
      <formula>"未完成"</formula>
    </cfRule>
    <cfRule type="cellIs" dxfId="0" priority="6460" operator="equal">
      <formula>"未完成"</formula>
    </cfRule>
  </conditionalFormatting>
  <conditionalFormatting sqref="AM62">
    <cfRule type="cellIs" dxfId="1" priority="6360" operator="equal">
      <formula>"未完成"</formula>
    </cfRule>
    <cfRule type="cellIs" dxfId="0" priority="6370" operator="equal">
      <formula>"未完成"</formula>
    </cfRule>
  </conditionalFormatting>
  <conditionalFormatting sqref="AP62">
    <cfRule type="cellIs" dxfId="1" priority="6340" operator="equal">
      <formula>"未完成"</formula>
    </cfRule>
    <cfRule type="cellIs" dxfId="0" priority="6350" operator="equal">
      <formula>"未完成"</formula>
    </cfRule>
  </conditionalFormatting>
  <conditionalFormatting sqref="AQ62">
    <cfRule type="cellIs" dxfId="1" priority="6470" operator="equal">
      <formula>"未完成"</formula>
    </cfRule>
    <cfRule type="cellIs" dxfId="0" priority="6480" operator="equal">
      <formula>"未完成"</formula>
    </cfRule>
  </conditionalFormatting>
  <conditionalFormatting sqref="AS62">
    <cfRule type="cellIs" dxfId="1" priority="6380" operator="equal">
      <formula>"未完成"</formula>
    </cfRule>
    <cfRule type="cellIs" dxfId="0" priority="6390" operator="equal">
      <formula>"未完成"</formula>
    </cfRule>
  </conditionalFormatting>
  <conditionalFormatting sqref="AT62">
    <cfRule type="cellIs" dxfId="1" priority="6430" operator="equal">
      <formula>"未完成"</formula>
    </cfRule>
    <cfRule type="cellIs" dxfId="0" priority="6440" operator="equal">
      <formula>"未完成"</formula>
    </cfRule>
  </conditionalFormatting>
  <conditionalFormatting sqref="AU62:AV62">
    <cfRule type="cellIs" dxfId="1" priority="6490" operator="equal">
      <formula>"未完成"</formula>
    </cfRule>
    <cfRule type="cellIs" dxfId="0" priority="6500" operator="equal">
      <formula>"未完成"</formula>
    </cfRule>
  </conditionalFormatting>
  <conditionalFormatting sqref="R63">
    <cfRule type="cellIs" dxfId="0" priority="6399" operator="equal">
      <formula>"欠"</formula>
    </cfRule>
  </conditionalFormatting>
  <conditionalFormatting sqref="T63:U63">
    <cfRule type="cellIs" dxfId="0" priority="6329" operator="equal">
      <formula>"欠"</formula>
    </cfRule>
  </conditionalFormatting>
  <conditionalFormatting sqref="AE63">
    <cfRule type="cellIs" dxfId="0" priority="6509" operator="equal">
      <formula>"未完成"</formula>
    </cfRule>
  </conditionalFormatting>
  <conditionalFormatting sqref="AI63:AJ63">
    <cfRule type="cellIs" dxfId="1" priority="6519" operator="equal">
      <formula>"未完成"</formula>
    </cfRule>
    <cfRule type="cellIs" dxfId="0" priority="6529" operator="equal">
      <formula>"未完成"</formula>
    </cfRule>
  </conditionalFormatting>
  <conditionalFormatting sqref="AK63">
    <cfRule type="cellIs" dxfId="1" priority="6409" operator="equal">
      <formula>"未完成"</formula>
    </cfRule>
    <cfRule type="cellIs" dxfId="0" priority="6419" operator="equal">
      <formula>"未完成"</formula>
    </cfRule>
  </conditionalFormatting>
  <conditionalFormatting sqref="AL63">
    <cfRule type="cellIs" dxfId="1" priority="6449" operator="equal">
      <formula>"未完成"</formula>
    </cfRule>
    <cfRule type="cellIs" dxfId="0" priority="6459" operator="equal">
      <formula>"未完成"</formula>
    </cfRule>
  </conditionalFormatting>
  <conditionalFormatting sqref="AM63">
    <cfRule type="cellIs" dxfId="1" priority="6359" operator="equal">
      <formula>"未完成"</formula>
    </cfRule>
    <cfRule type="cellIs" dxfId="0" priority="6369" operator="equal">
      <formula>"未完成"</formula>
    </cfRule>
  </conditionalFormatting>
  <conditionalFormatting sqref="AP63">
    <cfRule type="cellIs" dxfId="1" priority="6339" operator="equal">
      <formula>"未完成"</formula>
    </cfRule>
    <cfRule type="cellIs" dxfId="0" priority="6349" operator="equal">
      <formula>"未完成"</formula>
    </cfRule>
  </conditionalFormatting>
  <conditionalFormatting sqref="AQ63">
    <cfRule type="cellIs" dxfId="1" priority="6469" operator="equal">
      <formula>"未完成"</formula>
    </cfRule>
    <cfRule type="cellIs" dxfId="0" priority="6479" operator="equal">
      <formula>"未完成"</formula>
    </cfRule>
  </conditionalFormatting>
  <conditionalFormatting sqref="AS63">
    <cfRule type="cellIs" dxfId="1" priority="6379" operator="equal">
      <formula>"未完成"</formula>
    </cfRule>
    <cfRule type="cellIs" dxfId="0" priority="6389" operator="equal">
      <formula>"未完成"</formula>
    </cfRule>
  </conditionalFormatting>
  <conditionalFormatting sqref="AT63">
    <cfRule type="cellIs" dxfId="1" priority="6429" operator="equal">
      <formula>"未完成"</formula>
    </cfRule>
    <cfRule type="cellIs" dxfId="0" priority="6439" operator="equal">
      <formula>"未完成"</formula>
    </cfRule>
  </conditionalFormatting>
  <conditionalFormatting sqref="AU63:AV63">
    <cfRule type="cellIs" dxfId="1" priority="6489" operator="equal">
      <formula>"未完成"</formula>
    </cfRule>
    <cfRule type="cellIs" dxfId="0" priority="6499" operator="equal">
      <formula>"未完成"</formula>
    </cfRule>
  </conditionalFormatting>
  <conditionalFormatting sqref="R64">
    <cfRule type="cellIs" dxfId="0" priority="6398" operator="equal">
      <formula>"欠"</formula>
    </cfRule>
  </conditionalFormatting>
  <conditionalFormatting sqref="T64:U64">
    <cfRule type="cellIs" dxfId="0" priority="6328" operator="equal">
      <formula>"欠"</formula>
    </cfRule>
  </conditionalFormatting>
  <conditionalFormatting sqref="AE64">
    <cfRule type="cellIs" dxfId="0" priority="6508" operator="equal">
      <formula>"未完成"</formula>
    </cfRule>
  </conditionalFormatting>
  <conditionalFormatting sqref="AI64:AJ64">
    <cfRule type="cellIs" dxfId="1" priority="6518" operator="equal">
      <formula>"未完成"</formula>
    </cfRule>
    <cfRule type="cellIs" dxfId="0" priority="6528" operator="equal">
      <formula>"未完成"</formula>
    </cfRule>
  </conditionalFormatting>
  <conditionalFormatting sqref="AK64">
    <cfRule type="cellIs" dxfId="1" priority="6408" operator="equal">
      <formula>"未完成"</formula>
    </cfRule>
    <cfRule type="cellIs" dxfId="0" priority="6418" operator="equal">
      <formula>"未完成"</formula>
    </cfRule>
  </conditionalFormatting>
  <conditionalFormatting sqref="AL64">
    <cfRule type="cellIs" dxfId="1" priority="6448" operator="equal">
      <formula>"未完成"</formula>
    </cfRule>
    <cfRule type="cellIs" dxfId="0" priority="6458" operator="equal">
      <formula>"未完成"</formula>
    </cfRule>
  </conditionalFormatting>
  <conditionalFormatting sqref="AM64">
    <cfRule type="cellIs" dxfId="1" priority="6358" operator="equal">
      <formula>"未完成"</formula>
    </cfRule>
    <cfRule type="cellIs" dxfId="0" priority="6368" operator="equal">
      <formula>"未完成"</formula>
    </cfRule>
  </conditionalFormatting>
  <conditionalFormatting sqref="AP64">
    <cfRule type="cellIs" dxfId="1" priority="6338" operator="equal">
      <formula>"未完成"</formula>
    </cfRule>
    <cfRule type="cellIs" dxfId="0" priority="6348" operator="equal">
      <formula>"未完成"</formula>
    </cfRule>
  </conditionalFormatting>
  <conditionalFormatting sqref="AQ64">
    <cfRule type="cellIs" dxfId="1" priority="6468" operator="equal">
      <formula>"未完成"</formula>
    </cfRule>
    <cfRule type="cellIs" dxfId="0" priority="6478" operator="equal">
      <formula>"未完成"</formula>
    </cfRule>
  </conditionalFormatting>
  <conditionalFormatting sqref="AS64">
    <cfRule type="cellIs" dxfId="1" priority="6378" operator="equal">
      <formula>"未完成"</formula>
    </cfRule>
    <cfRule type="cellIs" dxfId="0" priority="6388" operator="equal">
      <formula>"未完成"</formula>
    </cfRule>
  </conditionalFormatting>
  <conditionalFormatting sqref="AT64">
    <cfRule type="cellIs" dxfId="1" priority="6428" operator="equal">
      <formula>"未完成"</formula>
    </cfRule>
    <cfRule type="cellIs" dxfId="0" priority="6438" operator="equal">
      <formula>"未完成"</formula>
    </cfRule>
  </conditionalFormatting>
  <conditionalFormatting sqref="AU64:AV64">
    <cfRule type="cellIs" dxfId="1" priority="6488" operator="equal">
      <formula>"未完成"</formula>
    </cfRule>
    <cfRule type="cellIs" dxfId="0" priority="6498" operator="equal">
      <formula>"未完成"</formula>
    </cfRule>
  </conditionalFormatting>
  <conditionalFormatting sqref="R65">
    <cfRule type="cellIs" dxfId="0" priority="6397" operator="equal">
      <formula>"欠"</formula>
    </cfRule>
  </conditionalFormatting>
  <conditionalFormatting sqref="T65:U65">
    <cfRule type="cellIs" dxfId="0" priority="6327" operator="equal">
      <formula>"欠"</formula>
    </cfRule>
  </conditionalFormatting>
  <conditionalFormatting sqref="AE65">
    <cfRule type="cellIs" dxfId="0" priority="6507" operator="equal">
      <formula>"未完成"</formula>
    </cfRule>
  </conditionalFormatting>
  <conditionalFormatting sqref="AI65:AJ65">
    <cfRule type="cellIs" dxfId="1" priority="6517" operator="equal">
      <formula>"未完成"</formula>
    </cfRule>
    <cfRule type="cellIs" dxfId="0" priority="6527" operator="equal">
      <formula>"未完成"</formula>
    </cfRule>
  </conditionalFormatting>
  <conditionalFormatting sqref="AK65">
    <cfRule type="cellIs" dxfId="1" priority="6407" operator="equal">
      <formula>"未完成"</formula>
    </cfRule>
    <cfRule type="cellIs" dxfId="0" priority="6417" operator="equal">
      <formula>"未完成"</formula>
    </cfRule>
  </conditionalFormatting>
  <conditionalFormatting sqref="AL65">
    <cfRule type="cellIs" dxfId="1" priority="6447" operator="equal">
      <formula>"未完成"</formula>
    </cfRule>
    <cfRule type="cellIs" dxfId="0" priority="6457" operator="equal">
      <formula>"未完成"</formula>
    </cfRule>
  </conditionalFormatting>
  <conditionalFormatting sqref="AM65">
    <cfRule type="cellIs" dxfId="1" priority="6357" operator="equal">
      <formula>"未完成"</formula>
    </cfRule>
    <cfRule type="cellIs" dxfId="0" priority="6367" operator="equal">
      <formula>"未完成"</formula>
    </cfRule>
  </conditionalFormatting>
  <conditionalFormatting sqref="AP65">
    <cfRule type="cellIs" dxfId="1" priority="6337" operator="equal">
      <formula>"未完成"</formula>
    </cfRule>
    <cfRule type="cellIs" dxfId="0" priority="6347" operator="equal">
      <formula>"未完成"</formula>
    </cfRule>
  </conditionalFormatting>
  <conditionalFormatting sqref="AQ65">
    <cfRule type="cellIs" dxfId="1" priority="6467" operator="equal">
      <formula>"未完成"</formula>
    </cfRule>
    <cfRule type="cellIs" dxfId="0" priority="6477" operator="equal">
      <formula>"未完成"</formula>
    </cfRule>
  </conditionalFormatting>
  <conditionalFormatting sqref="AS65">
    <cfRule type="cellIs" dxfId="1" priority="6377" operator="equal">
      <formula>"未完成"</formula>
    </cfRule>
    <cfRule type="cellIs" dxfId="0" priority="6387" operator="equal">
      <formula>"未完成"</formula>
    </cfRule>
  </conditionalFormatting>
  <conditionalFormatting sqref="AT65">
    <cfRule type="cellIs" dxfId="1" priority="6427" operator="equal">
      <formula>"未完成"</formula>
    </cfRule>
    <cfRule type="cellIs" dxfId="0" priority="6437" operator="equal">
      <formula>"未完成"</formula>
    </cfRule>
  </conditionalFormatting>
  <conditionalFormatting sqref="AU65:AV65">
    <cfRule type="cellIs" dxfId="1" priority="6487" operator="equal">
      <formula>"未完成"</formula>
    </cfRule>
    <cfRule type="cellIs" dxfId="0" priority="6497" operator="equal">
      <formula>"未完成"</formula>
    </cfRule>
  </conditionalFormatting>
  <conditionalFormatting sqref="R66">
    <cfRule type="cellIs" dxfId="0" priority="6396" operator="equal">
      <formula>"欠"</formula>
    </cfRule>
  </conditionalFormatting>
  <conditionalFormatting sqref="T66:U66">
    <cfRule type="cellIs" dxfId="0" priority="6326" operator="equal">
      <formula>"欠"</formula>
    </cfRule>
  </conditionalFormatting>
  <conditionalFormatting sqref="AE66">
    <cfRule type="cellIs" dxfId="0" priority="6506" operator="equal">
      <formula>"未完成"</formula>
    </cfRule>
  </conditionalFormatting>
  <conditionalFormatting sqref="AI66:AJ66">
    <cfRule type="cellIs" dxfId="1" priority="6516" operator="equal">
      <formula>"未完成"</formula>
    </cfRule>
    <cfRule type="cellIs" dxfId="0" priority="6526" operator="equal">
      <formula>"未完成"</formula>
    </cfRule>
  </conditionalFormatting>
  <conditionalFormatting sqref="AK66">
    <cfRule type="cellIs" dxfId="1" priority="6406" operator="equal">
      <formula>"未完成"</formula>
    </cfRule>
    <cfRule type="cellIs" dxfId="0" priority="6416" operator="equal">
      <formula>"未完成"</formula>
    </cfRule>
  </conditionalFormatting>
  <conditionalFormatting sqref="AL66">
    <cfRule type="cellIs" dxfId="1" priority="6446" operator="equal">
      <formula>"未完成"</formula>
    </cfRule>
    <cfRule type="cellIs" dxfId="0" priority="6456" operator="equal">
      <formula>"未完成"</formula>
    </cfRule>
  </conditionalFormatting>
  <conditionalFormatting sqref="AM66">
    <cfRule type="cellIs" dxfId="1" priority="6356" operator="equal">
      <formula>"未完成"</formula>
    </cfRule>
    <cfRule type="cellIs" dxfId="0" priority="6366" operator="equal">
      <formula>"未完成"</formula>
    </cfRule>
  </conditionalFormatting>
  <conditionalFormatting sqref="AP66">
    <cfRule type="cellIs" dxfId="1" priority="6336" operator="equal">
      <formula>"未完成"</formula>
    </cfRule>
    <cfRule type="cellIs" dxfId="0" priority="6346" operator="equal">
      <formula>"未完成"</formula>
    </cfRule>
  </conditionalFormatting>
  <conditionalFormatting sqref="AQ66">
    <cfRule type="cellIs" dxfId="1" priority="6466" operator="equal">
      <formula>"未完成"</formula>
    </cfRule>
    <cfRule type="cellIs" dxfId="0" priority="6476" operator="equal">
      <formula>"未完成"</formula>
    </cfRule>
  </conditionalFormatting>
  <conditionalFormatting sqref="AS66">
    <cfRule type="cellIs" dxfId="1" priority="6376" operator="equal">
      <formula>"未完成"</formula>
    </cfRule>
    <cfRule type="cellIs" dxfId="0" priority="6386" operator="equal">
      <formula>"未完成"</formula>
    </cfRule>
  </conditionalFormatting>
  <conditionalFormatting sqref="AT66">
    <cfRule type="cellIs" dxfId="1" priority="6426" operator="equal">
      <formula>"未完成"</formula>
    </cfRule>
    <cfRule type="cellIs" dxfId="0" priority="6436" operator="equal">
      <formula>"未完成"</formula>
    </cfRule>
  </conditionalFormatting>
  <conditionalFormatting sqref="AU66:AV66">
    <cfRule type="cellIs" dxfId="1" priority="6486" operator="equal">
      <formula>"未完成"</formula>
    </cfRule>
    <cfRule type="cellIs" dxfId="0" priority="6496" operator="equal">
      <formula>"未完成"</formula>
    </cfRule>
  </conditionalFormatting>
  <conditionalFormatting sqref="R67">
    <cfRule type="cellIs" dxfId="0" priority="6395" operator="equal">
      <formula>"欠"</formula>
    </cfRule>
  </conditionalFormatting>
  <conditionalFormatting sqref="T67:U67">
    <cfRule type="cellIs" dxfId="0" priority="6325" operator="equal">
      <formula>"欠"</formula>
    </cfRule>
  </conditionalFormatting>
  <conditionalFormatting sqref="AE67">
    <cfRule type="cellIs" dxfId="0" priority="6505" operator="equal">
      <formula>"未完成"</formula>
    </cfRule>
  </conditionalFormatting>
  <conditionalFormatting sqref="AI67:AJ67">
    <cfRule type="cellIs" dxfId="1" priority="6515" operator="equal">
      <formula>"未完成"</formula>
    </cfRule>
    <cfRule type="cellIs" dxfId="0" priority="6525" operator="equal">
      <formula>"未完成"</formula>
    </cfRule>
  </conditionalFormatting>
  <conditionalFormatting sqref="AK67">
    <cfRule type="cellIs" dxfId="1" priority="6405" operator="equal">
      <formula>"未完成"</formula>
    </cfRule>
    <cfRule type="cellIs" dxfId="0" priority="6415" operator="equal">
      <formula>"未完成"</formula>
    </cfRule>
  </conditionalFormatting>
  <conditionalFormatting sqref="AL67">
    <cfRule type="cellIs" dxfId="1" priority="6445" operator="equal">
      <formula>"未完成"</formula>
    </cfRule>
    <cfRule type="cellIs" dxfId="0" priority="6455" operator="equal">
      <formula>"未完成"</formula>
    </cfRule>
  </conditionalFormatting>
  <conditionalFormatting sqref="AM67">
    <cfRule type="cellIs" dxfId="1" priority="6355" operator="equal">
      <formula>"未完成"</formula>
    </cfRule>
    <cfRule type="cellIs" dxfId="0" priority="6365" operator="equal">
      <formula>"未完成"</formula>
    </cfRule>
  </conditionalFormatting>
  <conditionalFormatting sqref="AP67">
    <cfRule type="cellIs" dxfId="1" priority="6335" operator="equal">
      <formula>"未完成"</formula>
    </cfRule>
    <cfRule type="cellIs" dxfId="0" priority="6345" operator="equal">
      <formula>"未完成"</formula>
    </cfRule>
  </conditionalFormatting>
  <conditionalFormatting sqref="AQ67">
    <cfRule type="cellIs" dxfId="1" priority="6465" operator="equal">
      <formula>"未完成"</formula>
    </cfRule>
    <cfRule type="cellIs" dxfId="0" priority="6475" operator="equal">
      <formula>"未完成"</formula>
    </cfRule>
  </conditionalFormatting>
  <conditionalFormatting sqref="AS67">
    <cfRule type="cellIs" dxfId="1" priority="6375" operator="equal">
      <formula>"未完成"</formula>
    </cfRule>
    <cfRule type="cellIs" dxfId="0" priority="6385" operator="equal">
      <formula>"未完成"</formula>
    </cfRule>
  </conditionalFormatting>
  <conditionalFormatting sqref="AT67">
    <cfRule type="cellIs" dxfId="1" priority="6425" operator="equal">
      <formula>"未完成"</formula>
    </cfRule>
    <cfRule type="cellIs" dxfId="0" priority="6435" operator="equal">
      <formula>"未完成"</formula>
    </cfRule>
  </conditionalFormatting>
  <conditionalFormatting sqref="AU67:AV67">
    <cfRule type="cellIs" dxfId="1" priority="6485" operator="equal">
      <formula>"未完成"</formula>
    </cfRule>
    <cfRule type="cellIs" dxfId="0" priority="6495" operator="equal">
      <formula>"未完成"</formula>
    </cfRule>
  </conditionalFormatting>
  <conditionalFormatting sqref="R68">
    <cfRule type="cellIs" dxfId="0" priority="6394" operator="equal">
      <formula>"欠"</formula>
    </cfRule>
  </conditionalFormatting>
  <conditionalFormatting sqref="T68:U68">
    <cfRule type="cellIs" dxfId="0" priority="6324" operator="equal">
      <formula>"欠"</formula>
    </cfRule>
  </conditionalFormatting>
  <conditionalFormatting sqref="AE68">
    <cfRule type="cellIs" dxfId="0" priority="6504" operator="equal">
      <formula>"未完成"</formula>
    </cfRule>
  </conditionalFormatting>
  <conditionalFormatting sqref="AI68:AJ68">
    <cfRule type="cellIs" dxfId="1" priority="6514" operator="equal">
      <formula>"未完成"</formula>
    </cfRule>
    <cfRule type="cellIs" dxfId="0" priority="6524" operator="equal">
      <formula>"未完成"</formula>
    </cfRule>
  </conditionalFormatting>
  <conditionalFormatting sqref="AK68">
    <cfRule type="cellIs" dxfId="1" priority="6404" operator="equal">
      <formula>"未完成"</formula>
    </cfRule>
    <cfRule type="cellIs" dxfId="0" priority="6414" operator="equal">
      <formula>"未完成"</formula>
    </cfRule>
  </conditionalFormatting>
  <conditionalFormatting sqref="AL68">
    <cfRule type="cellIs" dxfId="1" priority="6444" operator="equal">
      <formula>"未完成"</formula>
    </cfRule>
    <cfRule type="cellIs" dxfId="0" priority="6454" operator="equal">
      <formula>"未完成"</formula>
    </cfRule>
  </conditionalFormatting>
  <conditionalFormatting sqref="AM68">
    <cfRule type="cellIs" dxfId="1" priority="6354" operator="equal">
      <formula>"未完成"</formula>
    </cfRule>
    <cfRule type="cellIs" dxfId="0" priority="6364" operator="equal">
      <formula>"未完成"</formula>
    </cfRule>
  </conditionalFormatting>
  <conditionalFormatting sqref="AP68">
    <cfRule type="cellIs" dxfId="1" priority="6334" operator="equal">
      <formula>"未完成"</formula>
    </cfRule>
    <cfRule type="cellIs" dxfId="0" priority="6344" operator="equal">
      <formula>"未完成"</formula>
    </cfRule>
  </conditionalFormatting>
  <conditionalFormatting sqref="AQ68">
    <cfRule type="cellIs" dxfId="1" priority="6464" operator="equal">
      <formula>"未完成"</formula>
    </cfRule>
    <cfRule type="cellIs" dxfId="0" priority="6474" operator="equal">
      <formula>"未完成"</formula>
    </cfRule>
  </conditionalFormatting>
  <conditionalFormatting sqref="AS68">
    <cfRule type="cellIs" dxfId="1" priority="6374" operator="equal">
      <formula>"未完成"</formula>
    </cfRule>
    <cfRule type="cellIs" dxfId="0" priority="6384" operator="equal">
      <formula>"未完成"</formula>
    </cfRule>
  </conditionalFormatting>
  <conditionalFormatting sqref="AT68">
    <cfRule type="cellIs" dxfId="1" priority="6424" operator="equal">
      <formula>"未完成"</formula>
    </cfRule>
    <cfRule type="cellIs" dxfId="0" priority="6434" operator="equal">
      <formula>"未完成"</formula>
    </cfRule>
  </conditionalFormatting>
  <conditionalFormatting sqref="AU68:AV68">
    <cfRule type="cellIs" dxfId="1" priority="6484" operator="equal">
      <formula>"未完成"</formula>
    </cfRule>
    <cfRule type="cellIs" dxfId="0" priority="6494" operator="equal">
      <formula>"未完成"</formula>
    </cfRule>
  </conditionalFormatting>
  <conditionalFormatting sqref="R69">
    <cfRule type="cellIs" dxfId="0" priority="6393" operator="equal">
      <formula>"欠"</formula>
    </cfRule>
  </conditionalFormatting>
  <conditionalFormatting sqref="T69:U69">
    <cfRule type="cellIs" dxfId="0" priority="6323" operator="equal">
      <formula>"欠"</formula>
    </cfRule>
  </conditionalFormatting>
  <conditionalFormatting sqref="AE69">
    <cfRule type="cellIs" dxfId="0" priority="6503" operator="equal">
      <formula>"未完成"</formula>
    </cfRule>
  </conditionalFormatting>
  <conditionalFormatting sqref="AI69:AJ69">
    <cfRule type="cellIs" dxfId="1" priority="6513" operator="equal">
      <formula>"未完成"</formula>
    </cfRule>
    <cfRule type="cellIs" dxfId="0" priority="6523" operator="equal">
      <formula>"未完成"</formula>
    </cfRule>
  </conditionalFormatting>
  <conditionalFormatting sqref="AK69">
    <cfRule type="cellIs" dxfId="1" priority="6403" operator="equal">
      <formula>"未完成"</formula>
    </cfRule>
    <cfRule type="cellIs" dxfId="0" priority="6413" operator="equal">
      <formula>"未完成"</formula>
    </cfRule>
  </conditionalFormatting>
  <conditionalFormatting sqref="AL69">
    <cfRule type="cellIs" dxfId="1" priority="6443" operator="equal">
      <formula>"未完成"</formula>
    </cfRule>
    <cfRule type="cellIs" dxfId="0" priority="6453" operator="equal">
      <formula>"未完成"</formula>
    </cfRule>
  </conditionalFormatting>
  <conditionalFormatting sqref="AM69">
    <cfRule type="cellIs" dxfId="1" priority="6353" operator="equal">
      <formula>"未完成"</formula>
    </cfRule>
    <cfRule type="cellIs" dxfId="0" priority="6363" operator="equal">
      <formula>"未完成"</formula>
    </cfRule>
  </conditionalFormatting>
  <conditionalFormatting sqref="AP69">
    <cfRule type="cellIs" dxfId="1" priority="6333" operator="equal">
      <formula>"未完成"</formula>
    </cfRule>
    <cfRule type="cellIs" dxfId="0" priority="6343" operator="equal">
      <formula>"未完成"</formula>
    </cfRule>
  </conditionalFormatting>
  <conditionalFormatting sqref="AQ69">
    <cfRule type="cellIs" dxfId="1" priority="6463" operator="equal">
      <formula>"未完成"</formula>
    </cfRule>
    <cfRule type="cellIs" dxfId="0" priority="6473" operator="equal">
      <formula>"未完成"</formula>
    </cfRule>
  </conditionalFormatting>
  <conditionalFormatting sqref="AS69">
    <cfRule type="cellIs" dxfId="1" priority="6373" operator="equal">
      <formula>"未完成"</formula>
    </cfRule>
    <cfRule type="cellIs" dxfId="0" priority="6383" operator="equal">
      <formula>"未完成"</formula>
    </cfRule>
  </conditionalFormatting>
  <conditionalFormatting sqref="AT69">
    <cfRule type="cellIs" dxfId="1" priority="6423" operator="equal">
      <formula>"未完成"</formula>
    </cfRule>
    <cfRule type="cellIs" dxfId="0" priority="6433" operator="equal">
      <formula>"未完成"</formula>
    </cfRule>
  </conditionalFormatting>
  <conditionalFormatting sqref="AU69:AV69">
    <cfRule type="cellIs" dxfId="1" priority="6483" operator="equal">
      <formula>"未完成"</formula>
    </cfRule>
    <cfRule type="cellIs" dxfId="0" priority="6493" operator="equal">
      <formula>"未完成"</formula>
    </cfRule>
  </conditionalFormatting>
  <conditionalFormatting sqref="R70">
    <cfRule type="cellIs" dxfId="0" priority="6392" operator="equal">
      <formula>"欠"</formula>
    </cfRule>
  </conditionalFormatting>
  <conditionalFormatting sqref="T70:U70">
    <cfRule type="cellIs" dxfId="0" priority="6322" operator="equal">
      <formula>"欠"</formula>
    </cfRule>
  </conditionalFormatting>
  <conditionalFormatting sqref="AE70">
    <cfRule type="cellIs" dxfId="0" priority="6502" operator="equal">
      <formula>"未完成"</formula>
    </cfRule>
  </conditionalFormatting>
  <conditionalFormatting sqref="AI70:AJ70">
    <cfRule type="cellIs" dxfId="1" priority="6512" operator="equal">
      <formula>"未完成"</formula>
    </cfRule>
    <cfRule type="cellIs" dxfId="0" priority="6522" operator="equal">
      <formula>"未完成"</formula>
    </cfRule>
  </conditionalFormatting>
  <conditionalFormatting sqref="AK70">
    <cfRule type="cellIs" dxfId="1" priority="6402" operator="equal">
      <formula>"未完成"</formula>
    </cfRule>
    <cfRule type="cellIs" dxfId="0" priority="6412" operator="equal">
      <formula>"未完成"</formula>
    </cfRule>
  </conditionalFormatting>
  <conditionalFormatting sqref="AL70">
    <cfRule type="cellIs" dxfId="1" priority="6442" operator="equal">
      <formula>"未完成"</formula>
    </cfRule>
    <cfRule type="cellIs" dxfId="0" priority="6452" operator="equal">
      <formula>"未完成"</formula>
    </cfRule>
  </conditionalFormatting>
  <conditionalFormatting sqref="AM70">
    <cfRule type="cellIs" dxfId="1" priority="6352" operator="equal">
      <formula>"未完成"</formula>
    </cfRule>
    <cfRule type="cellIs" dxfId="0" priority="6362" operator="equal">
      <formula>"未完成"</formula>
    </cfRule>
  </conditionalFormatting>
  <conditionalFormatting sqref="AP70">
    <cfRule type="cellIs" dxfId="1" priority="6332" operator="equal">
      <formula>"未完成"</formula>
    </cfRule>
    <cfRule type="cellIs" dxfId="0" priority="6342" operator="equal">
      <formula>"未完成"</formula>
    </cfRule>
  </conditionalFormatting>
  <conditionalFormatting sqref="AQ70">
    <cfRule type="cellIs" dxfId="1" priority="6462" operator="equal">
      <formula>"未完成"</formula>
    </cfRule>
    <cfRule type="cellIs" dxfId="0" priority="6472" operator="equal">
      <formula>"未完成"</formula>
    </cfRule>
  </conditionalFormatting>
  <conditionalFormatting sqref="AS70">
    <cfRule type="cellIs" dxfId="1" priority="6372" operator="equal">
      <formula>"未完成"</formula>
    </cfRule>
    <cfRule type="cellIs" dxfId="0" priority="6382" operator="equal">
      <formula>"未完成"</formula>
    </cfRule>
  </conditionalFormatting>
  <conditionalFormatting sqref="AT70">
    <cfRule type="cellIs" dxfId="1" priority="6422" operator="equal">
      <formula>"未完成"</formula>
    </cfRule>
    <cfRule type="cellIs" dxfId="0" priority="6432" operator="equal">
      <formula>"未完成"</formula>
    </cfRule>
  </conditionalFormatting>
  <conditionalFormatting sqref="AU70:AV70">
    <cfRule type="cellIs" dxfId="1" priority="6482" operator="equal">
      <formula>"未完成"</formula>
    </cfRule>
    <cfRule type="cellIs" dxfId="0" priority="6492" operator="equal">
      <formula>"未完成"</formula>
    </cfRule>
  </conditionalFormatting>
  <conditionalFormatting sqref="R71">
    <cfRule type="cellIs" dxfId="0" priority="6391" operator="equal">
      <formula>"欠"</formula>
    </cfRule>
  </conditionalFormatting>
  <conditionalFormatting sqref="T71:U71">
    <cfRule type="cellIs" dxfId="0" priority="6321" operator="equal">
      <formula>"欠"</formula>
    </cfRule>
  </conditionalFormatting>
  <conditionalFormatting sqref="AE71">
    <cfRule type="cellIs" dxfId="0" priority="6501" operator="equal">
      <formula>"未完成"</formula>
    </cfRule>
  </conditionalFormatting>
  <conditionalFormatting sqref="AI71:AJ71">
    <cfRule type="cellIs" dxfId="1" priority="6511" operator="equal">
      <formula>"未完成"</formula>
    </cfRule>
    <cfRule type="cellIs" dxfId="0" priority="6521" operator="equal">
      <formula>"未完成"</formula>
    </cfRule>
  </conditionalFormatting>
  <conditionalFormatting sqref="AK71">
    <cfRule type="cellIs" dxfId="1" priority="6401" operator="equal">
      <formula>"未完成"</formula>
    </cfRule>
    <cfRule type="cellIs" dxfId="0" priority="6411" operator="equal">
      <formula>"未完成"</formula>
    </cfRule>
  </conditionalFormatting>
  <conditionalFormatting sqref="AL71">
    <cfRule type="cellIs" dxfId="1" priority="6441" operator="equal">
      <formula>"未完成"</formula>
    </cfRule>
    <cfRule type="cellIs" dxfId="0" priority="6451" operator="equal">
      <formula>"未完成"</formula>
    </cfRule>
  </conditionalFormatting>
  <conditionalFormatting sqref="AM71">
    <cfRule type="cellIs" dxfId="1" priority="6351" operator="equal">
      <formula>"未完成"</formula>
    </cfRule>
    <cfRule type="cellIs" dxfId="0" priority="6361" operator="equal">
      <formula>"未完成"</formula>
    </cfRule>
  </conditionalFormatting>
  <conditionalFormatting sqref="AP71">
    <cfRule type="cellIs" dxfId="1" priority="6331" operator="equal">
      <formula>"未完成"</formula>
    </cfRule>
    <cfRule type="cellIs" dxfId="0" priority="6341" operator="equal">
      <formula>"未完成"</formula>
    </cfRule>
  </conditionalFormatting>
  <conditionalFormatting sqref="AQ71">
    <cfRule type="cellIs" dxfId="1" priority="6461" operator="equal">
      <formula>"未完成"</formula>
    </cfRule>
    <cfRule type="cellIs" dxfId="0" priority="6471" operator="equal">
      <formula>"未完成"</formula>
    </cfRule>
  </conditionalFormatting>
  <conditionalFormatting sqref="AS71">
    <cfRule type="cellIs" dxfId="1" priority="6371" operator="equal">
      <formula>"未完成"</formula>
    </cfRule>
    <cfRule type="cellIs" dxfId="0" priority="6381" operator="equal">
      <formula>"未完成"</formula>
    </cfRule>
  </conditionalFormatting>
  <conditionalFormatting sqref="AT71">
    <cfRule type="cellIs" dxfId="1" priority="6421" operator="equal">
      <formula>"未完成"</formula>
    </cfRule>
    <cfRule type="cellIs" dxfId="0" priority="6431" operator="equal">
      <formula>"未完成"</formula>
    </cfRule>
  </conditionalFormatting>
  <conditionalFormatting sqref="AU71:AV71">
    <cfRule type="cellIs" dxfId="1" priority="6481" operator="equal">
      <formula>"未完成"</formula>
    </cfRule>
    <cfRule type="cellIs" dxfId="0" priority="6491" operator="equal">
      <formula>"未完成"</formula>
    </cfRule>
  </conditionalFormatting>
  <conditionalFormatting sqref="R72">
    <cfRule type="cellIs" dxfId="0" priority="6202" operator="equal">
      <formula>"欠"</formula>
    </cfRule>
  </conditionalFormatting>
  <conditionalFormatting sqref="T72:U72">
    <cfRule type="cellIs" dxfId="0" priority="6195" operator="equal">
      <formula>"欠"</formula>
    </cfRule>
  </conditionalFormatting>
  <conditionalFormatting sqref="AE72">
    <cfRule type="cellIs" dxfId="0" priority="6213" operator="equal">
      <formula>"未完成"</formula>
    </cfRule>
  </conditionalFormatting>
  <conditionalFormatting sqref="AI72:AJ72">
    <cfRule type="cellIs" dxfId="1" priority="6214" operator="equal">
      <formula>"未完成"</formula>
    </cfRule>
    <cfRule type="cellIs" dxfId="0" priority="6215" operator="equal">
      <formula>"未完成"</formula>
    </cfRule>
  </conditionalFormatting>
  <conditionalFormatting sqref="AK72">
    <cfRule type="cellIs" dxfId="1" priority="6203" operator="equal">
      <formula>"未完成"</formula>
    </cfRule>
    <cfRule type="cellIs" dxfId="0" priority="6204" operator="equal">
      <formula>"未完成"</formula>
    </cfRule>
  </conditionalFormatting>
  <conditionalFormatting sqref="AL72">
    <cfRule type="cellIs" dxfId="1" priority="6207" operator="equal">
      <formula>"未完成"</formula>
    </cfRule>
    <cfRule type="cellIs" dxfId="0" priority="6208" operator="equal">
      <formula>"未完成"</formula>
    </cfRule>
  </conditionalFormatting>
  <conditionalFormatting sqref="AM72">
    <cfRule type="cellIs" dxfId="1" priority="6198" operator="equal">
      <formula>"未完成"</formula>
    </cfRule>
    <cfRule type="cellIs" dxfId="0" priority="6199" operator="equal">
      <formula>"未完成"</formula>
    </cfRule>
  </conditionalFormatting>
  <conditionalFormatting sqref="AP72">
    <cfRule type="cellIs" dxfId="1" priority="6196" operator="equal">
      <formula>"未完成"</formula>
    </cfRule>
    <cfRule type="cellIs" dxfId="0" priority="6197" operator="equal">
      <formula>"未完成"</formula>
    </cfRule>
  </conditionalFormatting>
  <conditionalFormatting sqref="AQ72">
    <cfRule type="cellIs" dxfId="1" priority="6209" operator="equal">
      <formula>"未完成"</formula>
    </cfRule>
    <cfRule type="cellIs" dxfId="0" priority="6210" operator="equal">
      <formula>"未完成"</formula>
    </cfRule>
  </conditionalFormatting>
  <conditionalFormatting sqref="AS72">
    <cfRule type="cellIs" dxfId="1" priority="6200" operator="equal">
      <formula>"未完成"</formula>
    </cfRule>
    <cfRule type="cellIs" dxfId="0" priority="6201" operator="equal">
      <formula>"未完成"</formula>
    </cfRule>
  </conditionalFormatting>
  <conditionalFormatting sqref="AT72">
    <cfRule type="cellIs" dxfId="1" priority="6205" operator="equal">
      <formula>"未完成"</formula>
    </cfRule>
    <cfRule type="cellIs" dxfId="0" priority="6206" operator="equal">
      <formula>"未完成"</formula>
    </cfRule>
  </conditionalFormatting>
  <conditionalFormatting sqref="AU72:AV72">
    <cfRule type="cellIs" dxfId="1" priority="6211" operator="equal">
      <formula>"未完成"</formula>
    </cfRule>
    <cfRule type="cellIs" dxfId="0" priority="6212" operator="equal">
      <formula>"未完成"</formula>
    </cfRule>
  </conditionalFormatting>
  <conditionalFormatting sqref="R73">
    <cfRule type="cellIs" dxfId="0" priority="6153" operator="equal">
      <formula>"欠"</formula>
    </cfRule>
  </conditionalFormatting>
  <conditionalFormatting sqref="T73:U73">
    <cfRule type="cellIs" dxfId="0" priority="6132" operator="equal">
      <formula>"欠"</formula>
    </cfRule>
  </conditionalFormatting>
  <conditionalFormatting sqref="AE73">
    <cfRule type="cellIs" dxfId="0" priority="6186" operator="equal">
      <formula>"未完成"</formula>
    </cfRule>
  </conditionalFormatting>
  <conditionalFormatting sqref="AI73:AJ73">
    <cfRule type="cellIs" dxfId="1" priority="6189" operator="equal">
      <formula>"未完成"</formula>
    </cfRule>
    <cfRule type="cellIs" dxfId="0" priority="6192" operator="equal">
      <formula>"未完成"</formula>
    </cfRule>
  </conditionalFormatting>
  <conditionalFormatting sqref="AK73">
    <cfRule type="cellIs" dxfId="1" priority="6156" operator="equal">
      <formula>"未完成"</formula>
    </cfRule>
    <cfRule type="cellIs" dxfId="0" priority="6159" operator="equal">
      <formula>"未完成"</formula>
    </cfRule>
  </conditionalFormatting>
  <conditionalFormatting sqref="AL73">
    <cfRule type="cellIs" dxfId="1" priority="6168" operator="equal">
      <formula>"未完成"</formula>
    </cfRule>
    <cfRule type="cellIs" dxfId="0" priority="6171" operator="equal">
      <formula>"未完成"</formula>
    </cfRule>
  </conditionalFormatting>
  <conditionalFormatting sqref="AP73">
    <cfRule type="cellIs" dxfId="1" priority="6135" operator="equal">
      <formula>"未完成"</formula>
    </cfRule>
    <cfRule type="cellIs" dxfId="0" priority="6138" operator="equal">
      <formula>"未完成"</formula>
    </cfRule>
  </conditionalFormatting>
  <conditionalFormatting sqref="AQ73">
    <cfRule type="cellIs" dxfId="1" priority="6174" operator="equal">
      <formula>"未完成"</formula>
    </cfRule>
    <cfRule type="cellIs" dxfId="0" priority="6177" operator="equal">
      <formula>"未完成"</formula>
    </cfRule>
  </conditionalFormatting>
  <conditionalFormatting sqref="AT73">
    <cfRule type="cellIs" dxfId="1" priority="6162" operator="equal">
      <formula>"未完成"</formula>
    </cfRule>
    <cfRule type="cellIs" dxfId="0" priority="6165" operator="equal">
      <formula>"未完成"</formula>
    </cfRule>
  </conditionalFormatting>
  <conditionalFormatting sqref="AU73:AV73">
    <cfRule type="cellIs" dxfId="1" priority="6180" operator="equal">
      <formula>"未完成"</formula>
    </cfRule>
    <cfRule type="cellIs" dxfId="0" priority="6183" operator="equal">
      <formula>"未完成"</formula>
    </cfRule>
  </conditionalFormatting>
  <conditionalFormatting sqref="R74">
    <cfRule type="cellIs" dxfId="0" priority="6152" operator="equal">
      <formula>"欠"</formula>
    </cfRule>
  </conditionalFormatting>
  <conditionalFormatting sqref="T74:U74">
    <cfRule type="cellIs" dxfId="0" priority="6131" operator="equal">
      <formula>"欠"</formula>
    </cfRule>
  </conditionalFormatting>
  <conditionalFormatting sqref="AE74">
    <cfRule type="cellIs" dxfId="0" priority="6185" operator="equal">
      <formula>"未完成"</formula>
    </cfRule>
  </conditionalFormatting>
  <conditionalFormatting sqref="AI74:AJ74">
    <cfRule type="cellIs" dxfId="1" priority="6188" operator="equal">
      <formula>"未完成"</formula>
    </cfRule>
    <cfRule type="cellIs" dxfId="0" priority="6191" operator="equal">
      <formula>"未完成"</formula>
    </cfRule>
  </conditionalFormatting>
  <conditionalFormatting sqref="AK74">
    <cfRule type="cellIs" dxfId="1" priority="6155" operator="equal">
      <formula>"未完成"</formula>
    </cfRule>
    <cfRule type="cellIs" dxfId="0" priority="6158" operator="equal">
      <formula>"未完成"</formula>
    </cfRule>
  </conditionalFormatting>
  <conditionalFormatting sqref="AL74">
    <cfRule type="cellIs" dxfId="1" priority="6167" operator="equal">
      <formula>"未完成"</formula>
    </cfRule>
    <cfRule type="cellIs" dxfId="0" priority="6170" operator="equal">
      <formula>"未完成"</formula>
    </cfRule>
  </conditionalFormatting>
  <conditionalFormatting sqref="AM74">
    <cfRule type="cellIs" dxfId="1" priority="6140" operator="equal">
      <formula>"未完成"</formula>
    </cfRule>
    <cfRule type="cellIs" dxfId="0" priority="6143" operator="equal">
      <formula>"未完成"</formula>
    </cfRule>
  </conditionalFormatting>
  <conditionalFormatting sqref="AP74">
    <cfRule type="cellIs" dxfId="1" priority="6134" operator="equal">
      <formula>"未完成"</formula>
    </cfRule>
    <cfRule type="cellIs" dxfId="0" priority="6137" operator="equal">
      <formula>"未完成"</formula>
    </cfRule>
  </conditionalFormatting>
  <conditionalFormatting sqref="AQ74">
    <cfRule type="cellIs" dxfId="1" priority="6173" operator="equal">
      <formula>"未完成"</formula>
    </cfRule>
    <cfRule type="cellIs" dxfId="0" priority="6176" operator="equal">
      <formula>"未完成"</formula>
    </cfRule>
  </conditionalFormatting>
  <conditionalFormatting sqref="AS74">
    <cfRule type="cellIs" dxfId="1" priority="6146" operator="equal">
      <formula>"未完成"</formula>
    </cfRule>
    <cfRule type="cellIs" dxfId="0" priority="6149" operator="equal">
      <formula>"未完成"</formula>
    </cfRule>
  </conditionalFormatting>
  <conditionalFormatting sqref="AT74">
    <cfRule type="cellIs" dxfId="1" priority="6161" operator="equal">
      <formula>"未完成"</formula>
    </cfRule>
    <cfRule type="cellIs" dxfId="0" priority="6164" operator="equal">
      <formula>"未完成"</formula>
    </cfRule>
  </conditionalFormatting>
  <conditionalFormatting sqref="AU74:AV74">
    <cfRule type="cellIs" dxfId="1" priority="6179" operator="equal">
      <formula>"未完成"</formula>
    </cfRule>
    <cfRule type="cellIs" dxfId="0" priority="6182" operator="equal">
      <formula>"未完成"</formula>
    </cfRule>
  </conditionalFormatting>
  <conditionalFormatting sqref="R75">
    <cfRule type="cellIs" dxfId="0" priority="6151" operator="equal">
      <formula>"欠"</formula>
    </cfRule>
  </conditionalFormatting>
  <conditionalFormatting sqref="T75:U75">
    <cfRule type="cellIs" dxfId="0" priority="6130" operator="equal">
      <formula>"欠"</formula>
    </cfRule>
  </conditionalFormatting>
  <conditionalFormatting sqref="AE75">
    <cfRule type="cellIs" dxfId="0" priority="6184" operator="equal">
      <formula>"未完成"</formula>
    </cfRule>
  </conditionalFormatting>
  <conditionalFormatting sqref="AI75:AJ75">
    <cfRule type="cellIs" dxfId="1" priority="6187" operator="equal">
      <formula>"未完成"</formula>
    </cfRule>
    <cfRule type="cellIs" dxfId="0" priority="6190" operator="equal">
      <formula>"未完成"</formula>
    </cfRule>
  </conditionalFormatting>
  <conditionalFormatting sqref="AK75">
    <cfRule type="cellIs" dxfId="1" priority="6154" operator="equal">
      <formula>"未完成"</formula>
    </cfRule>
    <cfRule type="cellIs" dxfId="0" priority="6157" operator="equal">
      <formula>"未完成"</formula>
    </cfRule>
  </conditionalFormatting>
  <conditionalFormatting sqref="AL75">
    <cfRule type="cellIs" dxfId="1" priority="6166" operator="equal">
      <formula>"未完成"</formula>
    </cfRule>
    <cfRule type="cellIs" dxfId="0" priority="6169" operator="equal">
      <formula>"未完成"</formula>
    </cfRule>
  </conditionalFormatting>
  <conditionalFormatting sqref="AM75">
    <cfRule type="cellIs" dxfId="1" priority="6139" operator="equal">
      <formula>"未完成"</formula>
    </cfRule>
    <cfRule type="cellIs" dxfId="0" priority="6142" operator="equal">
      <formula>"未完成"</formula>
    </cfRule>
  </conditionalFormatting>
  <conditionalFormatting sqref="AP75">
    <cfRule type="cellIs" dxfId="1" priority="6133" operator="equal">
      <formula>"未完成"</formula>
    </cfRule>
    <cfRule type="cellIs" dxfId="0" priority="6136" operator="equal">
      <formula>"未完成"</formula>
    </cfRule>
  </conditionalFormatting>
  <conditionalFormatting sqref="AQ75">
    <cfRule type="cellIs" dxfId="1" priority="6172" operator="equal">
      <formula>"未完成"</formula>
    </cfRule>
    <cfRule type="cellIs" dxfId="0" priority="6175" operator="equal">
      <formula>"未完成"</formula>
    </cfRule>
  </conditionalFormatting>
  <conditionalFormatting sqref="AS75">
    <cfRule type="cellIs" dxfId="1" priority="6145" operator="equal">
      <formula>"未完成"</formula>
    </cfRule>
    <cfRule type="cellIs" dxfId="0" priority="6148" operator="equal">
      <formula>"未完成"</formula>
    </cfRule>
  </conditionalFormatting>
  <conditionalFormatting sqref="AT75">
    <cfRule type="cellIs" dxfId="1" priority="6160" operator="equal">
      <formula>"未完成"</formula>
    </cfRule>
    <cfRule type="cellIs" dxfId="0" priority="6163" operator="equal">
      <formula>"未完成"</formula>
    </cfRule>
  </conditionalFormatting>
  <conditionalFormatting sqref="AU75:AV75">
    <cfRule type="cellIs" dxfId="1" priority="6178" operator="equal">
      <formula>"未完成"</formula>
    </cfRule>
    <cfRule type="cellIs" dxfId="0" priority="6181" operator="equal">
      <formula>"未完成"</formula>
    </cfRule>
  </conditionalFormatting>
  <conditionalFormatting sqref="R76">
    <cfRule type="cellIs" dxfId="0" priority="6116" operator="equal">
      <formula>"欠"</formula>
    </cfRule>
  </conditionalFormatting>
  <conditionalFormatting sqref="T76:U76">
    <cfRule type="cellIs" dxfId="0" priority="6109" operator="equal">
      <formula>"欠"</formula>
    </cfRule>
  </conditionalFormatting>
  <conditionalFormatting sqref="AE76">
    <cfRule type="cellIs" dxfId="0" priority="6127" operator="equal">
      <formula>"未完成"</formula>
    </cfRule>
  </conditionalFormatting>
  <conditionalFormatting sqref="AI76:AJ76">
    <cfRule type="cellIs" dxfId="1" priority="6128" operator="equal">
      <formula>"未完成"</formula>
    </cfRule>
    <cfRule type="cellIs" dxfId="0" priority="6129" operator="equal">
      <formula>"未完成"</formula>
    </cfRule>
  </conditionalFormatting>
  <conditionalFormatting sqref="AK76">
    <cfRule type="cellIs" dxfId="1" priority="6117" operator="equal">
      <formula>"未完成"</formula>
    </cfRule>
    <cfRule type="cellIs" dxfId="0" priority="6118" operator="equal">
      <formula>"未完成"</formula>
    </cfRule>
  </conditionalFormatting>
  <conditionalFormatting sqref="AL76">
    <cfRule type="cellIs" dxfId="1" priority="6121" operator="equal">
      <formula>"未完成"</formula>
    </cfRule>
    <cfRule type="cellIs" dxfId="0" priority="6122" operator="equal">
      <formula>"未完成"</formula>
    </cfRule>
  </conditionalFormatting>
  <conditionalFormatting sqref="AM76">
    <cfRule type="cellIs" dxfId="1" priority="6112" operator="equal">
      <formula>"未完成"</formula>
    </cfRule>
    <cfRule type="cellIs" dxfId="0" priority="6113" operator="equal">
      <formula>"未完成"</formula>
    </cfRule>
  </conditionalFormatting>
  <conditionalFormatting sqref="AP76">
    <cfRule type="cellIs" dxfId="1" priority="6110" operator="equal">
      <formula>"未完成"</formula>
    </cfRule>
    <cfRule type="cellIs" dxfId="0" priority="6111" operator="equal">
      <formula>"未完成"</formula>
    </cfRule>
  </conditionalFormatting>
  <conditionalFormatting sqref="AQ76">
    <cfRule type="cellIs" dxfId="1" priority="6123" operator="equal">
      <formula>"未完成"</formula>
    </cfRule>
    <cfRule type="cellIs" dxfId="0" priority="6124" operator="equal">
      <formula>"未完成"</formula>
    </cfRule>
  </conditionalFormatting>
  <conditionalFormatting sqref="AS76">
    <cfRule type="cellIs" dxfId="1" priority="6114" operator="equal">
      <formula>"未完成"</formula>
    </cfRule>
    <cfRule type="cellIs" dxfId="0" priority="6115" operator="equal">
      <formula>"未完成"</formula>
    </cfRule>
  </conditionalFormatting>
  <conditionalFormatting sqref="AT76">
    <cfRule type="cellIs" dxfId="1" priority="6119" operator="equal">
      <formula>"未完成"</formula>
    </cfRule>
    <cfRule type="cellIs" dxfId="0" priority="6120" operator="equal">
      <formula>"未完成"</formula>
    </cfRule>
  </conditionalFormatting>
  <conditionalFormatting sqref="AU76:AV76">
    <cfRule type="cellIs" dxfId="1" priority="6125" operator="equal">
      <formula>"未完成"</formula>
    </cfRule>
    <cfRule type="cellIs" dxfId="0" priority="6126" operator="equal">
      <formula>"未完成"</formula>
    </cfRule>
  </conditionalFormatting>
  <conditionalFormatting sqref="R77">
    <cfRule type="cellIs" dxfId="0" priority="6095" operator="equal">
      <formula>"欠"</formula>
    </cfRule>
  </conditionalFormatting>
  <conditionalFormatting sqref="T77:U77">
    <cfRule type="cellIs" dxfId="0" priority="6088" operator="equal">
      <formula>"欠"</formula>
    </cfRule>
  </conditionalFormatting>
  <conditionalFormatting sqref="AE77">
    <cfRule type="cellIs" dxfId="0" priority="6106" operator="equal">
      <formula>"未完成"</formula>
    </cfRule>
  </conditionalFormatting>
  <conditionalFormatting sqref="AI77:AJ77">
    <cfRule type="cellIs" dxfId="1" priority="6107" operator="equal">
      <formula>"未完成"</formula>
    </cfRule>
    <cfRule type="cellIs" dxfId="0" priority="6108" operator="equal">
      <formula>"未完成"</formula>
    </cfRule>
  </conditionalFormatting>
  <conditionalFormatting sqref="AK77">
    <cfRule type="cellIs" dxfId="1" priority="6096" operator="equal">
      <formula>"未完成"</formula>
    </cfRule>
    <cfRule type="cellIs" dxfId="0" priority="6097" operator="equal">
      <formula>"未完成"</formula>
    </cfRule>
  </conditionalFormatting>
  <conditionalFormatting sqref="AL77">
    <cfRule type="cellIs" dxfId="1" priority="6100" operator="equal">
      <formula>"未完成"</formula>
    </cfRule>
    <cfRule type="cellIs" dxfId="0" priority="6101" operator="equal">
      <formula>"未完成"</formula>
    </cfRule>
  </conditionalFormatting>
  <conditionalFormatting sqref="AM77">
    <cfRule type="cellIs" dxfId="1" priority="6091" operator="equal">
      <formula>"未完成"</formula>
    </cfRule>
    <cfRule type="cellIs" dxfId="0" priority="6092" operator="equal">
      <formula>"未完成"</formula>
    </cfRule>
  </conditionalFormatting>
  <conditionalFormatting sqref="AP77">
    <cfRule type="cellIs" dxfId="1" priority="6089" operator="equal">
      <formula>"未完成"</formula>
    </cfRule>
    <cfRule type="cellIs" dxfId="0" priority="6090" operator="equal">
      <formula>"未完成"</formula>
    </cfRule>
  </conditionalFormatting>
  <conditionalFormatting sqref="AQ77">
    <cfRule type="cellIs" dxfId="1" priority="6102" operator="equal">
      <formula>"未完成"</formula>
    </cfRule>
    <cfRule type="cellIs" dxfId="0" priority="6103" operator="equal">
      <formula>"未完成"</formula>
    </cfRule>
  </conditionalFormatting>
  <conditionalFormatting sqref="AS77">
    <cfRule type="cellIs" dxfId="1" priority="6093" operator="equal">
      <formula>"未完成"</formula>
    </cfRule>
    <cfRule type="cellIs" dxfId="0" priority="6094" operator="equal">
      <formula>"未完成"</formula>
    </cfRule>
  </conditionalFormatting>
  <conditionalFormatting sqref="AT77">
    <cfRule type="cellIs" dxfId="1" priority="6098" operator="equal">
      <formula>"未完成"</formula>
    </cfRule>
    <cfRule type="cellIs" dxfId="0" priority="6099" operator="equal">
      <formula>"未完成"</formula>
    </cfRule>
  </conditionalFormatting>
  <conditionalFormatting sqref="AU77:AV77">
    <cfRule type="cellIs" dxfId="1" priority="6104" operator="equal">
      <formula>"未完成"</formula>
    </cfRule>
    <cfRule type="cellIs" dxfId="0" priority="6105" operator="equal">
      <formula>"未完成"</formula>
    </cfRule>
  </conditionalFormatting>
  <conditionalFormatting sqref="R78">
    <cfRule type="cellIs" dxfId="0" priority="6009" operator="equal">
      <formula>"欠"</formula>
    </cfRule>
  </conditionalFormatting>
  <conditionalFormatting sqref="T78:U78">
    <cfRule type="cellIs" dxfId="0" priority="5967" operator="equal">
      <formula>"欠"</formula>
    </cfRule>
  </conditionalFormatting>
  <conditionalFormatting sqref="AE78">
    <cfRule type="cellIs" dxfId="0" priority="6075" operator="equal">
      <formula>"未完成"</formula>
    </cfRule>
  </conditionalFormatting>
  <conditionalFormatting sqref="AI78:AJ78">
    <cfRule type="cellIs" dxfId="1" priority="6081" operator="equal">
      <formula>"未完成"</formula>
    </cfRule>
    <cfRule type="cellIs" dxfId="0" priority="6087" operator="equal">
      <formula>"未完成"</formula>
    </cfRule>
  </conditionalFormatting>
  <conditionalFormatting sqref="AK78">
    <cfRule type="cellIs" dxfId="1" priority="6015" operator="equal">
      <formula>"未完成"</formula>
    </cfRule>
    <cfRule type="cellIs" dxfId="0" priority="6021" operator="equal">
      <formula>"未完成"</formula>
    </cfRule>
  </conditionalFormatting>
  <conditionalFormatting sqref="AL78">
    <cfRule type="cellIs" dxfId="1" priority="6039" operator="equal">
      <formula>"未完成"</formula>
    </cfRule>
    <cfRule type="cellIs" dxfId="0" priority="6045" operator="equal">
      <formula>"未完成"</formula>
    </cfRule>
  </conditionalFormatting>
  <conditionalFormatting sqref="AM78">
    <cfRule type="cellIs" dxfId="1" priority="5985" operator="equal">
      <formula>"未完成"</formula>
    </cfRule>
    <cfRule type="cellIs" dxfId="0" priority="5991" operator="equal">
      <formula>"未完成"</formula>
    </cfRule>
  </conditionalFormatting>
  <conditionalFormatting sqref="AP78">
    <cfRule type="cellIs" dxfId="1" priority="5973" operator="equal">
      <formula>"未完成"</formula>
    </cfRule>
    <cfRule type="cellIs" dxfId="0" priority="5979" operator="equal">
      <formula>"未完成"</formula>
    </cfRule>
  </conditionalFormatting>
  <conditionalFormatting sqref="AQ78">
    <cfRule type="cellIs" dxfId="1" priority="6051" operator="equal">
      <formula>"未完成"</formula>
    </cfRule>
    <cfRule type="cellIs" dxfId="0" priority="6057" operator="equal">
      <formula>"未完成"</formula>
    </cfRule>
  </conditionalFormatting>
  <conditionalFormatting sqref="AS78">
    <cfRule type="cellIs" dxfId="1" priority="5997" operator="equal">
      <formula>"未完成"</formula>
    </cfRule>
    <cfRule type="cellIs" dxfId="0" priority="6003" operator="equal">
      <formula>"未完成"</formula>
    </cfRule>
  </conditionalFormatting>
  <conditionalFormatting sqref="AT78">
    <cfRule type="cellIs" dxfId="1" priority="6027" operator="equal">
      <formula>"未完成"</formula>
    </cfRule>
    <cfRule type="cellIs" dxfId="0" priority="6033" operator="equal">
      <formula>"未完成"</formula>
    </cfRule>
  </conditionalFormatting>
  <conditionalFormatting sqref="AU78:AV78">
    <cfRule type="cellIs" dxfId="1" priority="6063" operator="equal">
      <formula>"未完成"</formula>
    </cfRule>
    <cfRule type="cellIs" dxfId="0" priority="6069" operator="equal">
      <formula>"未完成"</formula>
    </cfRule>
  </conditionalFormatting>
  <conditionalFormatting sqref="R79">
    <cfRule type="cellIs" dxfId="0" priority="6008" operator="equal">
      <formula>"欠"</formula>
    </cfRule>
  </conditionalFormatting>
  <conditionalFormatting sqref="T79:U79">
    <cfRule type="cellIs" dxfId="0" priority="5966" operator="equal">
      <formula>"欠"</formula>
    </cfRule>
  </conditionalFormatting>
  <conditionalFormatting sqref="AE79">
    <cfRule type="cellIs" dxfId="0" priority="6074" operator="equal">
      <formula>"未完成"</formula>
    </cfRule>
  </conditionalFormatting>
  <conditionalFormatting sqref="AI79:AJ79">
    <cfRule type="cellIs" dxfId="1" priority="6080" operator="equal">
      <formula>"未完成"</formula>
    </cfRule>
    <cfRule type="cellIs" dxfId="0" priority="6086" operator="equal">
      <formula>"未完成"</formula>
    </cfRule>
  </conditionalFormatting>
  <conditionalFormatting sqref="AK79">
    <cfRule type="cellIs" dxfId="1" priority="6014" operator="equal">
      <formula>"未完成"</formula>
    </cfRule>
    <cfRule type="cellIs" dxfId="0" priority="6020" operator="equal">
      <formula>"未完成"</formula>
    </cfRule>
  </conditionalFormatting>
  <conditionalFormatting sqref="AL79">
    <cfRule type="cellIs" dxfId="1" priority="6038" operator="equal">
      <formula>"未完成"</formula>
    </cfRule>
    <cfRule type="cellIs" dxfId="0" priority="6044" operator="equal">
      <formula>"未完成"</formula>
    </cfRule>
  </conditionalFormatting>
  <conditionalFormatting sqref="AM79">
    <cfRule type="cellIs" dxfId="1" priority="5984" operator="equal">
      <formula>"未完成"</formula>
    </cfRule>
    <cfRule type="cellIs" dxfId="0" priority="5990" operator="equal">
      <formula>"未完成"</formula>
    </cfRule>
  </conditionalFormatting>
  <conditionalFormatting sqref="AP79">
    <cfRule type="cellIs" dxfId="1" priority="5972" operator="equal">
      <formula>"未完成"</formula>
    </cfRule>
    <cfRule type="cellIs" dxfId="0" priority="5978" operator="equal">
      <formula>"未完成"</formula>
    </cfRule>
  </conditionalFormatting>
  <conditionalFormatting sqref="AQ79">
    <cfRule type="cellIs" dxfId="1" priority="6050" operator="equal">
      <formula>"未完成"</formula>
    </cfRule>
    <cfRule type="cellIs" dxfId="0" priority="6056" operator="equal">
      <formula>"未完成"</formula>
    </cfRule>
  </conditionalFormatting>
  <conditionalFormatting sqref="AS79">
    <cfRule type="cellIs" dxfId="1" priority="5996" operator="equal">
      <formula>"未完成"</formula>
    </cfRule>
    <cfRule type="cellIs" dxfId="0" priority="6002" operator="equal">
      <formula>"未完成"</formula>
    </cfRule>
  </conditionalFormatting>
  <conditionalFormatting sqref="AT79">
    <cfRule type="cellIs" dxfId="1" priority="6026" operator="equal">
      <formula>"未完成"</formula>
    </cfRule>
    <cfRule type="cellIs" dxfId="0" priority="6032" operator="equal">
      <formula>"未完成"</formula>
    </cfRule>
  </conditionalFormatting>
  <conditionalFormatting sqref="AU79:AV79">
    <cfRule type="cellIs" dxfId="1" priority="6062" operator="equal">
      <formula>"未完成"</formula>
    </cfRule>
    <cfRule type="cellIs" dxfId="0" priority="6068" operator="equal">
      <formula>"未完成"</formula>
    </cfRule>
  </conditionalFormatting>
  <conditionalFormatting sqref="R80">
    <cfRule type="cellIs" dxfId="0" priority="6007" operator="equal">
      <formula>"欠"</formula>
    </cfRule>
  </conditionalFormatting>
  <conditionalFormatting sqref="T80:U80">
    <cfRule type="cellIs" dxfId="0" priority="5965" operator="equal">
      <formula>"欠"</formula>
    </cfRule>
  </conditionalFormatting>
  <conditionalFormatting sqref="AE80">
    <cfRule type="cellIs" dxfId="0" priority="6073" operator="equal">
      <formula>"未完成"</formula>
    </cfRule>
  </conditionalFormatting>
  <conditionalFormatting sqref="AI80:AJ80">
    <cfRule type="cellIs" dxfId="1" priority="6079" operator="equal">
      <formula>"未完成"</formula>
    </cfRule>
    <cfRule type="cellIs" dxfId="0" priority="6085" operator="equal">
      <formula>"未完成"</formula>
    </cfRule>
  </conditionalFormatting>
  <conditionalFormatting sqref="AK80">
    <cfRule type="cellIs" dxfId="1" priority="6013" operator="equal">
      <formula>"未完成"</formula>
    </cfRule>
    <cfRule type="cellIs" dxfId="0" priority="6019" operator="equal">
      <formula>"未完成"</formula>
    </cfRule>
  </conditionalFormatting>
  <conditionalFormatting sqref="AL80">
    <cfRule type="cellIs" dxfId="1" priority="6037" operator="equal">
      <formula>"未完成"</formula>
    </cfRule>
    <cfRule type="cellIs" dxfId="0" priority="6043" operator="equal">
      <formula>"未完成"</formula>
    </cfRule>
  </conditionalFormatting>
  <conditionalFormatting sqref="AM80">
    <cfRule type="cellIs" dxfId="1" priority="5983" operator="equal">
      <formula>"未完成"</formula>
    </cfRule>
    <cfRule type="cellIs" dxfId="0" priority="5989" operator="equal">
      <formula>"未完成"</formula>
    </cfRule>
  </conditionalFormatting>
  <conditionalFormatting sqref="AP80">
    <cfRule type="cellIs" dxfId="1" priority="5971" operator="equal">
      <formula>"未完成"</formula>
    </cfRule>
    <cfRule type="cellIs" dxfId="0" priority="5977" operator="equal">
      <formula>"未完成"</formula>
    </cfRule>
  </conditionalFormatting>
  <conditionalFormatting sqref="AQ80">
    <cfRule type="cellIs" dxfId="1" priority="6049" operator="equal">
      <formula>"未完成"</formula>
    </cfRule>
    <cfRule type="cellIs" dxfId="0" priority="6055" operator="equal">
      <formula>"未完成"</formula>
    </cfRule>
  </conditionalFormatting>
  <conditionalFormatting sqref="AS80">
    <cfRule type="cellIs" dxfId="1" priority="5995" operator="equal">
      <formula>"未完成"</formula>
    </cfRule>
    <cfRule type="cellIs" dxfId="0" priority="6001" operator="equal">
      <formula>"未完成"</formula>
    </cfRule>
  </conditionalFormatting>
  <conditionalFormatting sqref="AT80">
    <cfRule type="cellIs" dxfId="1" priority="6025" operator="equal">
      <formula>"未完成"</formula>
    </cfRule>
    <cfRule type="cellIs" dxfId="0" priority="6031" operator="equal">
      <formula>"未完成"</formula>
    </cfRule>
  </conditionalFormatting>
  <conditionalFormatting sqref="AU80:AV80">
    <cfRule type="cellIs" dxfId="1" priority="6061" operator="equal">
      <formula>"未完成"</formula>
    </cfRule>
    <cfRule type="cellIs" dxfId="0" priority="6067" operator="equal">
      <formula>"未完成"</formula>
    </cfRule>
  </conditionalFormatting>
  <conditionalFormatting sqref="R81">
    <cfRule type="cellIs" dxfId="0" priority="6006" operator="equal">
      <formula>"欠"</formula>
    </cfRule>
  </conditionalFormatting>
  <conditionalFormatting sqref="T81:U81">
    <cfRule type="cellIs" dxfId="0" priority="5964" operator="equal">
      <formula>"欠"</formula>
    </cfRule>
  </conditionalFormatting>
  <conditionalFormatting sqref="AE81">
    <cfRule type="cellIs" dxfId="0" priority="6072" operator="equal">
      <formula>"未完成"</formula>
    </cfRule>
  </conditionalFormatting>
  <conditionalFormatting sqref="AI81:AJ81">
    <cfRule type="cellIs" dxfId="1" priority="6078" operator="equal">
      <formula>"未完成"</formula>
    </cfRule>
    <cfRule type="cellIs" dxfId="0" priority="6084" operator="equal">
      <formula>"未完成"</formula>
    </cfRule>
  </conditionalFormatting>
  <conditionalFormatting sqref="AK81">
    <cfRule type="cellIs" dxfId="1" priority="6012" operator="equal">
      <formula>"未完成"</formula>
    </cfRule>
    <cfRule type="cellIs" dxfId="0" priority="6018" operator="equal">
      <formula>"未完成"</formula>
    </cfRule>
  </conditionalFormatting>
  <conditionalFormatting sqref="AL81">
    <cfRule type="cellIs" dxfId="1" priority="6036" operator="equal">
      <formula>"未完成"</formula>
    </cfRule>
    <cfRule type="cellIs" dxfId="0" priority="6042" operator="equal">
      <formula>"未完成"</formula>
    </cfRule>
  </conditionalFormatting>
  <conditionalFormatting sqref="AM81">
    <cfRule type="cellIs" dxfId="1" priority="5982" operator="equal">
      <formula>"未完成"</formula>
    </cfRule>
    <cfRule type="cellIs" dxfId="0" priority="5988" operator="equal">
      <formula>"未完成"</formula>
    </cfRule>
  </conditionalFormatting>
  <conditionalFormatting sqref="AP81">
    <cfRule type="cellIs" dxfId="1" priority="5970" operator="equal">
      <formula>"未完成"</formula>
    </cfRule>
    <cfRule type="cellIs" dxfId="0" priority="5976" operator="equal">
      <formula>"未完成"</formula>
    </cfRule>
  </conditionalFormatting>
  <conditionalFormatting sqref="AQ81">
    <cfRule type="cellIs" dxfId="1" priority="6048" operator="equal">
      <formula>"未完成"</formula>
    </cfRule>
    <cfRule type="cellIs" dxfId="0" priority="6054" operator="equal">
      <formula>"未完成"</formula>
    </cfRule>
  </conditionalFormatting>
  <conditionalFormatting sqref="AS81">
    <cfRule type="cellIs" dxfId="1" priority="5994" operator="equal">
      <formula>"未完成"</formula>
    </cfRule>
    <cfRule type="cellIs" dxfId="0" priority="6000" operator="equal">
      <formula>"未完成"</formula>
    </cfRule>
  </conditionalFormatting>
  <conditionalFormatting sqref="AT81">
    <cfRule type="cellIs" dxfId="1" priority="6024" operator="equal">
      <formula>"未完成"</formula>
    </cfRule>
    <cfRule type="cellIs" dxfId="0" priority="6030" operator="equal">
      <formula>"未完成"</formula>
    </cfRule>
  </conditionalFormatting>
  <conditionalFormatting sqref="AU81:AV81">
    <cfRule type="cellIs" dxfId="1" priority="6060" operator="equal">
      <formula>"未完成"</formula>
    </cfRule>
    <cfRule type="cellIs" dxfId="0" priority="6066" operator="equal">
      <formula>"未完成"</formula>
    </cfRule>
  </conditionalFormatting>
  <conditionalFormatting sqref="R82">
    <cfRule type="cellIs" dxfId="0" priority="6005" operator="equal">
      <formula>"欠"</formula>
    </cfRule>
  </conditionalFormatting>
  <conditionalFormatting sqref="T82:U82">
    <cfRule type="cellIs" dxfId="0" priority="5963" operator="equal">
      <formula>"欠"</formula>
    </cfRule>
  </conditionalFormatting>
  <conditionalFormatting sqref="AE82">
    <cfRule type="cellIs" dxfId="0" priority="6071" operator="equal">
      <formula>"未完成"</formula>
    </cfRule>
  </conditionalFormatting>
  <conditionalFormatting sqref="AI82:AJ82">
    <cfRule type="cellIs" dxfId="1" priority="6077" operator="equal">
      <formula>"未完成"</formula>
    </cfRule>
    <cfRule type="cellIs" dxfId="0" priority="6083" operator="equal">
      <formula>"未完成"</formula>
    </cfRule>
  </conditionalFormatting>
  <conditionalFormatting sqref="AK82">
    <cfRule type="cellIs" dxfId="1" priority="6011" operator="equal">
      <formula>"未完成"</formula>
    </cfRule>
    <cfRule type="cellIs" dxfId="0" priority="6017" operator="equal">
      <formula>"未完成"</formula>
    </cfRule>
  </conditionalFormatting>
  <conditionalFormatting sqref="AL82">
    <cfRule type="cellIs" dxfId="1" priority="6035" operator="equal">
      <formula>"未完成"</formula>
    </cfRule>
    <cfRule type="cellIs" dxfId="0" priority="6041" operator="equal">
      <formula>"未完成"</formula>
    </cfRule>
  </conditionalFormatting>
  <conditionalFormatting sqref="AM82">
    <cfRule type="cellIs" dxfId="1" priority="5981" operator="equal">
      <formula>"未完成"</formula>
    </cfRule>
    <cfRule type="cellIs" dxfId="0" priority="5987" operator="equal">
      <formula>"未完成"</formula>
    </cfRule>
  </conditionalFormatting>
  <conditionalFormatting sqref="AP82">
    <cfRule type="cellIs" dxfId="1" priority="5969" operator="equal">
      <formula>"未完成"</formula>
    </cfRule>
    <cfRule type="cellIs" dxfId="0" priority="5975" operator="equal">
      <formula>"未完成"</formula>
    </cfRule>
  </conditionalFormatting>
  <conditionalFormatting sqref="AQ82">
    <cfRule type="cellIs" dxfId="1" priority="6047" operator="equal">
      <formula>"未完成"</formula>
    </cfRule>
    <cfRule type="cellIs" dxfId="0" priority="6053" operator="equal">
      <formula>"未完成"</formula>
    </cfRule>
  </conditionalFormatting>
  <conditionalFormatting sqref="AS82">
    <cfRule type="cellIs" dxfId="1" priority="5993" operator="equal">
      <formula>"未完成"</formula>
    </cfRule>
    <cfRule type="cellIs" dxfId="0" priority="5999" operator="equal">
      <formula>"未完成"</formula>
    </cfRule>
  </conditionalFormatting>
  <conditionalFormatting sqref="AT82">
    <cfRule type="cellIs" dxfId="1" priority="6023" operator="equal">
      <formula>"未完成"</formula>
    </cfRule>
    <cfRule type="cellIs" dxfId="0" priority="6029" operator="equal">
      <formula>"未完成"</formula>
    </cfRule>
  </conditionalFormatting>
  <conditionalFormatting sqref="AU82:AV82">
    <cfRule type="cellIs" dxfId="1" priority="6059" operator="equal">
      <formula>"未完成"</formula>
    </cfRule>
    <cfRule type="cellIs" dxfId="0" priority="6065" operator="equal">
      <formula>"未完成"</formula>
    </cfRule>
  </conditionalFormatting>
  <conditionalFormatting sqref="R83">
    <cfRule type="cellIs" dxfId="0" priority="6004" operator="equal">
      <formula>"欠"</formula>
    </cfRule>
  </conditionalFormatting>
  <conditionalFormatting sqref="T83:U83">
    <cfRule type="cellIs" dxfId="0" priority="5962" operator="equal">
      <formula>"欠"</formula>
    </cfRule>
  </conditionalFormatting>
  <conditionalFormatting sqref="AE83">
    <cfRule type="cellIs" dxfId="0" priority="6070" operator="equal">
      <formula>"未完成"</formula>
    </cfRule>
  </conditionalFormatting>
  <conditionalFormatting sqref="AI83:AJ83">
    <cfRule type="cellIs" dxfId="1" priority="6076" operator="equal">
      <formula>"未完成"</formula>
    </cfRule>
    <cfRule type="cellIs" dxfId="0" priority="6082" operator="equal">
      <formula>"未完成"</formula>
    </cfRule>
  </conditionalFormatting>
  <conditionalFormatting sqref="AK83">
    <cfRule type="cellIs" dxfId="1" priority="6010" operator="equal">
      <formula>"未完成"</formula>
    </cfRule>
    <cfRule type="cellIs" dxfId="0" priority="6016" operator="equal">
      <formula>"未完成"</formula>
    </cfRule>
  </conditionalFormatting>
  <conditionalFormatting sqref="AL83">
    <cfRule type="cellIs" dxfId="1" priority="6034" operator="equal">
      <formula>"未完成"</formula>
    </cfRule>
    <cfRule type="cellIs" dxfId="0" priority="6040" operator="equal">
      <formula>"未完成"</formula>
    </cfRule>
  </conditionalFormatting>
  <conditionalFormatting sqref="AM83">
    <cfRule type="cellIs" dxfId="1" priority="5980" operator="equal">
      <formula>"未完成"</formula>
    </cfRule>
    <cfRule type="cellIs" dxfId="0" priority="5986" operator="equal">
      <formula>"未完成"</formula>
    </cfRule>
  </conditionalFormatting>
  <conditionalFormatting sqref="AP83">
    <cfRule type="cellIs" dxfId="1" priority="5968" operator="equal">
      <formula>"未完成"</formula>
    </cfRule>
    <cfRule type="cellIs" dxfId="0" priority="5974" operator="equal">
      <formula>"未完成"</formula>
    </cfRule>
  </conditionalFormatting>
  <conditionalFormatting sqref="AQ83">
    <cfRule type="cellIs" dxfId="1" priority="6046" operator="equal">
      <formula>"未完成"</formula>
    </cfRule>
    <cfRule type="cellIs" dxfId="0" priority="6052" operator="equal">
      <formula>"未完成"</formula>
    </cfRule>
  </conditionalFormatting>
  <conditionalFormatting sqref="AS83">
    <cfRule type="cellIs" dxfId="1" priority="5992" operator="equal">
      <formula>"未完成"</formula>
    </cfRule>
    <cfRule type="cellIs" dxfId="0" priority="5998" operator="equal">
      <formula>"未完成"</formula>
    </cfRule>
  </conditionalFormatting>
  <conditionalFormatting sqref="AT83">
    <cfRule type="cellIs" dxfId="1" priority="6022" operator="equal">
      <formula>"未完成"</formula>
    </cfRule>
    <cfRule type="cellIs" dxfId="0" priority="6028" operator="equal">
      <formula>"未完成"</formula>
    </cfRule>
  </conditionalFormatting>
  <conditionalFormatting sqref="AU83:AV83">
    <cfRule type="cellIs" dxfId="1" priority="6058" operator="equal">
      <formula>"未完成"</formula>
    </cfRule>
    <cfRule type="cellIs" dxfId="0" priority="6064" operator="equal">
      <formula>"未完成"</formula>
    </cfRule>
  </conditionalFormatting>
  <conditionalFormatting sqref="R84">
    <cfRule type="cellIs" dxfId="0" priority="5948" operator="equal">
      <formula>"欠"</formula>
    </cfRule>
  </conditionalFormatting>
  <conditionalFormatting sqref="T84:U84">
    <cfRule type="cellIs" dxfId="0" priority="5941" operator="equal">
      <formula>"欠"</formula>
    </cfRule>
  </conditionalFormatting>
  <conditionalFormatting sqref="AE84">
    <cfRule type="cellIs" dxfId="0" priority="5959" operator="equal">
      <formula>"未完成"</formula>
    </cfRule>
  </conditionalFormatting>
  <conditionalFormatting sqref="AI84:AJ84">
    <cfRule type="cellIs" dxfId="1" priority="5960" operator="equal">
      <formula>"未完成"</formula>
    </cfRule>
    <cfRule type="cellIs" dxfId="0" priority="5961" operator="equal">
      <formula>"未完成"</formula>
    </cfRule>
  </conditionalFormatting>
  <conditionalFormatting sqref="AK84">
    <cfRule type="cellIs" dxfId="1" priority="5949" operator="equal">
      <formula>"未完成"</formula>
    </cfRule>
    <cfRule type="cellIs" dxfId="0" priority="5950" operator="equal">
      <formula>"未完成"</formula>
    </cfRule>
  </conditionalFormatting>
  <conditionalFormatting sqref="AL84">
    <cfRule type="cellIs" dxfId="1" priority="5953" operator="equal">
      <formula>"未完成"</formula>
    </cfRule>
    <cfRule type="cellIs" dxfId="0" priority="5954" operator="equal">
      <formula>"未完成"</formula>
    </cfRule>
  </conditionalFormatting>
  <conditionalFormatting sqref="AM84">
    <cfRule type="cellIs" dxfId="1" priority="5944" operator="equal">
      <formula>"未完成"</formula>
    </cfRule>
    <cfRule type="cellIs" dxfId="0" priority="5945" operator="equal">
      <formula>"未完成"</formula>
    </cfRule>
  </conditionalFormatting>
  <conditionalFormatting sqref="AP84">
    <cfRule type="cellIs" dxfId="1" priority="5942" operator="equal">
      <formula>"未完成"</formula>
    </cfRule>
    <cfRule type="cellIs" dxfId="0" priority="5943" operator="equal">
      <formula>"未完成"</formula>
    </cfRule>
  </conditionalFormatting>
  <conditionalFormatting sqref="AQ84">
    <cfRule type="cellIs" dxfId="1" priority="5955" operator="equal">
      <formula>"未完成"</formula>
    </cfRule>
    <cfRule type="cellIs" dxfId="0" priority="5956" operator="equal">
      <formula>"未完成"</formula>
    </cfRule>
  </conditionalFormatting>
  <conditionalFormatting sqref="AS84">
    <cfRule type="cellIs" dxfId="1" priority="5946" operator="equal">
      <formula>"未完成"</formula>
    </cfRule>
    <cfRule type="cellIs" dxfId="0" priority="5947" operator="equal">
      <formula>"未完成"</formula>
    </cfRule>
  </conditionalFormatting>
  <conditionalFormatting sqref="AT84">
    <cfRule type="cellIs" dxfId="1" priority="5951" operator="equal">
      <formula>"未完成"</formula>
    </cfRule>
    <cfRule type="cellIs" dxfId="0" priority="5952" operator="equal">
      <formula>"未完成"</formula>
    </cfRule>
  </conditionalFormatting>
  <conditionalFormatting sqref="AU84:AV84">
    <cfRule type="cellIs" dxfId="1" priority="5957" operator="equal">
      <formula>"未完成"</formula>
    </cfRule>
    <cfRule type="cellIs" dxfId="0" priority="5958" operator="equal">
      <formula>"未完成"</formula>
    </cfRule>
  </conditionalFormatting>
  <conditionalFormatting sqref="R85">
    <cfRule type="cellIs" dxfId="0" priority="5906" operator="equal">
      <formula>"欠"</formula>
    </cfRule>
  </conditionalFormatting>
  <conditionalFormatting sqref="T85:U85">
    <cfRule type="cellIs" dxfId="0" priority="5899" operator="equal">
      <formula>"欠"</formula>
    </cfRule>
  </conditionalFormatting>
  <conditionalFormatting sqref="AE85">
    <cfRule type="cellIs" dxfId="0" priority="5917" operator="equal">
      <formula>"未完成"</formula>
    </cfRule>
  </conditionalFormatting>
  <conditionalFormatting sqref="AI85:AJ85">
    <cfRule type="cellIs" dxfId="1" priority="5918" operator="equal">
      <formula>"未完成"</formula>
    </cfRule>
    <cfRule type="cellIs" dxfId="0" priority="5919" operator="equal">
      <formula>"未完成"</formula>
    </cfRule>
  </conditionalFormatting>
  <conditionalFormatting sqref="AK85">
    <cfRule type="cellIs" dxfId="1" priority="5907" operator="equal">
      <formula>"未完成"</formula>
    </cfRule>
    <cfRule type="cellIs" dxfId="0" priority="5908" operator="equal">
      <formula>"未完成"</formula>
    </cfRule>
  </conditionalFormatting>
  <conditionalFormatting sqref="AL85">
    <cfRule type="cellIs" dxfId="1" priority="5911" operator="equal">
      <formula>"未完成"</formula>
    </cfRule>
    <cfRule type="cellIs" dxfId="0" priority="5912" operator="equal">
      <formula>"未完成"</formula>
    </cfRule>
  </conditionalFormatting>
  <conditionalFormatting sqref="AM85">
    <cfRule type="cellIs" dxfId="1" priority="5902" operator="equal">
      <formula>"未完成"</formula>
    </cfRule>
    <cfRule type="cellIs" dxfId="0" priority="5903" operator="equal">
      <formula>"未完成"</formula>
    </cfRule>
  </conditionalFormatting>
  <conditionalFormatting sqref="AP85">
    <cfRule type="cellIs" dxfId="1" priority="5900" operator="equal">
      <formula>"未完成"</formula>
    </cfRule>
    <cfRule type="cellIs" dxfId="0" priority="5901" operator="equal">
      <formula>"未完成"</formula>
    </cfRule>
  </conditionalFormatting>
  <conditionalFormatting sqref="AQ85">
    <cfRule type="cellIs" dxfId="1" priority="5913" operator="equal">
      <formula>"未完成"</formula>
    </cfRule>
    <cfRule type="cellIs" dxfId="0" priority="5914" operator="equal">
      <formula>"未完成"</formula>
    </cfRule>
  </conditionalFormatting>
  <conditionalFormatting sqref="AS85">
    <cfRule type="cellIs" dxfId="1" priority="5904" operator="equal">
      <formula>"未完成"</formula>
    </cfRule>
    <cfRule type="cellIs" dxfId="0" priority="5905" operator="equal">
      <formula>"未完成"</formula>
    </cfRule>
  </conditionalFormatting>
  <conditionalFormatting sqref="AT85">
    <cfRule type="cellIs" dxfId="1" priority="5909" operator="equal">
      <formula>"未完成"</formula>
    </cfRule>
    <cfRule type="cellIs" dxfId="0" priority="5910" operator="equal">
      <formula>"未完成"</formula>
    </cfRule>
  </conditionalFormatting>
  <conditionalFormatting sqref="AU85:AV85">
    <cfRule type="cellIs" dxfId="1" priority="5915" operator="equal">
      <formula>"未完成"</formula>
    </cfRule>
    <cfRule type="cellIs" dxfId="0" priority="5916" operator="equal">
      <formula>"未完成"</formula>
    </cfRule>
  </conditionalFormatting>
  <conditionalFormatting sqref="R86">
    <cfRule type="cellIs" dxfId="0" priority="5781" operator="equal">
      <formula>"欠"</formula>
    </cfRule>
  </conditionalFormatting>
  <conditionalFormatting sqref="T86:U86">
    <cfRule type="cellIs" dxfId="0" priority="5718" operator="equal">
      <formula>"欠"</formula>
    </cfRule>
  </conditionalFormatting>
  <conditionalFormatting sqref="AE86">
    <cfRule type="cellIs" dxfId="0" priority="5880" operator="equal">
      <formula>"未完成"</formula>
    </cfRule>
  </conditionalFormatting>
  <conditionalFormatting sqref="AI86:AJ86">
    <cfRule type="cellIs" dxfId="1" priority="5889" operator="equal">
      <formula>"未完成"</formula>
    </cfRule>
    <cfRule type="cellIs" dxfId="0" priority="5898" operator="equal">
      <formula>"未完成"</formula>
    </cfRule>
  </conditionalFormatting>
  <conditionalFormatting sqref="AK86">
    <cfRule type="cellIs" dxfId="1" priority="5790" operator="equal">
      <formula>"未完成"</formula>
    </cfRule>
    <cfRule type="cellIs" dxfId="0" priority="5799" operator="equal">
      <formula>"未完成"</formula>
    </cfRule>
  </conditionalFormatting>
  <conditionalFormatting sqref="AL86">
    <cfRule type="cellIs" dxfId="1" priority="5826" operator="equal">
      <formula>"未完成"</formula>
    </cfRule>
    <cfRule type="cellIs" dxfId="0" priority="5835" operator="equal">
      <formula>"未完成"</formula>
    </cfRule>
  </conditionalFormatting>
  <conditionalFormatting sqref="AM86">
    <cfRule type="cellIs" dxfId="1" priority="5745" operator="equal">
      <formula>"未完成"</formula>
    </cfRule>
    <cfRule type="cellIs" dxfId="0" priority="5754" operator="equal">
      <formula>"未完成"</formula>
    </cfRule>
  </conditionalFormatting>
  <conditionalFormatting sqref="AP86">
    <cfRule type="cellIs" dxfId="1" priority="5727" operator="equal">
      <formula>"未完成"</formula>
    </cfRule>
    <cfRule type="cellIs" dxfId="0" priority="5736" operator="equal">
      <formula>"未完成"</formula>
    </cfRule>
  </conditionalFormatting>
  <conditionalFormatting sqref="AQ86">
    <cfRule type="cellIs" dxfId="1" priority="5844" operator="equal">
      <formula>"未完成"</formula>
    </cfRule>
    <cfRule type="cellIs" dxfId="0" priority="5853" operator="equal">
      <formula>"未完成"</formula>
    </cfRule>
  </conditionalFormatting>
  <conditionalFormatting sqref="AS86">
    <cfRule type="cellIs" dxfId="1" priority="5763" operator="equal">
      <formula>"未完成"</formula>
    </cfRule>
    <cfRule type="cellIs" dxfId="0" priority="5772" operator="equal">
      <formula>"未完成"</formula>
    </cfRule>
  </conditionalFormatting>
  <conditionalFormatting sqref="AT86">
    <cfRule type="cellIs" dxfId="1" priority="5808" operator="equal">
      <formula>"未完成"</formula>
    </cfRule>
    <cfRule type="cellIs" dxfId="0" priority="5817" operator="equal">
      <formula>"未完成"</formula>
    </cfRule>
  </conditionalFormatting>
  <conditionalFormatting sqref="AU86:AV86">
    <cfRule type="cellIs" dxfId="1" priority="5862" operator="equal">
      <formula>"未完成"</formula>
    </cfRule>
    <cfRule type="cellIs" dxfId="0" priority="5871" operator="equal">
      <formula>"未完成"</formula>
    </cfRule>
  </conditionalFormatting>
  <conditionalFormatting sqref="R87">
    <cfRule type="cellIs" dxfId="0" priority="5780" operator="equal">
      <formula>"欠"</formula>
    </cfRule>
  </conditionalFormatting>
  <conditionalFormatting sqref="T87:U87">
    <cfRule type="cellIs" dxfId="0" priority="5717" operator="equal">
      <formula>"欠"</formula>
    </cfRule>
  </conditionalFormatting>
  <conditionalFormatting sqref="AE87">
    <cfRule type="cellIs" dxfId="0" priority="5879" operator="equal">
      <formula>"未完成"</formula>
    </cfRule>
  </conditionalFormatting>
  <conditionalFormatting sqref="AI87:AJ87">
    <cfRule type="cellIs" dxfId="1" priority="5888" operator="equal">
      <formula>"未完成"</formula>
    </cfRule>
    <cfRule type="cellIs" dxfId="0" priority="5897" operator="equal">
      <formula>"未完成"</formula>
    </cfRule>
  </conditionalFormatting>
  <conditionalFormatting sqref="AK87">
    <cfRule type="cellIs" dxfId="1" priority="5789" operator="equal">
      <formula>"未完成"</formula>
    </cfRule>
    <cfRule type="cellIs" dxfId="0" priority="5798" operator="equal">
      <formula>"未完成"</formula>
    </cfRule>
  </conditionalFormatting>
  <conditionalFormatting sqref="AL87">
    <cfRule type="cellIs" dxfId="1" priority="5825" operator="equal">
      <formula>"未完成"</formula>
    </cfRule>
    <cfRule type="cellIs" dxfId="0" priority="5834" operator="equal">
      <formula>"未完成"</formula>
    </cfRule>
  </conditionalFormatting>
  <conditionalFormatting sqref="AM87">
    <cfRule type="cellIs" dxfId="1" priority="5744" operator="equal">
      <formula>"未完成"</formula>
    </cfRule>
    <cfRule type="cellIs" dxfId="0" priority="5753" operator="equal">
      <formula>"未完成"</formula>
    </cfRule>
  </conditionalFormatting>
  <conditionalFormatting sqref="AP87">
    <cfRule type="cellIs" dxfId="1" priority="5726" operator="equal">
      <formula>"未完成"</formula>
    </cfRule>
    <cfRule type="cellIs" dxfId="0" priority="5735" operator="equal">
      <formula>"未完成"</formula>
    </cfRule>
  </conditionalFormatting>
  <conditionalFormatting sqref="AQ87">
    <cfRule type="cellIs" dxfId="1" priority="5843" operator="equal">
      <formula>"未完成"</formula>
    </cfRule>
    <cfRule type="cellIs" dxfId="0" priority="5852" operator="equal">
      <formula>"未完成"</formula>
    </cfRule>
  </conditionalFormatting>
  <conditionalFormatting sqref="AS87">
    <cfRule type="cellIs" dxfId="1" priority="5762" operator="equal">
      <formula>"未完成"</formula>
    </cfRule>
    <cfRule type="cellIs" dxfId="0" priority="5771" operator="equal">
      <formula>"未完成"</formula>
    </cfRule>
  </conditionalFormatting>
  <conditionalFormatting sqref="AT87">
    <cfRule type="cellIs" dxfId="1" priority="5807" operator="equal">
      <formula>"未完成"</formula>
    </cfRule>
    <cfRule type="cellIs" dxfId="0" priority="5816" operator="equal">
      <formula>"未完成"</formula>
    </cfRule>
  </conditionalFormatting>
  <conditionalFormatting sqref="AU87:AV87">
    <cfRule type="cellIs" dxfId="1" priority="5861" operator="equal">
      <formula>"未完成"</formula>
    </cfRule>
    <cfRule type="cellIs" dxfId="0" priority="5870" operator="equal">
      <formula>"未完成"</formula>
    </cfRule>
  </conditionalFormatting>
  <conditionalFormatting sqref="R88">
    <cfRule type="cellIs" dxfId="0" priority="5779" operator="equal">
      <formula>"欠"</formula>
    </cfRule>
  </conditionalFormatting>
  <conditionalFormatting sqref="T88:U88">
    <cfRule type="cellIs" dxfId="0" priority="5716" operator="equal">
      <formula>"欠"</formula>
    </cfRule>
  </conditionalFormatting>
  <conditionalFormatting sqref="AE88">
    <cfRule type="cellIs" dxfId="0" priority="5878" operator="equal">
      <formula>"未完成"</formula>
    </cfRule>
  </conditionalFormatting>
  <conditionalFormatting sqref="AI88:AJ88">
    <cfRule type="cellIs" dxfId="1" priority="5887" operator="equal">
      <formula>"未完成"</formula>
    </cfRule>
    <cfRule type="cellIs" dxfId="0" priority="5896" operator="equal">
      <formula>"未完成"</formula>
    </cfRule>
  </conditionalFormatting>
  <conditionalFormatting sqref="AK88">
    <cfRule type="cellIs" dxfId="1" priority="5788" operator="equal">
      <formula>"未完成"</formula>
    </cfRule>
    <cfRule type="cellIs" dxfId="0" priority="5797" operator="equal">
      <formula>"未完成"</formula>
    </cfRule>
  </conditionalFormatting>
  <conditionalFormatting sqref="AL88">
    <cfRule type="cellIs" dxfId="1" priority="5824" operator="equal">
      <formula>"未完成"</formula>
    </cfRule>
    <cfRule type="cellIs" dxfId="0" priority="5833" operator="equal">
      <formula>"未完成"</formula>
    </cfRule>
  </conditionalFormatting>
  <conditionalFormatting sqref="AM88">
    <cfRule type="cellIs" dxfId="1" priority="5743" operator="equal">
      <formula>"未完成"</formula>
    </cfRule>
    <cfRule type="cellIs" dxfId="0" priority="5752" operator="equal">
      <formula>"未完成"</formula>
    </cfRule>
  </conditionalFormatting>
  <conditionalFormatting sqref="AP88">
    <cfRule type="cellIs" dxfId="1" priority="5725" operator="equal">
      <formula>"未完成"</formula>
    </cfRule>
    <cfRule type="cellIs" dxfId="0" priority="5734" operator="equal">
      <formula>"未完成"</formula>
    </cfRule>
  </conditionalFormatting>
  <conditionalFormatting sqref="AQ88">
    <cfRule type="cellIs" dxfId="1" priority="5842" operator="equal">
      <formula>"未完成"</formula>
    </cfRule>
    <cfRule type="cellIs" dxfId="0" priority="5851" operator="equal">
      <formula>"未完成"</formula>
    </cfRule>
  </conditionalFormatting>
  <conditionalFormatting sqref="AS88">
    <cfRule type="cellIs" dxfId="1" priority="5761" operator="equal">
      <formula>"未完成"</formula>
    </cfRule>
    <cfRule type="cellIs" dxfId="0" priority="5770" operator="equal">
      <formula>"未完成"</formula>
    </cfRule>
  </conditionalFormatting>
  <conditionalFormatting sqref="AT88">
    <cfRule type="cellIs" dxfId="1" priority="5806" operator="equal">
      <formula>"未完成"</formula>
    </cfRule>
    <cfRule type="cellIs" dxfId="0" priority="5815" operator="equal">
      <formula>"未完成"</formula>
    </cfRule>
  </conditionalFormatting>
  <conditionalFormatting sqref="AU88:AV88">
    <cfRule type="cellIs" dxfId="1" priority="5860" operator="equal">
      <formula>"未完成"</formula>
    </cfRule>
    <cfRule type="cellIs" dxfId="0" priority="5869" operator="equal">
      <formula>"未完成"</formula>
    </cfRule>
  </conditionalFormatting>
  <conditionalFormatting sqref="R89">
    <cfRule type="cellIs" dxfId="0" priority="5778" operator="equal">
      <formula>"欠"</formula>
    </cfRule>
  </conditionalFormatting>
  <conditionalFormatting sqref="T89:U89">
    <cfRule type="cellIs" dxfId="0" priority="5715" operator="equal">
      <formula>"欠"</formula>
    </cfRule>
  </conditionalFormatting>
  <conditionalFormatting sqref="AE89">
    <cfRule type="cellIs" dxfId="0" priority="5877" operator="equal">
      <formula>"未完成"</formula>
    </cfRule>
  </conditionalFormatting>
  <conditionalFormatting sqref="AI89:AJ89">
    <cfRule type="cellIs" dxfId="1" priority="5886" operator="equal">
      <formula>"未完成"</formula>
    </cfRule>
    <cfRule type="cellIs" dxfId="0" priority="5895" operator="equal">
      <formula>"未完成"</formula>
    </cfRule>
  </conditionalFormatting>
  <conditionalFormatting sqref="AK89">
    <cfRule type="cellIs" dxfId="1" priority="5787" operator="equal">
      <formula>"未完成"</formula>
    </cfRule>
    <cfRule type="cellIs" dxfId="0" priority="5796" operator="equal">
      <formula>"未完成"</formula>
    </cfRule>
  </conditionalFormatting>
  <conditionalFormatting sqref="AL89">
    <cfRule type="cellIs" dxfId="1" priority="5823" operator="equal">
      <formula>"未完成"</formula>
    </cfRule>
    <cfRule type="cellIs" dxfId="0" priority="5832" operator="equal">
      <formula>"未完成"</formula>
    </cfRule>
  </conditionalFormatting>
  <conditionalFormatting sqref="AM89">
    <cfRule type="cellIs" dxfId="1" priority="5742" operator="equal">
      <formula>"未完成"</formula>
    </cfRule>
    <cfRule type="cellIs" dxfId="0" priority="5751" operator="equal">
      <formula>"未完成"</formula>
    </cfRule>
  </conditionalFormatting>
  <conditionalFormatting sqref="AP89">
    <cfRule type="cellIs" dxfId="1" priority="5724" operator="equal">
      <formula>"未完成"</formula>
    </cfRule>
    <cfRule type="cellIs" dxfId="0" priority="5733" operator="equal">
      <formula>"未完成"</formula>
    </cfRule>
  </conditionalFormatting>
  <conditionalFormatting sqref="AQ89">
    <cfRule type="cellIs" dxfId="1" priority="5841" operator="equal">
      <formula>"未完成"</formula>
    </cfRule>
    <cfRule type="cellIs" dxfId="0" priority="5850" operator="equal">
      <formula>"未完成"</formula>
    </cfRule>
  </conditionalFormatting>
  <conditionalFormatting sqref="AS89">
    <cfRule type="cellIs" dxfId="1" priority="5760" operator="equal">
      <formula>"未完成"</formula>
    </cfRule>
    <cfRule type="cellIs" dxfId="0" priority="5769" operator="equal">
      <formula>"未完成"</formula>
    </cfRule>
  </conditionalFormatting>
  <conditionalFormatting sqref="AT89">
    <cfRule type="cellIs" dxfId="1" priority="5805" operator="equal">
      <formula>"未完成"</formula>
    </cfRule>
    <cfRule type="cellIs" dxfId="0" priority="5814" operator="equal">
      <formula>"未完成"</formula>
    </cfRule>
  </conditionalFormatting>
  <conditionalFormatting sqref="AU89:AV89">
    <cfRule type="cellIs" dxfId="1" priority="5859" operator="equal">
      <formula>"未完成"</formula>
    </cfRule>
    <cfRule type="cellIs" dxfId="0" priority="5868" operator="equal">
      <formula>"未完成"</formula>
    </cfRule>
  </conditionalFormatting>
  <conditionalFormatting sqref="R90">
    <cfRule type="cellIs" dxfId="0" priority="5777" operator="equal">
      <formula>"欠"</formula>
    </cfRule>
  </conditionalFormatting>
  <conditionalFormatting sqref="T90:U90">
    <cfRule type="cellIs" dxfId="0" priority="5714" operator="equal">
      <formula>"欠"</formula>
    </cfRule>
  </conditionalFormatting>
  <conditionalFormatting sqref="AE90">
    <cfRule type="cellIs" dxfId="0" priority="5876" operator="equal">
      <formula>"未完成"</formula>
    </cfRule>
  </conditionalFormatting>
  <conditionalFormatting sqref="AI90:AJ90">
    <cfRule type="cellIs" dxfId="1" priority="5885" operator="equal">
      <formula>"未完成"</formula>
    </cfRule>
    <cfRule type="cellIs" dxfId="0" priority="5894" operator="equal">
      <formula>"未完成"</formula>
    </cfRule>
  </conditionalFormatting>
  <conditionalFormatting sqref="AK90">
    <cfRule type="cellIs" dxfId="1" priority="5786" operator="equal">
      <formula>"未完成"</formula>
    </cfRule>
    <cfRule type="cellIs" dxfId="0" priority="5795" operator="equal">
      <formula>"未完成"</formula>
    </cfRule>
  </conditionalFormatting>
  <conditionalFormatting sqref="AL90">
    <cfRule type="cellIs" dxfId="1" priority="5822" operator="equal">
      <formula>"未完成"</formula>
    </cfRule>
    <cfRule type="cellIs" dxfId="0" priority="5831" operator="equal">
      <formula>"未完成"</formula>
    </cfRule>
  </conditionalFormatting>
  <conditionalFormatting sqref="AM90">
    <cfRule type="cellIs" dxfId="1" priority="5741" operator="equal">
      <formula>"未完成"</formula>
    </cfRule>
    <cfRule type="cellIs" dxfId="0" priority="5750" operator="equal">
      <formula>"未完成"</formula>
    </cfRule>
  </conditionalFormatting>
  <conditionalFormatting sqref="AP90">
    <cfRule type="cellIs" dxfId="1" priority="5723" operator="equal">
      <formula>"未完成"</formula>
    </cfRule>
    <cfRule type="cellIs" dxfId="0" priority="5732" operator="equal">
      <formula>"未完成"</formula>
    </cfRule>
  </conditionalFormatting>
  <conditionalFormatting sqref="AQ90">
    <cfRule type="cellIs" dxfId="1" priority="5840" operator="equal">
      <formula>"未完成"</formula>
    </cfRule>
    <cfRule type="cellIs" dxfId="0" priority="5849" operator="equal">
      <formula>"未完成"</formula>
    </cfRule>
  </conditionalFormatting>
  <conditionalFormatting sqref="AS90">
    <cfRule type="cellIs" dxfId="1" priority="5759" operator="equal">
      <formula>"未完成"</formula>
    </cfRule>
    <cfRule type="cellIs" dxfId="0" priority="5768" operator="equal">
      <formula>"未完成"</formula>
    </cfRule>
  </conditionalFormatting>
  <conditionalFormatting sqref="AT90">
    <cfRule type="cellIs" dxfId="1" priority="5804" operator="equal">
      <formula>"未完成"</formula>
    </cfRule>
    <cfRule type="cellIs" dxfId="0" priority="5813" operator="equal">
      <formula>"未完成"</formula>
    </cfRule>
  </conditionalFormatting>
  <conditionalFormatting sqref="AU90:AV90">
    <cfRule type="cellIs" dxfId="1" priority="5858" operator="equal">
      <formula>"未完成"</formula>
    </cfRule>
    <cfRule type="cellIs" dxfId="0" priority="5867" operator="equal">
      <formula>"未完成"</formula>
    </cfRule>
  </conditionalFormatting>
  <conditionalFormatting sqref="R91">
    <cfRule type="cellIs" dxfId="0" priority="5776" operator="equal">
      <formula>"欠"</formula>
    </cfRule>
  </conditionalFormatting>
  <conditionalFormatting sqref="T91:U91">
    <cfRule type="cellIs" dxfId="0" priority="5713" operator="equal">
      <formula>"欠"</formula>
    </cfRule>
  </conditionalFormatting>
  <conditionalFormatting sqref="AE91">
    <cfRule type="cellIs" dxfId="0" priority="5875" operator="equal">
      <formula>"未完成"</formula>
    </cfRule>
  </conditionalFormatting>
  <conditionalFormatting sqref="AI91:AJ91">
    <cfRule type="cellIs" dxfId="1" priority="5884" operator="equal">
      <formula>"未完成"</formula>
    </cfRule>
    <cfRule type="cellIs" dxfId="0" priority="5893" operator="equal">
      <formula>"未完成"</formula>
    </cfRule>
  </conditionalFormatting>
  <conditionalFormatting sqref="AK91">
    <cfRule type="cellIs" dxfId="1" priority="5785" operator="equal">
      <formula>"未完成"</formula>
    </cfRule>
    <cfRule type="cellIs" dxfId="0" priority="5794" operator="equal">
      <formula>"未完成"</formula>
    </cfRule>
  </conditionalFormatting>
  <conditionalFormatting sqref="AL91">
    <cfRule type="cellIs" dxfId="1" priority="5821" operator="equal">
      <formula>"未完成"</formula>
    </cfRule>
    <cfRule type="cellIs" dxfId="0" priority="5830" operator="equal">
      <formula>"未完成"</formula>
    </cfRule>
  </conditionalFormatting>
  <conditionalFormatting sqref="AM91">
    <cfRule type="cellIs" dxfId="1" priority="5740" operator="equal">
      <formula>"未完成"</formula>
    </cfRule>
    <cfRule type="cellIs" dxfId="0" priority="5749" operator="equal">
      <formula>"未完成"</formula>
    </cfRule>
  </conditionalFormatting>
  <conditionalFormatting sqref="AP91">
    <cfRule type="cellIs" dxfId="1" priority="5722" operator="equal">
      <formula>"未完成"</formula>
    </cfRule>
    <cfRule type="cellIs" dxfId="0" priority="5731" operator="equal">
      <formula>"未完成"</formula>
    </cfRule>
  </conditionalFormatting>
  <conditionalFormatting sqref="AQ91">
    <cfRule type="cellIs" dxfId="1" priority="5839" operator="equal">
      <formula>"未完成"</formula>
    </cfRule>
    <cfRule type="cellIs" dxfId="0" priority="5848" operator="equal">
      <formula>"未完成"</formula>
    </cfRule>
  </conditionalFormatting>
  <conditionalFormatting sqref="AS91">
    <cfRule type="cellIs" dxfId="1" priority="5758" operator="equal">
      <formula>"未完成"</formula>
    </cfRule>
    <cfRule type="cellIs" dxfId="0" priority="5767" operator="equal">
      <formula>"未完成"</formula>
    </cfRule>
  </conditionalFormatting>
  <conditionalFormatting sqref="AT91">
    <cfRule type="cellIs" dxfId="1" priority="5803" operator="equal">
      <formula>"未完成"</formula>
    </cfRule>
    <cfRule type="cellIs" dxfId="0" priority="5812" operator="equal">
      <formula>"未完成"</formula>
    </cfRule>
  </conditionalFormatting>
  <conditionalFormatting sqref="AU91:AV91">
    <cfRule type="cellIs" dxfId="1" priority="5857" operator="equal">
      <formula>"未完成"</formula>
    </cfRule>
    <cfRule type="cellIs" dxfId="0" priority="5866" operator="equal">
      <formula>"未完成"</formula>
    </cfRule>
  </conditionalFormatting>
  <conditionalFormatting sqref="R92">
    <cfRule type="cellIs" dxfId="0" priority="5775" operator="equal">
      <formula>"欠"</formula>
    </cfRule>
  </conditionalFormatting>
  <conditionalFormatting sqref="T92:U92">
    <cfRule type="cellIs" dxfId="0" priority="5712" operator="equal">
      <formula>"欠"</formula>
    </cfRule>
  </conditionalFormatting>
  <conditionalFormatting sqref="AE92">
    <cfRule type="cellIs" dxfId="0" priority="5874" operator="equal">
      <formula>"未完成"</formula>
    </cfRule>
  </conditionalFormatting>
  <conditionalFormatting sqref="AI92:AJ92">
    <cfRule type="cellIs" dxfId="1" priority="5883" operator="equal">
      <formula>"未完成"</formula>
    </cfRule>
    <cfRule type="cellIs" dxfId="0" priority="5892" operator="equal">
      <formula>"未完成"</formula>
    </cfRule>
  </conditionalFormatting>
  <conditionalFormatting sqref="AK92">
    <cfRule type="cellIs" dxfId="1" priority="5784" operator="equal">
      <formula>"未完成"</formula>
    </cfRule>
    <cfRule type="cellIs" dxfId="0" priority="5793" operator="equal">
      <formula>"未完成"</formula>
    </cfRule>
  </conditionalFormatting>
  <conditionalFormatting sqref="AL92">
    <cfRule type="cellIs" dxfId="1" priority="5820" operator="equal">
      <formula>"未完成"</formula>
    </cfRule>
    <cfRule type="cellIs" dxfId="0" priority="5829" operator="equal">
      <formula>"未完成"</formula>
    </cfRule>
  </conditionalFormatting>
  <conditionalFormatting sqref="AM92">
    <cfRule type="cellIs" dxfId="1" priority="5739" operator="equal">
      <formula>"未完成"</formula>
    </cfRule>
    <cfRule type="cellIs" dxfId="0" priority="5748" operator="equal">
      <formula>"未完成"</formula>
    </cfRule>
  </conditionalFormatting>
  <conditionalFormatting sqref="AP92">
    <cfRule type="cellIs" dxfId="1" priority="5721" operator="equal">
      <formula>"未完成"</formula>
    </cfRule>
    <cfRule type="cellIs" dxfId="0" priority="5730" operator="equal">
      <formula>"未完成"</formula>
    </cfRule>
  </conditionalFormatting>
  <conditionalFormatting sqref="AQ92">
    <cfRule type="cellIs" dxfId="1" priority="5838" operator="equal">
      <formula>"未完成"</formula>
    </cfRule>
    <cfRule type="cellIs" dxfId="0" priority="5847" operator="equal">
      <formula>"未完成"</formula>
    </cfRule>
  </conditionalFormatting>
  <conditionalFormatting sqref="AS92">
    <cfRule type="cellIs" dxfId="1" priority="5757" operator="equal">
      <formula>"未完成"</formula>
    </cfRule>
    <cfRule type="cellIs" dxfId="0" priority="5766" operator="equal">
      <formula>"未完成"</formula>
    </cfRule>
  </conditionalFormatting>
  <conditionalFormatting sqref="AT92">
    <cfRule type="cellIs" dxfId="1" priority="5802" operator="equal">
      <formula>"未完成"</formula>
    </cfRule>
    <cfRule type="cellIs" dxfId="0" priority="5811" operator="equal">
      <formula>"未完成"</formula>
    </cfRule>
  </conditionalFormatting>
  <conditionalFormatting sqref="AU92:AV92">
    <cfRule type="cellIs" dxfId="1" priority="5856" operator="equal">
      <formula>"未完成"</formula>
    </cfRule>
    <cfRule type="cellIs" dxfId="0" priority="5865" operator="equal">
      <formula>"未完成"</formula>
    </cfRule>
  </conditionalFormatting>
  <conditionalFormatting sqref="R93">
    <cfRule type="cellIs" dxfId="0" priority="5774" operator="equal">
      <formula>"欠"</formula>
    </cfRule>
  </conditionalFormatting>
  <conditionalFormatting sqref="T93:U93">
    <cfRule type="cellIs" dxfId="0" priority="5711" operator="equal">
      <formula>"欠"</formula>
    </cfRule>
  </conditionalFormatting>
  <conditionalFormatting sqref="AE93">
    <cfRule type="cellIs" dxfId="0" priority="5873" operator="equal">
      <formula>"未完成"</formula>
    </cfRule>
  </conditionalFormatting>
  <conditionalFormatting sqref="AI93:AJ93">
    <cfRule type="cellIs" dxfId="1" priority="5882" operator="equal">
      <formula>"未完成"</formula>
    </cfRule>
    <cfRule type="cellIs" dxfId="0" priority="5891" operator="equal">
      <formula>"未完成"</formula>
    </cfRule>
  </conditionalFormatting>
  <conditionalFormatting sqref="AK93">
    <cfRule type="cellIs" dxfId="1" priority="5783" operator="equal">
      <formula>"未完成"</formula>
    </cfRule>
    <cfRule type="cellIs" dxfId="0" priority="5792" operator="equal">
      <formula>"未完成"</formula>
    </cfRule>
  </conditionalFormatting>
  <conditionalFormatting sqref="AL93">
    <cfRule type="cellIs" dxfId="1" priority="5819" operator="equal">
      <formula>"未完成"</formula>
    </cfRule>
    <cfRule type="cellIs" dxfId="0" priority="5828" operator="equal">
      <formula>"未完成"</formula>
    </cfRule>
  </conditionalFormatting>
  <conditionalFormatting sqref="AM93">
    <cfRule type="cellIs" dxfId="1" priority="5738" operator="equal">
      <formula>"未完成"</formula>
    </cfRule>
    <cfRule type="cellIs" dxfId="0" priority="5747" operator="equal">
      <formula>"未完成"</formula>
    </cfRule>
  </conditionalFormatting>
  <conditionalFormatting sqref="AP93">
    <cfRule type="cellIs" dxfId="1" priority="5720" operator="equal">
      <formula>"未完成"</formula>
    </cfRule>
    <cfRule type="cellIs" dxfId="0" priority="5729" operator="equal">
      <formula>"未完成"</formula>
    </cfRule>
  </conditionalFormatting>
  <conditionalFormatting sqref="AQ93">
    <cfRule type="cellIs" dxfId="1" priority="5837" operator="equal">
      <formula>"未完成"</formula>
    </cfRule>
    <cfRule type="cellIs" dxfId="0" priority="5846" operator="equal">
      <formula>"未完成"</formula>
    </cfRule>
  </conditionalFormatting>
  <conditionalFormatting sqref="AS93">
    <cfRule type="cellIs" dxfId="1" priority="5756" operator="equal">
      <formula>"未完成"</formula>
    </cfRule>
    <cfRule type="cellIs" dxfId="0" priority="5765" operator="equal">
      <formula>"未完成"</formula>
    </cfRule>
  </conditionalFormatting>
  <conditionalFormatting sqref="AT93">
    <cfRule type="cellIs" dxfId="1" priority="5801" operator="equal">
      <formula>"未完成"</formula>
    </cfRule>
    <cfRule type="cellIs" dxfId="0" priority="5810" operator="equal">
      <formula>"未完成"</formula>
    </cfRule>
  </conditionalFormatting>
  <conditionalFormatting sqref="AU93:AV93">
    <cfRule type="cellIs" dxfId="1" priority="5855" operator="equal">
      <formula>"未完成"</formula>
    </cfRule>
    <cfRule type="cellIs" dxfId="0" priority="5864" operator="equal">
      <formula>"未完成"</formula>
    </cfRule>
  </conditionalFormatting>
  <conditionalFormatting sqref="R94">
    <cfRule type="cellIs" dxfId="0" priority="5773" operator="equal">
      <formula>"欠"</formula>
    </cfRule>
  </conditionalFormatting>
  <conditionalFormatting sqref="T94:U94">
    <cfRule type="cellIs" dxfId="0" priority="5710" operator="equal">
      <formula>"欠"</formula>
    </cfRule>
  </conditionalFormatting>
  <conditionalFormatting sqref="AE94">
    <cfRule type="cellIs" dxfId="0" priority="5872" operator="equal">
      <formula>"未完成"</formula>
    </cfRule>
  </conditionalFormatting>
  <conditionalFormatting sqref="AI94:AJ94">
    <cfRule type="cellIs" dxfId="1" priority="5881" operator="equal">
      <formula>"未完成"</formula>
    </cfRule>
    <cfRule type="cellIs" dxfId="0" priority="5890" operator="equal">
      <formula>"未完成"</formula>
    </cfRule>
  </conditionalFormatting>
  <conditionalFormatting sqref="AK94">
    <cfRule type="cellIs" dxfId="1" priority="5782" operator="equal">
      <formula>"未完成"</formula>
    </cfRule>
    <cfRule type="cellIs" dxfId="0" priority="5791" operator="equal">
      <formula>"未完成"</formula>
    </cfRule>
  </conditionalFormatting>
  <conditionalFormatting sqref="AL94">
    <cfRule type="cellIs" dxfId="1" priority="5818" operator="equal">
      <formula>"未完成"</formula>
    </cfRule>
    <cfRule type="cellIs" dxfId="0" priority="5827" operator="equal">
      <formula>"未完成"</formula>
    </cfRule>
  </conditionalFormatting>
  <conditionalFormatting sqref="AM94">
    <cfRule type="cellIs" dxfId="1" priority="5737" operator="equal">
      <formula>"未完成"</formula>
    </cfRule>
    <cfRule type="cellIs" dxfId="0" priority="5746" operator="equal">
      <formula>"未完成"</formula>
    </cfRule>
  </conditionalFormatting>
  <conditionalFormatting sqref="AP94">
    <cfRule type="cellIs" dxfId="1" priority="5719" operator="equal">
      <formula>"未完成"</formula>
    </cfRule>
    <cfRule type="cellIs" dxfId="0" priority="5728" operator="equal">
      <formula>"未完成"</formula>
    </cfRule>
  </conditionalFormatting>
  <conditionalFormatting sqref="AQ94">
    <cfRule type="cellIs" dxfId="1" priority="5836" operator="equal">
      <formula>"未完成"</formula>
    </cfRule>
    <cfRule type="cellIs" dxfId="0" priority="5845" operator="equal">
      <formula>"未完成"</formula>
    </cfRule>
  </conditionalFormatting>
  <conditionalFormatting sqref="AS94">
    <cfRule type="cellIs" dxfId="1" priority="5755" operator="equal">
      <formula>"未完成"</formula>
    </cfRule>
    <cfRule type="cellIs" dxfId="0" priority="5764" operator="equal">
      <formula>"未完成"</formula>
    </cfRule>
  </conditionalFormatting>
  <conditionalFormatting sqref="AT94">
    <cfRule type="cellIs" dxfId="1" priority="5800" operator="equal">
      <formula>"未完成"</formula>
    </cfRule>
    <cfRule type="cellIs" dxfId="0" priority="5809" operator="equal">
      <formula>"未完成"</formula>
    </cfRule>
  </conditionalFormatting>
  <conditionalFormatting sqref="AU94:AV94">
    <cfRule type="cellIs" dxfId="1" priority="5854" operator="equal">
      <formula>"未完成"</formula>
    </cfRule>
    <cfRule type="cellIs" dxfId="0" priority="5863" operator="equal">
      <formula>"未完成"</formula>
    </cfRule>
  </conditionalFormatting>
  <conditionalFormatting sqref="R95">
    <cfRule type="cellIs" dxfId="0" priority="5642" operator="equal">
      <formula>"欠"</formula>
    </cfRule>
  </conditionalFormatting>
  <conditionalFormatting sqref="T95:U95">
    <cfRule type="cellIs" dxfId="0" priority="5614" operator="equal">
      <formula>"欠"</formula>
    </cfRule>
  </conditionalFormatting>
  <conditionalFormatting sqref="AE95">
    <cfRule type="cellIs" dxfId="0" priority="5686" operator="equal">
      <formula>"未完成"</formula>
    </cfRule>
  </conditionalFormatting>
  <conditionalFormatting sqref="AI95:AJ95">
    <cfRule type="cellIs" dxfId="1" priority="5690" operator="equal">
      <formula>"未完成"</formula>
    </cfRule>
    <cfRule type="cellIs" dxfId="0" priority="5694" operator="equal">
      <formula>"未完成"</formula>
    </cfRule>
  </conditionalFormatting>
  <conditionalFormatting sqref="AK95">
    <cfRule type="cellIs" dxfId="1" priority="5646" operator="equal">
      <formula>"未完成"</formula>
    </cfRule>
    <cfRule type="cellIs" dxfId="0" priority="5650" operator="equal">
      <formula>"未完成"</formula>
    </cfRule>
  </conditionalFormatting>
  <conditionalFormatting sqref="AL95">
    <cfRule type="cellIs" dxfId="1" priority="5662" operator="equal">
      <formula>"未完成"</formula>
    </cfRule>
    <cfRule type="cellIs" dxfId="0" priority="5666" operator="equal">
      <formula>"未完成"</formula>
    </cfRule>
  </conditionalFormatting>
  <conditionalFormatting sqref="AM95">
    <cfRule type="cellIs" dxfId="1" priority="5626" operator="equal">
      <formula>"未完成"</formula>
    </cfRule>
    <cfRule type="cellIs" dxfId="0" priority="5630" operator="equal">
      <formula>"未完成"</formula>
    </cfRule>
  </conditionalFormatting>
  <conditionalFormatting sqref="AP95">
    <cfRule type="cellIs" dxfId="1" priority="5618" operator="equal">
      <formula>"未完成"</formula>
    </cfRule>
    <cfRule type="cellIs" dxfId="0" priority="5622" operator="equal">
      <formula>"未完成"</formula>
    </cfRule>
  </conditionalFormatting>
  <conditionalFormatting sqref="AQ95">
    <cfRule type="cellIs" dxfId="1" priority="5670" operator="equal">
      <formula>"未完成"</formula>
    </cfRule>
    <cfRule type="cellIs" dxfId="0" priority="5674" operator="equal">
      <formula>"未完成"</formula>
    </cfRule>
  </conditionalFormatting>
  <conditionalFormatting sqref="AS95">
    <cfRule type="cellIs" dxfId="1" priority="5634" operator="equal">
      <formula>"未完成"</formula>
    </cfRule>
    <cfRule type="cellIs" dxfId="0" priority="5638" operator="equal">
      <formula>"未完成"</formula>
    </cfRule>
  </conditionalFormatting>
  <conditionalFormatting sqref="AT95">
    <cfRule type="cellIs" dxfId="1" priority="5654" operator="equal">
      <formula>"未完成"</formula>
    </cfRule>
    <cfRule type="cellIs" dxfId="0" priority="5658" operator="equal">
      <formula>"未完成"</formula>
    </cfRule>
  </conditionalFormatting>
  <conditionalFormatting sqref="AU95:AV95">
    <cfRule type="cellIs" dxfId="1" priority="5678" operator="equal">
      <formula>"未完成"</formula>
    </cfRule>
    <cfRule type="cellIs" dxfId="0" priority="5682" operator="equal">
      <formula>"未完成"</formula>
    </cfRule>
  </conditionalFormatting>
  <conditionalFormatting sqref="R96">
    <cfRule type="cellIs" dxfId="0" priority="5641" operator="equal">
      <formula>"欠"</formula>
    </cfRule>
  </conditionalFormatting>
  <conditionalFormatting sqref="AE96">
    <cfRule type="cellIs" dxfId="0" priority="5685" operator="equal">
      <formula>"未完成"</formula>
    </cfRule>
  </conditionalFormatting>
  <conditionalFormatting sqref="AI96:AJ96">
    <cfRule type="cellIs" dxfId="1" priority="5689" operator="equal">
      <formula>"未完成"</formula>
    </cfRule>
    <cfRule type="cellIs" dxfId="0" priority="5693" operator="equal">
      <formula>"未完成"</formula>
    </cfRule>
  </conditionalFormatting>
  <conditionalFormatting sqref="AK96">
    <cfRule type="cellIs" dxfId="1" priority="5645" operator="equal">
      <formula>"未完成"</formula>
    </cfRule>
    <cfRule type="cellIs" dxfId="0" priority="5649" operator="equal">
      <formula>"未完成"</formula>
    </cfRule>
  </conditionalFormatting>
  <conditionalFormatting sqref="AL96">
    <cfRule type="cellIs" dxfId="1" priority="5661" operator="equal">
      <formula>"未完成"</formula>
    </cfRule>
    <cfRule type="cellIs" dxfId="0" priority="5665" operator="equal">
      <formula>"未完成"</formula>
    </cfRule>
  </conditionalFormatting>
  <conditionalFormatting sqref="AM96">
    <cfRule type="cellIs" dxfId="1" priority="5625" operator="equal">
      <formula>"未完成"</formula>
    </cfRule>
    <cfRule type="cellIs" dxfId="0" priority="5629" operator="equal">
      <formula>"未完成"</formula>
    </cfRule>
  </conditionalFormatting>
  <conditionalFormatting sqref="AP96">
    <cfRule type="cellIs" dxfId="1" priority="5617" operator="equal">
      <formula>"未完成"</formula>
    </cfRule>
    <cfRule type="cellIs" dxfId="0" priority="5621" operator="equal">
      <formula>"未完成"</formula>
    </cfRule>
  </conditionalFormatting>
  <conditionalFormatting sqref="AQ96">
    <cfRule type="cellIs" dxfId="1" priority="5669" operator="equal">
      <formula>"未完成"</formula>
    </cfRule>
    <cfRule type="cellIs" dxfId="0" priority="5673" operator="equal">
      <formula>"未完成"</formula>
    </cfRule>
  </conditionalFormatting>
  <conditionalFormatting sqref="AS96">
    <cfRule type="cellIs" dxfId="1" priority="5633" operator="equal">
      <formula>"未完成"</formula>
    </cfRule>
    <cfRule type="cellIs" dxfId="0" priority="5637" operator="equal">
      <formula>"未完成"</formula>
    </cfRule>
  </conditionalFormatting>
  <conditionalFormatting sqref="AT96">
    <cfRule type="cellIs" dxfId="1" priority="5653" operator="equal">
      <formula>"未完成"</formula>
    </cfRule>
    <cfRule type="cellIs" dxfId="0" priority="5657" operator="equal">
      <formula>"未完成"</formula>
    </cfRule>
  </conditionalFormatting>
  <conditionalFormatting sqref="AU96:AV96">
    <cfRule type="cellIs" dxfId="1" priority="5677" operator="equal">
      <formula>"未完成"</formula>
    </cfRule>
    <cfRule type="cellIs" dxfId="0" priority="5681" operator="equal">
      <formula>"未完成"</formula>
    </cfRule>
  </conditionalFormatting>
  <conditionalFormatting sqref="R97">
    <cfRule type="cellIs" dxfId="0" priority="5640" operator="equal">
      <formula>"欠"</formula>
    </cfRule>
  </conditionalFormatting>
  <conditionalFormatting sqref="AE97">
    <cfRule type="cellIs" dxfId="0" priority="5684" operator="equal">
      <formula>"未完成"</formula>
    </cfRule>
  </conditionalFormatting>
  <conditionalFormatting sqref="AI97:AJ97">
    <cfRule type="cellIs" dxfId="1" priority="5688" operator="equal">
      <formula>"未完成"</formula>
    </cfRule>
    <cfRule type="cellIs" dxfId="0" priority="5692" operator="equal">
      <formula>"未完成"</formula>
    </cfRule>
  </conditionalFormatting>
  <conditionalFormatting sqref="AK97">
    <cfRule type="cellIs" dxfId="1" priority="5644" operator="equal">
      <formula>"未完成"</formula>
    </cfRule>
    <cfRule type="cellIs" dxfId="0" priority="5648" operator="equal">
      <formula>"未完成"</formula>
    </cfRule>
  </conditionalFormatting>
  <conditionalFormatting sqref="AL97">
    <cfRule type="cellIs" dxfId="1" priority="5660" operator="equal">
      <formula>"未完成"</formula>
    </cfRule>
    <cfRule type="cellIs" dxfId="0" priority="5664" operator="equal">
      <formula>"未完成"</formula>
    </cfRule>
  </conditionalFormatting>
  <conditionalFormatting sqref="AM97">
    <cfRule type="cellIs" dxfId="1" priority="5624" operator="equal">
      <formula>"未完成"</formula>
    </cfRule>
    <cfRule type="cellIs" dxfId="0" priority="5628" operator="equal">
      <formula>"未完成"</formula>
    </cfRule>
  </conditionalFormatting>
  <conditionalFormatting sqref="AP97">
    <cfRule type="cellIs" dxfId="1" priority="5616" operator="equal">
      <formula>"未完成"</formula>
    </cfRule>
    <cfRule type="cellIs" dxfId="0" priority="5620" operator="equal">
      <formula>"未完成"</formula>
    </cfRule>
  </conditionalFormatting>
  <conditionalFormatting sqref="AQ97">
    <cfRule type="cellIs" dxfId="1" priority="5668" operator="equal">
      <formula>"未完成"</formula>
    </cfRule>
    <cfRule type="cellIs" dxfId="0" priority="5672" operator="equal">
      <formula>"未完成"</formula>
    </cfRule>
  </conditionalFormatting>
  <conditionalFormatting sqref="AS97">
    <cfRule type="cellIs" dxfId="1" priority="5632" operator="equal">
      <formula>"未完成"</formula>
    </cfRule>
    <cfRule type="cellIs" dxfId="0" priority="5636" operator="equal">
      <formula>"未完成"</formula>
    </cfRule>
  </conditionalFormatting>
  <conditionalFormatting sqref="AT97">
    <cfRule type="cellIs" dxfId="1" priority="5652" operator="equal">
      <formula>"未完成"</formula>
    </cfRule>
    <cfRule type="cellIs" dxfId="0" priority="5656" operator="equal">
      <formula>"未完成"</formula>
    </cfRule>
  </conditionalFormatting>
  <conditionalFormatting sqref="AU97:AV97">
    <cfRule type="cellIs" dxfId="1" priority="5676" operator="equal">
      <formula>"未完成"</formula>
    </cfRule>
    <cfRule type="cellIs" dxfId="0" priority="5680" operator="equal">
      <formula>"未完成"</formula>
    </cfRule>
  </conditionalFormatting>
  <conditionalFormatting sqref="R98">
    <cfRule type="cellIs" dxfId="0" priority="5639" operator="equal">
      <formula>"欠"</formula>
    </cfRule>
  </conditionalFormatting>
  <conditionalFormatting sqref="T98:U98">
    <cfRule type="cellIs" dxfId="0" priority="5611" operator="equal">
      <formula>"欠"</formula>
    </cfRule>
  </conditionalFormatting>
  <conditionalFormatting sqref="AE98">
    <cfRule type="cellIs" dxfId="0" priority="5683" operator="equal">
      <formula>"未完成"</formula>
    </cfRule>
  </conditionalFormatting>
  <conditionalFormatting sqref="AI98:AJ98">
    <cfRule type="cellIs" dxfId="1" priority="5687" operator="equal">
      <formula>"未完成"</formula>
    </cfRule>
    <cfRule type="cellIs" dxfId="0" priority="5691" operator="equal">
      <formula>"未完成"</formula>
    </cfRule>
  </conditionalFormatting>
  <conditionalFormatting sqref="AK98">
    <cfRule type="cellIs" dxfId="1" priority="5643" operator="equal">
      <formula>"未完成"</formula>
    </cfRule>
    <cfRule type="cellIs" dxfId="0" priority="5647" operator="equal">
      <formula>"未完成"</formula>
    </cfRule>
  </conditionalFormatting>
  <conditionalFormatting sqref="AL98">
    <cfRule type="cellIs" dxfId="1" priority="5659" operator="equal">
      <formula>"未完成"</formula>
    </cfRule>
    <cfRule type="cellIs" dxfId="0" priority="5663" operator="equal">
      <formula>"未完成"</formula>
    </cfRule>
  </conditionalFormatting>
  <conditionalFormatting sqref="AM98">
    <cfRule type="cellIs" dxfId="1" priority="5623" operator="equal">
      <formula>"未完成"</formula>
    </cfRule>
    <cfRule type="cellIs" dxfId="0" priority="5627" operator="equal">
      <formula>"未完成"</formula>
    </cfRule>
  </conditionalFormatting>
  <conditionalFormatting sqref="AP98">
    <cfRule type="cellIs" dxfId="1" priority="5615" operator="equal">
      <formula>"未完成"</formula>
    </cfRule>
    <cfRule type="cellIs" dxfId="0" priority="5619" operator="equal">
      <formula>"未完成"</formula>
    </cfRule>
  </conditionalFormatting>
  <conditionalFormatting sqref="AQ98">
    <cfRule type="cellIs" dxfId="1" priority="5667" operator="equal">
      <formula>"未完成"</formula>
    </cfRule>
    <cfRule type="cellIs" dxfId="0" priority="5671" operator="equal">
      <formula>"未完成"</formula>
    </cfRule>
  </conditionalFormatting>
  <conditionalFormatting sqref="AS98">
    <cfRule type="cellIs" dxfId="1" priority="5631" operator="equal">
      <formula>"未完成"</formula>
    </cfRule>
    <cfRule type="cellIs" dxfId="0" priority="5635" operator="equal">
      <formula>"未完成"</formula>
    </cfRule>
  </conditionalFormatting>
  <conditionalFormatting sqref="AT98">
    <cfRule type="cellIs" dxfId="1" priority="5651" operator="equal">
      <formula>"未完成"</formula>
    </cfRule>
    <cfRule type="cellIs" dxfId="0" priority="5655" operator="equal">
      <formula>"未完成"</formula>
    </cfRule>
  </conditionalFormatting>
  <conditionalFormatting sqref="AU98:AV98">
    <cfRule type="cellIs" dxfId="1" priority="5675" operator="equal">
      <formula>"未完成"</formula>
    </cfRule>
    <cfRule type="cellIs" dxfId="0" priority="5679" operator="equal">
      <formula>"未完成"</formula>
    </cfRule>
  </conditionalFormatting>
  <conditionalFormatting sqref="R99">
    <cfRule type="cellIs" dxfId="0" priority="5597" operator="equal">
      <formula>"欠"</formula>
    </cfRule>
  </conditionalFormatting>
  <conditionalFormatting sqref="T99:U99">
    <cfRule type="cellIs" dxfId="0" priority="5590" operator="equal">
      <formula>"欠"</formula>
    </cfRule>
  </conditionalFormatting>
  <conditionalFormatting sqref="AE99">
    <cfRule type="cellIs" dxfId="0" priority="5608" operator="equal">
      <formula>"未完成"</formula>
    </cfRule>
  </conditionalFormatting>
  <conditionalFormatting sqref="AI99:AJ99">
    <cfRule type="cellIs" dxfId="1" priority="5609" operator="equal">
      <formula>"未完成"</formula>
    </cfRule>
    <cfRule type="cellIs" dxfId="0" priority="5610" operator="equal">
      <formula>"未完成"</formula>
    </cfRule>
  </conditionalFormatting>
  <conditionalFormatting sqref="AK99">
    <cfRule type="cellIs" dxfId="1" priority="5598" operator="equal">
      <formula>"未完成"</formula>
    </cfRule>
    <cfRule type="cellIs" dxfId="0" priority="5599" operator="equal">
      <formula>"未完成"</formula>
    </cfRule>
  </conditionalFormatting>
  <conditionalFormatting sqref="AL99">
    <cfRule type="cellIs" dxfId="1" priority="5602" operator="equal">
      <formula>"未完成"</formula>
    </cfRule>
    <cfRule type="cellIs" dxfId="0" priority="5603" operator="equal">
      <formula>"未完成"</formula>
    </cfRule>
  </conditionalFormatting>
  <conditionalFormatting sqref="AM99">
    <cfRule type="cellIs" dxfId="1" priority="5593" operator="equal">
      <formula>"未完成"</formula>
    </cfRule>
    <cfRule type="cellIs" dxfId="0" priority="5594" operator="equal">
      <formula>"未完成"</formula>
    </cfRule>
  </conditionalFormatting>
  <conditionalFormatting sqref="AP99">
    <cfRule type="cellIs" dxfId="1" priority="5591" operator="equal">
      <formula>"未完成"</formula>
    </cfRule>
    <cfRule type="cellIs" dxfId="0" priority="5592" operator="equal">
      <formula>"未完成"</formula>
    </cfRule>
  </conditionalFormatting>
  <conditionalFormatting sqref="AQ99">
    <cfRule type="cellIs" dxfId="1" priority="5604" operator="equal">
      <formula>"未完成"</formula>
    </cfRule>
    <cfRule type="cellIs" dxfId="0" priority="5605" operator="equal">
      <formula>"未完成"</formula>
    </cfRule>
  </conditionalFormatting>
  <conditionalFormatting sqref="AS99">
    <cfRule type="cellIs" dxfId="1" priority="5595" operator="equal">
      <formula>"未完成"</formula>
    </cfRule>
    <cfRule type="cellIs" dxfId="0" priority="5596" operator="equal">
      <formula>"未完成"</formula>
    </cfRule>
  </conditionalFormatting>
  <conditionalFormatting sqref="AT99">
    <cfRule type="cellIs" dxfId="1" priority="5600" operator="equal">
      <formula>"未完成"</formula>
    </cfRule>
    <cfRule type="cellIs" dxfId="0" priority="5601" operator="equal">
      <formula>"未完成"</formula>
    </cfRule>
  </conditionalFormatting>
  <conditionalFormatting sqref="AU99:AV99">
    <cfRule type="cellIs" dxfId="1" priority="5606" operator="equal">
      <formula>"未完成"</formula>
    </cfRule>
    <cfRule type="cellIs" dxfId="0" priority="5607" operator="equal">
      <formula>"未完成"</formula>
    </cfRule>
  </conditionalFormatting>
  <conditionalFormatting sqref="R100">
    <cfRule type="cellIs" dxfId="0" priority="5576" operator="equal">
      <formula>"欠"</formula>
    </cfRule>
  </conditionalFormatting>
  <conditionalFormatting sqref="T100:U100">
    <cfRule type="cellIs" dxfId="0" priority="5569" operator="equal">
      <formula>"欠"</formula>
    </cfRule>
  </conditionalFormatting>
  <conditionalFormatting sqref="AE100">
    <cfRule type="cellIs" dxfId="0" priority="5587" operator="equal">
      <formula>"未完成"</formula>
    </cfRule>
  </conditionalFormatting>
  <conditionalFormatting sqref="AI100:AJ100">
    <cfRule type="cellIs" dxfId="1" priority="5588" operator="equal">
      <formula>"未完成"</formula>
    </cfRule>
    <cfRule type="cellIs" dxfId="0" priority="5589" operator="equal">
      <formula>"未完成"</formula>
    </cfRule>
  </conditionalFormatting>
  <conditionalFormatting sqref="AK100">
    <cfRule type="cellIs" dxfId="1" priority="5577" operator="equal">
      <formula>"未完成"</formula>
    </cfRule>
    <cfRule type="cellIs" dxfId="0" priority="5578" operator="equal">
      <formula>"未完成"</formula>
    </cfRule>
  </conditionalFormatting>
  <conditionalFormatting sqref="AL100">
    <cfRule type="cellIs" dxfId="1" priority="5581" operator="equal">
      <formula>"未完成"</formula>
    </cfRule>
    <cfRule type="cellIs" dxfId="0" priority="5582" operator="equal">
      <formula>"未完成"</formula>
    </cfRule>
  </conditionalFormatting>
  <conditionalFormatting sqref="AM100">
    <cfRule type="cellIs" dxfId="1" priority="5572" operator="equal">
      <formula>"未完成"</formula>
    </cfRule>
    <cfRule type="cellIs" dxfId="0" priority="5573" operator="equal">
      <formula>"未完成"</formula>
    </cfRule>
  </conditionalFormatting>
  <conditionalFormatting sqref="AP100">
    <cfRule type="cellIs" dxfId="1" priority="5570" operator="equal">
      <formula>"未完成"</formula>
    </cfRule>
    <cfRule type="cellIs" dxfId="0" priority="5571" operator="equal">
      <formula>"未完成"</formula>
    </cfRule>
  </conditionalFormatting>
  <conditionalFormatting sqref="AQ100">
    <cfRule type="cellIs" dxfId="1" priority="5583" operator="equal">
      <formula>"未完成"</formula>
    </cfRule>
    <cfRule type="cellIs" dxfId="0" priority="5584" operator="equal">
      <formula>"未完成"</formula>
    </cfRule>
  </conditionalFormatting>
  <conditionalFormatting sqref="AS100">
    <cfRule type="cellIs" dxfId="1" priority="5574" operator="equal">
      <formula>"未完成"</formula>
    </cfRule>
    <cfRule type="cellIs" dxfId="0" priority="5575" operator="equal">
      <formula>"未完成"</formula>
    </cfRule>
  </conditionalFormatting>
  <conditionalFormatting sqref="AT100">
    <cfRule type="cellIs" dxfId="1" priority="5579" operator="equal">
      <formula>"未完成"</formula>
    </cfRule>
    <cfRule type="cellIs" dxfId="0" priority="5580" operator="equal">
      <formula>"未完成"</formula>
    </cfRule>
  </conditionalFormatting>
  <conditionalFormatting sqref="AU100:AV100">
    <cfRule type="cellIs" dxfId="1" priority="5585" operator="equal">
      <formula>"未完成"</formula>
    </cfRule>
    <cfRule type="cellIs" dxfId="0" priority="5586" operator="equal">
      <formula>"未完成"</formula>
    </cfRule>
  </conditionalFormatting>
  <conditionalFormatting sqref="R101">
    <cfRule type="cellIs" dxfId="0" priority="5534" operator="equal">
      <formula>"欠"</formula>
    </cfRule>
  </conditionalFormatting>
  <conditionalFormatting sqref="T101:U101">
    <cfRule type="cellIs" dxfId="0" priority="5527" operator="equal">
      <formula>"欠"</formula>
    </cfRule>
  </conditionalFormatting>
  <conditionalFormatting sqref="AE101">
    <cfRule type="cellIs" dxfId="0" priority="5545" operator="equal">
      <formula>"未完成"</formula>
    </cfRule>
  </conditionalFormatting>
  <conditionalFormatting sqref="AI101:AJ101">
    <cfRule type="cellIs" dxfId="1" priority="5546" operator="equal">
      <formula>"未完成"</formula>
    </cfRule>
    <cfRule type="cellIs" dxfId="0" priority="5547" operator="equal">
      <formula>"未完成"</formula>
    </cfRule>
  </conditionalFormatting>
  <conditionalFormatting sqref="AK101">
    <cfRule type="cellIs" dxfId="1" priority="5535" operator="equal">
      <formula>"未完成"</formula>
    </cfRule>
    <cfRule type="cellIs" dxfId="0" priority="5536" operator="equal">
      <formula>"未完成"</formula>
    </cfRule>
  </conditionalFormatting>
  <conditionalFormatting sqref="AL101">
    <cfRule type="cellIs" dxfId="1" priority="5539" operator="equal">
      <formula>"未完成"</formula>
    </cfRule>
    <cfRule type="cellIs" dxfId="0" priority="5540" operator="equal">
      <formula>"未完成"</formula>
    </cfRule>
  </conditionalFormatting>
  <conditionalFormatting sqref="AM101">
    <cfRule type="cellIs" dxfId="1" priority="5530" operator="equal">
      <formula>"未完成"</formula>
    </cfRule>
    <cfRule type="cellIs" dxfId="0" priority="5531" operator="equal">
      <formula>"未完成"</formula>
    </cfRule>
  </conditionalFormatting>
  <conditionalFormatting sqref="AP101">
    <cfRule type="cellIs" dxfId="1" priority="5528" operator="equal">
      <formula>"未完成"</formula>
    </cfRule>
    <cfRule type="cellIs" dxfId="0" priority="5529" operator="equal">
      <formula>"未完成"</formula>
    </cfRule>
  </conditionalFormatting>
  <conditionalFormatting sqref="AQ101">
    <cfRule type="cellIs" dxfId="1" priority="5541" operator="equal">
      <formula>"未完成"</formula>
    </cfRule>
    <cfRule type="cellIs" dxfId="0" priority="5542" operator="equal">
      <formula>"未完成"</formula>
    </cfRule>
  </conditionalFormatting>
  <conditionalFormatting sqref="AS101">
    <cfRule type="cellIs" dxfId="1" priority="5532" operator="equal">
      <formula>"未完成"</formula>
    </cfRule>
    <cfRule type="cellIs" dxfId="0" priority="5533" operator="equal">
      <formula>"未完成"</formula>
    </cfRule>
  </conditionalFormatting>
  <conditionalFormatting sqref="AT101">
    <cfRule type="cellIs" dxfId="1" priority="5537" operator="equal">
      <formula>"未完成"</formula>
    </cfRule>
    <cfRule type="cellIs" dxfId="0" priority="5538" operator="equal">
      <formula>"未完成"</formula>
    </cfRule>
  </conditionalFormatting>
  <conditionalFormatting sqref="AU101:AV101">
    <cfRule type="cellIs" dxfId="1" priority="5543" operator="equal">
      <formula>"未完成"</formula>
    </cfRule>
    <cfRule type="cellIs" dxfId="0" priority="5544" operator="equal">
      <formula>"未完成"</formula>
    </cfRule>
  </conditionalFormatting>
  <conditionalFormatting sqref="R102">
    <cfRule type="cellIs" dxfId="0" priority="5500" operator="equal">
      <formula>"欠"</formula>
    </cfRule>
  </conditionalFormatting>
  <conditionalFormatting sqref="T102:U102">
    <cfRule type="cellIs" dxfId="0" priority="5486" operator="equal">
      <formula>"欠"</formula>
    </cfRule>
  </conditionalFormatting>
  <conditionalFormatting sqref="AE102">
    <cfRule type="cellIs" dxfId="0" priority="5522" operator="equal">
      <formula>"未完成"</formula>
    </cfRule>
  </conditionalFormatting>
  <conditionalFormatting sqref="AI102:AJ102">
    <cfRule type="cellIs" dxfId="1" priority="5524" operator="equal">
      <formula>"未完成"</formula>
    </cfRule>
    <cfRule type="cellIs" dxfId="0" priority="5526" operator="equal">
      <formula>"未完成"</formula>
    </cfRule>
  </conditionalFormatting>
  <conditionalFormatting sqref="AK102">
    <cfRule type="cellIs" dxfId="1" priority="5502" operator="equal">
      <formula>"未完成"</formula>
    </cfRule>
    <cfRule type="cellIs" dxfId="0" priority="5504" operator="equal">
      <formula>"未完成"</formula>
    </cfRule>
  </conditionalFormatting>
  <conditionalFormatting sqref="AL102">
    <cfRule type="cellIs" dxfId="1" priority="5510" operator="equal">
      <formula>"未完成"</formula>
    </cfRule>
    <cfRule type="cellIs" dxfId="0" priority="5512" operator="equal">
      <formula>"未完成"</formula>
    </cfRule>
  </conditionalFormatting>
  <conditionalFormatting sqref="AM102">
    <cfRule type="cellIs" dxfId="1" priority="5492" operator="equal">
      <formula>"未完成"</formula>
    </cfRule>
    <cfRule type="cellIs" dxfId="0" priority="5494" operator="equal">
      <formula>"未完成"</formula>
    </cfRule>
  </conditionalFormatting>
  <conditionalFormatting sqref="AP102">
    <cfRule type="cellIs" dxfId="1" priority="5488" operator="equal">
      <formula>"未完成"</formula>
    </cfRule>
    <cfRule type="cellIs" dxfId="0" priority="5490" operator="equal">
      <formula>"未完成"</formula>
    </cfRule>
  </conditionalFormatting>
  <conditionalFormatting sqref="AQ102">
    <cfRule type="cellIs" dxfId="1" priority="5514" operator="equal">
      <formula>"未完成"</formula>
    </cfRule>
    <cfRule type="cellIs" dxfId="0" priority="5516" operator="equal">
      <formula>"未完成"</formula>
    </cfRule>
  </conditionalFormatting>
  <conditionalFormatting sqref="AS102">
    <cfRule type="cellIs" dxfId="1" priority="5496" operator="equal">
      <formula>"未完成"</formula>
    </cfRule>
    <cfRule type="cellIs" dxfId="0" priority="5498" operator="equal">
      <formula>"未完成"</formula>
    </cfRule>
  </conditionalFormatting>
  <conditionalFormatting sqref="AT102">
    <cfRule type="cellIs" dxfId="1" priority="5506" operator="equal">
      <formula>"未完成"</formula>
    </cfRule>
    <cfRule type="cellIs" dxfId="0" priority="5508" operator="equal">
      <formula>"未完成"</formula>
    </cfRule>
  </conditionalFormatting>
  <conditionalFormatting sqref="AU102:AV102">
    <cfRule type="cellIs" dxfId="1" priority="5518" operator="equal">
      <formula>"未完成"</formula>
    </cfRule>
    <cfRule type="cellIs" dxfId="0" priority="5520" operator="equal">
      <formula>"未完成"</formula>
    </cfRule>
  </conditionalFormatting>
  <conditionalFormatting sqref="R103">
    <cfRule type="cellIs" dxfId="0" priority="5499" operator="equal">
      <formula>"欠"</formula>
    </cfRule>
  </conditionalFormatting>
  <conditionalFormatting sqref="T103:U103">
    <cfRule type="cellIs" dxfId="0" priority="5485" operator="equal">
      <formula>"欠"</formula>
    </cfRule>
  </conditionalFormatting>
  <conditionalFormatting sqref="AE103">
    <cfRule type="cellIs" dxfId="0" priority="5521" operator="equal">
      <formula>"未完成"</formula>
    </cfRule>
  </conditionalFormatting>
  <conditionalFormatting sqref="AI103:AJ103">
    <cfRule type="cellIs" dxfId="1" priority="5523" operator="equal">
      <formula>"未完成"</formula>
    </cfRule>
    <cfRule type="cellIs" dxfId="0" priority="5525" operator="equal">
      <formula>"未完成"</formula>
    </cfRule>
  </conditionalFormatting>
  <conditionalFormatting sqref="AK103">
    <cfRule type="cellIs" dxfId="1" priority="5501" operator="equal">
      <formula>"未完成"</formula>
    </cfRule>
    <cfRule type="cellIs" dxfId="0" priority="5503" operator="equal">
      <formula>"未完成"</formula>
    </cfRule>
  </conditionalFormatting>
  <conditionalFormatting sqref="AL103">
    <cfRule type="cellIs" dxfId="1" priority="5509" operator="equal">
      <formula>"未完成"</formula>
    </cfRule>
    <cfRule type="cellIs" dxfId="0" priority="5511" operator="equal">
      <formula>"未完成"</formula>
    </cfRule>
  </conditionalFormatting>
  <conditionalFormatting sqref="AM103">
    <cfRule type="cellIs" dxfId="1" priority="5491" operator="equal">
      <formula>"未完成"</formula>
    </cfRule>
    <cfRule type="cellIs" dxfId="0" priority="5493" operator="equal">
      <formula>"未完成"</formula>
    </cfRule>
  </conditionalFormatting>
  <conditionalFormatting sqref="AP103">
    <cfRule type="cellIs" dxfId="1" priority="5487" operator="equal">
      <formula>"未完成"</formula>
    </cfRule>
    <cfRule type="cellIs" dxfId="0" priority="5489" operator="equal">
      <formula>"未完成"</formula>
    </cfRule>
  </conditionalFormatting>
  <conditionalFormatting sqref="AQ103">
    <cfRule type="cellIs" dxfId="1" priority="5513" operator="equal">
      <formula>"未完成"</formula>
    </cfRule>
    <cfRule type="cellIs" dxfId="0" priority="5515" operator="equal">
      <formula>"未完成"</formula>
    </cfRule>
  </conditionalFormatting>
  <conditionalFormatting sqref="AS103">
    <cfRule type="cellIs" dxfId="1" priority="5495" operator="equal">
      <formula>"未完成"</formula>
    </cfRule>
    <cfRule type="cellIs" dxfId="0" priority="5497" operator="equal">
      <formula>"未完成"</formula>
    </cfRule>
  </conditionalFormatting>
  <conditionalFormatting sqref="AT103">
    <cfRule type="cellIs" dxfId="1" priority="5505" operator="equal">
      <formula>"未完成"</formula>
    </cfRule>
    <cfRule type="cellIs" dxfId="0" priority="5507" operator="equal">
      <formula>"未完成"</formula>
    </cfRule>
  </conditionalFormatting>
  <conditionalFormatting sqref="AU103:AV103">
    <cfRule type="cellIs" dxfId="1" priority="5517" operator="equal">
      <formula>"未完成"</formula>
    </cfRule>
    <cfRule type="cellIs" dxfId="0" priority="5519" operator="equal">
      <formula>"未完成"</formula>
    </cfRule>
  </conditionalFormatting>
  <conditionalFormatting sqref="R104">
    <cfRule type="cellIs" dxfId="0" priority="5471" operator="equal">
      <formula>"欠"</formula>
    </cfRule>
  </conditionalFormatting>
  <conditionalFormatting sqref="T104:U104">
    <cfRule type="cellIs" dxfId="0" priority="5464" operator="equal">
      <formula>"欠"</formula>
    </cfRule>
  </conditionalFormatting>
  <conditionalFormatting sqref="AE104">
    <cfRule type="cellIs" dxfId="0" priority="5482" operator="equal">
      <formula>"未完成"</formula>
    </cfRule>
  </conditionalFormatting>
  <conditionalFormatting sqref="AI104:AJ104">
    <cfRule type="cellIs" dxfId="1" priority="5483" operator="equal">
      <formula>"未完成"</formula>
    </cfRule>
    <cfRule type="cellIs" dxfId="0" priority="5484" operator="equal">
      <formula>"未完成"</formula>
    </cfRule>
  </conditionalFormatting>
  <conditionalFormatting sqref="AK104">
    <cfRule type="cellIs" dxfId="1" priority="5472" operator="equal">
      <formula>"未完成"</formula>
    </cfRule>
    <cfRule type="cellIs" dxfId="0" priority="5473" operator="equal">
      <formula>"未完成"</formula>
    </cfRule>
  </conditionalFormatting>
  <conditionalFormatting sqref="AL104">
    <cfRule type="cellIs" dxfId="1" priority="5476" operator="equal">
      <formula>"未完成"</formula>
    </cfRule>
    <cfRule type="cellIs" dxfId="0" priority="5477" operator="equal">
      <formula>"未完成"</formula>
    </cfRule>
  </conditionalFormatting>
  <conditionalFormatting sqref="AM104">
    <cfRule type="cellIs" dxfId="1" priority="5467" operator="equal">
      <formula>"未完成"</formula>
    </cfRule>
    <cfRule type="cellIs" dxfId="0" priority="5468" operator="equal">
      <formula>"未完成"</formula>
    </cfRule>
  </conditionalFormatting>
  <conditionalFormatting sqref="AP104">
    <cfRule type="cellIs" dxfId="1" priority="5465" operator="equal">
      <formula>"未完成"</formula>
    </cfRule>
    <cfRule type="cellIs" dxfId="0" priority="5466" operator="equal">
      <formula>"未完成"</formula>
    </cfRule>
  </conditionalFormatting>
  <conditionalFormatting sqref="AQ104">
    <cfRule type="cellIs" dxfId="1" priority="5478" operator="equal">
      <formula>"未完成"</formula>
    </cfRule>
    <cfRule type="cellIs" dxfId="0" priority="5479" operator="equal">
      <formula>"未完成"</formula>
    </cfRule>
  </conditionalFormatting>
  <conditionalFormatting sqref="AS104">
    <cfRule type="cellIs" dxfId="1" priority="5469" operator="equal">
      <formula>"未完成"</formula>
    </cfRule>
    <cfRule type="cellIs" dxfId="0" priority="5470" operator="equal">
      <formula>"未完成"</formula>
    </cfRule>
  </conditionalFormatting>
  <conditionalFormatting sqref="AT104">
    <cfRule type="cellIs" dxfId="1" priority="5474" operator="equal">
      <formula>"未完成"</formula>
    </cfRule>
    <cfRule type="cellIs" dxfId="0" priority="5475" operator="equal">
      <formula>"未完成"</formula>
    </cfRule>
  </conditionalFormatting>
  <conditionalFormatting sqref="AU104:AV104">
    <cfRule type="cellIs" dxfId="1" priority="5480" operator="equal">
      <formula>"未完成"</formula>
    </cfRule>
    <cfRule type="cellIs" dxfId="0" priority="5481" operator="equal">
      <formula>"未完成"</formula>
    </cfRule>
  </conditionalFormatting>
  <conditionalFormatting sqref="R105">
    <cfRule type="cellIs" dxfId="0" priority="5405" operator="equal">
      <formula>"欠"</formula>
    </cfRule>
  </conditionalFormatting>
  <conditionalFormatting sqref="T105:U105">
    <cfRule type="cellIs" dxfId="0" priority="5384" operator="equal">
      <formula>"欠"</formula>
    </cfRule>
  </conditionalFormatting>
  <conditionalFormatting sqref="AE105">
    <cfRule type="cellIs" dxfId="0" priority="5438" operator="equal">
      <formula>"未完成"</formula>
    </cfRule>
  </conditionalFormatting>
  <conditionalFormatting sqref="AI105:AJ105">
    <cfRule type="cellIs" dxfId="1" priority="5441" operator="equal">
      <formula>"未完成"</formula>
    </cfRule>
    <cfRule type="cellIs" dxfId="0" priority="5444" operator="equal">
      <formula>"未完成"</formula>
    </cfRule>
  </conditionalFormatting>
  <conditionalFormatting sqref="AK105">
    <cfRule type="cellIs" dxfId="1" priority="5408" operator="equal">
      <formula>"未完成"</formula>
    </cfRule>
    <cfRule type="cellIs" dxfId="0" priority="5411" operator="equal">
      <formula>"未完成"</formula>
    </cfRule>
  </conditionalFormatting>
  <conditionalFormatting sqref="AL105">
    <cfRule type="cellIs" dxfId="1" priority="5420" operator="equal">
      <formula>"未完成"</formula>
    </cfRule>
    <cfRule type="cellIs" dxfId="0" priority="5423" operator="equal">
      <formula>"未完成"</formula>
    </cfRule>
  </conditionalFormatting>
  <conditionalFormatting sqref="AM105">
    <cfRule type="cellIs" dxfId="1" priority="5393" operator="equal">
      <formula>"未完成"</formula>
    </cfRule>
    <cfRule type="cellIs" dxfId="0" priority="5396" operator="equal">
      <formula>"未完成"</formula>
    </cfRule>
  </conditionalFormatting>
  <conditionalFormatting sqref="AP105">
    <cfRule type="cellIs" dxfId="1" priority="5387" operator="equal">
      <formula>"未完成"</formula>
    </cfRule>
    <cfRule type="cellIs" dxfId="0" priority="5390" operator="equal">
      <formula>"未完成"</formula>
    </cfRule>
  </conditionalFormatting>
  <conditionalFormatting sqref="AQ105">
    <cfRule type="cellIs" dxfId="1" priority="5426" operator="equal">
      <formula>"未完成"</formula>
    </cfRule>
    <cfRule type="cellIs" dxfId="0" priority="5429" operator="equal">
      <formula>"未完成"</formula>
    </cfRule>
  </conditionalFormatting>
  <conditionalFormatting sqref="AS105">
    <cfRule type="cellIs" dxfId="1" priority="5399" operator="equal">
      <formula>"未完成"</formula>
    </cfRule>
    <cfRule type="cellIs" dxfId="0" priority="5402" operator="equal">
      <formula>"未完成"</formula>
    </cfRule>
  </conditionalFormatting>
  <conditionalFormatting sqref="AT105">
    <cfRule type="cellIs" dxfId="1" priority="5414" operator="equal">
      <formula>"未完成"</formula>
    </cfRule>
    <cfRule type="cellIs" dxfId="0" priority="5417" operator="equal">
      <formula>"未完成"</formula>
    </cfRule>
  </conditionalFormatting>
  <conditionalFormatting sqref="AU105:AV105">
    <cfRule type="cellIs" dxfId="1" priority="5432" operator="equal">
      <formula>"未完成"</formula>
    </cfRule>
    <cfRule type="cellIs" dxfId="0" priority="5435" operator="equal">
      <formula>"未完成"</formula>
    </cfRule>
  </conditionalFormatting>
  <conditionalFormatting sqref="R106">
    <cfRule type="cellIs" dxfId="0" priority="5404" operator="equal">
      <formula>"欠"</formula>
    </cfRule>
  </conditionalFormatting>
  <conditionalFormatting sqref="T106:U106">
    <cfRule type="cellIs" dxfId="0" priority="5383" operator="equal">
      <formula>"欠"</formula>
    </cfRule>
  </conditionalFormatting>
  <conditionalFormatting sqref="AE106">
    <cfRule type="cellIs" dxfId="0" priority="5437" operator="equal">
      <formula>"未完成"</formula>
    </cfRule>
  </conditionalFormatting>
  <conditionalFormatting sqref="AI106:AJ106">
    <cfRule type="cellIs" dxfId="1" priority="5440" operator="equal">
      <formula>"未完成"</formula>
    </cfRule>
    <cfRule type="cellIs" dxfId="0" priority="5443" operator="equal">
      <formula>"未完成"</formula>
    </cfRule>
  </conditionalFormatting>
  <conditionalFormatting sqref="AK106">
    <cfRule type="cellIs" dxfId="1" priority="5407" operator="equal">
      <formula>"未完成"</formula>
    </cfRule>
    <cfRule type="cellIs" dxfId="0" priority="5410" operator="equal">
      <formula>"未完成"</formula>
    </cfRule>
  </conditionalFormatting>
  <conditionalFormatting sqref="AL106">
    <cfRule type="cellIs" dxfId="1" priority="5419" operator="equal">
      <formula>"未完成"</formula>
    </cfRule>
    <cfRule type="cellIs" dxfId="0" priority="5422" operator="equal">
      <formula>"未完成"</formula>
    </cfRule>
  </conditionalFormatting>
  <conditionalFormatting sqref="AM106">
    <cfRule type="cellIs" dxfId="1" priority="5392" operator="equal">
      <formula>"未完成"</formula>
    </cfRule>
    <cfRule type="cellIs" dxfId="0" priority="5395" operator="equal">
      <formula>"未完成"</formula>
    </cfRule>
  </conditionalFormatting>
  <conditionalFormatting sqref="AP106">
    <cfRule type="cellIs" dxfId="1" priority="5386" operator="equal">
      <formula>"未完成"</formula>
    </cfRule>
    <cfRule type="cellIs" dxfId="0" priority="5389" operator="equal">
      <formula>"未完成"</formula>
    </cfRule>
  </conditionalFormatting>
  <conditionalFormatting sqref="AQ106">
    <cfRule type="cellIs" dxfId="1" priority="5425" operator="equal">
      <formula>"未完成"</formula>
    </cfRule>
    <cfRule type="cellIs" dxfId="0" priority="5428" operator="equal">
      <formula>"未完成"</formula>
    </cfRule>
  </conditionalFormatting>
  <conditionalFormatting sqref="AS106">
    <cfRule type="cellIs" dxfId="1" priority="5398" operator="equal">
      <formula>"未完成"</formula>
    </cfRule>
    <cfRule type="cellIs" dxfId="0" priority="5401" operator="equal">
      <formula>"未完成"</formula>
    </cfRule>
  </conditionalFormatting>
  <conditionalFormatting sqref="AT106">
    <cfRule type="cellIs" dxfId="1" priority="5413" operator="equal">
      <formula>"未完成"</formula>
    </cfRule>
    <cfRule type="cellIs" dxfId="0" priority="5416" operator="equal">
      <formula>"未完成"</formula>
    </cfRule>
  </conditionalFormatting>
  <conditionalFormatting sqref="AU106:AV106">
    <cfRule type="cellIs" dxfId="1" priority="5431" operator="equal">
      <formula>"未完成"</formula>
    </cfRule>
    <cfRule type="cellIs" dxfId="0" priority="5434" operator="equal">
      <formula>"未完成"</formula>
    </cfRule>
  </conditionalFormatting>
  <conditionalFormatting sqref="R107">
    <cfRule type="cellIs" dxfId="0" priority="5403" operator="equal">
      <formula>"欠"</formula>
    </cfRule>
  </conditionalFormatting>
  <conditionalFormatting sqref="T107:U107">
    <cfRule type="cellIs" dxfId="0" priority="5382" operator="equal">
      <formula>"欠"</formula>
    </cfRule>
  </conditionalFormatting>
  <conditionalFormatting sqref="AE107">
    <cfRule type="cellIs" dxfId="0" priority="5436" operator="equal">
      <formula>"未完成"</formula>
    </cfRule>
  </conditionalFormatting>
  <conditionalFormatting sqref="AI107:AJ107">
    <cfRule type="cellIs" dxfId="1" priority="5439" operator="equal">
      <formula>"未完成"</formula>
    </cfRule>
    <cfRule type="cellIs" dxfId="0" priority="5442" operator="equal">
      <formula>"未完成"</formula>
    </cfRule>
  </conditionalFormatting>
  <conditionalFormatting sqref="AK107">
    <cfRule type="cellIs" dxfId="1" priority="5406" operator="equal">
      <formula>"未完成"</formula>
    </cfRule>
    <cfRule type="cellIs" dxfId="0" priority="5409" operator="equal">
      <formula>"未完成"</formula>
    </cfRule>
  </conditionalFormatting>
  <conditionalFormatting sqref="AL107">
    <cfRule type="cellIs" dxfId="1" priority="5418" operator="equal">
      <formula>"未完成"</formula>
    </cfRule>
    <cfRule type="cellIs" dxfId="0" priority="5421" operator="equal">
      <formula>"未完成"</formula>
    </cfRule>
  </conditionalFormatting>
  <conditionalFormatting sqref="AM107">
    <cfRule type="cellIs" dxfId="1" priority="5391" operator="equal">
      <formula>"未完成"</formula>
    </cfRule>
    <cfRule type="cellIs" dxfId="0" priority="5394" operator="equal">
      <formula>"未完成"</formula>
    </cfRule>
  </conditionalFormatting>
  <conditionalFormatting sqref="AP107">
    <cfRule type="cellIs" dxfId="1" priority="5385" operator="equal">
      <formula>"未完成"</formula>
    </cfRule>
    <cfRule type="cellIs" dxfId="0" priority="5388" operator="equal">
      <formula>"未完成"</formula>
    </cfRule>
  </conditionalFormatting>
  <conditionalFormatting sqref="AQ107">
    <cfRule type="cellIs" dxfId="1" priority="5424" operator="equal">
      <formula>"未完成"</formula>
    </cfRule>
    <cfRule type="cellIs" dxfId="0" priority="5427" operator="equal">
      <formula>"未完成"</formula>
    </cfRule>
  </conditionalFormatting>
  <conditionalFormatting sqref="AS107">
    <cfRule type="cellIs" dxfId="1" priority="5397" operator="equal">
      <formula>"未完成"</formula>
    </cfRule>
    <cfRule type="cellIs" dxfId="0" priority="5400" operator="equal">
      <formula>"未完成"</formula>
    </cfRule>
  </conditionalFormatting>
  <conditionalFormatting sqref="AT107">
    <cfRule type="cellIs" dxfId="1" priority="5412" operator="equal">
      <formula>"未完成"</formula>
    </cfRule>
    <cfRule type="cellIs" dxfId="0" priority="5415" operator="equal">
      <formula>"未完成"</formula>
    </cfRule>
  </conditionalFormatting>
  <conditionalFormatting sqref="AU107:AV107">
    <cfRule type="cellIs" dxfId="1" priority="5430" operator="equal">
      <formula>"未完成"</formula>
    </cfRule>
    <cfRule type="cellIs" dxfId="0" priority="5433" operator="equal">
      <formula>"未完成"</formula>
    </cfRule>
  </conditionalFormatting>
  <conditionalFormatting sqref="R108">
    <cfRule type="cellIs" dxfId="0" priority="5301" operator="equal">
      <formula>"欠"</formula>
    </cfRule>
  </conditionalFormatting>
  <conditionalFormatting sqref="T108:U108">
    <cfRule type="cellIs" dxfId="0" priority="5294" operator="equal">
      <formula>"欠"</formula>
    </cfRule>
  </conditionalFormatting>
  <conditionalFormatting sqref="AE108">
    <cfRule type="cellIs" dxfId="0" priority="5312" operator="equal">
      <formula>"未完成"</formula>
    </cfRule>
  </conditionalFormatting>
  <conditionalFormatting sqref="AI108:AJ108">
    <cfRule type="cellIs" dxfId="1" priority="5313" operator="equal">
      <formula>"未完成"</formula>
    </cfRule>
    <cfRule type="cellIs" dxfId="0" priority="5314" operator="equal">
      <formula>"未完成"</formula>
    </cfRule>
  </conditionalFormatting>
  <conditionalFormatting sqref="AK108">
    <cfRule type="cellIs" dxfId="1" priority="5302" operator="equal">
      <formula>"未完成"</formula>
    </cfRule>
    <cfRule type="cellIs" dxfId="0" priority="5303" operator="equal">
      <formula>"未完成"</formula>
    </cfRule>
  </conditionalFormatting>
  <conditionalFormatting sqref="AL108">
    <cfRule type="cellIs" dxfId="1" priority="5306" operator="equal">
      <formula>"未完成"</formula>
    </cfRule>
    <cfRule type="cellIs" dxfId="0" priority="5307" operator="equal">
      <formula>"未完成"</formula>
    </cfRule>
  </conditionalFormatting>
  <conditionalFormatting sqref="AM108">
    <cfRule type="cellIs" dxfId="1" priority="5297" operator="equal">
      <formula>"未完成"</formula>
    </cfRule>
    <cfRule type="cellIs" dxfId="0" priority="5298" operator="equal">
      <formula>"未完成"</formula>
    </cfRule>
  </conditionalFormatting>
  <conditionalFormatting sqref="AP108">
    <cfRule type="cellIs" dxfId="1" priority="5295" operator="equal">
      <formula>"未完成"</formula>
    </cfRule>
    <cfRule type="cellIs" dxfId="0" priority="5296" operator="equal">
      <formula>"未完成"</formula>
    </cfRule>
  </conditionalFormatting>
  <conditionalFormatting sqref="AQ108">
    <cfRule type="cellIs" dxfId="1" priority="5308" operator="equal">
      <formula>"未完成"</formula>
    </cfRule>
    <cfRule type="cellIs" dxfId="0" priority="5309" operator="equal">
      <formula>"未完成"</formula>
    </cfRule>
  </conditionalFormatting>
  <conditionalFormatting sqref="AS108">
    <cfRule type="cellIs" dxfId="1" priority="5299" operator="equal">
      <formula>"未完成"</formula>
    </cfRule>
    <cfRule type="cellIs" dxfId="0" priority="5300" operator="equal">
      <formula>"未完成"</formula>
    </cfRule>
  </conditionalFormatting>
  <conditionalFormatting sqref="AT108">
    <cfRule type="cellIs" dxfId="1" priority="5304" operator="equal">
      <formula>"未完成"</formula>
    </cfRule>
    <cfRule type="cellIs" dxfId="0" priority="5305" operator="equal">
      <formula>"未完成"</formula>
    </cfRule>
  </conditionalFormatting>
  <conditionalFormatting sqref="AU108:AV108">
    <cfRule type="cellIs" dxfId="1" priority="5310" operator="equal">
      <formula>"未完成"</formula>
    </cfRule>
    <cfRule type="cellIs" dxfId="0" priority="5311" operator="equal">
      <formula>"未完成"</formula>
    </cfRule>
  </conditionalFormatting>
  <conditionalFormatting sqref="R109">
    <cfRule type="cellIs" dxfId="0" priority="5202" operator="equal">
      <formula>"欠"</formula>
    </cfRule>
  </conditionalFormatting>
  <conditionalFormatting sqref="T109:U109">
    <cfRule type="cellIs" dxfId="0" priority="5153" operator="equal">
      <formula>"欠"</formula>
    </cfRule>
  </conditionalFormatting>
  <conditionalFormatting sqref="AE109">
    <cfRule type="cellIs" dxfId="0" priority="5279" operator="equal">
      <formula>"未完成"</formula>
    </cfRule>
  </conditionalFormatting>
  <conditionalFormatting sqref="AI109:AJ109">
    <cfRule type="cellIs" dxfId="1" priority="5286" operator="equal">
      <formula>"未完成"</formula>
    </cfRule>
    <cfRule type="cellIs" dxfId="0" priority="5293" operator="equal">
      <formula>"未完成"</formula>
    </cfRule>
  </conditionalFormatting>
  <conditionalFormatting sqref="AK109">
    <cfRule type="cellIs" dxfId="1" priority="5209" operator="equal">
      <formula>"未完成"</formula>
    </cfRule>
    <cfRule type="cellIs" dxfId="0" priority="5216" operator="equal">
      <formula>"未完成"</formula>
    </cfRule>
  </conditionalFormatting>
  <conditionalFormatting sqref="AL109">
    <cfRule type="cellIs" dxfId="1" priority="5237" operator="equal">
      <formula>"未完成"</formula>
    </cfRule>
    <cfRule type="cellIs" dxfId="0" priority="5244" operator="equal">
      <formula>"未完成"</formula>
    </cfRule>
  </conditionalFormatting>
  <conditionalFormatting sqref="AM109">
    <cfRule type="cellIs" dxfId="1" priority="5174" operator="equal">
      <formula>"未完成"</formula>
    </cfRule>
    <cfRule type="cellIs" dxfId="0" priority="5181" operator="equal">
      <formula>"未完成"</formula>
    </cfRule>
  </conditionalFormatting>
  <conditionalFormatting sqref="AP109">
    <cfRule type="cellIs" dxfId="1" priority="5160" operator="equal">
      <formula>"未完成"</formula>
    </cfRule>
    <cfRule type="cellIs" dxfId="0" priority="5167" operator="equal">
      <formula>"未完成"</formula>
    </cfRule>
  </conditionalFormatting>
  <conditionalFormatting sqref="AQ109">
    <cfRule type="cellIs" dxfId="1" priority="5251" operator="equal">
      <formula>"未完成"</formula>
    </cfRule>
    <cfRule type="cellIs" dxfId="0" priority="5258" operator="equal">
      <formula>"未完成"</formula>
    </cfRule>
  </conditionalFormatting>
  <conditionalFormatting sqref="AS109">
    <cfRule type="cellIs" dxfId="1" priority="5188" operator="equal">
      <formula>"未完成"</formula>
    </cfRule>
    <cfRule type="cellIs" dxfId="0" priority="5195" operator="equal">
      <formula>"未完成"</formula>
    </cfRule>
  </conditionalFormatting>
  <conditionalFormatting sqref="AT109">
    <cfRule type="cellIs" dxfId="1" priority="5223" operator="equal">
      <formula>"未完成"</formula>
    </cfRule>
    <cfRule type="cellIs" dxfId="0" priority="5230" operator="equal">
      <formula>"未完成"</formula>
    </cfRule>
  </conditionalFormatting>
  <conditionalFormatting sqref="AU109:AV109">
    <cfRule type="cellIs" dxfId="1" priority="5265" operator="equal">
      <formula>"未完成"</formula>
    </cfRule>
    <cfRule type="cellIs" dxfId="0" priority="5272" operator="equal">
      <formula>"未完成"</formula>
    </cfRule>
  </conditionalFormatting>
  <conditionalFormatting sqref="R110">
    <cfRule type="cellIs" dxfId="0" priority="5201" operator="equal">
      <formula>"欠"</formula>
    </cfRule>
  </conditionalFormatting>
  <conditionalFormatting sqref="T110:U110">
    <cfRule type="cellIs" dxfId="0" priority="5152" operator="equal">
      <formula>"欠"</formula>
    </cfRule>
  </conditionalFormatting>
  <conditionalFormatting sqref="AE110">
    <cfRule type="cellIs" dxfId="0" priority="5278" operator="equal">
      <formula>"未完成"</formula>
    </cfRule>
  </conditionalFormatting>
  <conditionalFormatting sqref="AI110:AJ110">
    <cfRule type="cellIs" dxfId="1" priority="5285" operator="equal">
      <formula>"未完成"</formula>
    </cfRule>
    <cfRule type="cellIs" dxfId="0" priority="5292" operator="equal">
      <formula>"未完成"</formula>
    </cfRule>
  </conditionalFormatting>
  <conditionalFormatting sqref="AK110">
    <cfRule type="cellIs" dxfId="1" priority="5208" operator="equal">
      <formula>"未完成"</formula>
    </cfRule>
    <cfRule type="cellIs" dxfId="0" priority="5215" operator="equal">
      <formula>"未完成"</formula>
    </cfRule>
  </conditionalFormatting>
  <conditionalFormatting sqref="AL110">
    <cfRule type="cellIs" dxfId="1" priority="5236" operator="equal">
      <formula>"未完成"</formula>
    </cfRule>
    <cfRule type="cellIs" dxfId="0" priority="5243" operator="equal">
      <formula>"未完成"</formula>
    </cfRule>
  </conditionalFormatting>
  <conditionalFormatting sqref="AM110">
    <cfRule type="cellIs" dxfId="1" priority="5173" operator="equal">
      <formula>"未完成"</formula>
    </cfRule>
    <cfRule type="cellIs" dxfId="0" priority="5180" operator="equal">
      <formula>"未完成"</formula>
    </cfRule>
  </conditionalFormatting>
  <conditionalFormatting sqref="AP110">
    <cfRule type="cellIs" dxfId="1" priority="5159" operator="equal">
      <formula>"未完成"</formula>
    </cfRule>
    <cfRule type="cellIs" dxfId="0" priority="5166" operator="equal">
      <formula>"未完成"</formula>
    </cfRule>
  </conditionalFormatting>
  <conditionalFormatting sqref="AQ110">
    <cfRule type="cellIs" dxfId="1" priority="5250" operator="equal">
      <formula>"未完成"</formula>
    </cfRule>
    <cfRule type="cellIs" dxfId="0" priority="5257" operator="equal">
      <formula>"未完成"</formula>
    </cfRule>
  </conditionalFormatting>
  <conditionalFormatting sqref="AS110">
    <cfRule type="cellIs" dxfId="1" priority="5187" operator="equal">
      <formula>"未完成"</formula>
    </cfRule>
    <cfRule type="cellIs" dxfId="0" priority="5194" operator="equal">
      <formula>"未完成"</formula>
    </cfRule>
  </conditionalFormatting>
  <conditionalFormatting sqref="AT110">
    <cfRule type="cellIs" dxfId="1" priority="5222" operator="equal">
      <formula>"未完成"</formula>
    </cfRule>
    <cfRule type="cellIs" dxfId="0" priority="5229" operator="equal">
      <formula>"未完成"</formula>
    </cfRule>
  </conditionalFormatting>
  <conditionalFormatting sqref="AU110:AV110">
    <cfRule type="cellIs" dxfId="1" priority="5264" operator="equal">
      <formula>"未完成"</formula>
    </cfRule>
    <cfRule type="cellIs" dxfId="0" priority="5271" operator="equal">
      <formula>"未完成"</formula>
    </cfRule>
  </conditionalFormatting>
  <conditionalFormatting sqref="T111:U111">
    <cfRule type="cellIs" dxfId="0" priority="5151" operator="equal">
      <formula>"欠"</formula>
    </cfRule>
  </conditionalFormatting>
  <conditionalFormatting sqref="AE111">
    <cfRule type="cellIs" dxfId="0" priority="5277" operator="equal">
      <formula>"未完成"</formula>
    </cfRule>
  </conditionalFormatting>
  <conditionalFormatting sqref="AI111:AJ111">
    <cfRule type="cellIs" dxfId="1" priority="5284" operator="equal">
      <formula>"未完成"</formula>
    </cfRule>
    <cfRule type="cellIs" dxfId="0" priority="5291" operator="equal">
      <formula>"未完成"</formula>
    </cfRule>
  </conditionalFormatting>
  <conditionalFormatting sqref="AL111">
    <cfRule type="cellIs" dxfId="1" priority="5235" operator="equal">
      <formula>"未完成"</formula>
    </cfRule>
    <cfRule type="cellIs" dxfId="0" priority="5242" operator="equal">
      <formula>"未完成"</formula>
    </cfRule>
  </conditionalFormatting>
  <conditionalFormatting sqref="AM111">
    <cfRule type="cellIs" dxfId="1" priority="5172" operator="equal">
      <formula>"未完成"</formula>
    </cfRule>
    <cfRule type="cellIs" dxfId="0" priority="5179" operator="equal">
      <formula>"未完成"</formula>
    </cfRule>
  </conditionalFormatting>
  <conditionalFormatting sqref="AQ111">
    <cfRule type="cellIs" dxfId="1" priority="5249" operator="equal">
      <formula>"未完成"</formula>
    </cfRule>
    <cfRule type="cellIs" dxfId="0" priority="5256" operator="equal">
      <formula>"未完成"</formula>
    </cfRule>
  </conditionalFormatting>
  <conditionalFormatting sqref="AT111">
    <cfRule type="cellIs" dxfId="1" priority="5221" operator="equal">
      <formula>"未完成"</formula>
    </cfRule>
    <cfRule type="cellIs" dxfId="0" priority="5228" operator="equal">
      <formula>"未完成"</formula>
    </cfRule>
  </conditionalFormatting>
  <conditionalFormatting sqref="AU111:AV111">
    <cfRule type="cellIs" dxfId="1" priority="5263" operator="equal">
      <formula>"未完成"</formula>
    </cfRule>
    <cfRule type="cellIs" dxfId="0" priority="5270" operator="equal">
      <formula>"未完成"</formula>
    </cfRule>
  </conditionalFormatting>
  <conditionalFormatting sqref="R112">
    <cfRule type="cellIs" dxfId="0" priority="5199" operator="equal">
      <formula>"欠"</formula>
    </cfRule>
  </conditionalFormatting>
  <conditionalFormatting sqref="T112:U112">
    <cfRule type="cellIs" dxfId="0" priority="5150" operator="equal">
      <formula>"欠"</formula>
    </cfRule>
  </conditionalFormatting>
  <conditionalFormatting sqref="AE112">
    <cfRule type="cellIs" dxfId="0" priority="5276" operator="equal">
      <formula>"未完成"</formula>
    </cfRule>
  </conditionalFormatting>
  <conditionalFormatting sqref="AI112:AJ112">
    <cfRule type="cellIs" dxfId="1" priority="5283" operator="equal">
      <formula>"未完成"</formula>
    </cfRule>
    <cfRule type="cellIs" dxfId="0" priority="5290" operator="equal">
      <formula>"未完成"</formula>
    </cfRule>
  </conditionalFormatting>
  <conditionalFormatting sqref="AK112">
    <cfRule type="cellIs" dxfId="1" priority="5206" operator="equal">
      <formula>"未完成"</formula>
    </cfRule>
    <cfRule type="cellIs" dxfId="0" priority="5213" operator="equal">
      <formula>"未完成"</formula>
    </cfRule>
  </conditionalFormatting>
  <conditionalFormatting sqref="AL112">
    <cfRule type="cellIs" dxfId="1" priority="5234" operator="equal">
      <formula>"未完成"</formula>
    </cfRule>
    <cfRule type="cellIs" dxfId="0" priority="5241" operator="equal">
      <formula>"未完成"</formula>
    </cfRule>
  </conditionalFormatting>
  <conditionalFormatting sqref="AM112">
    <cfRule type="cellIs" dxfId="1" priority="5171" operator="equal">
      <formula>"未完成"</formula>
    </cfRule>
    <cfRule type="cellIs" dxfId="0" priority="5178" operator="equal">
      <formula>"未完成"</formula>
    </cfRule>
  </conditionalFormatting>
  <conditionalFormatting sqref="AP112">
    <cfRule type="cellIs" dxfId="1" priority="5157" operator="equal">
      <formula>"未完成"</formula>
    </cfRule>
    <cfRule type="cellIs" dxfId="0" priority="5164" operator="equal">
      <formula>"未完成"</formula>
    </cfRule>
  </conditionalFormatting>
  <conditionalFormatting sqref="AQ112">
    <cfRule type="cellIs" dxfId="1" priority="5248" operator="equal">
      <formula>"未完成"</formula>
    </cfRule>
    <cfRule type="cellIs" dxfId="0" priority="5255" operator="equal">
      <formula>"未完成"</formula>
    </cfRule>
  </conditionalFormatting>
  <conditionalFormatting sqref="AS112">
    <cfRule type="cellIs" dxfId="1" priority="5185" operator="equal">
      <formula>"未完成"</formula>
    </cfRule>
    <cfRule type="cellIs" dxfId="0" priority="5192" operator="equal">
      <formula>"未完成"</formula>
    </cfRule>
  </conditionalFormatting>
  <conditionalFormatting sqref="AT112">
    <cfRule type="cellIs" dxfId="1" priority="5220" operator="equal">
      <formula>"未完成"</formula>
    </cfRule>
    <cfRule type="cellIs" dxfId="0" priority="5227" operator="equal">
      <formula>"未完成"</formula>
    </cfRule>
  </conditionalFormatting>
  <conditionalFormatting sqref="AU112:AV112">
    <cfRule type="cellIs" dxfId="1" priority="5262" operator="equal">
      <formula>"未完成"</formula>
    </cfRule>
    <cfRule type="cellIs" dxfId="0" priority="5269" operator="equal">
      <formula>"未完成"</formula>
    </cfRule>
  </conditionalFormatting>
  <conditionalFormatting sqref="R113">
    <cfRule type="cellIs" dxfId="0" priority="5198" operator="equal">
      <formula>"欠"</formula>
    </cfRule>
  </conditionalFormatting>
  <conditionalFormatting sqref="AE113">
    <cfRule type="cellIs" dxfId="0" priority="5275" operator="equal">
      <formula>"未完成"</formula>
    </cfRule>
  </conditionalFormatting>
  <conditionalFormatting sqref="AI113:AJ113">
    <cfRule type="cellIs" dxfId="1" priority="5282" operator="equal">
      <formula>"未完成"</formula>
    </cfRule>
    <cfRule type="cellIs" dxfId="0" priority="5289" operator="equal">
      <formula>"未完成"</formula>
    </cfRule>
  </conditionalFormatting>
  <conditionalFormatting sqref="AK113">
    <cfRule type="cellIs" dxfId="1" priority="5205" operator="equal">
      <formula>"未完成"</formula>
    </cfRule>
    <cfRule type="cellIs" dxfId="0" priority="5212" operator="equal">
      <formula>"未完成"</formula>
    </cfRule>
  </conditionalFormatting>
  <conditionalFormatting sqref="AL113">
    <cfRule type="cellIs" dxfId="1" priority="5233" operator="equal">
      <formula>"未完成"</formula>
    </cfRule>
    <cfRule type="cellIs" dxfId="0" priority="5240" operator="equal">
      <formula>"未完成"</formula>
    </cfRule>
  </conditionalFormatting>
  <conditionalFormatting sqref="AM113">
    <cfRule type="cellIs" dxfId="1" priority="5170" operator="equal">
      <formula>"未完成"</formula>
    </cfRule>
    <cfRule type="cellIs" dxfId="0" priority="5177" operator="equal">
      <formula>"未完成"</formula>
    </cfRule>
  </conditionalFormatting>
  <conditionalFormatting sqref="AP113">
    <cfRule type="cellIs" dxfId="1" priority="5156" operator="equal">
      <formula>"未完成"</formula>
    </cfRule>
    <cfRule type="cellIs" dxfId="0" priority="5163" operator="equal">
      <formula>"未完成"</formula>
    </cfRule>
  </conditionalFormatting>
  <conditionalFormatting sqref="AQ113">
    <cfRule type="cellIs" dxfId="1" priority="5247" operator="equal">
      <formula>"未完成"</formula>
    </cfRule>
    <cfRule type="cellIs" dxfId="0" priority="5254" operator="equal">
      <formula>"未完成"</formula>
    </cfRule>
  </conditionalFormatting>
  <conditionalFormatting sqref="AS113">
    <cfRule type="cellIs" dxfId="1" priority="5184" operator="equal">
      <formula>"未完成"</formula>
    </cfRule>
    <cfRule type="cellIs" dxfId="0" priority="5191" operator="equal">
      <formula>"未完成"</formula>
    </cfRule>
  </conditionalFormatting>
  <conditionalFormatting sqref="AT113">
    <cfRule type="cellIs" dxfId="1" priority="5219" operator="equal">
      <formula>"未完成"</formula>
    </cfRule>
    <cfRule type="cellIs" dxfId="0" priority="5226" operator="equal">
      <formula>"未完成"</formula>
    </cfRule>
  </conditionalFormatting>
  <conditionalFormatting sqref="AU113:AV113">
    <cfRule type="cellIs" dxfId="1" priority="5261" operator="equal">
      <formula>"未完成"</formula>
    </cfRule>
    <cfRule type="cellIs" dxfId="0" priority="5268" operator="equal">
      <formula>"未完成"</formula>
    </cfRule>
  </conditionalFormatting>
  <conditionalFormatting sqref="R114">
    <cfRule type="cellIs" dxfId="0" priority="5197" operator="equal">
      <formula>"欠"</formula>
    </cfRule>
  </conditionalFormatting>
  <conditionalFormatting sqref="AE114">
    <cfRule type="cellIs" dxfId="0" priority="5274" operator="equal">
      <formula>"未完成"</formula>
    </cfRule>
  </conditionalFormatting>
  <conditionalFormatting sqref="AI114:AJ114">
    <cfRule type="cellIs" dxfId="1" priority="5281" operator="equal">
      <formula>"未完成"</formula>
    </cfRule>
    <cfRule type="cellIs" dxfId="0" priority="5288" operator="equal">
      <formula>"未完成"</formula>
    </cfRule>
  </conditionalFormatting>
  <conditionalFormatting sqref="AK114">
    <cfRule type="cellIs" dxfId="1" priority="5204" operator="equal">
      <formula>"未完成"</formula>
    </cfRule>
    <cfRule type="cellIs" dxfId="0" priority="5211" operator="equal">
      <formula>"未完成"</formula>
    </cfRule>
  </conditionalFormatting>
  <conditionalFormatting sqref="AL114">
    <cfRule type="cellIs" dxfId="1" priority="5232" operator="equal">
      <formula>"未完成"</formula>
    </cfRule>
    <cfRule type="cellIs" dxfId="0" priority="5239" operator="equal">
      <formula>"未完成"</formula>
    </cfRule>
  </conditionalFormatting>
  <conditionalFormatting sqref="AM114">
    <cfRule type="cellIs" dxfId="1" priority="5169" operator="equal">
      <formula>"未完成"</formula>
    </cfRule>
    <cfRule type="cellIs" dxfId="0" priority="5176" operator="equal">
      <formula>"未完成"</formula>
    </cfRule>
  </conditionalFormatting>
  <conditionalFormatting sqref="AP114">
    <cfRule type="cellIs" dxfId="1" priority="5155" operator="equal">
      <formula>"未完成"</formula>
    </cfRule>
    <cfRule type="cellIs" dxfId="0" priority="5162" operator="equal">
      <formula>"未完成"</formula>
    </cfRule>
  </conditionalFormatting>
  <conditionalFormatting sqref="AQ114">
    <cfRule type="cellIs" dxfId="1" priority="5246" operator="equal">
      <formula>"未完成"</formula>
    </cfRule>
    <cfRule type="cellIs" dxfId="0" priority="5253" operator="equal">
      <formula>"未完成"</formula>
    </cfRule>
  </conditionalFormatting>
  <conditionalFormatting sqref="AS114">
    <cfRule type="cellIs" dxfId="1" priority="5183" operator="equal">
      <formula>"未完成"</formula>
    </cfRule>
    <cfRule type="cellIs" dxfId="0" priority="5190" operator="equal">
      <formula>"未完成"</formula>
    </cfRule>
  </conditionalFormatting>
  <conditionalFormatting sqref="AT114">
    <cfRule type="cellIs" dxfId="1" priority="5218" operator="equal">
      <formula>"未完成"</formula>
    </cfRule>
    <cfRule type="cellIs" dxfId="0" priority="5225" operator="equal">
      <formula>"未完成"</formula>
    </cfRule>
  </conditionalFormatting>
  <conditionalFormatting sqref="AU114:AV114">
    <cfRule type="cellIs" dxfId="1" priority="5260" operator="equal">
      <formula>"未完成"</formula>
    </cfRule>
    <cfRule type="cellIs" dxfId="0" priority="5267" operator="equal">
      <formula>"未完成"</formula>
    </cfRule>
  </conditionalFormatting>
  <conditionalFormatting sqref="R115">
    <cfRule type="cellIs" dxfId="0" priority="5196" operator="equal">
      <formula>"欠"</formula>
    </cfRule>
  </conditionalFormatting>
  <conditionalFormatting sqref="AE115">
    <cfRule type="cellIs" dxfId="0" priority="5273" operator="equal">
      <formula>"未完成"</formula>
    </cfRule>
  </conditionalFormatting>
  <conditionalFormatting sqref="AI115:AJ115">
    <cfRule type="cellIs" dxfId="1" priority="5280" operator="equal">
      <formula>"未完成"</formula>
    </cfRule>
    <cfRule type="cellIs" dxfId="0" priority="5287" operator="equal">
      <formula>"未完成"</formula>
    </cfRule>
  </conditionalFormatting>
  <conditionalFormatting sqref="AK115">
    <cfRule type="cellIs" dxfId="1" priority="5203" operator="equal">
      <formula>"未完成"</formula>
    </cfRule>
    <cfRule type="cellIs" dxfId="0" priority="5210" operator="equal">
      <formula>"未完成"</formula>
    </cfRule>
  </conditionalFormatting>
  <conditionalFormatting sqref="AL115">
    <cfRule type="cellIs" dxfId="1" priority="5231" operator="equal">
      <formula>"未完成"</formula>
    </cfRule>
    <cfRule type="cellIs" dxfId="0" priority="5238" operator="equal">
      <formula>"未完成"</formula>
    </cfRule>
  </conditionalFormatting>
  <conditionalFormatting sqref="AM115">
    <cfRule type="cellIs" dxfId="1" priority="5168" operator="equal">
      <formula>"未完成"</formula>
    </cfRule>
    <cfRule type="cellIs" dxfId="0" priority="5175" operator="equal">
      <formula>"未完成"</formula>
    </cfRule>
  </conditionalFormatting>
  <conditionalFormatting sqref="AP115">
    <cfRule type="cellIs" dxfId="1" priority="5154" operator="equal">
      <formula>"未完成"</formula>
    </cfRule>
    <cfRule type="cellIs" dxfId="0" priority="5161" operator="equal">
      <formula>"未完成"</formula>
    </cfRule>
  </conditionalFormatting>
  <conditionalFormatting sqref="AQ115">
    <cfRule type="cellIs" dxfId="1" priority="5245" operator="equal">
      <formula>"未完成"</formula>
    </cfRule>
    <cfRule type="cellIs" dxfId="0" priority="5252" operator="equal">
      <formula>"未完成"</formula>
    </cfRule>
  </conditionalFormatting>
  <conditionalFormatting sqref="AS115">
    <cfRule type="cellIs" dxfId="1" priority="5182" operator="equal">
      <formula>"未完成"</formula>
    </cfRule>
    <cfRule type="cellIs" dxfId="0" priority="5189" operator="equal">
      <formula>"未完成"</formula>
    </cfRule>
  </conditionalFormatting>
  <conditionalFormatting sqref="AT115">
    <cfRule type="cellIs" dxfId="1" priority="5217" operator="equal">
      <formula>"未完成"</formula>
    </cfRule>
    <cfRule type="cellIs" dxfId="0" priority="5224" operator="equal">
      <formula>"未完成"</formula>
    </cfRule>
  </conditionalFormatting>
  <conditionalFormatting sqref="AU115:AV115">
    <cfRule type="cellIs" dxfId="1" priority="5259" operator="equal">
      <formula>"未完成"</formula>
    </cfRule>
    <cfRule type="cellIs" dxfId="0" priority="5266" operator="equal">
      <formula>"未完成"</formula>
    </cfRule>
  </conditionalFormatting>
  <conditionalFormatting sqref="R116">
    <cfRule type="cellIs" dxfId="0" priority="5118" operator="equal">
      <formula>"欠"</formula>
    </cfRule>
  </conditionalFormatting>
  <conditionalFormatting sqref="T116:U116">
    <cfRule type="cellIs" dxfId="0" priority="5104" operator="equal">
      <formula>"欠"</formula>
    </cfRule>
  </conditionalFormatting>
  <conditionalFormatting sqref="AE116">
    <cfRule type="cellIs" dxfId="0" priority="5140" operator="equal">
      <formula>"未完成"</formula>
    </cfRule>
  </conditionalFormatting>
  <conditionalFormatting sqref="AI116:AJ116">
    <cfRule type="cellIs" dxfId="1" priority="5142" operator="equal">
      <formula>"未完成"</formula>
    </cfRule>
    <cfRule type="cellIs" dxfId="0" priority="5144" operator="equal">
      <formula>"未完成"</formula>
    </cfRule>
  </conditionalFormatting>
  <conditionalFormatting sqref="AK116">
    <cfRule type="cellIs" dxfId="1" priority="5120" operator="equal">
      <formula>"未完成"</formula>
    </cfRule>
    <cfRule type="cellIs" dxfId="0" priority="5122" operator="equal">
      <formula>"未完成"</formula>
    </cfRule>
  </conditionalFormatting>
  <conditionalFormatting sqref="AL116">
    <cfRule type="cellIs" dxfId="1" priority="5128" operator="equal">
      <formula>"未完成"</formula>
    </cfRule>
    <cfRule type="cellIs" dxfId="0" priority="5130" operator="equal">
      <formula>"未完成"</formula>
    </cfRule>
  </conditionalFormatting>
  <conditionalFormatting sqref="AM116">
    <cfRule type="cellIs" dxfId="1" priority="5110" operator="equal">
      <formula>"未完成"</formula>
    </cfRule>
    <cfRule type="cellIs" dxfId="0" priority="5112" operator="equal">
      <formula>"未完成"</formula>
    </cfRule>
  </conditionalFormatting>
  <conditionalFormatting sqref="AP116">
    <cfRule type="cellIs" dxfId="1" priority="5106" operator="equal">
      <formula>"未完成"</formula>
    </cfRule>
    <cfRule type="cellIs" dxfId="0" priority="5108" operator="equal">
      <formula>"未完成"</formula>
    </cfRule>
  </conditionalFormatting>
  <conditionalFormatting sqref="AQ116">
    <cfRule type="cellIs" dxfId="1" priority="5132" operator="equal">
      <formula>"未完成"</formula>
    </cfRule>
    <cfRule type="cellIs" dxfId="0" priority="5134" operator="equal">
      <formula>"未完成"</formula>
    </cfRule>
  </conditionalFormatting>
  <conditionalFormatting sqref="AS116">
    <cfRule type="cellIs" dxfId="1" priority="5114" operator="equal">
      <formula>"未完成"</formula>
    </cfRule>
    <cfRule type="cellIs" dxfId="0" priority="5116" operator="equal">
      <formula>"未完成"</formula>
    </cfRule>
  </conditionalFormatting>
  <conditionalFormatting sqref="AT116">
    <cfRule type="cellIs" dxfId="1" priority="5124" operator="equal">
      <formula>"未完成"</formula>
    </cfRule>
    <cfRule type="cellIs" dxfId="0" priority="5126" operator="equal">
      <formula>"未完成"</formula>
    </cfRule>
  </conditionalFormatting>
  <conditionalFormatting sqref="AU116:AV116">
    <cfRule type="cellIs" dxfId="1" priority="5136" operator="equal">
      <formula>"未完成"</formula>
    </cfRule>
    <cfRule type="cellIs" dxfId="0" priority="5138" operator="equal">
      <formula>"未完成"</formula>
    </cfRule>
  </conditionalFormatting>
  <conditionalFormatting sqref="R117">
    <cfRule type="cellIs" dxfId="0" priority="5117" operator="equal">
      <formula>"欠"</formula>
    </cfRule>
  </conditionalFormatting>
  <conditionalFormatting sqref="T117:U117">
    <cfRule type="cellIs" dxfId="0" priority="5103" operator="equal">
      <formula>"欠"</formula>
    </cfRule>
  </conditionalFormatting>
  <conditionalFormatting sqref="AE117">
    <cfRule type="cellIs" dxfId="0" priority="5139" operator="equal">
      <formula>"未完成"</formula>
    </cfRule>
  </conditionalFormatting>
  <conditionalFormatting sqref="AI117:AJ117">
    <cfRule type="cellIs" dxfId="1" priority="5141" operator="equal">
      <formula>"未完成"</formula>
    </cfRule>
    <cfRule type="cellIs" dxfId="0" priority="5143" operator="equal">
      <formula>"未完成"</formula>
    </cfRule>
  </conditionalFormatting>
  <conditionalFormatting sqref="AK117">
    <cfRule type="cellIs" dxfId="1" priority="5119" operator="equal">
      <formula>"未完成"</formula>
    </cfRule>
    <cfRule type="cellIs" dxfId="0" priority="5121" operator="equal">
      <formula>"未完成"</formula>
    </cfRule>
  </conditionalFormatting>
  <conditionalFormatting sqref="AL117">
    <cfRule type="cellIs" dxfId="1" priority="5127" operator="equal">
      <formula>"未完成"</formula>
    </cfRule>
    <cfRule type="cellIs" dxfId="0" priority="5129" operator="equal">
      <formula>"未完成"</formula>
    </cfRule>
  </conditionalFormatting>
  <conditionalFormatting sqref="AM117">
    <cfRule type="cellIs" dxfId="1" priority="5109" operator="equal">
      <formula>"未完成"</formula>
    </cfRule>
    <cfRule type="cellIs" dxfId="0" priority="5111" operator="equal">
      <formula>"未完成"</formula>
    </cfRule>
  </conditionalFormatting>
  <conditionalFormatting sqref="AP117">
    <cfRule type="cellIs" dxfId="1" priority="5105" operator="equal">
      <formula>"未完成"</formula>
    </cfRule>
    <cfRule type="cellIs" dxfId="0" priority="5107" operator="equal">
      <formula>"未完成"</formula>
    </cfRule>
  </conditionalFormatting>
  <conditionalFormatting sqref="AQ117">
    <cfRule type="cellIs" dxfId="1" priority="5131" operator="equal">
      <formula>"未完成"</formula>
    </cfRule>
    <cfRule type="cellIs" dxfId="0" priority="5133" operator="equal">
      <formula>"未完成"</formula>
    </cfRule>
  </conditionalFormatting>
  <conditionalFormatting sqref="AS117">
    <cfRule type="cellIs" dxfId="1" priority="5113" operator="equal">
      <formula>"未完成"</formula>
    </cfRule>
    <cfRule type="cellIs" dxfId="0" priority="5115" operator="equal">
      <formula>"未完成"</formula>
    </cfRule>
  </conditionalFormatting>
  <conditionalFormatting sqref="AT117">
    <cfRule type="cellIs" dxfId="1" priority="5123" operator="equal">
      <formula>"未完成"</formula>
    </cfRule>
    <cfRule type="cellIs" dxfId="0" priority="5125" operator="equal">
      <formula>"未完成"</formula>
    </cfRule>
  </conditionalFormatting>
  <conditionalFormatting sqref="AU117:AV117">
    <cfRule type="cellIs" dxfId="1" priority="5135" operator="equal">
      <formula>"未完成"</formula>
    </cfRule>
    <cfRule type="cellIs" dxfId="0" priority="5137" operator="equal">
      <formula>"未完成"</formula>
    </cfRule>
  </conditionalFormatting>
  <conditionalFormatting sqref="R118">
    <cfRule type="cellIs" dxfId="0" priority="4853" operator="equal">
      <formula>"欠"</formula>
    </cfRule>
  </conditionalFormatting>
  <conditionalFormatting sqref="T118:U118">
    <cfRule type="cellIs" dxfId="0" priority="4811" operator="equal">
      <formula>"欠"</formula>
    </cfRule>
  </conditionalFormatting>
  <conditionalFormatting sqref="AE118">
    <cfRule type="cellIs" dxfId="0" priority="4919" operator="equal">
      <formula>"未完成"</formula>
    </cfRule>
  </conditionalFormatting>
  <conditionalFormatting sqref="AI118:AJ118">
    <cfRule type="cellIs" dxfId="1" priority="4925" operator="equal">
      <formula>"未完成"</formula>
    </cfRule>
    <cfRule type="cellIs" dxfId="0" priority="4931" operator="equal">
      <formula>"未完成"</formula>
    </cfRule>
  </conditionalFormatting>
  <conditionalFormatting sqref="AK118">
    <cfRule type="cellIs" dxfId="1" priority="4859" operator="equal">
      <formula>"未完成"</formula>
    </cfRule>
    <cfRule type="cellIs" dxfId="0" priority="4865" operator="equal">
      <formula>"未完成"</formula>
    </cfRule>
  </conditionalFormatting>
  <conditionalFormatting sqref="AL118">
    <cfRule type="cellIs" dxfId="1" priority="4883" operator="equal">
      <formula>"未完成"</formula>
    </cfRule>
    <cfRule type="cellIs" dxfId="0" priority="4889" operator="equal">
      <formula>"未完成"</formula>
    </cfRule>
  </conditionalFormatting>
  <conditionalFormatting sqref="AM118">
    <cfRule type="cellIs" dxfId="1" priority="4829" operator="equal">
      <formula>"未完成"</formula>
    </cfRule>
    <cfRule type="cellIs" dxfId="0" priority="4835" operator="equal">
      <formula>"未完成"</formula>
    </cfRule>
  </conditionalFormatting>
  <conditionalFormatting sqref="AP118">
    <cfRule type="cellIs" dxfId="1" priority="4817" operator="equal">
      <formula>"未完成"</formula>
    </cfRule>
    <cfRule type="cellIs" dxfId="0" priority="4823" operator="equal">
      <formula>"未完成"</formula>
    </cfRule>
  </conditionalFormatting>
  <conditionalFormatting sqref="AQ118">
    <cfRule type="cellIs" dxfId="1" priority="4895" operator="equal">
      <formula>"未完成"</formula>
    </cfRule>
    <cfRule type="cellIs" dxfId="0" priority="4901" operator="equal">
      <formula>"未完成"</formula>
    </cfRule>
  </conditionalFormatting>
  <conditionalFormatting sqref="AS118">
    <cfRule type="cellIs" dxfId="1" priority="4841" operator="equal">
      <formula>"未完成"</formula>
    </cfRule>
    <cfRule type="cellIs" dxfId="0" priority="4847" operator="equal">
      <formula>"未完成"</formula>
    </cfRule>
  </conditionalFormatting>
  <conditionalFormatting sqref="AT118">
    <cfRule type="cellIs" dxfId="1" priority="4871" operator="equal">
      <formula>"未完成"</formula>
    </cfRule>
    <cfRule type="cellIs" dxfId="0" priority="4877" operator="equal">
      <formula>"未完成"</formula>
    </cfRule>
  </conditionalFormatting>
  <conditionalFormatting sqref="AU118:AV118">
    <cfRule type="cellIs" dxfId="1" priority="4907" operator="equal">
      <formula>"未完成"</formula>
    </cfRule>
    <cfRule type="cellIs" dxfId="0" priority="4913" operator="equal">
      <formula>"未完成"</formula>
    </cfRule>
  </conditionalFormatting>
  <conditionalFormatting sqref="R119">
    <cfRule type="cellIs" dxfId="0" priority="4852" operator="equal">
      <formula>"欠"</formula>
    </cfRule>
  </conditionalFormatting>
  <conditionalFormatting sqref="T119:U119">
    <cfRule type="cellIs" dxfId="0" priority="4810" operator="equal">
      <formula>"欠"</formula>
    </cfRule>
  </conditionalFormatting>
  <conditionalFormatting sqref="AE119">
    <cfRule type="cellIs" dxfId="0" priority="4918" operator="equal">
      <formula>"未完成"</formula>
    </cfRule>
  </conditionalFormatting>
  <conditionalFormatting sqref="AI119:AJ119">
    <cfRule type="cellIs" dxfId="1" priority="4924" operator="equal">
      <formula>"未完成"</formula>
    </cfRule>
    <cfRule type="cellIs" dxfId="0" priority="4930" operator="equal">
      <formula>"未完成"</formula>
    </cfRule>
  </conditionalFormatting>
  <conditionalFormatting sqref="AK119">
    <cfRule type="cellIs" dxfId="1" priority="4858" operator="equal">
      <formula>"未完成"</formula>
    </cfRule>
    <cfRule type="cellIs" dxfId="0" priority="4864" operator="equal">
      <formula>"未完成"</formula>
    </cfRule>
  </conditionalFormatting>
  <conditionalFormatting sqref="AL119">
    <cfRule type="cellIs" dxfId="1" priority="4882" operator="equal">
      <formula>"未完成"</formula>
    </cfRule>
    <cfRule type="cellIs" dxfId="0" priority="4888" operator="equal">
      <formula>"未完成"</formula>
    </cfRule>
  </conditionalFormatting>
  <conditionalFormatting sqref="AM119">
    <cfRule type="cellIs" dxfId="1" priority="4828" operator="equal">
      <formula>"未完成"</formula>
    </cfRule>
    <cfRule type="cellIs" dxfId="0" priority="4834" operator="equal">
      <formula>"未完成"</formula>
    </cfRule>
  </conditionalFormatting>
  <conditionalFormatting sqref="AP119">
    <cfRule type="cellIs" dxfId="1" priority="4816" operator="equal">
      <formula>"未完成"</formula>
    </cfRule>
    <cfRule type="cellIs" dxfId="0" priority="4822" operator="equal">
      <formula>"未完成"</formula>
    </cfRule>
  </conditionalFormatting>
  <conditionalFormatting sqref="AQ119">
    <cfRule type="cellIs" dxfId="1" priority="4894" operator="equal">
      <formula>"未完成"</formula>
    </cfRule>
    <cfRule type="cellIs" dxfId="0" priority="4900" operator="equal">
      <formula>"未完成"</formula>
    </cfRule>
  </conditionalFormatting>
  <conditionalFormatting sqref="AS119">
    <cfRule type="cellIs" dxfId="1" priority="4840" operator="equal">
      <formula>"未完成"</formula>
    </cfRule>
    <cfRule type="cellIs" dxfId="0" priority="4846" operator="equal">
      <formula>"未完成"</formula>
    </cfRule>
  </conditionalFormatting>
  <conditionalFormatting sqref="AT119">
    <cfRule type="cellIs" dxfId="1" priority="4870" operator="equal">
      <formula>"未完成"</formula>
    </cfRule>
    <cfRule type="cellIs" dxfId="0" priority="4876" operator="equal">
      <formula>"未完成"</formula>
    </cfRule>
  </conditionalFormatting>
  <conditionalFormatting sqref="AU119:AV119">
    <cfRule type="cellIs" dxfId="1" priority="4906" operator="equal">
      <formula>"未完成"</formula>
    </cfRule>
    <cfRule type="cellIs" dxfId="0" priority="4912" operator="equal">
      <formula>"未完成"</formula>
    </cfRule>
  </conditionalFormatting>
  <conditionalFormatting sqref="R120">
    <cfRule type="cellIs" dxfId="0" priority="4851" operator="equal">
      <formula>"欠"</formula>
    </cfRule>
  </conditionalFormatting>
  <conditionalFormatting sqref="AE120">
    <cfRule type="cellIs" dxfId="0" priority="4917" operator="equal">
      <formula>"未完成"</formula>
    </cfRule>
  </conditionalFormatting>
  <conditionalFormatting sqref="AI120:AJ120">
    <cfRule type="cellIs" dxfId="1" priority="4923" operator="equal">
      <formula>"未完成"</formula>
    </cfRule>
    <cfRule type="cellIs" dxfId="0" priority="4929" operator="equal">
      <formula>"未完成"</formula>
    </cfRule>
  </conditionalFormatting>
  <conditionalFormatting sqref="AK120">
    <cfRule type="cellIs" dxfId="1" priority="4857" operator="equal">
      <formula>"未完成"</formula>
    </cfRule>
    <cfRule type="cellIs" dxfId="0" priority="4863" operator="equal">
      <formula>"未完成"</formula>
    </cfRule>
  </conditionalFormatting>
  <conditionalFormatting sqref="AL120">
    <cfRule type="cellIs" dxfId="1" priority="4881" operator="equal">
      <formula>"未完成"</formula>
    </cfRule>
    <cfRule type="cellIs" dxfId="0" priority="4887" operator="equal">
      <formula>"未完成"</formula>
    </cfRule>
  </conditionalFormatting>
  <conditionalFormatting sqref="AM120">
    <cfRule type="cellIs" dxfId="1" priority="4827" operator="equal">
      <formula>"未完成"</formula>
    </cfRule>
    <cfRule type="cellIs" dxfId="0" priority="4833" operator="equal">
      <formula>"未完成"</formula>
    </cfRule>
  </conditionalFormatting>
  <conditionalFormatting sqref="AP120">
    <cfRule type="cellIs" dxfId="1" priority="4815" operator="equal">
      <formula>"未完成"</formula>
    </cfRule>
    <cfRule type="cellIs" dxfId="0" priority="4821" operator="equal">
      <formula>"未完成"</formula>
    </cfRule>
  </conditionalFormatting>
  <conditionalFormatting sqref="AQ120">
    <cfRule type="cellIs" dxfId="1" priority="4893" operator="equal">
      <formula>"未完成"</formula>
    </cfRule>
    <cfRule type="cellIs" dxfId="0" priority="4899" operator="equal">
      <formula>"未完成"</formula>
    </cfRule>
  </conditionalFormatting>
  <conditionalFormatting sqref="AS120">
    <cfRule type="cellIs" dxfId="1" priority="4839" operator="equal">
      <formula>"未完成"</formula>
    </cfRule>
    <cfRule type="cellIs" dxfId="0" priority="4845" operator="equal">
      <formula>"未完成"</formula>
    </cfRule>
  </conditionalFormatting>
  <conditionalFormatting sqref="AT120">
    <cfRule type="cellIs" dxfId="1" priority="4869" operator="equal">
      <formula>"未完成"</formula>
    </cfRule>
    <cfRule type="cellIs" dxfId="0" priority="4875" operator="equal">
      <formula>"未完成"</formula>
    </cfRule>
  </conditionalFormatting>
  <conditionalFormatting sqref="AU120:AV120">
    <cfRule type="cellIs" dxfId="1" priority="4905" operator="equal">
      <formula>"未完成"</formula>
    </cfRule>
    <cfRule type="cellIs" dxfId="0" priority="4911" operator="equal">
      <formula>"未完成"</formula>
    </cfRule>
  </conditionalFormatting>
  <conditionalFormatting sqref="R121">
    <cfRule type="cellIs" dxfId="0" priority="4850" operator="equal">
      <formula>"欠"</formula>
    </cfRule>
  </conditionalFormatting>
  <conditionalFormatting sqref="AE121">
    <cfRule type="cellIs" dxfId="0" priority="4916" operator="equal">
      <formula>"未完成"</formula>
    </cfRule>
  </conditionalFormatting>
  <conditionalFormatting sqref="AI121:AJ121">
    <cfRule type="cellIs" dxfId="1" priority="4922" operator="equal">
      <formula>"未完成"</formula>
    </cfRule>
    <cfRule type="cellIs" dxfId="0" priority="4928" operator="equal">
      <formula>"未完成"</formula>
    </cfRule>
  </conditionalFormatting>
  <conditionalFormatting sqref="AK121">
    <cfRule type="cellIs" dxfId="1" priority="4856" operator="equal">
      <formula>"未完成"</formula>
    </cfRule>
    <cfRule type="cellIs" dxfId="0" priority="4862" operator="equal">
      <formula>"未完成"</formula>
    </cfRule>
  </conditionalFormatting>
  <conditionalFormatting sqref="AL121">
    <cfRule type="cellIs" dxfId="1" priority="4880" operator="equal">
      <formula>"未完成"</formula>
    </cfRule>
    <cfRule type="cellIs" dxfId="0" priority="4886" operator="equal">
      <formula>"未完成"</formula>
    </cfRule>
  </conditionalFormatting>
  <conditionalFormatting sqref="AM121">
    <cfRule type="cellIs" dxfId="1" priority="4826" operator="equal">
      <formula>"未完成"</formula>
    </cfRule>
    <cfRule type="cellIs" dxfId="0" priority="4832" operator="equal">
      <formula>"未完成"</formula>
    </cfRule>
  </conditionalFormatting>
  <conditionalFormatting sqref="AP121">
    <cfRule type="cellIs" dxfId="1" priority="4814" operator="equal">
      <formula>"未完成"</formula>
    </cfRule>
    <cfRule type="cellIs" dxfId="0" priority="4820" operator="equal">
      <formula>"未完成"</formula>
    </cfRule>
  </conditionalFormatting>
  <conditionalFormatting sqref="AQ121">
    <cfRule type="cellIs" dxfId="1" priority="4892" operator="equal">
      <formula>"未完成"</formula>
    </cfRule>
    <cfRule type="cellIs" dxfId="0" priority="4898" operator="equal">
      <formula>"未完成"</formula>
    </cfRule>
  </conditionalFormatting>
  <conditionalFormatting sqref="AS121">
    <cfRule type="cellIs" dxfId="1" priority="4838" operator="equal">
      <formula>"未完成"</formula>
    </cfRule>
    <cfRule type="cellIs" dxfId="0" priority="4844" operator="equal">
      <formula>"未完成"</formula>
    </cfRule>
  </conditionalFormatting>
  <conditionalFormatting sqref="AT121">
    <cfRule type="cellIs" dxfId="1" priority="4868" operator="equal">
      <formula>"未完成"</formula>
    </cfRule>
    <cfRule type="cellIs" dxfId="0" priority="4874" operator="equal">
      <formula>"未完成"</formula>
    </cfRule>
  </conditionalFormatting>
  <conditionalFormatting sqref="AU121:AV121">
    <cfRule type="cellIs" dxfId="1" priority="4904" operator="equal">
      <formula>"未完成"</formula>
    </cfRule>
    <cfRule type="cellIs" dxfId="0" priority="4910" operator="equal">
      <formula>"未完成"</formula>
    </cfRule>
  </conditionalFormatting>
  <conditionalFormatting sqref="R122">
    <cfRule type="cellIs" dxfId="0" priority="4849" operator="equal">
      <formula>"欠"</formula>
    </cfRule>
  </conditionalFormatting>
  <conditionalFormatting sqref="AE122">
    <cfRule type="cellIs" dxfId="0" priority="4915" operator="equal">
      <formula>"未完成"</formula>
    </cfRule>
  </conditionalFormatting>
  <conditionalFormatting sqref="AI122:AJ122">
    <cfRule type="cellIs" dxfId="1" priority="4921" operator="equal">
      <formula>"未完成"</formula>
    </cfRule>
    <cfRule type="cellIs" dxfId="0" priority="4927" operator="equal">
      <formula>"未完成"</formula>
    </cfRule>
  </conditionalFormatting>
  <conditionalFormatting sqref="AK122">
    <cfRule type="cellIs" dxfId="1" priority="4855" operator="equal">
      <formula>"未完成"</formula>
    </cfRule>
    <cfRule type="cellIs" dxfId="0" priority="4861" operator="equal">
      <formula>"未完成"</formula>
    </cfRule>
  </conditionalFormatting>
  <conditionalFormatting sqref="AL122">
    <cfRule type="cellIs" dxfId="1" priority="4879" operator="equal">
      <formula>"未完成"</formula>
    </cfRule>
    <cfRule type="cellIs" dxfId="0" priority="4885" operator="equal">
      <formula>"未完成"</formula>
    </cfRule>
  </conditionalFormatting>
  <conditionalFormatting sqref="AM122">
    <cfRule type="cellIs" dxfId="1" priority="4825" operator="equal">
      <formula>"未完成"</formula>
    </cfRule>
    <cfRule type="cellIs" dxfId="0" priority="4831" operator="equal">
      <formula>"未完成"</formula>
    </cfRule>
  </conditionalFormatting>
  <conditionalFormatting sqref="AP122">
    <cfRule type="cellIs" dxfId="1" priority="4813" operator="equal">
      <formula>"未完成"</formula>
    </cfRule>
    <cfRule type="cellIs" dxfId="0" priority="4819" operator="equal">
      <formula>"未完成"</formula>
    </cfRule>
  </conditionalFormatting>
  <conditionalFormatting sqref="AQ122">
    <cfRule type="cellIs" dxfId="1" priority="4891" operator="equal">
      <formula>"未完成"</formula>
    </cfRule>
    <cfRule type="cellIs" dxfId="0" priority="4897" operator="equal">
      <formula>"未完成"</formula>
    </cfRule>
  </conditionalFormatting>
  <conditionalFormatting sqref="AS122">
    <cfRule type="cellIs" dxfId="1" priority="4837" operator="equal">
      <formula>"未完成"</formula>
    </cfRule>
    <cfRule type="cellIs" dxfId="0" priority="4843" operator="equal">
      <formula>"未完成"</formula>
    </cfRule>
  </conditionalFormatting>
  <conditionalFormatting sqref="AT122">
    <cfRule type="cellIs" dxfId="1" priority="4867" operator="equal">
      <formula>"未完成"</formula>
    </cfRule>
    <cfRule type="cellIs" dxfId="0" priority="4873" operator="equal">
      <formula>"未完成"</formula>
    </cfRule>
  </conditionalFormatting>
  <conditionalFormatting sqref="AU122:AV122">
    <cfRule type="cellIs" dxfId="1" priority="4903" operator="equal">
      <formula>"未完成"</formula>
    </cfRule>
    <cfRule type="cellIs" dxfId="0" priority="4909" operator="equal">
      <formula>"未完成"</formula>
    </cfRule>
  </conditionalFormatting>
  <conditionalFormatting sqref="AE123">
    <cfRule type="cellIs" dxfId="0" priority="4914" operator="equal">
      <formula>"未完成"</formula>
    </cfRule>
  </conditionalFormatting>
  <conditionalFormatting sqref="AI123:AJ123">
    <cfRule type="cellIs" dxfId="1" priority="4920" operator="equal">
      <formula>"未完成"</formula>
    </cfRule>
    <cfRule type="cellIs" dxfId="0" priority="4926" operator="equal">
      <formula>"未完成"</formula>
    </cfRule>
  </conditionalFormatting>
  <conditionalFormatting sqref="AK123">
    <cfRule type="cellIs" dxfId="1" priority="4854" operator="equal">
      <formula>"未完成"</formula>
    </cfRule>
    <cfRule type="cellIs" dxfId="0" priority="4860" operator="equal">
      <formula>"未完成"</formula>
    </cfRule>
  </conditionalFormatting>
  <conditionalFormatting sqref="AL123">
    <cfRule type="cellIs" dxfId="1" priority="4878" operator="equal">
      <formula>"未完成"</formula>
    </cfRule>
    <cfRule type="cellIs" dxfId="0" priority="4884" operator="equal">
      <formula>"未完成"</formula>
    </cfRule>
  </conditionalFormatting>
  <conditionalFormatting sqref="AP123">
    <cfRule type="cellIs" dxfId="1" priority="4812" operator="equal">
      <formula>"未完成"</formula>
    </cfRule>
    <cfRule type="cellIs" dxfId="0" priority="4818" operator="equal">
      <formula>"未完成"</formula>
    </cfRule>
  </conditionalFormatting>
  <conditionalFormatting sqref="AQ123">
    <cfRule type="cellIs" dxfId="1" priority="4890" operator="equal">
      <formula>"未完成"</formula>
    </cfRule>
    <cfRule type="cellIs" dxfId="0" priority="4896" operator="equal">
      <formula>"未完成"</formula>
    </cfRule>
  </conditionalFormatting>
  <conditionalFormatting sqref="AS123">
    <cfRule type="cellIs" dxfId="1" priority="4836" operator="equal">
      <formula>"未完成"</formula>
    </cfRule>
    <cfRule type="cellIs" dxfId="0" priority="4842" operator="equal">
      <formula>"未完成"</formula>
    </cfRule>
  </conditionalFormatting>
  <conditionalFormatting sqref="AT123">
    <cfRule type="cellIs" dxfId="1" priority="4866" operator="equal">
      <formula>"未完成"</formula>
    </cfRule>
    <cfRule type="cellIs" dxfId="0" priority="4872" operator="equal">
      <formula>"未完成"</formula>
    </cfRule>
  </conditionalFormatting>
  <conditionalFormatting sqref="R124">
    <cfRule type="cellIs" dxfId="0" priority="4427" operator="equal">
      <formula>"欠"</formula>
    </cfRule>
  </conditionalFormatting>
  <conditionalFormatting sqref="T124:U124">
    <cfRule type="cellIs" dxfId="0" priority="4392" operator="equal">
      <formula>"欠"</formula>
    </cfRule>
  </conditionalFormatting>
  <conditionalFormatting sqref="AE124">
    <cfRule type="cellIs" dxfId="0" priority="4482" operator="equal">
      <formula>"未完成"</formula>
    </cfRule>
  </conditionalFormatting>
  <conditionalFormatting sqref="AI124:AJ124">
    <cfRule type="cellIs" dxfId="1" priority="4487" operator="equal">
      <formula>"未完成"</formula>
    </cfRule>
    <cfRule type="cellIs" dxfId="0" priority="4492" operator="equal">
      <formula>"未完成"</formula>
    </cfRule>
  </conditionalFormatting>
  <conditionalFormatting sqref="AK124">
    <cfRule type="cellIs" dxfId="1" priority="4432" operator="equal">
      <formula>"未完成"</formula>
    </cfRule>
    <cfRule type="cellIs" dxfId="0" priority="4437" operator="equal">
      <formula>"未完成"</formula>
    </cfRule>
  </conditionalFormatting>
  <conditionalFormatting sqref="AL124">
    <cfRule type="cellIs" dxfId="1" priority="4452" operator="equal">
      <formula>"未完成"</formula>
    </cfRule>
    <cfRule type="cellIs" dxfId="0" priority="4457" operator="equal">
      <formula>"未完成"</formula>
    </cfRule>
  </conditionalFormatting>
  <conditionalFormatting sqref="AM124">
    <cfRule type="cellIs" dxfId="1" priority="4407" operator="equal">
      <formula>"未完成"</formula>
    </cfRule>
    <cfRule type="cellIs" dxfId="0" priority="4412" operator="equal">
      <formula>"未完成"</formula>
    </cfRule>
  </conditionalFormatting>
  <conditionalFormatting sqref="AP124">
    <cfRule type="cellIs" dxfId="1" priority="4397" operator="equal">
      <formula>"未完成"</formula>
    </cfRule>
    <cfRule type="cellIs" dxfId="0" priority="4402" operator="equal">
      <formula>"未完成"</formula>
    </cfRule>
  </conditionalFormatting>
  <conditionalFormatting sqref="AQ124">
    <cfRule type="cellIs" dxfId="1" priority="4462" operator="equal">
      <formula>"未完成"</formula>
    </cfRule>
    <cfRule type="cellIs" dxfId="0" priority="4467" operator="equal">
      <formula>"未完成"</formula>
    </cfRule>
  </conditionalFormatting>
  <conditionalFormatting sqref="AS124">
    <cfRule type="cellIs" dxfId="1" priority="4417" operator="equal">
      <formula>"未完成"</formula>
    </cfRule>
    <cfRule type="cellIs" dxfId="0" priority="4422" operator="equal">
      <formula>"未完成"</formula>
    </cfRule>
  </conditionalFormatting>
  <conditionalFormatting sqref="AT124">
    <cfRule type="cellIs" dxfId="1" priority="4442" operator="equal">
      <formula>"未完成"</formula>
    </cfRule>
    <cfRule type="cellIs" dxfId="0" priority="4447" operator="equal">
      <formula>"未完成"</formula>
    </cfRule>
  </conditionalFormatting>
  <conditionalFormatting sqref="AU124:AV124">
    <cfRule type="cellIs" dxfId="1" priority="4472" operator="equal">
      <formula>"未完成"</formula>
    </cfRule>
    <cfRule type="cellIs" dxfId="0" priority="4477" operator="equal">
      <formula>"未完成"</formula>
    </cfRule>
  </conditionalFormatting>
  <conditionalFormatting sqref="R125">
    <cfRule type="cellIs" dxfId="0" priority="4426" operator="equal">
      <formula>"欠"</formula>
    </cfRule>
  </conditionalFormatting>
  <conditionalFormatting sqref="T125:U125">
    <cfRule type="cellIs" dxfId="0" priority="4391" operator="equal">
      <formula>"欠"</formula>
    </cfRule>
  </conditionalFormatting>
  <conditionalFormatting sqref="AE125">
    <cfRule type="cellIs" dxfId="0" priority="4481" operator="equal">
      <formula>"未完成"</formula>
    </cfRule>
  </conditionalFormatting>
  <conditionalFormatting sqref="AI125:AJ125">
    <cfRule type="cellIs" dxfId="1" priority="4486" operator="equal">
      <formula>"未完成"</formula>
    </cfRule>
    <cfRule type="cellIs" dxfId="0" priority="4491" operator="equal">
      <formula>"未完成"</formula>
    </cfRule>
  </conditionalFormatting>
  <conditionalFormatting sqref="AK125">
    <cfRule type="cellIs" dxfId="1" priority="4431" operator="equal">
      <formula>"未完成"</formula>
    </cfRule>
    <cfRule type="cellIs" dxfId="0" priority="4436" operator="equal">
      <formula>"未完成"</formula>
    </cfRule>
  </conditionalFormatting>
  <conditionalFormatting sqref="AL125">
    <cfRule type="cellIs" dxfId="1" priority="4451" operator="equal">
      <formula>"未完成"</formula>
    </cfRule>
    <cfRule type="cellIs" dxfId="0" priority="4456" operator="equal">
      <formula>"未完成"</formula>
    </cfRule>
  </conditionalFormatting>
  <conditionalFormatting sqref="AM125">
    <cfRule type="cellIs" dxfId="1" priority="4406" operator="equal">
      <formula>"未完成"</formula>
    </cfRule>
    <cfRule type="cellIs" dxfId="0" priority="4411" operator="equal">
      <formula>"未完成"</formula>
    </cfRule>
  </conditionalFormatting>
  <conditionalFormatting sqref="AP125">
    <cfRule type="cellIs" dxfId="1" priority="4396" operator="equal">
      <formula>"未完成"</formula>
    </cfRule>
    <cfRule type="cellIs" dxfId="0" priority="4401" operator="equal">
      <formula>"未完成"</formula>
    </cfRule>
  </conditionalFormatting>
  <conditionalFormatting sqref="AQ125">
    <cfRule type="cellIs" dxfId="1" priority="4461" operator="equal">
      <formula>"未完成"</formula>
    </cfRule>
    <cfRule type="cellIs" dxfId="0" priority="4466" operator="equal">
      <formula>"未完成"</formula>
    </cfRule>
  </conditionalFormatting>
  <conditionalFormatting sqref="AS125">
    <cfRule type="cellIs" dxfId="1" priority="4416" operator="equal">
      <formula>"未完成"</formula>
    </cfRule>
    <cfRule type="cellIs" dxfId="0" priority="4421" operator="equal">
      <formula>"未完成"</formula>
    </cfRule>
  </conditionalFormatting>
  <conditionalFormatting sqref="AT125">
    <cfRule type="cellIs" dxfId="1" priority="4441" operator="equal">
      <formula>"未完成"</formula>
    </cfRule>
    <cfRule type="cellIs" dxfId="0" priority="4446" operator="equal">
      <formula>"未完成"</formula>
    </cfRule>
  </conditionalFormatting>
  <conditionalFormatting sqref="AU125:AV125">
    <cfRule type="cellIs" dxfId="1" priority="4471" operator="equal">
      <formula>"未完成"</formula>
    </cfRule>
    <cfRule type="cellIs" dxfId="0" priority="4476" operator="equal">
      <formula>"未完成"</formula>
    </cfRule>
  </conditionalFormatting>
  <conditionalFormatting sqref="R126">
    <cfRule type="cellIs" dxfId="0" priority="4424" operator="equal">
      <formula>"欠"</formula>
    </cfRule>
  </conditionalFormatting>
  <conditionalFormatting sqref="T126:U126">
    <cfRule type="cellIs" dxfId="0" priority="4389" operator="equal">
      <formula>"欠"</formula>
    </cfRule>
  </conditionalFormatting>
  <conditionalFormatting sqref="AE126">
    <cfRule type="cellIs" dxfId="0" priority="4479" operator="equal">
      <formula>"未完成"</formula>
    </cfRule>
  </conditionalFormatting>
  <conditionalFormatting sqref="AI126:AJ126">
    <cfRule type="cellIs" dxfId="1" priority="4484" operator="equal">
      <formula>"未完成"</formula>
    </cfRule>
    <cfRule type="cellIs" dxfId="0" priority="4489" operator="equal">
      <formula>"未完成"</formula>
    </cfRule>
  </conditionalFormatting>
  <conditionalFormatting sqref="AK126">
    <cfRule type="cellIs" dxfId="1" priority="4429" operator="equal">
      <formula>"未完成"</formula>
    </cfRule>
    <cfRule type="cellIs" dxfId="0" priority="4434" operator="equal">
      <formula>"未完成"</formula>
    </cfRule>
  </conditionalFormatting>
  <conditionalFormatting sqref="AL126">
    <cfRule type="cellIs" dxfId="1" priority="4449" operator="equal">
      <formula>"未完成"</formula>
    </cfRule>
    <cfRule type="cellIs" dxfId="0" priority="4454" operator="equal">
      <formula>"未完成"</formula>
    </cfRule>
  </conditionalFormatting>
  <conditionalFormatting sqref="AM126">
    <cfRule type="cellIs" dxfId="1" priority="4404" operator="equal">
      <formula>"未完成"</formula>
    </cfRule>
    <cfRule type="cellIs" dxfId="0" priority="4409" operator="equal">
      <formula>"未完成"</formula>
    </cfRule>
  </conditionalFormatting>
  <conditionalFormatting sqref="AP126">
    <cfRule type="cellIs" dxfId="1" priority="4394" operator="equal">
      <formula>"未完成"</formula>
    </cfRule>
    <cfRule type="cellIs" dxfId="0" priority="4399" operator="equal">
      <formula>"未完成"</formula>
    </cfRule>
  </conditionalFormatting>
  <conditionalFormatting sqref="AQ126">
    <cfRule type="cellIs" dxfId="1" priority="4459" operator="equal">
      <formula>"未完成"</formula>
    </cfRule>
    <cfRule type="cellIs" dxfId="0" priority="4464" operator="equal">
      <formula>"未完成"</formula>
    </cfRule>
  </conditionalFormatting>
  <conditionalFormatting sqref="AS126">
    <cfRule type="cellIs" dxfId="1" priority="4414" operator="equal">
      <formula>"未完成"</formula>
    </cfRule>
    <cfRule type="cellIs" dxfId="0" priority="4419" operator="equal">
      <formula>"未完成"</formula>
    </cfRule>
  </conditionalFormatting>
  <conditionalFormatting sqref="AT126">
    <cfRule type="cellIs" dxfId="1" priority="4439" operator="equal">
      <formula>"未完成"</formula>
    </cfRule>
    <cfRule type="cellIs" dxfId="0" priority="4444" operator="equal">
      <formula>"未完成"</formula>
    </cfRule>
  </conditionalFormatting>
  <conditionalFormatting sqref="AU126:AV126">
    <cfRule type="cellIs" dxfId="1" priority="4469" operator="equal">
      <formula>"未完成"</formula>
    </cfRule>
    <cfRule type="cellIs" dxfId="0" priority="4474" operator="equal">
      <formula>"未完成"</formula>
    </cfRule>
  </conditionalFormatting>
  <conditionalFormatting sqref="R127">
    <cfRule type="cellIs" dxfId="0" priority="4423" operator="equal">
      <formula>"欠"</formula>
    </cfRule>
  </conditionalFormatting>
  <conditionalFormatting sqref="T127:U127">
    <cfRule type="cellIs" dxfId="0" priority="4388" operator="equal">
      <formula>"欠"</formula>
    </cfRule>
  </conditionalFormatting>
  <conditionalFormatting sqref="AE127">
    <cfRule type="cellIs" dxfId="0" priority="4478" operator="equal">
      <formula>"未完成"</formula>
    </cfRule>
  </conditionalFormatting>
  <conditionalFormatting sqref="AI127:AJ127">
    <cfRule type="cellIs" dxfId="1" priority="4483" operator="equal">
      <formula>"未完成"</formula>
    </cfRule>
    <cfRule type="cellIs" dxfId="0" priority="4488" operator="equal">
      <formula>"未完成"</formula>
    </cfRule>
  </conditionalFormatting>
  <conditionalFormatting sqref="AK127">
    <cfRule type="cellIs" dxfId="1" priority="4428" operator="equal">
      <formula>"未完成"</formula>
    </cfRule>
    <cfRule type="cellIs" dxfId="0" priority="4433" operator="equal">
      <formula>"未完成"</formula>
    </cfRule>
  </conditionalFormatting>
  <conditionalFormatting sqref="AL127">
    <cfRule type="cellIs" dxfId="1" priority="4448" operator="equal">
      <formula>"未完成"</formula>
    </cfRule>
    <cfRule type="cellIs" dxfId="0" priority="4453" operator="equal">
      <formula>"未完成"</formula>
    </cfRule>
  </conditionalFormatting>
  <conditionalFormatting sqref="AM127">
    <cfRule type="cellIs" dxfId="1" priority="4403" operator="equal">
      <formula>"未完成"</formula>
    </cfRule>
    <cfRule type="cellIs" dxfId="0" priority="4408" operator="equal">
      <formula>"未完成"</formula>
    </cfRule>
  </conditionalFormatting>
  <conditionalFormatting sqref="AP127">
    <cfRule type="cellIs" dxfId="1" priority="4393" operator="equal">
      <formula>"未完成"</formula>
    </cfRule>
    <cfRule type="cellIs" dxfId="0" priority="4398" operator="equal">
      <formula>"未完成"</formula>
    </cfRule>
  </conditionalFormatting>
  <conditionalFormatting sqref="AQ127">
    <cfRule type="cellIs" dxfId="1" priority="4458" operator="equal">
      <formula>"未完成"</formula>
    </cfRule>
    <cfRule type="cellIs" dxfId="0" priority="4463" operator="equal">
      <formula>"未完成"</formula>
    </cfRule>
  </conditionalFormatting>
  <conditionalFormatting sqref="AS127">
    <cfRule type="cellIs" dxfId="1" priority="4413" operator="equal">
      <formula>"未完成"</formula>
    </cfRule>
    <cfRule type="cellIs" dxfId="0" priority="4418" operator="equal">
      <formula>"未完成"</formula>
    </cfRule>
  </conditionalFormatting>
  <conditionalFormatting sqref="AT127">
    <cfRule type="cellIs" dxfId="1" priority="4438" operator="equal">
      <formula>"未完成"</formula>
    </cfRule>
    <cfRule type="cellIs" dxfId="0" priority="4443" operator="equal">
      <formula>"未完成"</formula>
    </cfRule>
  </conditionalFormatting>
  <conditionalFormatting sqref="AU127:AV127">
    <cfRule type="cellIs" dxfId="1" priority="4468" operator="equal">
      <formula>"未完成"</formula>
    </cfRule>
    <cfRule type="cellIs" dxfId="0" priority="4473" operator="equal">
      <formula>"未完成"</formula>
    </cfRule>
  </conditionalFormatting>
  <conditionalFormatting sqref="R128">
    <cfRule type="cellIs" dxfId="0" priority="4351" operator="equal">
      <formula>"欠"</formula>
    </cfRule>
  </conditionalFormatting>
  <conditionalFormatting sqref="T128:U128">
    <cfRule type="cellIs" dxfId="0" priority="4344" operator="equal">
      <formula>"欠"</formula>
    </cfRule>
  </conditionalFormatting>
  <conditionalFormatting sqref="AE128">
    <cfRule type="cellIs" dxfId="0" priority="4362" operator="equal">
      <formula>"未完成"</formula>
    </cfRule>
  </conditionalFormatting>
  <conditionalFormatting sqref="AI128:AJ128">
    <cfRule type="cellIs" dxfId="1" priority="4363" operator="equal">
      <formula>"未完成"</formula>
    </cfRule>
    <cfRule type="cellIs" dxfId="0" priority="4364" operator="equal">
      <formula>"未完成"</formula>
    </cfRule>
  </conditionalFormatting>
  <conditionalFormatting sqref="AK128">
    <cfRule type="cellIs" dxfId="1" priority="4352" operator="equal">
      <formula>"未完成"</formula>
    </cfRule>
    <cfRule type="cellIs" dxfId="0" priority="4353" operator="equal">
      <formula>"未完成"</formula>
    </cfRule>
  </conditionalFormatting>
  <conditionalFormatting sqref="AL128">
    <cfRule type="cellIs" dxfId="1" priority="4356" operator="equal">
      <formula>"未完成"</formula>
    </cfRule>
    <cfRule type="cellIs" dxfId="0" priority="4357" operator="equal">
      <formula>"未完成"</formula>
    </cfRule>
  </conditionalFormatting>
  <conditionalFormatting sqref="AM128">
    <cfRule type="cellIs" dxfId="1" priority="4347" operator="equal">
      <formula>"未完成"</formula>
    </cfRule>
    <cfRule type="cellIs" dxfId="0" priority="4348" operator="equal">
      <formula>"未完成"</formula>
    </cfRule>
  </conditionalFormatting>
  <conditionalFormatting sqref="AP128">
    <cfRule type="cellIs" dxfId="1" priority="4345" operator="equal">
      <formula>"未完成"</formula>
    </cfRule>
    <cfRule type="cellIs" dxfId="0" priority="4346" operator="equal">
      <formula>"未完成"</formula>
    </cfRule>
  </conditionalFormatting>
  <conditionalFormatting sqref="AQ128">
    <cfRule type="cellIs" dxfId="1" priority="4358" operator="equal">
      <formula>"未完成"</formula>
    </cfRule>
    <cfRule type="cellIs" dxfId="0" priority="4359" operator="equal">
      <formula>"未完成"</formula>
    </cfRule>
  </conditionalFormatting>
  <conditionalFormatting sqref="AS128">
    <cfRule type="cellIs" dxfId="1" priority="4349" operator="equal">
      <formula>"未完成"</formula>
    </cfRule>
    <cfRule type="cellIs" dxfId="0" priority="4350" operator="equal">
      <formula>"未完成"</formula>
    </cfRule>
  </conditionalFormatting>
  <conditionalFormatting sqref="AT128">
    <cfRule type="cellIs" dxfId="1" priority="4354" operator="equal">
      <formula>"未完成"</formula>
    </cfRule>
    <cfRule type="cellIs" dxfId="0" priority="4355" operator="equal">
      <formula>"未完成"</formula>
    </cfRule>
  </conditionalFormatting>
  <conditionalFormatting sqref="AU128:AV128">
    <cfRule type="cellIs" dxfId="1" priority="4360" operator="equal">
      <formula>"未完成"</formula>
    </cfRule>
    <cfRule type="cellIs" dxfId="0" priority="4361" operator="equal">
      <formula>"未完成"</formula>
    </cfRule>
  </conditionalFormatting>
  <conditionalFormatting sqref="R129">
    <cfRule type="cellIs" dxfId="0" priority="4278" operator="equal">
      <formula>"欠"</formula>
    </cfRule>
  </conditionalFormatting>
  <conditionalFormatting sqref="T129:U129">
    <cfRule type="cellIs" dxfId="0" priority="4243" operator="equal">
      <formula>"欠"</formula>
    </cfRule>
  </conditionalFormatting>
  <conditionalFormatting sqref="AE129">
    <cfRule type="cellIs" dxfId="0" priority="4333" operator="equal">
      <formula>"未完成"</formula>
    </cfRule>
  </conditionalFormatting>
  <conditionalFormatting sqref="AI129:AJ129">
    <cfRule type="cellIs" dxfId="1" priority="4338" operator="equal">
      <formula>"未完成"</formula>
    </cfRule>
    <cfRule type="cellIs" dxfId="0" priority="4343" operator="equal">
      <formula>"未完成"</formula>
    </cfRule>
  </conditionalFormatting>
  <conditionalFormatting sqref="AK129">
    <cfRule type="cellIs" dxfId="1" priority="4283" operator="equal">
      <formula>"未完成"</formula>
    </cfRule>
    <cfRule type="cellIs" dxfId="0" priority="4288" operator="equal">
      <formula>"未完成"</formula>
    </cfRule>
  </conditionalFormatting>
  <conditionalFormatting sqref="AL129">
    <cfRule type="cellIs" dxfId="1" priority="4303" operator="equal">
      <formula>"未完成"</formula>
    </cfRule>
    <cfRule type="cellIs" dxfId="0" priority="4308" operator="equal">
      <formula>"未完成"</formula>
    </cfRule>
  </conditionalFormatting>
  <conditionalFormatting sqref="AM129">
    <cfRule type="cellIs" dxfId="1" priority="4258" operator="equal">
      <formula>"未完成"</formula>
    </cfRule>
    <cfRule type="cellIs" dxfId="0" priority="4263" operator="equal">
      <formula>"未完成"</formula>
    </cfRule>
  </conditionalFormatting>
  <conditionalFormatting sqref="AP129">
    <cfRule type="cellIs" dxfId="1" priority="4248" operator="equal">
      <formula>"未完成"</formula>
    </cfRule>
    <cfRule type="cellIs" dxfId="0" priority="4253" operator="equal">
      <formula>"未完成"</formula>
    </cfRule>
  </conditionalFormatting>
  <conditionalFormatting sqref="AQ129">
    <cfRule type="cellIs" dxfId="1" priority="4313" operator="equal">
      <formula>"未完成"</formula>
    </cfRule>
    <cfRule type="cellIs" dxfId="0" priority="4318" operator="equal">
      <formula>"未完成"</formula>
    </cfRule>
  </conditionalFormatting>
  <conditionalFormatting sqref="AS129">
    <cfRule type="cellIs" dxfId="1" priority="4268" operator="equal">
      <formula>"未完成"</formula>
    </cfRule>
    <cfRule type="cellIs" dxfId="0" priority="4273" operator="equal">
      <formula>"未完成"</formula>
    </cfRule>
  </conditionalFormatting>
  <conditionalFormatting sqref="AT129">
    <cfRule type="cellIs" dxfId="1" priority="4293" operator="equal">
      <formula>"未完成"</formula>
    </cfRule>
    <cfRule type="cellIs" dxfId="0" priority="4298" operator="equal">
      <formula>"未完成"</formula>
    </cfRule>
  </conditionalFormatting>
  <conditionalFormatting sqref="AU129:AV129">
    <cfRule type="cellIs" dxfId="1" priority="4323" operator="equal">
      <formula>"未完成"</formula>
    </cfRule>
    <cfRule type="cellIs" dxfId="0" priority="4328" operator="equal">
      <formula>"未完成"</formula>
    </cfRule>
  </conditionalFormatting>
  <conditionalFormatting sqref="R130">
    <cfRule type="cellIs" dxfId="0" priority="4277" operator="equal">
      <formula>"欠"</formula>
    </cfRule>
  </conditionalFormatting>
  <conditionalFormatting sqref="T130:U130">
    <cfRule type="cellIs" dxfId="0" priority="4242" operator="equal">
      <formula>"欠"</formula>
    </cfRule>
  </conditionalFormatting>
  <conditionalFormatting sqref="AE130">
    <cfRule type="cellIs" dxfId="0" priority="4332" operator="equal">
      <formula>"未完成"</formula>
    </cfRule>
  </conditionalFormatting>
  <conditionalFormatting sqref="AI130:AJ130">
    <cfRule type="cellIs" dxfId="1" priority="4337" operator="equal">
      <formula>"未完成"</formula>
    </cfRule>
    <cfRule type="cellIs" dxfId="0" priority="4342" operator="equal">
      <formula>"未完成"</formula>
    </cfRule>
  </conditionalFormatting>
  <conditionalFormatting sqref="AK130">
    <cfRule type="cellIs" dxfId="1" priority="4282" operator="equal">
      <formula>"未完成"</formula>
    </cfRule>
    <cfRule type="cellIs" dxfId="0" priority="4287" operator="equal">
      <formula>"未完成"</formula>
    </cfRule>
  </conditionalFormatting>
  <conditionalFormatting sqref="AL130">
    <cfRule type="cellIs" dxfId="1" priority="4302" operator="equal">
      <formula>"未完成"</formula>
    </cfRule>
    <cfRule type="cellIs" dxfId="0" priority="4307" operator="equal">
      <formula>"未完成"</formula>
    </cfRule>
  </conditionalFormatting>
  <conditionalFormatting sqref="AM130">
    <cfRule type="cellIs" dxfId="1" priority="4257" operator="equal">
      <formula>"未完成"</formula>
    </cfRule>
    <cfRule type="cellIs" dxfId="0" priority="4262" operator="equal">
      <formula>"未完成"</formula>
    </cfRule>
  </conditionalFormatting>
  <conditionalFormatting sqref="AP130">
    <cfRule type="cellIs" dxfId="1" priority="4247" operator="equal">
      <formula>"未完成"</formula>
    </cfRule>
    <cfRule type="cellIs" dxfId="0" priority="4252" operator="equal">
      <formula>"未完成"</formula>
    </cfRule>
  </conditionalFormatting>
  <conditionalFormatting sqref="AQ130">
    <cfRule type="cellIs" dxfId="1" priority="4312" operator="equal">
      <formula>"未完成"</formula>
    </cfRule>
    <cfRule type="cellIs" dxfId="0" priority="4317" operator="equal">
      <formula>"未完成"</formula>
    </cfRule>
  </conditionalFormatting>
  <conditionalFormatting sqref="AS130">
    <cfRule type="cellIs" dxfId="1" priority="4267" operator="equal">
      <formula>"未完成"</formula>
    </cfRule>
    <cfRule type="cellIs" dxfId="0" priority="4272" operator="equal">
      <formula>"未完成"</formula>
    </cfRule>
  </conditionalFormatting>
  <conditionalFormatting sqref="AT130">
    <cfRule type="cellIs" dxfId="1" priority="4292" operator="equal">
      <formula>"未完成"</formula>
    </cfRule>
    <cfRule type="cellIs" dxfId="0" priority="4297" operator="equal">
      <formula>"未完成"</formula>
    </cfRule>
  </conditionalFormatting>
  <conditionalFormatting sqref="AU130:AV130">
    <cfRule type="cellIs" dxfId="1" priority="4322" operator="equal">
      <formula>"未完成"</formula>
    </cfRule>
    <cfRule type="cellIs" dxfId="0" priority="4327" operator="equal">
      <formula>"未完成"</formula>
    </cfRule>
  </conditionalFormatting>
  <conditionalFormatting sqref="R131">
    <cfRule type="cellIs" dxfId="0" priority="4276" operator="equal">
      <formula>"欠"</formula>
    </cfRule>
  </conditionalFormatting>
  <conditionalFormatting sqref="T131:U131">
    <cfRule type="cellIs" dxfId="0" priority="4241" operator="equal">
      <formula>"欠"</formula>
    </cfRule>
  </conditionalFormatting>
  <conditionalFormatting sqref="AE131">
    <cfRule type="cellIs" dxfId="0" priority="4331" operator="equal">
      <formula>"未完成"</formula>
    </cfRule>
  </conditionalFormatting>
  <conditionalFormatting sqref="AI131:AJ131">
    <cfRule type="cellIs" dxfId="1" priority="4336" operator="equal">
      <formula>"未完成"</formula>
    </cfRule>
    <cfRule type="cellIs" dxfId="0" priority="4341" operator="equal">
      <formula>"未完成"</formula>
    </cfRule>
  </conditionalFormatting>
  <conditionalFormatting sqref="AK131">
    <cfRule type="cellIs" dxfId="1" priority="4281" operator="equal">
      <formula>"未完成"</formula>
    </cfRule>
    <cfRule type="cellIs" dxfId="0" priority="4286" operator="equal">
      <formula>"未完成"</formula>
    </cfRule>
  </conditionalFormatting>
  <conditionalFormatting sqref="AL131">
    <cfRule type="cellIs" dxfId="1" priority="4301" operator="equal">
      <formula>"未完成"</formula>
    </cfRule>
    <cfRule type="cellIs" dxfId="0" priority="4306" operator="equal">
      <formula>"未完成"</formula>
    </cfRule>
  </conditionalFormatting>
  <conditionalFormatting sqref="AM131">
    <cfRule type="cellIs" dxfId="1" priority="4256" operator="equal">
      <formula>"未完成"</formula>
    </cfRule>
    <cfRule type="cellIs" dxfId="0" priority="4261" operator="equal">
      <formula>"未完成"</formula>
    </cfRule>
  </conditionalFormatting>
  <conditionalFormatting sqref="AP131">
    <cfRule type="cellIs" dxfId="1" priority="4246" operator="equal">
      <formula>"未完成"</formula>
    </cfRule>
    <cfRule type="cellIs" dxfId="0" priority="4251" operator="equal">
      <formula>"未完成"</formula>
    </cfRule>
  </conditionalFormatting>
  <conditionalFormatting sqref="AQ131">
    <cfRule type="cellIs" dxfId="1" priority="4311" operator="equal">
      <formula>"未完成"</formula>
    </cfRule>
    <cfRule type="cellIs" dxfId="0" priority="4316" operator="equal">
      <formula>"未完成"</formula>
    </cfRule>
  </conditionalFormatting>
  <conditionalFormatting sqref="AS131">
    <cfRule type="cellIs" dxfId="1" priority="4266" operator="equal">
      <formula>"未完成"</formula>
    </cfRule>
    <cfRule type="cellIs" dxfId="0" priority="4271" operator="equal">
      <formula>"未完成"</formula>
    </cfRule>
  </conditionalFormatting>
  <conditionalFormatting sqref="AT131">
    <cfRule type="cellIs" dxfId="1" priority="4291" operator="equal">
      <formula>"未完成"</formula>
    </cfRule>
    <cfRule type="cellIs" dxfId="0" priority="4296" operator="equal">
      <formula>"未完成"</formula>
    </cfRule>
  </conditionalFormatting>
  <conditionalFormatting sqref="AU131:AV131">
    <cfRule type="cellIs" dxfId="1" priority="4321" operator="equal">
      <formula>"未完成"</formula>
    </cfRule>
    <cfRule type="cellIs" dxfId="0" priority="4326" operator="equal">
      <formula>"未完成"</formula>
    </cfRule>
  </conditionalFormatting>
  <conditionalFormatting sqref="R132">
    <cfRule type="cellIs" dxfId="0" priority="4275" operator="equal">
      <formula>"欠"</formula>
    </cfRule>
  </conditionalFormatting>
  <conditionalFormatting sqref="T132:U132">
    <cfRule type="cellIs" dxfId="0" priority="4240" operator="equal">
      <formula>"欠"</formula>
    </cfRule>
  </conditionalFormatting>
  <conditionalFormatting sqref="AE132">
    <cfRule type="cellIs" dxfId="0" priority="4330" operator="equal">
      <formula>"未完成"</formula>
    </cfRule>
  </conditionalFormatting>
  <conditionalFormatting sqref="AI132:AJ132">
    <cfRule type="cellIs" dxfId="1" priority="4335" operator="equal">
      <formula>"未完成"</formula>
    </cfRule>
    <cfRule type="cellIs" dxfId="0" priority="4340" operator="equal">
      <formula>"未完成"</formula>
    </cfRule>
  </conditionalFormatting>
  <conditionalFormatting sqref="AK132">
    <cfRule type="cellIs" dxfId="1" priority="4280" operator="equal">
      <formula>"未完成"</formula>
    </cfRule>
    <cfRule type="cellIs" dxfId="0" priority="4285" operator="equal">
      <formula>"未完成"</formula>
    </cfRule>
  </conditionalFormatting>
  <conditionalFormatting sqref="AL132">
    <cfRule type="cellIs" dxfId="1" priority="4300" operator="equal">
      <formula>"未完成"</formula>
    </cfRule>
    <cfRule type="cellIs" dxfId="0" priority="4305" operator="equal">
      <formula>"未完成"</formula>
    </cfRule>
  </conditionalFormatting>
  <conditionalFormatting sqref="AM132">
    <cfRule type="cellIs" dxfId="1" priority="4255" operator="equal">
      <formula>"未完成"</formula>
    </cfRule>
    <cfRule type="cellIs" dxfId="0" priority="4260" operator="equal">
      <formula>"未完成"</formula>
    </cfRule>
  </conditionalFormatting>
  <conditionalFormatting sqref="AP132">
    <cfRule type="cellIs" dxfId="1" priority="4245" operator="equal">
      <formula>"未完成"</formula>
    </cfRule>
    <cfRule type="cellIs" dxfId="0" priority="4250" operator="equal">
      <formula>"未完成"</formula>
    </cfRule>
  </conditionalFormatting>
  <conditionalFormatting sqref="AQ132">
    <cfRule type="cellIs" dxfId="1" priority="4310" operator="equal">
      <formula>"未完成"</formula>
    </cfRule>
    <cfRule type="cellIs" dxfId="0" priority="4315" operator="equal">
      <formula>"未完成"</formula>
    </cfRule>
  </conditionalFormatting>
  <conditionalFormatting sqref="AS132">
    <cfRule type="cellIs" dxfId="1" priority="4265" operator="equal">
      <formula>"未完成"</formula>
    </cfRule>
    <cfRule type="cellIs" dxfId="0" priority="4270" operator="equal">
      <formula>"未完成"</formula>
    </cfRule>
  </conditionalFormatting>
  <conditionalFormatting sqref="AT132">
    <cfRule type="cellIs" dxfId="1" priority="4290" operator="equal">
      <formula>"未完成"</formula>
    </cfRule>
    <cfRule type="cellIs" dxfId="0" priority="4295" operator="equal">
      <formula>"未完成"</formula>
    </cfRule>
  </conditionalFormatting>
  <conditionalFormatting sqref="AU132:AV132">
    <cfRule type="cellIs" dxfId="1" priority="4320" operator="equal">
      <formula>"未完成"</formula>
    </cfRule>
    <cfRule type="cellIs" dxfId="0" priority="4325" operator="equal">
      <formula>"未完成"</formula>
    </cfRule>
  </conditionalFormatting>
  <conditionalFormatting sqref="R133">
    <cfRule type="cellIs" dxfId="0" priority="4274" operator="equal">
      <formula>"欠"</formula>
    </cfRule>
  </conditionalFormatting>
  <conditionalFormatting sqref="T133:U133">
    <cfRule type="cellIs" dxfId="0" priority="4239" operator="equal">
      <formula>"欠"</formula>
    </cfRule>
  </conditionalFormatting>
  <conditionalFormatting sqref="AE133">
    <cfRule type="cellIs" dxfId="0" priority="4329" operator="equal">
      <formula>"未完成"</formula>
    </cfRule>
  </conditionalFormatting>
  <conditionalFormatting sqref="AI133:AJ133">
    <cfRule type="cellIs" dxfId="1" priority="4334" operator="equal">
      <formula>"未完成"</formula>
    </cfRule>
    <cfRule type="cellIs" dxfId="0" priority="4339" operator="equal">
      <formula>"未完成"</formula>
    </cfRule>
  </conditionalFormatting>
  <conditionalFormatting sqref="AK133">
    <cfRule type="cellIs" dxfId="1" priority="4279" operator="equal">
      <formula>"未完成"</formula>
    </cfRule>
    <cfRule type="cellIs" dxfId="0" priority="4284" operator="equal">
      <formula>"未完成"</formula>
    </cfRule>
  </conditionalFormatting>
  <conditionalFormatting sqref="AL133">
    <cfRule type="cellIs" dxfId="1" priority="4299" operator="equal">
      <formula>"未完成"</formula>
    </cfRule>
    <cfRule type="cellIs" dxfId="0" priority="4304" operator="equal">
      <formula>"未完成"</formula>
    </cfRule>
  </conditionalFormatting>
  <conditionalFormatting sqref="AM133">
    <cfRule type="cellIs" dxfId="1" priority="4254" operator="equal">
      <formula>"未完成"</formula>
    </cfRule>
    <cfRule type="cellIs" dxfId="0" priority="4259" operator="equal">
      <formula>"未完成"</formula>
    </cfRule>
  </conditionalFormatting>
  <conditionalFormatting sqref="AP133">
    <cfRule type="cellIs" dxfId="1" priority="4244" operator="equal">
      <formula>"未完成"</formula>
    </cfRule>
    <cfRule type="cellIs" dxfId="0" priority="4249" operator="equal">
      <formula>"未完成"</formula>
    </cfRule>
  </conditionalFormatting>
  <conditionalFormatting sqref="AQ133">
    <cfRule type="cellIs" dxfId="1" priority="4309" operator="equal">
      <formula>"未完成"</formula>
    </cfRule>
    <cfRule type="cellIs" dxfId="0" priority="4314" operator="equal">
      <formula>"未完成"</formula>
    </cfRule>
  </conditionalFormatting>
  <conditionalFormatting sqref="AS133">
    <cfRule type="cellIs" dxfId="1" priority="4264" operator="equal">
      <formula>"未完成"</formula>
    </cfRule>
    <cfRule type="cellIs" dxfId="0" priority="4269" operator="equal">
      <formula>"未完成"</formula>
    </cfRule>
  </conditionalFormatting>
  <conditionalFormatting sqref="AT133">
    <cfRule type="cellIs" dxfId="1" priority="4289" operator="equal">
      <formula>"未完成"</formula>
    </cfRule>
    <cfRule type="cellIs" dxfId="0" priority="4294" operator="equal">
      <formula>"未完成"</formula>
    </cfRule>
  </conditionalFormatting>
  <conditionalFormatting sqref="AU133:AV133">
    <cfRule type="cellIs" dxfId="1" priority="4319" operator="equal">
      <formula>"未完成"</formula>
    </cfRule>
    <cfRule type="cellIs" dxfId="0" priority="4324" operator="equal">
      <formula>"未完成"</formula>
    </cfRule>
  </conditionalFormatting>
  <conditionalFormatting sqref="R134">
    <cfRule type="cellIs" dxfId="0" priority="4121" operator="equal">
      <formula>"欠"</formula>
    </cfRule>
  </conditionalFormatting>
  <conditionalFormatting sqref="T134:U134">
    <cfRule type="cellIs" dxfId="0" priority="4058" operator="equal">
      <formula>"欠"</formula>
    </cfRule>
  </conditionalFormatting>
  <conditionalFormatting sqref="AE134">
    <cfRule type="cellIs" dxfId="0" priority="4220" operator="equal">
      <formula>"未完成"</formula>
    </cfRule>
  </conditionalFormatting>
  <conditionalFormatting sqref="AI134:AJ134">
    <cfRule type="cellIs" dxfId="1" priority="4229" operator="equal">
      <formula>"未完成"</formula>
    </cfRule>
    <cfRule type="cellIs" dxfId="0" priority="4238" operator="equal">
      <formula>"未完成"</formula>
    </cfRule>
  </conditionalFormatting>
  <conditionalFormatting sqref="AK134">
    <cfRule type="cellIs" dxfId="1" priority="4130" operator="equal">
      <formula>"未完成"</formula>
    </cfRule>
    <cfRule type="cellIs" dxfId="0" priority="4139" operator="equal">
      <formula>"未完成"</formula>
    </cfRule>
  </conditionalFormatting>
  <conditionalFormatting sqref="AL134">
    <cfRule type="cellIs" dxfId="1" priority="4166" operator="equal">
      <formula>"未完成"</formula>
    </cfRule>
    <cfRule type="cellIs" dxfId="0" priority="4175" operator="equal">
      <formula>"未完成"</formula>
    </cfRule>
  </conditionalFormatting>
  <conditionalFormatting sqref="AM134">
    <cfRule type="cellIs" dxfId="1" priority="4085" operator="equal">
      <formula>"未完成"</formula>
    </cfRule>
    <cfRule type="cellIs" dxfId="0" priority="4094" operator="equal">
      <formula>"未完成"</formula>
    </cfRule>
  </conditionalFormatting>
  <conditionalFormatting sqref="AP134">
    <cfRule type="cellIs" dxfId="1" priority="4067" operator="equal">
      <formula>"未完成"</formula>
    </cfRule>
    <cfRule type="cellIs" dxfId="0" priority="4076" operator="equal">
      <formula>"未完成"</formula>
    </cfRule>
  </conditionalFormatting>
  <conditionalFormatting sqref="AQ134">
    <cfRule type="cellIs" dxfId="1" priority="4184" operator="equal">
      <formula>"未完成"</formula>
    </cfRule>
    <cfRule type="cellIs" dxfId="0" priority="4193" operator="equal">
      <formula>"未完成"</formula>
    </cfRule>
  </conditionalFormatting>
  <conditionalFormatting sqref="AS134">
    <cfRule type="cellIs" dxfId="1" priority="4103" operator="equal">
      <formula>"未完成"</formula>
    </cfRule>
    <cfRule type="cellIs" dxfId="0" priority="4112" operator="equal">
      <formula>"未完成"</formula>
    </cfRule>
  </conditionalFormatting>
  <conditionalFormatting sqref="AT134">
    <cfRule type="cellIs" dxfId="1" priority="4148" operator="equal">
      <formula>"未完成"</formula>
    </cfRule>
    <cfRule type="cellIs" dxfId="0" priority="4157" operator="equal">
      <formula>"未完成"</formula>
    </cfRule>
  </conditionalFormatting>
  <conditionalFormatting sqref="AU134:AV134">
    <cfRule type="cellIs" dxfId="1" priority="4202" operator="equal">
      <formula>"未完成"</formula>
    </cfRule>
    <cfRule type="cellIs" dxfId="0" priority="4211" operator="equal">
      <formula>"未完成"</formula>
    </cfRule>
  </conditionalFormatting>
  <conditionalFormatting sqref="R135">
    <cfRule type="cellIs" dxfId="0" priority="4120" operator="equal">
      <formula>"欠"</formula>
    </cfRule>
  </conditionalFormatting>
  <conditionalFormatting sqref="T135:U135">
    <cfRule type="cellIs" dxfId="0" priority="4057" operator="equal">
      <formula>"欠"</formula>
    </cfRule>
  </conditionalFormatting>
  <conditionalFormatting sqref="AE135">
    <cfRule type="cellIs" dxfId="0" priority="4219" operator="equal">
      <formula>"未完成"</formula>
    </cfRule>
  </conditionalFormatting>
  <conditionalFormatting sqref="AI135:AJ135">
    <cfRule type="cellIs" dxfId="1" priority="4228" operator="equal">
      <formula>"未完成"</formula>
    </cfRule>
    <cfRule type="cellIs" dxfId="0" priority="4237" operator="equal">
      <formula>"未完成"</formula>
    </cfRule>
  </conditionalFormatting>
  <conditionalFormatting sqref="AK135">
    <cfRule type="cellIs" dxfId="1" priority="4129" operator="equal">
      <formula>"未完成"</formula>
    </cfRule>
    <cfRule type="cellIs" dxfId="0" priority="4138" operator="equal">
      <formula>"未完成"</formula>
    </cfRule>
  </conditionalFormatting>
  <conditionalFormatting sqref="AL135">
    <cfRule type="cellIs" dxfId="1" priority="4165" operator="equal">
      <formula>"未完成"</formula>
    </cfRule>
    <cfRule type="cellIs" dxfId="0" priority="4174" operator="equal">
      <formula>"未完成"</formula>
    </cfRule>
  </conditionalFormatting>
  <conditionalFormatting sqref="AM135">
    <cfRule type="cellIs" dxfId="1" priority="4084" operator="equal">
      <formula>"未完成"</formula>
    </cfRule>
    <cfRule type="cellIs" dxfId="0" priority="4093" operator="equal">
      <formula>"未完成"</formula>
    </cfRule>
  </conditionalFormatting>
  <conditionalFormatting sqref="AP135">
    <cfRule type="cellIs" dxfId="1" priority="4066" operator="equal">
      <formula>"未完成"</formula>
    </cfRule>
    <cfRule type="cellIs" dxfId="0" priority="4075" operator="equal">
      <formula>"未完成"</formula>
    </cfRule>
  </conditionalFormatting>
  <conditionalFormatting sqref="AQ135">
    <cfRule type="cellIs" dxfId="1" priority="4183" operator="equal">
      <formula>"未完成"</formula>
    </cfRule>
    <cfRule type="cellIs" dxfId="0" priority="4192" operator="equal">
      <formula>"未完成"</formula>
    </cfRule>
  </conditionalFormatting>
  <conditionalFormatting sqref="AS135">
    <cfRule type="cellIs" dxfId="1" priority="4102" operator="equal">
      <formula>"未完成"</formula>
    </cfRule>
    <cfRule type="cellIs" dxfId="0" priority="4111" operator="equal">
      <formula>"未完成"</formula>
    </cfRule>
  </conditionalFormatting>
  <conditionalFormatting sqref="AT135">
    <cfRule type="cellIs" dxfId="1" priority="4147" operator="equal">
      <formula>"未完成"</formula>
    </cfRule>
    <cfRule type="cellIs" dxfId="0" priority="4156" operator="equal">
      <formula>"未完成"</formula>
    </cfRule>
  </conditionalFormatting>
  <conditionalFormatting sqref="AU135:AV135">
    <cfRule type="cellIs" dxfId="1" priority="4201" operator="equal">
      <formula>"未完成"</formula>
    </cfRule>
    <cfRule type="cellIs" dxfId="0" priority="4210" operator="equal">
      <formula>"未完成"</formula>
    </cfRule>
  </conditionalFormatting>
  <conditionalFormatting sqref="R136">
    <cfRule type="cellIs" dxfId="0" priority="4119" operator="equal">
      <formula>"欠"</formula>
    </cfRule>
  </conditionalFormatting>
  <conditionalFormatting sqref="T136:U136">
    <cfRule type="cellIs" dxfId="0" priority="4056" operator="equal">
      <formula>"欠"</formula>
    </cfRule>
  </conditionalFormatting>
  <conditionalFormatting sqref="AE136">
    <cfRule type="cellIs" dxfId="0" priority="4218" operator="equal">
      <formula>"未完成"</formula>
    </cfRule>
  </conditionalFormatting>
  <conditionalFormatting sqref="AI136:AJ136">
    <cfRule type="cellIs" dxfId="1" priority="4227" operator="equal">
      <formula>"未完成"</formula>
    </cfRule>
    <cfRule type="cellIs" dxfId="0" priority="4236" operator="equal">
      <formula>"未完成"</formula>
    </cfRule>
  </conditionalFormatting>
  <conditionalFormatting sqref="AK136">
    <cfRule type="cellIs" dxfId="1" priority="4128" operator="equal">
      <formula>"未完成"</formula>
    </cfRule>
    <cfRule type="cellIs" dxfId="0" priority="4137" operator="equal">
      <formula>"未完成"</formula>
    </cfRule>
  </conditionalFormatting>
  <conditionalFormatting sqref="AL136">
    <cfRule type="cellIs" dxfId="1" priority="4164" operator="equal">
      <formula>"未完成"</formula>
    </cfRule>
    <cfRule type="cellIs" dxfId="0" priority="4173" operator="equal">
      <formula>"未完成"</formula>
    </cfRule>
  </conditionalFormatting>
  <conditionalFormatting sqref="AM136">
    <cfRule type="cellIs" dxfId="1" priority="4083" operator="equal">
      <formula>"未完成"</formula>
    </cfRule>
    <cfRule type="cellIs" dxfId="0" priority="4092" operator="equal">
      <formula>"未完成"</formula>
    </cfRule>
  </conditionalFormatting>
  <conditionalFormatting sqref="AP136">
    <cfRule type="cellIs" dxfId="1" priority="4065" operator="equal">
      <formula>"未完成"</formula>
    </cfRule>
    <cfRule type="cellIs" dxfId="0" priority="4074" operator="equal">
      <formula>"未完成"</formula>
    </cfRule>
  </conditionalFormatting>
  <conditionalFormatting sqref="AQ136">
    <cfRule type="cellIs" dxfId="1" priority="4182" operator="equal">
      <formula>"未完成"</formula>
    </cfRule>
    <cfRule type="cellIs" dxfId="0" priority="4191" operator="equal">
      <formula>"未完成"</formula>
    </cfRule>
  </conditionalFormatting>
  <conditionalFormatting sqref="AS136">
    <cfRule type="cellIs" dxfId="1" priority="4101" operator="equal">
      <formula>"未完成"</formula>
    </cfRule>
    <cfRule type="cellIs" dxfId="0" priority="4110" operator="equal">
      <formula>"未完成"</formula>
    </cfRule>
  </conditionalFormatting>
  <conditionalFormatting sqref="AT136">
    <cfRule type="cellIs" dxfId="1" priority="4146" operator="equal">
      <formula>"未完成"</formula>
    </cfRule>
    <cfRule type="cellIs" dxfId="0" priority="4155" operator="equal">
      <formula>"未完成"</formula>
    </cfRule>
  </conditionalFormatting>
  <conditionalFormatting sqref="AU136:AV136">
    <cfRule type="cellIs" dxfId="1" priority="4200" operator="equal">
      <formula>"未完成"</formula>
    </cfRule>
    <cfRule type="cellIs" dxfId="0" priority="4209" operator="equal">
      <formula>"未完成"</formula>
    </cfRule>
  </conditionalFormatting>
  <conditionalFormatting sqref="R137">
    <cfRule type="cellIs" dxfId="0" priority="4118" operator="equal">
      <formula>"欠"</formula>
    </cfRule>
  </conditionalFormatting>
  <conditionalFormatting sqref="T137:U137">
    <cfRule type="cellIs" dxfId="0" priority="4055" operator="equal">
      <formula>"欠"</formula>
    </cfRule>
  </conditionalFormatting>
  <conditionalFormatting sqref="AE137">
    <cfRule type="cellIs" dxfId="0" priority="4217" operator="equal">
      <formula>"未完成"</formula>
    </cfRule>
  </conditionalFormatting>
  <conditionalFormatting sqref="AI137:AJ137">
    <cfRule type="cellIs" dxfId="1" priority="4226" operator="equal">
      <formula>"未完成"</formula>
    </cfRule>
    <cfRule type="cellIs" dxfId="0" priority="4235" operator="equal">
      <formula>"未完成"</formula>
    </cfRule>
  </conditionalFormatting>
  <conditionalFormatting sqref="AK137">
    <cfRule type="cellIs" dxfId="1" priority="4127" operator="equal">
      <formula>"未完成"</formula>
    </cfRule>
    <cfRule type="cellIs" dxfId="0" priority="4136" operator="equal">
      <formula>"未完成"</formula>
    </cfRule>
  </conditionalFormatting>
  <conditionalFormatting sqref="AL137">
    <cfRule type="cellIs" dxfId="1" priority="4163" operator="equal">
      <formula>"未完成"</formula>
    </cfRule>
    <cfRule type="cellIs" dxfId="0" priority="4172" operator="equal">
      <formula>"未完成"</formula>
    </cfRule>
  </conditionalFormatting>
  <conditionalFormatting sqref="AM137">
    <cfRule type="cellIs" dxfId="1" priority="4082" operator="equal">
      <formula>"未完成"</formula>
    </cfRule>
    <cfRule type="cellIs" dxfId="0" priority="4091" operator="equal">
      <formula>"未完成"</formula>
    </cfRule>
  </conditionalFormatting>
  <conditionalFormatting sqref="AP137">
    <cfRule type="cellIs" dxfId="1" priority="4064" operator="equal">
      <formula>"未完成"</formula>
    </cfRule>
    <cfRule type="cellIs" dxfId="0" priority="4073" operator="equal">
      <formula>"未完成"</formula>
    </cfRule>
  </conditionalFormatting>
  <conditionalFormatting sqref="AQ137">
    <cfRule type="cellIs" dxfId="1" priority="4181" operator="equal">
      <formula>"未完成"</formula>
    </cfRule>
    <cfRule type="cellIs" dxfId="0" priority="4190" operator="equal">
      <formula>"未完成"</formula>
    </cfRule>
  </conditionalFormatting>
  <conditionalFormatting sqref="AS137">
    <cfRule type="cellIs" dxfId="1" priority="4100" operator="equal">
      <formula>"未完成"</formula>
    </cfRule>
    <cfRule type="cellIs" dxfId="0" priority="4109" operator="equal">
      <formula>"未完成"</formula>
    </cfRule>
  </conditionalFormatting>
  <conditionalFormatting sqref="AT137">
    <cfRule type="cellIs" dxfId="1" priority="4145" operator="equal">
      <formula>"未完成"</formula>
    </cfRule>
    <cfRule type="cellIs" dxfId="0" priority="4154" operator="equal">
      <formula>"未完成"</formula>
    </cfRule>
  </conditionalFormatting>
  <conditionalFormatting sqref="AU137:AV137">
    <cfRule type="cellIs" dxfId="1" priority="4199" operator="equal">
      <formula>"未完成"</formula>
    </cfRule>
    <cfRule type="cellIs" dxfId="0" priority="4208" operator="equal">
      <formula>"未完成"</formula>
    </cfRule>
  </conditionalFormatting>
  <conditionalFormatting sqref="R138">
    <cfRule type="cellIs" dxfId="0" priority="4117" operator="equal">
      <formula>"欠"</formula>
    </cfRule>
  </conditionalFormatting>
  <conditionalFormatting sqref="T138:U138">
    <cfRule type="cellIs" dxfId="0" priority="4054" operator="equal">
      <formula>"欠"</formula>
    </cfRule>
  </conditionalFormatting>
  <conditionalFormatting sqref="AE138">
    <cfRule type="cellIs" dxfId="0" priority="4216" operator="equal">
      <formula>"未完成"</formula>
    </cfRule>
  </conditionalFormatting>
  <conditionalFormatting sqref="AI138:AJ138">
    <cfRule type="cellIs" dxfId="1" priority="4225" operator="equal">
      <formula>"未完成"</formula>
    </cfRule>
    <cfRule type="cellIs" dxfId="0" priority="4234" operator="equal">
      <formula>"未完成"</formula>
    </cfRule>
  </conditionalFormatting>
  <conditionalFormatting sqref="AK138">
    <cfRule type="cellIs" dxfId="1" priority="4126" operator="equal">
      <formula>"未完成"</formula>
    </cfRule>
    <cfRule type="cellIs" dxfId="0" priority="4135" operator="equal">
      <formula>"未完成"</formula>
    </cfRule>
  </conditionalFormatting>
  <conditionalFormatting sqref="AL138">
    <cfRule type="cellIs" dxfId="1" priority="4162" operator="equal">
      <formula>"未完成"</formula>
    </cfRule>
    <cfRule type="cellIs" dxfId="0" priority="4171" operator="equal">
      <formula>"未完成"</formula>
    </cfRule>
  </conditionalFormatting>
  <conditionalFormatting sqref="AM138">
    <cfRule type="cellIs" dxfId="1" priority="4081" operator="equal">
      <formula>"未完成"</formula>
    </cfRule>
    <cfRule type="cellIs" dxfId="0" priority="4090" operator="equal">
      <formula>"未完成"</formula>
    </cfRule>
  </conditionalFormatting>
  <conditionalFormatting sqref="AP138">
    <cfRule type="cellIs" dxfId="1" priority="4063" operator="equal">
      <formula>"未完成"</formula>
    </cfRule>
    <cfRule type="cellIs" dxfId="0" priority="4072" operator="equal">
      <formula>"未完成"</formula>
    </cfRule>
  </conditionalFormatting>
  <conditionalFormatting sqref="AQ138">
    <cfRule type="cellIs" dxfId="1" priority="4180" operator="equal">
      <formula>"未完成"</formula>
    </cfRule>
    <cfRule type="cellIs" dxfId="0" priority="4189" operator="equal">
      <formula>"未完成"</formula>
    </cfRule>
  </conditionalFormatting>
  <conditionalFormatting sqref="AS138">
    <cfRule type="cellIs" dxfId="1" priority="4099" operator="equal">
      <formula>"未完成"</formula>
    </cfRule>
    <cfRule type="cellIs" dxfId="0" priority="4108" operator="equal">
      <formula>"未完成"</formula>
    </cfRule>
  </conditionalFormatting>
  <conditionalFormatting sqref="AT138">
    <cfRule type="cellIs" dxfId="1" priority="4144" operator="equal">
      <formula>"未完成"</formula>
    </cfRule>
    <cfRule type="cellIs" dxfId="0" priority="4153" operator="equal">
      <formula>"未完成"</formula>
    </cfRule>
  </conditionalFormatting>
  <conditionalFormatting sqref="AU138:AV138">
    <cfRule type="cellIs" dxfId="1" priority="4198" operator="equal">
      <formula>"未完成"</formula>
    </cfRule>
    <cfRule type="cellIs" dxfId="0" priority="4207" operator="equal">
      <formula>"未完成"</formula>
    </cfRule>
  </conditionalFormatting>
  <conditionalFormatting sqref="R139">
    <cfRule type="cellIs" dxfId="0" priority="4116" operator="equal">
      <formula>"欠"</formula>
    </cfRule>
  </conditionalFormatting>
  <conditionalFormatting sqref="T139:U139">
    <cfRule type="cellIs" dxfId="0" priority="4053" operator="equal">
      <formula>"欠"</formula>
    </cfRule>
  </conditionalFormatting>
  <conditionalFormatting sqref="AE139">
    <cfRule type="cellIs" dxfId="0" priority="4215" operator="equal">
      <formula>"未完成"</formula>
    </cfRule>
  </conditionalFormatting>
  <conditionalFormatting sqref="AI139:AJ139">
    <cfRule type="cellIs" dxfId="1" priority="4224" operator="equal">
      <formula>"未完成"</formula>
    </cfRule>
    <cfRule type="cellIs" dxfId="0" priority="4233" operator="equal">
      <formula>"未完成"</formula>
    </cfRule>
  </conditionalFormatting>
  <conditionalFormatting sqref="AK139">
    <cfRule type="cellIs" dxfId="1" priority="4125" operator="equal">
      <formula>"未完成"</formula>
    </cfRule>
    <cfRule type="cellIs" dxfId="0" priority="4134" operator="equal">
      <formula>"未完成"</formula>
    </cfRule>
  </conditionalFormatting>
  <conditionalFormatting sqref="AL139">
    <cfRule type="cellIs" dxfId="1" priority="4161" operator="equal">
      <formula>"未完成"</formula>
    </cfRule>
    <cfRule type="cellIs" dxfId="0" priority="4170" operator="equal">
      <formula>"未完成"</formula>
    </cfRule>
  </conditionalFormatting>
  <conditionalFormatting sqref="AM139">
    <cfRule type="cellIs" dxfId="1" priority="4080" operator="equal">
      <formula>"未完成"</formula>
    </cfRule>
    <cfRule type="cellIs" dxfId="0" priority="4089" operator="equal">
      <formula>"未完成"</formula>
    </cfRule>
  </conditionalFormatting>
  <conditionalFormatting sqref="AP139">
    <cfRule type="cellIs" dxfId="1" priority="4062" operator="equal">
      <formula>"未完成"</formula>
    </cfRule>
    <cfRule type="cellIs" dxfId="0" priority="4071" operator="equal">
      <formula>"未完成"</formula>
    </cfRule>
  </conditionalFormatting>
  <conditionalFormatting sqref="AQ139">
    <cfRule type="cellIs" dxfId="1" priority="4179" operator="equal">
      <formula>"未完成"</formula>
    </cfRule>
    <cfRule type="cellIs" dxfId="0" priority="4188" operator="equal">
      <formula>"未完成"</formula>
    </cfRule>
  </conditionalFormatting>
  <conditionalFormatting sqref="AS139">
    <cfRule type="cellIs" dxfId="1" priority="4098" operator="equal">
      <formula>"未完成"</formula>
    </cfRule>
    <cfRule type="cellIs" dxfId="0" priority="4107" operator="equal">
      <formula>"未完成"</formula>
    </cfRule>
  </conditionalFormatting>
  <conditionalFormatting sqref="AT139">
    <cfRule type="cellIs" dxfId="1" priority="4143" operator="equal">
      <formula>"未完成"</formula>
    </cfRule>
    <cfRule type="cellIs" dxfId="0" priority="4152" operator="equal">
      <formula>"未完成"</formula>
    </cfRule>
  </conditionalFormatting>
  <conditionalFormatting sqref="AU139:AV139">
    <cfRule type="cellIs" dxfId="1" priority="4197" operator="equal">
      <formula>"未完成"</formula>
    </cfRule>
    <cfRule type="cellIs" dxfId="0" priority="4206" operator="equal">
      <formula>"未完成"</formula>
    </cfRule>
  </conditionalFormatting>
  <conditionalFormatting sqref="R140">
    <cfRule type="cellIs" dxfId="0" priority="4115" operator="equal">
      <formula>"欠"</formula>
    </cfRule>
  </conditionalFormatting>
  <conditionalFormatting sqref="T140:U140">
    <cfRule type="cellIs" dxfId="0" priority="4052" operator="equal">
      <formula>"欠"</formula>
    </cfRule>
  </conditionalFormatting>
  <conditionalFormatting sqref="AE140">
    <cfRule type="cellIs" dxfId="0" priority="4214" operator="equal">
      <formula>"未完成"</formula>
    </cfRule>
  </conditionalFormatting>
  <conditionalFormatting sqref="AI140:AJ140">
    <cfRule type="cellIs" dxfId="1" priority="4223" operator="equal">
      <formula>"未完成"</formula>
    </cfRule>
    <cfRule type="cellIs" dxfId="0" priority="4232" operator="equal">
      <formula>"未完成"</formula>
    </cfRule>
  </conditionalFormatting>
  <conditionalFormatting sqref="AK140">
    <cfRule type="cellIs" dxfId="1" priority="4124" operator="equal">
      <formula>"未完成"</formula>
    </cfRule>
    <cfRule type="cellIs" dxfId="0" priority="4133" operator="equal">
      <formula>"未完成"</formula>
    </cfRule>
  </conditionalFormatting>
  <conditionalFormatting sqref="AL140">
    <cfRule type="cellIs" dxfId="1" priority="4160" operator="equal">
      <formula>"未完成"</formula>
    </cfRule>
    <cfRule type="cellIs" dxfId="0" priority="4169" operator="equal">
      <formula>"未完成"</formula>
    </cfRule>
  </conditionalFormatting>
  <conditionalFormatting sqref="AM140">
    <cfRule type="cellIs" dxfId="1" priority="4079" operator="equal">
      <formula>"未完成"</formula>
    </cfRule>
    <cfRule type="cellIs" dxfId="0" priority="4088" operator="equal">
      <formula>"未完成"</formula>
    </cfRule>
  </conditionalFormatting>
  <conditionalFormatting sqref="AP140">
    <cfRule type="cellIs" dxfId="1" priority="4061" operator="equal">
      <formula>"未完成"</formula>
    </cfRule>
    <cfRule type="cellIs" dxfId="0" priority="4070" operator="equal">
      <formula>"未完成"</formula>
    </cfRule>
  </conditionalFormatting>
  <conditionalFormatting sqref="AQ140">
    <cfRule type="cellIs" dxfId="1" priority="4178" operator="equal">
      <formula>"未完成"</formula>
    </cfRule>
    <cfRule type="cellIs" dxfId="0" priority="4187" operator="equal">
      <formula>"未完成"</formula>
    </cfRule>
  </conditionalFormatting>
  <conditionalFormatting sqref="AS140">
    <cfRule type="cellIs" dxfId="1" priority="4097" operator="equal">
      <formula>"未完成"</formula>
    </cfRule>
    <cfRule type="cellIs" dxfId="0" priority="4106" operator="equal">
      <formula>"未完成"</formula>
    </cfRule>
  </conditionalFormatting>
  <conditionalFormatting sqref="AT140">
    <cfRule type="cellIs" dxfId="1" priority="4142" operator="equal">
      <formula>"未完成"</formula>
    </cfRule>
    <cfRule type="cellIs" dxfId="0" priority="4151" operator="equal">
      <formula>"未完成"</formula>
    </cfRule>
  </conditionalFormatting>
  <conditionalFormatting sqref="AU140:AV140">
    <cfRule type="cellIs" dxfId="1" priority="4196" operator="equal">
      <formula>"未完成"</formula>
    </cfRule>
    <cfRule type="cellIs" dxfId="0" priority="4205" operator="equal">
      <formula>"未完成"</formula>
    </cfRule>
  </conditionalFormatting>
  <conditionalFormatting sqref="R141">
    <cfRule type="cellIs" dxfId="0" priority="4114" operator="equal">
      <formula>"欠"</formula>
    </cfRule>
  </conditionalFormatting>
  <conditionalFormatting sqref="T141:U141">
    <cfRule type="cellIs" dxfId="0" priority="4051" operator="equal">
      <formula>"欠"</formula>
    </cfRule>
  </conditionalFormatting>
  <conditionalFormatting sqref="AE141">
    <cfRule type="cellIs" dxfId="0" priority="4213" operator="equal">
      <formula>"未完成"</formula>
    </cfRule>
  </conditionalFormatting>
  <conditionalFormatting sqref="AI141:AJ141">
    <cfRule type="cellIs" dxfId="1" priority="4222" operator="equal">
      <formula>"未完成"</formula>
    </cfRule>
    <cfRule type="cellIs" dxfId="0" priority="4231" operator="equal">
      <formula>"未完成"</formula>
    </cfRule>
  </conditionalFormatting>
  <conditionalFormatting sqref="AK141">
    <cfRule type="cellIs" dxfId="1" priority="4123" operator="equal">
      <formula>"未完成"</formula>
    </cfRule>
    <cfRule type="cellIs" dxfId="0" priority="4132" operator="equal">
      <formula>"未完成"</formula>
    </cfRule>
  </conditionalFormatting>
  <conditionalFormatting sqref="AL141">
    <cfRule type="cellIs" dxfId="1" priority="4159" operator="equal">
      <formula>"未完成"</formula>
    </cfRule>
    <cfRule type="cellIs" dxfId="0" priority="4168" operator="equal">
      <formula>"未完成"</formula>
    </cfRule>
  </conditionalFormatting>
  <conditionalFormatting sqref="AM141">
    <cfRule type="cellIs" dxfId="1" priority="4078" operator="equal">
      <formula>"未完成"</formula>
    </cfRule>
    <cfRule type="cellIs" dxfId="0" priority="4087" operator="equal">
      <formula>"未完成"</formula>
    </cfRule>
  </conditionalFormatting>
  <conditionalFormatting sqref="AP141">
    <cfRule type="cellIs" dxfId="1" priority="4060" operator="equal">
      <formula>"未完成"</formula>
    </cfRule>
    <cfRule type="cellIs" dxfId="0" priority="4069" operator="equal">
      <formula>"未完成"</formula>
    </cfRule>
  </conditionalFormatting>
  <conditionalFormatting sqref="AQ141">
    <cfRule type="cellIs" dxfId="1" priority="4177" operator="equal">
      <formula>"未完成"</formula>
    </cfRule>
    <cfRule type="cellIs" dxfId="0" priority="4186" operator="equal">
      <formula>"未完成"</formula>
    </cfRule>
  </conditionalFormatting>
  <conditionalFormatting sqref="AS141">
    <cfRule type="cellIs" dxfId="1" priority="4096" operator="equal">
      <formula>"未完成"</formula>
    </cfRule>
    <cfRule type="cellIs" dxfId="0" priority="4105" operator="equal">
      <formula>"未完成"</formula>
    </cfRule>
  </conditionalFormatting>
  <conditionalFormatting sqref="AT141">
    <cfRule type="cellIs" dxfId="1" priority="4141" operator="equal">
      <formula>"未完成"</formula>
    </cfRule>
    <cfRule type="cellIs" dxfId="0" priority="4150" operator="equal">
      <formula>"未完成"</formula>
    </cfRule>
  </conditionalFormatting>
  <conditionalFormatting sqref="AU141:AV141">
    <cfRule type="cellIs" dxfId="1" priority="4195" operator="equal">
      <formula>"未完成"</formula>
    </cfRule>
    <cfRule type="cellIs" dxfId="0" priority="4204" operator="equal">
      <formula>"未完成"</formula>
    </cfRule>
  </conditionalFormatting>
  <conditionalFormatting sqref="R142">
    <cfRule type="cellIs" dxfId="0" priority="4113" operator="equal">
      <formula>"欠"</formula>
    </cfRule>
  </conditionalFormatting>
  <conditionalFormatting sqref="T142:U142">
    <cfRule type="cellIs" dxfId="0" priority="4050" operator="equal">
      <formula>"欠"</formula>
    </cfRule>
  </conditionalFormatting>
  <conditionalFormatting sqref="AE142">
    <cfRule type="cellIs" dxfId="0" priority="4212" operator="equal">
      <formula>"未完成"</formula>
    </cfRule>
  </conditionalFormatting>
  <conditionalFormatting sqref="AI142:AJ142">
    <cfRule type="cellIs" dxfId="1" priority="4221" operator="equal">
      <formula>"未完成"</formula>
    </cfRule>
    <cfRule type="cellIs" dxfId="0" priority="4230" operator="equal">
      <formula>"未完成"</formula>
    </cfRule>
  </conditionalFormatting>
  <conditionalFormatting sqref="AK142">
    <cfRule type="cellIs" dxfId="1" priority="4122" operator="equal">
      <formula>"未完成"</formula>
    </cfRule>
    <cfRule type="cellIs" dxfId="0" priority="4131" operator="equal">
      <formula>"未完成"</formula>
    </cfRule>
  </conditionalFormatting>
  <conditionalFormatting sqref="AL142">
    <cfRule type="cellIs" dxfId="1" priority="4158" operator="equal">
      <formula>"未完成"</formula>
    </cfRule>
    <cfRule type="cellIs" dxfId="0" priority="4167" operator="equal">
      <formula>"未完成"</formula>
    </cfRule>
  </conditionalFormatting>
  <conditionalFormatting sqref="AM142">
    <cfRule type="cellIs" dxfId="1" priority="4077" operator="equal">
      <formula>"未完成"</formula>
    </cfRule>
    <cfRule type="cellIs" dxfId="0" priority="4086" operator="equal">
      <formula>"未完成"</formula>
    </cfRule>
  </conditionalFormatting>
  <conditionalFormatting sqref="AP142">
    <cfRule type="cellIs" dxfId="1" priority="4059" operator="equal">
      <formula>"未完成"</formula>
    </cfRule>
    <cfRule type="cellIs" dxfId="0" priority="4068" operator="equal">
      <formula>"未完成"</formula>
    </cfRule>
  </conditionalFormatting>
  <conditionalFormatting sqref="AQ142">
    <cfRule type="cellIs" dxfId="1" priority="4176" operator="equal">
      <formula>"未完成"</formula>
    </cfRule>
    <cfRule type="cellIs" dxfId="0" priority="4185" operator="equal">
      <formula>"未完成"</formula>
    </cfRule>
  </conditionalFormatting>
  <conditionalFormatting sqref="AS142">
    <cfRule type="cellIs" dxfId="1" priority="4095" operator="equal">
      <formula>"未完成"</formula>
    </cfRule>
    <cfRule type="cellIs" dxfId="0" priority="4104" operator="equal">
      <formula>"未完成"</formula>
    </cfRule>
  </conditionalFormatting>
  <conditionalFormatting sqref="AT142">
    <cfRule type="cellIs" dxfId="1" priority="4140" operator="equal">
      <formula>"未完成"</formula>
    </cfRule>
    <cfRule type="cellIs" dxfId="0" priority="4149" operator="equal">
      <formula>"未完成"</formula>
    </cfRule>
  </conditionalFormatting>
  <conditionalFormatting sqref="AU142:AV142">
    <cfRule type="cellIs" dxfId="1" priority="4194" operator="equal">
      <formula>"未完成"</formula>
    </cfRule>
    <cfRule type="cellIs" dxfId="0" priority="4203" operator="equal">
      <formula>"未完成"</formula>
    </cfRule>
  </conditionalFormatting>
  <conditionalFormatting sqref="R143">
    <cfRule type="cellIs" dxfId="0" priority="3940" operator="equal">
      <formula>"欠"</formula>
    </cfRule>
  </conditionalFormatting>
  <conditionalFormatting sqref="T143:U143">
    <cfRule type="cellIs" dxfId="0" priority="3905" operator="equal">
      <formula>"欠"</formula>
    </cfRule>
  </conditionalFormatting>
  <conditionalFormatting sqref="AE143">
    <cfRule type="cellIs" dxfId="0" priority="3995" operator="equal">
      <formula>"未完成"</formula>
    </cfRule>
  </conditionalFormatting>
  <conditionalFormatting sqref="AI143:AJ143">
    <cfRule type="cellIs" dxfId="1" priority="4000" operator="equal">
      <formula>"未完成"</formula>
    </cfRule>
    <cfRule type="cellIs" dxfId="0" priority="4005" operator="equal">
      <formula>"未完成"</formula>
    </cfRule>
  </conditionalFormatting>
  <conditionalFormatting sqref="AK143">
    <cfRule type="cellIs" dxfId="1" priority="3945" operator="equal">
      <formula>"未完成"</formula>
    </cfRule>
    <cfRule type="cellIs" dxfId="0" priority="3950" operator="equal">
      <formula>"未完成"</formula>
    </cfRule>
  </conditionalFormatting>
  <conditionalFormatting sqref="AL143">
    <cfRule type="cellIs" dxfId="1" priority="3965" operator="equal">
      <formula>"未完成"</formula>
    </cfRule>
    <cfRule type="cellIs" dxfId="0" priority="3970" operator="equal">
      <formula>"未完成"</formula>
    </cfRule>
  </conditionalFormatting>
  <conditionalFormatting sqref="AM143">
    <cfRule type="cellIs" dxfId="1" priority="3920" operator="equal">
      <formula>"未完成"</formula>
    </cfRule>
    <cfRule type="cellIs" dxfId="0" priority="3925" operator="equal">
      <formula>"未完成"</formula>
    </cfRule>
  </conditionalFormatting>
  <conditionalFormatting sqref="AP143">
    <cfRule type="cellIs" dxfId="1" priority="3910" operator="equal">
      <formula>"未完成"</formula>
    </cfRule>
    <cfRule type="cellIs" dxfId="0" priority="3915" operator="equal">
      <formula>"未完成"</formula>
    </cfRule>
  </conditionalFormatting>
  <conditionalFormatting sqref="AQ143">
    <cfRule type="cellIs" dxfId="1" priority="3975" operator="equal">
      <formula>"未完成"</formula>
    </cfRule>
    <cfRule type="cellIs" dxfId="0" priority="3980" operator="equal">
      <formula>"未完成"</formula>
    </cfRule>
  </conditionalFormatting>
  <conditionalFormatting sqref="AS143">
    <cfRule type="cellIs" dxfId="1" priority="3930" operator="equal">
      <formula>"未完成"</formula>
    </cfRule>
    <cfRule type="cellIs" dxfId="0" priority="3935" operator="equal">
      <formula>"未完成"</formula>
    </cfRule>
  </conditionalFormatting>
  <conditionalFormatting sqref="AT143">
    <cfRule type="cellIs" dxfId="1" priority="3955" operator="equal">
      <formula>"未完成"</formula>
    </cfRule>
    <cfRule type="cellIs" dxfId="0" priority="3960" operator="equal">
      <formula>"未完成"</formula>
    </cfRule>
  </conditionalFormatting>
  <conditionalFormatting sqref="AU143:AV143">
    <cfRule type="cellIs" dxfId="1" priority="3985" operator="equal">
      <formula>"未完成"</formula>
    </cfRule>
    <cfRule type="cellIs" dxfId="0" priority="3990" operator="equal">
      <formula>"未完成"</formula>
    </cfRule>
  </conditionalFormatting>
  <conditionalFormatting sqref="R144">
    <cfRule type="cellIs" dxfId="0" priority="3939" operator="equal">
      <formula>"欠"</formula>
    </cfRule>
  </conditionalFormatting>
  <conditionalFormatting sqref="T144:U144">
    <cfRule type="cellIs" dxfId="0" priority="3904" operator="equal">
      <formula>"欠"</formula>
    </cfRule>
  </conditionalFormatting>
  <conditionalFormatting sqref="AE144">
    <cfRule type="cellIs" dxfId="0" priority="3994" operator="equal">
      <formula>"未完成"</formula>
    </cfRule>
  </conditionalFormatting>
  <conditionalFormatting sqref="AI144:AJ144">
    <cfRule type="cellIs" dxfId="1" priority="3999" operator="equal">
      <formula>"未完成"</formula>
    </cfRule>
    <cfRule type="cellIs" dxfId="0" priority="4004" operator="equal">
      <formula>"未完成"</formula>
    </cfRule>
  </conditionalFormatting>
  <conditionalFormatting sqref="AK144">
    <cfRule type="cellIs" dxfId="1" priority="3944" operator="equal">
      <formula>"未完成"</formula>
    </cfRule>
    <cfRule type="cellIs" dxfId="0" priority="3949" operator="equal">
      <formula>"未完成"</formula>
    </cfRule>
  </conditionalFormatting>
  <conditionalFormatting sqref="AL144">
    <cfRule type="cellIs" dxfId="1" priority="3964" operator="equal">
      <formula>"未完成"</formula>
    </cfRule>
    <cfRule type="cellIs" dxfId="0" priority="3969" operator="equal">
      <formula>"未完成"</formula>
    </cfRule>
  </conditionalFormatting>
  <conditionalFormatting sqref="AM144">
    <cfRule type="cellIs" dxfId="1" priority="3919" operator="equal">
      <formula>"未完成"</formula>
    </cfRule>
    <cfRule type="cellIs" dxfId="0" priority="3924" operator="equal">
      <formula>"未完成"</formula>
    </cfRule>
  </conditionalFormatting>
  <conditionalFormatting sqref="AP144">
    <cfRule type="cellIs" dxfId="1" priority="3909" operator="equal">
      <formula>"未完成"</formula>
    </cfRule>
    <cfRule type="cellIs" dxfId="0" priority="3914" operator="equal">
      <formula>"未完成"</formula>
    </cfRule>
  </conditionalFormatting>
  <conditionalFormatting sqref="AQ144">
    <cfRule type="cellIs" dxfId="1" priority="3974" operator="equal">
      <formula>"未完成"</formula>
    </cfRule>
    <cfRule type="cellIs" dxfId="0" priority="3979" operator="equal">
      <formula>"未完成"</formula>
    </cfRule>
  </conditionalFormatting>
  <conditionalFormatting sqref="AS144">
    <cfRule type="cellIs" dxfId="1" priority="3929" operator="equal">
      <formula>"未完成"</formula>
    </cfRule>
    <cfRule type="cellIs" dxfId="0" priority="3934" operator="equal">
      <formula>"未完成"</formula>
    </cfRule>
  </conditionalFormatting>
  <conditionalFormatting sqref="AT144">
    <cfRule type="cellIs" dxfId="1" priority="3954" operator="equal">
      <formula>"未完成"</formula>
    </cfRule>
    <cfRule type="cellIs" dxfId="0" priority="3959" operator="equal">
      <formula>"未完成"</formula>
    </cfRule>
  </conditionalFormatting>
  <conditionalFormatting sqref="AU144:AV144">
    <cfRule type="cellIs" dxfId="1" priority="3984" operator="equal">
      <formula>"未完成"</formula>
    </cfRule>
    <cfRule type="cellIs" dxfId="0" priority="3989" operator="equal">
      <formula>"未完成"</formula>
    </cfRule>
  </conditionalFormatting>
  <conditionalFormatting sqref="R145">
    <cfRule type="cellIs" dxfId="0" priority="3938" operator="equal">
      <formula>"欠"</formula>
    </cfRule>
  </conditionalFormatting>
  <conditionalFormatting sqref="T145:U145">
    <cfRule type="cellIs" dxfId="0" priority="3903" operator="equal">
      <formula>"欠"</formula>
    </cfRule>
  </conditionalFormatting>
  <conditionalFormatting sqref="AE145">
    <cfRule type="cellIs" dxfId="0" priority="3993" operator="equal">
      <formula>"未完成"</formula>
    </cfRule>
  </conditionalFormatting>
  <conditionalFormatting sqref="AI145:AJ145">
    <cfRule type="cellIs" dxfId="1" priority="3998" operator="equal">
      <formula>"未完成"</formula>
    </cfRule>
    <cfRule type="cellIs" dxfId="0" priority="4003" operator="equal">
      <formula>"未完成"</formula>
    </cfRule>
  </conditionalFormatting>
  <conditionalFormatting sqref="AK145">
    <cfRule type="cellIs" dxfId="1" priority="3943" operator="equal">
      <formula>"未完成"</formula>
    </cfRule>
    <cfRule type="cellIs" dxfId="0" priority="3948" operator="equal">
      <formula>"未完成"</formula>
    </cfRule>
  </conditionalFormatting>
  <conditionalFormatting sqref="AL145">
    <cfRule type="cellIs" dxfId="1" priority="3963" operator="equal">
      <formula>"未完成"</formula>
    </cfRule>
    <cfRule type="cellIs" dxfId="0" priority="3968" operator="equal">
      <formula>"未完成"</formula>
    </cfRule>
  </conditionalFormatting>
  <conditionalFormatting sqref="AM145">
    <cfRule type="cellIs" dxfId="1" priority="3918" operator="equal">
      <formula>"未完成"</formula>
    </cfRule>
    <cfRule type="cellIs" dxfId="0" priority="3923" operator="equal">
      <formula>"未完成"</formula>
    </cfRule>
  </conditionalFormatting>
  <conditionalFormatting sqref="AP145">
    <cfRule type="cellIs" dxfId="1" priority="3908" operator="equal">
      <formula>"未完成"</formula>
    </cfRule>
    <cfRule type="cellIs" dxfId="0" priority="3913" operator="equal">
      <formula>"未完成"</formula>
    </cfRule>
  </conditionalFormatting>
  <conditionalFormatting sqref="AQ145">
    <cfRule type="cellIs" dxfId="1" priority="3973" operator="equal">
      <formula>"未完成"</formula>
    </cfRule>
    <cfRule type="cellIs" dxfId="0" priority="3978" operator="equal">
      <formula>"未完成"</formula>
    </cfRule>
  </conditionalFormatting>
  <conditionalFormatting sqref="AS145">
    <cfRule type="cellIs" dxfId="1" priority="3928" operator="equal">
      <formula>"未完成"</formula>
    </cfRule>
    <cfRule type="cellIs" dxfId="0" priority="3933" operator="equal">
      <formula>"未完成"</formula>
    </cfRule>
  </conditionalFormatting>
  <conditionalFormatting sqref="AT145">
    <cfRule type="cellIs" dxfId="1" priority="3953" operator="equal">
      <formula>"未完成"</formula>
    </cfRule>
    <cfRule type="cellIs" dxfId="0" priority="3958" operator="equal">
      <formula>"未完成"</formula>
    </cfRule>
  </conditionalFormatting>
  <conditionalFormatting sqref="AU145:AV145">
    <cfRule type="cellIs" dxfId="1" priority="3983" operator="equal">
      <formula>"未完成"</formula>
    </cfRule>
    <cfRule type="cellIs" dxfId="0" priority="3988" operator="equal">
      <formula>"未完成"</formula>
    </cfRule>
  </conditionalFormatting>
  <conditionalFormatting sqref="R146">
    <cfRule type="cellIs" dxfId="0" priority="3937" operator="equal">
      <formula>"欠"</formula>
    </cfRule>
  </conditionalFormatting>
  <conditionalFormatting sqref="T146:U146">
    <cfRule type="cellIs" dxfId="0" priority="3902" operator="equal">
      <formula>"欠"</formula>
    </cfRule>
  </conditionalFormatting>
  <conditionalFormatting sqref="AE146">
    <cfRule type="cellIs" dxfId="0" priority="3992" operator="equal">
      <formula>"未完成"</formula>
    </cfRule>
  </conditionalFormatting>
  <conditionalFormatting sqref="AI146:AJ146">
    <cfRule type="cellIs" dxfId="1" priority="3997" operator="equal">
      <formula>"未完成"</formula>
    </cfRule>
    <cfRule type="cellIs" dxfId="0" priority="4002" operator="equal">
      <formula>"未完成"</formula>
    </cfRule>
  </conditionalFormatting>
  <conditionalFormatting sqref="AK146">
    <cfRule type="cellIs" dxfId="1" priority="3942" operator="equal">
      <formula>"未完成"</formula>
    </cfRule>
    <cfRule type="cellIs" dxfId="0" priority="3947" operator="equal">
      <formula>"未完成"</formula>
    </cfRule>
  </conditionalFormatting>
  <conditionalFormatting sqref="AL146">
    <cfRule type="cellIs" dxfId="1" priority="3962" operator="equal">
      <formula>"未完成"</formula>
    </cfRule>
    <cfRule type="cellIs" dxfId="0" priority="3967" operator="equal">
      <formula>"未完成"</formula>
    </cfRule>
  </conditionalFormatting>
  <conditionalFormatting sqref="AM146">
    <cfRule type="cellIs" dxfId="1" priority="3917" operator="equal">
      <formula>"未完成"</formula>
    </cfRule>
    <cfRule type="cellIs" dxfId="0" priority="3922" operator="equal">
      <formula>"未完成"</formula>
    </cfRule>
  </conditionalFormatting>
  <conditionalFormatting sqref="AP146">
    <cfRule type="cellIs" dxfId="1" priority="3907" operator="equal">
      <formula>"未完成"</formula>
    </cfRule>
    <cfRule type="cellIs" dxfId="0" priority="3912" operator="equal">
      <formula>"未完成"</formula>
    </cfRule>
  </conditionalFormatting>
  <conditionalFormatting sqref="AQ146">
    <cfRule type="cellIs" dxfId="1" priority="3972" operator="equal">
      <formula>"未完成"</formula>
    </cfRule>
    <cfRule type="cellIs" dxfId="0" priority="3977" operator="equal">
      <formula>"未完成"</formula>
    </cfRule>
  </conditionalFormatting>
  <conditionalFormatting sqref="AS146">
    <cfRule type="cellIs" dxfId="1" priority="3927" operator="equal">
      <formula>"未完成"</formula>
    </cfRule>
    <cfRule type="cellIs" dxfId="0" priority="3932" operator="equal">
      <formula>"未完成"</formula>
    </cfRule>
  </conditionalFormatting>
  <conditionalFormatting sqref="AT146">
    <cfRule type="cellIs" dxfId="1" priority="3952" operator="equal">
      <formula>"未完成"</formula>
    </cfRule>
    <cfRule type="cellIs" dxfId="0" priority="3957" operator="equal">
      <formula>"未完成"</formula>
    </cfRule>
  </conditionalFormatting>
  <conditionalFormatting sqref="AU146:AV146">
    <cfRule type="cellIs" dxfId="1" priority="3982" operator="equal">
      <formula>"未完成"</formula>
    </cfRule>
    <cfRule type="cellIs" dxfId="0" priority="3987" operator="equal">
      <formula>"未完成"</formula>
    </cfRule>
  </conditionalFormatting>
  <conditionalFormatting sqref="R147">
    <cfRule type="cellIs" dxfId="0" priority="3936" operator="equal">
      <formula>"欠"</formula>
    </cfRule>
  </conditionalFormatting>
  <conditionalFormatting sqref="T147:U147">
    <cfRule type="cellIs" dxfId="0" priority="3901" operator="equal">
      <formula>"欠"</formula>
    </cfRule>
  </conditionalFormatting>
  <conditionalFormatting sqref="AE147">
    <cfRule type="cellIs" dxfId="0" priority="3991" operator="equal">
      <formula>"未完成"</formula>
    </cfRule>
  </conditionalFormatting>
  <conditionalFormatting sqref="AI147:AJ147">
    <cfRule type="cellIs" dxfId="1" priority="3996" operator="equal">
      <formula>"未完成"</formula>
    </cfRule>
    <cfRule type="cellIs" dxfId="0" priority="4001" operator="equal">
      <formula>"未完成"</formula>
    </cfRule>
  </conditionalFormatting>
  <conditionalFormatting sqref="AK147">
    <cfRule type="cellIs" dxfId="1" priority="3941" operator="equal">
      <formula>"未完成"</formula>
    </cfRule>
    <cfRule type="cellIs" dxfId="0" priority="3946" operator="equal">
      <formula>"未完成"</formula>
    </cfRule>
  </conditionalFormatting>
  <conditionalFormatting sqref="AL147">
    <cfRule type="cellIs" dxfId="1" priority="3961" operator="equal">
      <formula>"未完成"</formula>
    </cfRule>
    <cfRule type="cellIs" dxfId="0" priority="3966" operator="equal">
      <formula>"未完成"</formula>
    </cfRule>
  </conditionalFormatting>
  <conditionalFormatting sqref="AM147">
    <cfRule type="cellIs" dxfId="1" priority="3916" operator="equal">
      <formula>"未完成"</formula>
    </cfRule>
    <cfRule type="cellIs" dxfId="0" priority="3921" operator="equal">
      <formula>"未完成"</formula>
    </cfRule>
  </conditionalFormatting>
  <conditionalFormatting sqref="AP147">
    <cfRule type="cellIs" dxfId="1" priority="3906" operator="equal">
      <formula>"未完成"</formula>
    </cfRule>
    <cfRule type="cellIs" dxfId="0" priority="3911" operator="equal">
      <formula>"未完成"</formula>
    </cfRule>
  </conditionalFormatting>
  <conditionalFormatting sqref="AQ147">
    <cfRule type="cellIs" dxfId="1" priority="3971" operator="equal">
      <formula>"未完成"</formula>
    </cfRule>
    <cfRule type="cellIs" dxfId="0" priority="3976" operator="equal">
      <formula>"未完成"</formula>
    </cfRule>
  </conditionalFormatting>
  <conditionalFormatting sqref="AS147">
    <cfRule type="cellIs" dxfId="1" priority="3926" operator="equal">
      <formula>"未完成"</formula>
    </cfRule>
    <cfRule type="cellIs" dxfId="0" priority="3931" operator="equal">
      <formula>"未完成"</formula>
    </cfRule>
  </conditionalFormatting>
  <conditionalFormatting sqref="AT147">
    <cfRule type="cellIs" dxfId="1" priority="3951" operator="equal">
      <formula>"未完成"</formula>
    </cfRule>
    <cfRule type="cellIs" dxfId="0" priority="3956" operator="equal">
      <formula>"未完成"</formula>
    </cfRule>
  </conditionalFormatting>
  <conditionalFormatting sqref="AU147:AV147">
    <cfRule type="cellIs" dxfId="1" priority="3981" operator="equal">
      <formula>"未完成"</formula>
    </cfRule>
    <cfRule type="cellIs" dxfId="0" priority="3986" operator="equal">
      <formula>"未完成"</formula>
    </cfRule>
  </conditionalFormatting>
  <conditionalFormatting sqref="R148">
    <cfRule type="cellIs" dxfId="0" priority="3493" operator="equal">
      <formula>"欠"</formula>
    </cfRule>
  </conditionalFormatting>
  <conditionalFormatting sqref="T148:U148">
    <cfRule type="cellIs" dxfId="0" priority="3283" operator="equal">
      <formula>"欠"</formula>
    </cfRule>
  </conditionalFormatting>
  <conditionalFormatting sqref="AE148">
    <cfRule type="cellIs" dxfId="0" priority="3823" operator="equal">
      <formula>"未完成"</formula>
    </cfRule>
  </conditionalFormatting>
  <conditionalFormatting sqref="AI148:AJ148">
    <cfRule type="cellIs" dxfId="1" priority="3853" operator="equal">
      <formula>"未完成"</formula>
    </cfRule>
    <cfRule type="cellIs" dxfId="0" priority="3883" operator="equal">
      <formula>"未完成"</formula>
    </cfRule>
  </conditionalFormatting>
  <conditionalFormatting sqref="AK148">
    <cfRule type="cellIs" dxfId="1" priority="3523" operator="equal">
      <formula>"未完成"</formula>
    </cfRule>
    <cfRule type="cellIs" dxfId="0" priority="3553" operator="equal">
      <formula>"未完成"</formula>
    </cfRule>
  </conditionalFormatting>
  <conditionalFormatting sqref="AM148">
    <cfRule type="cellIs" dxfId="1" priority="3373" operator="equal">
      <formula>"未完成"</formula>
    </cfRule>
    <cfRule type="cellIs" dxfId="0" priority="3403" operator="equal">
      <formula>"未完成"</formula>
    </cfRule>
  </conditionalFormatting>
  <conditionalFormatting sqref="AP148">
    <cfRule type="cellIs" dxfId="1" priority="3313" operator="equal">
      <formula>"未完成"</formula>
    </cfRule>
    <cfRule type="cellIs" dxfId="0" priority="3343" operator="equal">
      <formula>"未完成"</formula>
    </cfRule>
  </conditionalFormatting>
  <conditionalFormatting sqref="AQ148">
    <cfRule type="cellIs" dxfId="1" priority="3703" operator="equal">
      <formula>"未完成"</formula>
    </cfRule>
    <cfRule type="cellIs" dxfId="0" priority="3733" operator="equal">
      <formula>"未完成"</formula>
    </cfRule>
  </conditionalFormatting>
  <conditionalFormatting sqref="AT148">
    <cfRule type="cellIs" dxfId="1" priority="3583" operator="equal">
      <formula>"未完成"</formula>
    </cfRule>
    <cfRule type="cellIs" dxfId="0" priority="3613" operator="equal">
      <formula>"未完成"</formula>
    </cfRule>
  </conditionalFormatting>
  <conditionalFormatting sqref="AU148:AV148">
    <cfRule type="cellIs" dxfId="1" priority="3763" operator="equal">
      <formula>"未完成"</formula>
    </cfRule>
    <cfRule type="cellIs" dxfId="0" priority="3793" operator="equal">
      <formula>"未完成"</formula>
    </cfRule>
  </conditionalFormatting>
  <conditionalFormatting sqref="R149">
    <cfRule type="cellIs" dxfId="0" priority="3492" operator="equal">
      <formula>"欠"</formula>
    </cfRule>
  </conditionalFormatting>
  <conditionalFormatting sqref="T149:U149">
    <cfRule type="cellIs" dxfId="0" priority="3282" operator="equal">
      <formula>"欠"</formula>
    </cfRule>
  </conditionalFormatting>
  <conditionalFormatting sqref="AE149">
    <cfRule type="cellIs" dxfId="0" priority="3822" operator="equal">
      <formula>"未完成"</formula>
    </cfRule>
  </conditionalFormatting>
  <conditionalFormatting sqref="AI149:AJ149">
    <cfRule type="cellIs" dxfId="1" priority="3852" operator="equal">
      <formula>"未完成"</formula>
    </cfRule>
    <cfRule type="cellIs" dxfId="0" priority="3882" operator="equal">
      <formula>"未完成"</formula>
    </cfRule>
  </conditionalFormatting>
  <conditionalFormatting sqref="AK149">
    <cfRule type="cellIs" dxfId="1" priority="3522" operator="equal">
      <formula>"未完成"</formula>
    </cfRule>
    <cfRule type="cellIs" dxfId="0" priority="3552" operator="equal">
      <formula>"未完成"</formula>
    </cfRule>
  </conditionalFormatting>
  <conditionalFormatting sqref="AM149">
    <cfRule type="cellIs" dxfId="1" priority="3372" operator="equal">
      <formula>"未完成"</formula>
    </cfRule>
    <cfRule type="cellIs" dxfId="0" priority="3402" operator="equal">
      <formula>"未完成"</formula>
    </cfRule>
  </conditionalFormatting>
  <conditionalFormatting sqref="AP149">
    <cfRule type="cellIs" dxfId="1" priority="3312" operator="equal">
      <formula>"未完成"</formula>
    </cfRule>
    <cfRule type="cellIs" dxfId="0" priority="3342" operator="equal">
      <formula>"未完成"</formula>
    </cfRule>
  </conditionalFormatting>
  <conditionalFormatting sqref="AQ149">
    <cfRule type="cellIs" dxfId="1" priority="3702" operator="equal">
      <formula>"未完成"</formula>
    </cfRule>
    <cfRule type="cellIs" dxfId="0" priority="3732" operator="equal">
      <formula>"未完成"</formula>
    </cfRule>
  </conditionalFormatting>
  <conditionalFormatting sqref="AT149">
    <cfRule type="cellIs" dxfId="1" priority="3582" operator="equal">
      <formula>"未完成"</formula>
    </cfRule>
    <cfRule type="cellIs" dxfId="0" priority="3612" operator="equal">
      <formula>"未完成"</formula>
    </cfRule>
  </conditionalFormatting>
  <conditionalFormatting sqref="AU149:AV149">
    <cfRule type="cellIs" dxfId="1" priority="3762" operator="equal">
      <formula>"未完成"</formula>
    </cfRule>
    <cfRule type="cellIs" dxfId="0" priority="3792" operator="equal">
      <formula>"未完成"</formula>
    </cfRule>
  </conditionalFormatting>
  <conditionalFormatting sqref="R150">
    <cfRule type="cellIs" dxfId="0" priority="3491" operator="equal">
      <formula>"欠"</formula>
    </cfRule>
  </conditionalFormatting>
  <conditionalFormatting sqref="T150:U150">
    <cfRule type="cellIs" dxfId="0" priority="3281" operator="equal">
      <formula>"欠"</formula>
    </cfRule>
  </conditionalFormatting>
  <conditionalFormatting sqref="AE150">
    <cfRule type="cellIs" dxfId="0" priority="3821" operator="equal">
      <formula>"未完成"</formula>
    </cfRule>
  </conditionalFormatting>
  <conditionalFormatting sqref="AI150:AJ150">
    <cfRule type="cellIs" dxfId="1" priority="3851" operator="equal">
      <formula>"未完成"</formula>
    </cfRule>
    <cfRule type="cellIs" dxfId="0" priority="3881" operator="equal">
      <formula>"未完成"</formula>
    </cfRule>
  </conditionalFormatting>
  <conditionalFormatting sqref="AK150">
    <cfRule type="cellIs" dxfId="1" priority="3521" operator="equal">
      <formula>"未完成"</formula>
    </cfRule>
    <cfRule type="cellIs" dxfId="0" priority="3551" operator="equal">
      <formula>"未完成"</formula>
    </cfRule>
  </conditionalFormatting>
  <conditionalFormatting sqref="AM150">
    <cfRule type="cellIs" dxfId="1" priority="3371" operator="equal">
      <formula>"未完成"</formula>
    </cfRule>
    <cfRule type="cellIs" dxfId="0" priority="3401" operator="equal">
      <formula>"未完成"</formula>
    </cfRule>
  </conditionalFormatting>
  <conditionalFormatting sqref="AP150">
    <cfRule type="cellIs" dxfId="1" priority="3311" operator="equal">
      <formula>"未完成"</formula>
    </cfRule>
    <cfRule type="cellIs" dxfId="0" priority="3341" operator="equal">
      <formula>"未完成"</formula>
    </cfRule>
  </conditionalFormatting>
  <conditionalFormatting sqref="AQ150">
    <cfRule type="cellIs" dxfId="1" priority="3701" operator="equal">
      <formula>"未完成"</formula>
    </cfRule>
    <cfRule type="cellIs" dxfId="0" priority="3731" operator="equal">
      <formula>"未完成"</formula>
    </cfRule>
  </conditionalFormatting>
  <conditionalFormatting sqref="AT150">
    <cfRule type="cellIs" dxfId="1" priority="3581" operator="equal">
      <formula>"未完成"</formula>
    </cfRule>
    <cfRule type="cellIs" dxfId="0" priority="3611" operator="equal">
      <formula>"未完成"</formula>
    </cfRule>
  </conditionalFormatting>
  <conditionalFormatting sqref="AU150:AV150">
    <cfRule type="cellIs" dxfId="1" priority="3761" operator="equal">
      <formula>"未完成"</formula>
    </cfRule>
    <cfRule type="cellIs" dxfId="0" priority="3791" operator="equal">
      <formula>"未完成"</formula>
    </cfRule>
  </conditionalFormatting>
  <conditionalFormatting sqref="R151">
    <cfRule type="cellIs" dxfId="0" priority="3490" operator="equal">
      <formula>"欠"</formula>
    </cfRule>
  </conditionalFormatting>
  <conditionalFormatting sqref="T151:U151">
    <cfRule type="cellIs" dxfId="0" priority="3280" operator="equal">
      <formula>"欠"</formula>
    </cfRule>
  </conditionalFormatting>
  <conditionalFormatting sqref="AE151">
    <cfRule type="cellIs" dxfId="0" priority="3820" operator="equal">
      <formula>"未完成"</formula>
    </cfRule>
  </conditionalFormatting>
  <conditionalFormatting sqref="AI151:AJ151">
    <cfRule type="cellIs" dxfId="1" priority="3850" operator="equal">
      <formula>"未完成"</formula>
    </cfRule>
    <cfRule type="cellIs" dxfId="0" priority="3880" operator="equal">
      <formula>"未完成"</formula>
    </cfRule>
  </conditionalFormatting>
  <conditionalFormatting sqref="AK151">
    <cfRule type="cellIs" dxfId="1" priority="3520" operator="equal">
      <formula>"未完成"</formula>
    </cfRule>
    <cfRule type="cellIs" dxfId="0" priority="3550" operator="equal">
      <formula>"未完成"</formula>
    </cfRule>
  </conditionalFormatting>
  <conditionalFormatting sqref="AM151">
    <cfRule type="cellIs" dxfId="1" priority="3370" operator="equal">
      <formula>"未完成"</formula>
    </cfRule>
    <cfRule type="cellIs" dxfId="0" priority="3400" operator="equal">
      <formula>"未完成"</formula>
    </cfRule>
  </conditionalFormatting>
  <conditionalFormatting sqref="AP151">
    <cfRule type="cellIs" dxfId="1" priority="3310" operator="equal">
      <formula>"未完成"</formula>
    </cfRule>
    <cfRule type="cellIs" dxfId="0" priority="3340" operator="equal">
      <formula>"未完成"</formula>
    </cfRule>
  </conditionalFormatting>
  <conditionalFormatting sqref="AQ151">
    <cfRule type="cellIs" dxfId="1" priority="3700" operator="equal">
      <formula>"未完成"</formula>
    </cfRule>
    <cfRule type="cellIs" dxfId="0" priority="3730" operator="equal">
      <formula>"未完成"</formula>
    </cfRule>
  </conditionalFormatting>
  <conditionalFormatting sqref="AT151">
    <cfRule type="cellIs" dxfId="1" priority="3580" operator="equal">
      <formula>"未完成"</formula>
    </cfRule>
    <cfRule type="cellIs" dxfId="0" priority="3610" operator="equal">
      <formula>"未完成"</formula>
    </cfRule>
  </conditionalFormatting>
  <conditionalFormatting sqref="AU151:AV151">
    <cfRule type="cellIs" dxfId="1" priority="3760" operator="equal">
      <formula>"未完成"</formula>
    </cfRule>
    <cfRule type="cellIs" dxfId="0" priority="3790" operator="equal">
      <formula>"未完成"</formula>
    </cfRule>
  </conditionalFormatting>
  <conditionalFormatting sqref="R152">
    <cfRule type="cellIs" dxfId="0" priority="3489" operator="equal">
      <formula>"欠"</formula>
    </cfRule>
  </conditionalFormatting>
  <conditionalFormatting sqref="T152:U152">
    <cfRule type="cellIs" dxfId="0" priority="3279" operator="equal">
      <formula>"欠"</formula>
    </cfRule>
  </conditionalFormatting>
  <conditionalFormatting sqref="AE152">
    <cfRule type="cellIs" dxfId="0" priority="3819" operator="equal">
      <formula>"未完成"</formula>
    </cfRule>
  </conditionalFormatting>
  <conditionalFormatting sqref="AI152:AJ152">
    <cfRule type="cellIs" dxfId="1" priority="3849" operator="equal">
      <formula>"未完成"</formula>
    </cfRule>
    <cfRule type="cellIs" dxfId="0" priority="3879" operator="equal">
      <formula>"未完成"</formula>
    </cfRule>
  </conditionalFormatting>
  <conditionalFormatting sqref="AK152">
    <cfRule type="cellIs" dxfId="1" priority="3519" operator="equal">
      <formula>"未完成"</formula>
    </cfRule>
    <cfRule type="cellIs" dxfId="0" priority="3549" operator="equal">
      <formula>"未完成"</formula>
    </cfRule>
  </conditionalFormatting>
  <conditionalFormatting sqref="AM152">
    <cfRule type="cellIs" dxfId="1" priority="3369" operator="equal">
      <formula>"未完成"</formula>
    </cfRule>
    <cfRule type="cellIs" dxfId="0" priority="3399" operator="equal">
      <formula>"未完成"</formula>
    </cfRule>
  </conditionalFormatting>
  <conditionalFormatting sqref="AP152">
    <cfRule type="cellIs" dxfId="1" priority="3309" operator="equal">
      <formula>"未完成"</formula>
    </cfRule>
    <cfRule type="cellIs" dxfId="0" priority="3339" operator="equal">
      <formula>"未完成"</formula>
    </cfRule>
  </conditionalFormatting>
  <conditionalFormatting sqref="AQ152">
    <cfRule type="cellIs" dxfId="1" priority="3699" operator="equal">
      <formula>"未完成"</formula>
    </cfRule>
    <cfRule type="cellIs" dxfId="0" priority="3729" operator="equal">
      <formula>"未完成"</formula>
    </cfRule>
  </conditionalFormatting>
  <conditionalFormatting sqref="AT152">
    <cfRule type="cellIs" dxfId="1" priority="3579" operator="equal">
      <formula>"未完成"</formula>
    </cfRule>
    <cfRule type="cellIs" dxfId="0" priority="3609" operator="equal">
      <formula>"未完成"</formula>
    </cfRule>
  </conditionalFormatting>
  <conditionalFormatting sqref="AU152:AV152">
    <cfRule type="cellIs" dxfId="1" priority="3759" operator="equal">
      <formula>"未完成"</formula>
    </cfRule>
    <cfRule type="cellIs" dxfId="0" priority="3789" operator="equal">
      <formula>"未完成"</formula>
    </cfRule>
  </conditionalFormatting>
  <conditionalFormatting sqref="R153">
    <cfRule type="cellIs" dxfId="0" priority="3488" operator="equal">
      <formula>"欠"</formula>
    </cfRule>
  </conditionalFormatting>
  <conditionalFormatting sqref="T153:U153">
    <cfRule type="cellIs" dxfId="0" priority="3278" operator="equal">
      <formula>"欠"</formula>
    </cfRule>
  </conditionalFormatting>
  <conditionalFormatting sqref="AE153">
    <cfRule type="cellIs" dxfId="0" priority="3818" operator="equal">
      <formula>"未完成"</formula>
    </cfRule>
  </conditionalFormatting>
  <conditionalFormatting sqref="AI153:AJ153">
    <cfRule type="cellIs" dxfId="1" priority="3848" operator="equal">
      <formula>"未完成"</formula>
    </cfRule>
    <cfRule type="cellIs" dxfId="0" priority="3878" operator="equal">
      <formula>"未完成"</formula>
    </cfRule>
  </conditionalFormatting>
  <conditionalFormatting sqref="AK153">
    <cfRule type="cellIs" dxfId="1" priority="3518" operator="equal">
      <formula>"未完成"</formula>
    </cfRule>
    <cfRule type="cellIs" dxfId="0" priority="3548" operator="equal">
      <formula>"未完成"</formula>
    </cfRule>
  </conditionalFormatting>
  <conditionalFormatting sqref="AM153">
    <cfRule type="cellIs" dxfId="1" priority="3368" operator="equal">
      <formula>"未完成"</formula>
    </cfRule>
    <cfRule type="cellIs" dxfId="0" priority="3398" operator="equal">
      <formula>"未完成"</formula>
    </cfRule>
  </conditionalFormatting>
  <conditionalFormatting sqref="AP153">
    <cfRule type="cellIs" dxfId="1" priority="3308" operator="equal">
      <formula>"未完成"</formula>
    </cfRule>
    <cfRule type="cellIs" dxfId="0" priority="3338" operator="equal">
      <formula>"未完成"</formula>
    </cfRule>
  </conditionalFormatting>
  <conditionalFormatting sqref="AQ153">
    <cfRule type="cellIs" dxfId="1" priority="3698" operator="equal">
      <formula>"未完成"</formula>
    </cfRule>
    <cfRule type="cellIs" dxfId="0" priority="3728" operator="equal">
      <formula>"未完成"</formula>
    </cfRule>
  </conditionalFormatting>
  <conditionalFormatting sqref="AT153">
    <cfRule type="cellIs" dxfId="1" priority="3578" operator="equal">
      <formula>"未完成"</formula>
    </cfRule>
    <cfRule type="cellIs" dxfId="0" priority="3608" operator="equal">
      <formula>"未完成"</formula>
    </cfRule>
  </conditionalFormatting>
  <conditionalFormatting sqref="AU153:AV153">
    <cfRule type="cellIs" dxfId="1" priority="3758" operator="equal">
      <formula>"未完成"</formula>
    </cfRule>
    <cfRule type="cellIs" dxfId="0" priority="3788" operator="equal">
      <formula>"未完成"</formula>
    </cfRule>
  </conditionalFormatting>
  <conditionalFormatting sqref="R154">
    <cfRule type="cellIs" dxfId="0" priority="3487" operator="equal">
      <formula>"欠"</formula>
    </cfRule>
  </conditionalFormatting>
  <conditionalFormatting sqref="T154:U154">
    <cfRule type="cellIs" dxfId="0" priority="3277" operator="equal">
      <formula>"欠"</formula>
    </cfRule>
  </conditionalFormatting>
  <conditionalFormatting sqref="AE154">
    <cfRule type="cellIs" dxfId="0" priority="3817" operator="equal">
      <formula>"未完成"</formula>
    </cfRule>
  </conditionalFormatting>
  <conditionalFormatting sqref="AI154:AJ154">
    <cfRule type="cellIs" dxfId="1" priority="3847" operator="equal">
      <formula>"未完成"</formula>
    </cfRule>
    <cfRule type="cellIs" dxfId="0" priority="3877" operator="equal">
      <formula>"未完成"</formula>
    </cfRule>
  </conditionalFormatting>
  <conditionalFormatting sqref="AK154">
    <cfRule type="cellIs" dxfId="1" priority="3517" operator="equal">
      <formula>"未完成"</formula>
    </cfRule>
    <cfRule type="cellIs" dxfId="0" priority="3547" operator="equal">
      <formula>"未完成"</formula>
    </cfRule>
  </conditionalFormatting>
  <conditionalFormatting sqref="AM154">
    <cfRule type="cellIs" dxfId="1" priority="3367" operator="equal">
      <formula>"未完成"</formula>
    </cfRule>
    <cfRule type="cellIs" dxfId="0" priority="3397" operator="equal">
      <formula>"未完成"</formula>
    </cfRule>
  </conditionalFormatting>
  <conditionalFormatting sqref="AP154">
    <cfRule type="cellIs" dxfId="1" priority="3307" operator="equal">
      <formula>"未完成"</formula>
    </cfRule>
    <cfRule type="cellIs" dxfId="0" priority="3337" operator="equal">
      <formula>"未完成"</formula>
    </cfRule>
  </conditionalFormatting>
  <conditionalFormatting sqref="AQ154">
    <cfRule type="cellIs" dxfId="1" priority="3697" operator="equal">
      <formula>"未完成"</formula>
    </cfRule>
    <cfRule type="cellIs" dxfId="0" priority="3727" operator="equal">
      <formula>"未完成"</formula>
    </cfRule>
  </conditionalFormatting>
  <conditionalFormatting sqref="AT154">
    <cfRule type="cellIs" dxfId="1" priority="3577" operator="equal">
      <formula>"未完成"</formula>
    </cfRule>
    <cfRule type="cellIs" dxfId="0" priority="3607" operator="equal">
      <formula>"未完成"</formula>
    </cfRule>
  </conditionalFormatting>
  <conditionalFormatting sqref="AU154:AV154">
    <cfRule type="cellIs" dxfId="1" priority="3757" operator="equal">
      <formula>"未完成"</formula>
    </cfRule>
    <cfRule type="cellIs" dxfId="0" priority="3787" operator="equal">
      <formula>"未完成"</formula>
    </cfRule>
  </conditionalFormatting>
  <conditionalFormatting sqref="R155">
    <cfRule type="cellIs" dxfId="0" priority="3486" operator="equal">
      <formula>"欠"</formula>
    </cfRule>
  </conditionalFormatting>
  <conditionalFormatting sqref="T155:U155">
    <cfRule type="cellIs" dxfId="0" priority="3276" operator="equal">
      <formula>"欠"</formula>
    </cfRule>
  </conditionalFormatting>
  <conditionalFormatting sqref="AE155">
    <cfRule type="cellIs" dxfId="0" priority="3816" operator="equal">
      <formula>"未完成"</formula>
    </cfRule>
  </conditionalFormatting>
  <conditionalFormatting sqref="AI155:AJ155">
    <cfRule type="cellIs" dxfId="1" priority="3846" operator="equal">
      <formula>"未完成"</formula>
    </cfRule>
    <cfRule type="cellIs" dxfId="0" priority="3876" operator="equal">
      <formula>"未完成"</formula>
    </cfRule>
  </conditionalFormatting>
  <conditionalFormatting sqref="AK155">
    <cfRule type="cellIs" dxfId="1" priority="3516" operator="equal">
      <formula>"未完成"</formula>
    </cfRule>
    <cfRule type="cellIs" dxfId="0" priority="3546" operator="equal">
      <formula>"未完成"</formula>
    </cfRule>
  </conditionalFormatting>
  <conditionalFormatting sqref="AM155">
    <cfRule type="cellIs" dxfId="1" priority="3366" operator="equal">
      <formula>"未完成"</formula>
    </cfRule>
    <cfRule type="cellIs" dxfId="0" priority="3396" operator="equal">
      <formula>"未完成"</formula>
    </cfRule>
  </conditionalFormatting>
  <conditionalFormatting sqref="AP155">
    <cfRule type="cellIs" dxfId="1" priority="3306" operator="equal">
      <formula>"未完成"</formula>
    </cfRule>
    <cfRule type="cellIs" dxfId="0" priority="3336" operator="equal">
      <formula>"未完成"</formula>
    </cfRule>
  </conditionalFormatting>
  <conditionalFormatting sqref="AQ155">
    <cfRule type="cellIs" dxfId="1" priority="3696" operator="equal">
      <formula>"未完成"</formula>
    </cfRule>
    <cfRule type="cellIs" dxfId="0" priority="3726" operator="equal">
      <formula>"未完成"</formula>
    </cfRule>
  </conditionalFormatting>
  <conditionalFormatting sqref="AT155">
    <cfRule type="cellIs" dxfId="1" priority="3576" operator="equal">
      <formula>"未完成"</formula>
    </cfRule>
    <cfRule type="cellIs" dxfId="0" priority="3606" operator="equal">
      <formula>"未完成"</formula>
    </cfRule>
  </conditionalFormatting>
  <conditionalFormatting sqref="AU155:AV155">
    <cfRule type="cellIs" dxfId="1" priority="3756" operator="equal">
      <formula>"未完成"</formula>
    </cfRule>
    <cfRule type="cellIs" dxfId="0" priority="3786" operator="equal">
      <formula>"未完成"</formula>
    </cfRule>
  </conditionalFormatting>
  <conditionalFormatting sqref="R156">
    <cfRule type="cellIs" dxfId="0" priority="3485" operator="equal">
      <formula>"欠"</formula>
    </cfRule>
  </conditionalFormatting>
  <conditionalFormatting sqref="T156:U156">
    <cfRule type="cellIs" dxfId="0" priority="3275" operator="equal">
      <formula>"欠"</formula>
    </cfRule>
  </conditionalFormatting>
  <conditionalFormatting sqref="AE156">
    <cfRule type="cellIs" dxfId="0" priority="3815" operator="equal">
      <formula>"未完成"</formula>
    </cfRule>
  </conditionalFormatting>
  <conditionalFormatting sqref="AI156:AJ156">
    <cfRule type="cellIs" dxfId="1" priority="3845" operator="equal">
      <formula>"未完成"</formula>
    </cfRule>
    <cfRule type="cellIs" dxfId="0" priority="3875" operator="equal">
      <formula>"未完成"</formula>
    </cfRule>
  </conditionalFormatting>
  <conditionalFormatting sqref="AK156">
    <cfRule type="cellIs" dxfId="1" priority="3515" operator="equal">
      <formula>"未完成"</formula>
    </cfRule>
    <cfRule type="cellIs" dxfId="0" priority="3545" operator="equal">
      <formula>"未完成"</formula>
    </cfRule>
  </conditionalFormatting>
  <conditionalFormatting sqref="AM156">
    <cfRule type="cellIs" dxfId="1" priority="3365" operator="equal">
      <formula>"未完成"</formula>
    </cfRule>
    <cfRule type="cellIs" dxfId="0" priority="3395" operator="equal">
      <formula>"未完成"</formula>
    </cfRule>
  </conditionalFormatting>
  <conditionalFormatting sqref="AP156">
    <cfRule type="cellIs" dxfId="1" priority="3305" operator="equal">
      <formula>"未完成"</formula>
    </cfRule>
    <cfRule type="cellIs" dxfId="0" priority="3335" operator="equal">
      <formula>"未完成"</formula>
    </cfRule>
  </conditionalFormatting>
  <conditionalFormatting sqref="AQ156">
    <cfRule type="cellIs" dxfId="1" priority="3695" operator="equal">
      <formula>"未完成"</formula>
    </cfRule>
    <cfRule type="cellIs" dxfId="0" priority="3725" operator="equal">
      <formula>"未完成"</formula>
    </cfRule>
  </conditionalFormatting>
  <conditionalFormatting sqref="AT156">
    <cfRule type="cellIs" dxfId="1" priority="3575" operator="equal">
      <formula>"未完成"</formula>
    </cfRule>
    <cfRule type="cellIs" dxfId="0" priority="3605" operator="equal">
      <formula>"未完成"</formula>
    </cfRule>
  </conditionalFormatting>
  <conditionalFormatting sqref="AU156:AV156">
    <cfRule type="cellIs" dxfId="1" priority="3755" operator="equal">
      <formula>"未完成"</formula>
    </cfRule>
    <cfRule type="cellIs" dxfId="0" priority="3785" operator="equal">
      <formula>"未完成"</formula>
    </cfRule>
  </conditionalFormatting>
  <conditionalFormatting sqref="R157">
    <cfRule type="cellIs" dxfId="0" priority="3484" operator="equal">
      <formula>"欠"</formula>
    </cfRule>
  </conditionalFormatting>
  <conditionalFormatting sqref="T157:U157">
    <cfRule type="cellIs" dxfId="0" priority="3274" operator="equal">
      <formula>"欠"</formula>
    </cfRule>
  </conditionalFormatting>
  <conditionalFormatting sqref="AE157">
    <cfRule type="cellIs" dxfId="0" priority="3814" operator="equal">
      <formula>"未完成"</formula>
    </cfRule>
  </conditionalFormatting>
  <conditionalFormatting sqref="AI157:AJ157">
    <cfRule type="cellIs" dxfId="1" priority="3844" operator="equal">
      <formula>"未完成"</formula>
    </cfRule>
    <cfRule type="cellIs" dxfId="0" priority="3874" operator="equal">
      <formula>"未完成"</formula>
    </cfRule>
  </conditionalFormatting>
  <conditionalFormatting sqref="AK157">
    <cfRule type="cellIs" dxfId="1" priority="3514" operator="equal">
      <formula>"未完成"</formula>
    </cfRule>
    <cfRule type="cellIs" dxfId="0" priority="3544" operator="equal">
      <formula>"未完成"</formula>
    </cfRule>
  </conditionalFormatting>
  <conditionalFormatting sqref="AM157">
    <cfRule type="cellIs" dxfId="1" priority="3364" operator="equal">
      <formula>"未完成"</formula>
    </cfRule>
    <cfRule type="cellIs" dxfId="0" priority="3394" operator="equal">
      <formula>"未完成"</formula>
    </cfRule>
  </conditionalFormatting>
  <conditionalFormatting sqref="AP157">
    <cfRule type="cellIs" dxfId="1" priority="3304" operator="equal">
      <formula>"未完成"</formula>
    </cfRule>
    <cfRule type="cellIs" dxfId="0" priority="3334" operator="equal">
      <formula>"未完成"</formula>
    </cfRule>
  </conditionalFormatting>
  <conditionalFormatting sqref="AQ157">
    <cfRule type="cellIs" dxfId="1" priority="3694" operator="equal">
      <formula>"未完成"</formula>
    </cfRule>
    <cfRule type="cellIs" dxfId="0" priority="3724" operator="equal">
      <formula>"未完成"</formula>
    </cfRule>
  </conditionalFormatting>
  <conditionalFormatting sqref="AT157">
    <cfRule type="cellIs" dxfId="1" priority="3574" operator="equal">
      <formula>"未完成"</formula>
    </cfRule>
    <cfRule type="cellIs" dxfId="0" priority="3604" operator="equal">
      <formula>"未完成"</formula>
    </cfRule>
  </conditionalFormatting>
  <conditionalFormatting sqref="AU157:AV157">
    <cfRule type="cellIs" dxfId="1" priority="3754" operator="equal">
      <formula>"未完成"</formula>
    </cfRule>
    <cfRule type="cellIs" dxfId="0" priority="3784" operator="equal">
      <formula>"未完成"</formula>
    </cfRule>
  </conditionalFormatting>
  <conditionalFormatting sqref="R158">
    <cfRule type="cellIs" dxfId="0" priority="3483" operator="equal">
      <formula>"欠"</formula>
    </cfRule>
  </conditionalFormatting>
  <conditionalFormatting sqref="T158:U158">
    <cfRule type="cellIs" dxfId="0" priority="3273" operator="equal">
      <formula>"欠"</formula>
    </cfRule>
  </conditionalFormatting>
  <conditionalFormatting sqref="AE158">
    <cfRule type="cellIs" dxfId="0" priority="3813" operator="equal">
      <formula>"未完成"</formula>
    </cfRule>
  </conditionalFormatting>
  <conditionalFormatting sqref="AI158:AJ158">
    <cfRule type="cellIs" dxfId="1" priority="3843" operator="equal">
      <formula>"未完成"</formula>
    </cfRule>
    <cfRule type="cellIs" dxfId="0" priority="3873" operator="equal">
      <formula>"未完成"</formula>
    </cfRule>
  </conditionalFormatting>
  <conditionalFormatting sqref="AK158">
    <cfRule type="cellIs" dxfId="1" priority="3513" operator="equal">
      <formula>"未完成"</formula>
    </cfRule>
    <cfRule type="cellIs" dxfId="0" priority="3543" operator="equal">
      <formula>"未完成"</formula>
    </cfRule>
  </conditionalFormatting>
  <conditionalFormatting sqref="AL158">
    <cfRule type="cellIs" dxfId="1" priority="3633" operator="equal">
      <formula>"未完成"</formula>
    </cfRule>
    <cfRule type="cellIs" dxfId="0" priority="3663" operator="equal">
      <formula>"未完成"</formula>
    </cfRule>
  </conditionalFormatting>
  <conditionalFormatting sqref="AM158">
    <cfRule type="cellIs" dxfId="1" priority="3363" operator="equal">
      <formula>"未完成"</formula>
    </cfRule>
    <cfRule type="cellIs" dxfId="0" priority="3393" operator="equal">
      <formula>"未完成"</formula>
    </cfRule>
  </conditionalFormatting>
  <conditionalFormatting sqref="AP158">
    <cfRule type="cellIs" dxfId="1" priority="3303" operator="equal">
      <formula>"未完成"</formula>
    </cfRule>
    <cfRule type="cellIs" dxfId="0" priority="3333" operator="equal">
      <formula>"未完成"</formula>
    </cfRule>
  </conditionalFormatting>
  <conditionalFormatting sqref="AQ158">
    <cfRule type="cellIs" dxfId="1" priority="3693" operator="equal">
      <formula>"未完成"</formula>
    </cfRule>
    <cfRule type="cellIs" dxfId="0" priority="3723" operator="equal">
      <formula>"未完成"</formula>
    </cfRule>
  </conditionalFormatting>
  <conditionalFormatting sqref="AT158">
    <cfRule type="cellIs" dxfId="1" priority="3573" operator="equal">
      <formula>"未完成"</formula>
    </cfRule>
    <cfRule type="cellIs" dxfId="0" priority="3603" operator="equal">
      <formula>"未完成"</formula>
    </cfRule>
  </conditionalFormatting>
  <conditionalFormatting sqref="AU158:AV158">
    <cfRule type="cellIs" dxfId="1" priority="3753" operator="equal">
      <formula>"未完成"</formula>
    </cfRule>
    <cfRule type="cellIs" dxfId="0" priority="3783" operator="equal">
      <formula>"未完成"</formula>
    </cfRule>
  </conditionalFormatting>
  <conditionalFormatting sqref="R159">
    <cfRule type="cellIs" dxfId="0" priority="3482" operator="equal">
      <formula>"欠"</formula>
    </cfRule>
  </conditionalFormatting>
  <conditionalFormatting sqref="T159:U159">
    <cfRule type="cellIs" dxfId="0" priority="3272" operator="equal">
      <formula>"欠"</formula>
    </cfRule>
  </conditionalFormatting>
  <conditionalFormatting sqref="AE159">
    <cfRule type="cellIs" dxfId="0" priority="3812" operator="equal">
      <formula>"未完成"</formula>
    </cfRule>
  </conditionalFormatting>
  <conditionalFormatting sqref="AI159:AJ159">
    <cfRule type="cellIs" dxfId="1" priority="3842" operator="equal">
      <formula>"未完成"</formula>
    </cfRule>
    <cfRule type="cellIs" dxfId="0" priority="3872" operator="equal">
      <formula>"未完成"</formula>
    </cfRule>
  </conditionalFormatting>
  <conditionalFormatting sqref="AK159">
    <cfRule type="cellIs" dxfId="1" priority="3512" operator="equal">
      <formula>"未完成"</formula>
    </cfRule>
    <cfRule type="cellIs" dxfId="0" priority="3542" operator="equal">
      <formula>"未完成"</formula>
    </cfRule>
  </conditionalFormatting>
  <conditionalFormatting sqref="AL159">
    <cfRule type="cellIs" dxfId="1" priority="3632" operator="equal">
      <formula>"未完成"</formula>
    </cfRule>
    <cfRule type="cellIs" dxfId="0" priority="3662" operator="equal">
      <formula>"未完成"</formula>
    </cfRule>
  </conditionalFormatting>
  <conditionalFormatting sqref="AM159">
    <cfRule type="cellIs" dxfId="1" priority="3362" operator="equal">
      <formula>"未完成"</formula>
    </cfRule>
    <cfRule type="cellIs" dxfId="0" priority="3392" operator="equal">
      <formula>"未完成"</formula>
    </cfRule>
  </conditionalFormatting>
  <conditionalFormatting sqref="AP159">
    <cfRule type="cellIs" dxfId="1" priority="3302" operator="equal">
      <formula>"未完成"</formula>
    </cfRule>
    <cfRule type="cellIs" dxfId="0" priority="3332" operator="equal">
      <formula>"未完成"</formula>
    </cfRule>
  </conditionalFormatting>
  <conditionalFormatting sqref="AQ159">
    <cfRule type="cellIs" dxfId="1" priority="3692" operator="equal">
      <formula>"未完成"</formula>
    </cfRule>
    <cfRule type="cellIs" dxfId="0" priority="3722" operator="equal">
      <formula>"未完成"</formula>
    </cfRule>
  </conditionalFormatting>
  <conditionalFormatting sqref="AT159">
    <cfRule type="cellIs" dxfId="1" priority="3572" operator="equal">
      <formula>"未完成"</formula>
    </cfRule>
    <cfRule type="cellIs" dxfId="0" priority="3602" operator="equal">
      <formula>"未完成"</formula>
    </cfRule>
  </conditionalFormatting>
  <conditionalFormatting sqref="AU159:AV159">
    <cfRule type="cellIs" dxfId="1" priority="3752" operator="equal">
      <formula>"未完成"</formula>
    </cfRule>
    <cfRule type="cellIs" dxfId="0" priority="3782" operator="equal">
      <formula>"未完成"</formula>
    </cfRule>
  </conditionalFormatting>
  <conditionalFormatting sqref="R160">
    <cfRule type="cellIs" dxfId="0" priority="3481" operator="equal">
      <formula>"欠"</formula>
    </cfRule>
  </conditionalFormatting>
  <conditionalFormatting sqref="T160:U160">
    <cfRule type="cellIs" dxfId="0" priority="3271" operator="equal">
      <formula>"欠"</formula>
    </cfRule>
  </conditionalFormatting>
  <conditionalFormatting sqref="AE160">
    <cfRule type="cellIs" dxfId="0" priority="3811" operator="equal">
      <formula>"未完成"</formula>
    </cfRule>
  </conditionalFormatting>
  <conditionalFormatting sqref="AI160:AJ160">
    <cfRule type="cellIs" dxfId="1" priority="3841" operator="equal">
      <formula>"未完成"</formula>
    </cfRule>
    <cfRule type="cellIs" dxfId="0" priority="3871" operator="equal">
      <formula>"未完成"</formula>
    </cfRule>
  </conditionalFormatting>
  <conditionalFormatting sqref="AK160">
    <cfRule type="cellIs" dxfId="1" priority="3511" operator="equal">
      <formula>"未完成"</formula>
    </cfRule>
    <cfRule type="cellIs" dxfId="0" priority="3541" operator="equal">
      <formula>"未完成"</formula>
    </cfRule>
  </conditionalFormatting>
  <conditionalFormatting sqref="AL160">
    <cfRule type="cellIs" dxfId="1" priority="3631" operator="equal">
      <formula>"未完成"</formula>
    </cfRule>
    <cfRule type="cellIs" dxfId="0" priority="3661" operator="equal">
      <formula>"未完成"</formula>
    </cfRule>
  </conditionalFormatting>
  <conditionalFormatting sqref="AM160">
    <cfRule type="cellIs" dxfId="1" priority="3361" operator="equal">
      <formula>"未完成"</formula>
    </cfRule>
    <cfRule type="cellIs" dxfId="0" priority="3391" operator="equal">
      <formula>"未完成"</formula>
    </cfRule>
  </conditionalFormatting>
  <conditionalFormatting sqref="AP160">
    <cfRule type="cellIs" dxfId="1" priority="3301" operator="equal">
      <formula>"未完成"</formula>
    </cfRule>
    <cfRule type="cellIs" dxfId="0" priority="3331" operator="equal">
      <formula>"未完成"</formula>
    </cfRule>
  </conditionalFormatting>
  <conditionalFormatting sqref="AQ160">
    <cfRule type="cellIs" dxfId="1" priority="3691" operator="equal">
      <formula>"未完成"</formula>
    </cfRule>
    <cfRule type="cellIs" dxfId="0" priority="3721" operator="equal">
      <formula>"未完成"</formula>
    </cfRule>
  </conditionalFormatting>
  <conditionalFormatting sqref="AT160">
    <cfRule type="cellIs" dxfId="1" priority="3571" operator="equal">
      <formula>"未完成"</formula>
    </cfRule>
    <cfRule type="cellIs" dxfId="0" priority="3601" operator="equal">
      <formula>"未完成"</formula>
    </cfRule>
  </conditionalFormatting>
  <conditionalFormatting sqref="AU160:AV160">
    <cfRule type="cellIs" dxfId="1" priority="3751" operator="equal">
      <formula>"未完成"</formula>
    </cfRule>
    <cfRule type="cellIs" dxfId="0" priority="3781" operator="equal">
      <formula>"未完成"</formula>
    </cfRule>
  </conditionalFormatting>
  <conditionalFormatting sqref="R161">
    <cfRule type="cellIs" dxfId="0" priority="3480" operator="equal">
      <formula>"欠"</formula>
    </cfRule>
  </conditionalFormatting>
  <conditionalFormatting sqref="T161:U161">
    <cfRule type="cellIs" dxfId="0" priority="3270" operator="equal">
      <formula>"欠"</formula>
    </cfRule>
  </conditionalFormatting>
  <conditionalFormatting sqref="AE161">
    <cfRule type="cellIs" dxfId="0" priority="3810" operator="equal">
      <formula>"未完成"</formula>
    </cfRule>
  </conditionalFormatting>
  <conditionalFormatting sqref="AI161:AJ161">
    <cfRule type="cellIs" dxfId="1" priority="3840" operator="equal">
      <formula>"未完成"</formula>
    </cfRule>
    <cfRule type="cellIs" dxfId="0" priority="3870" operator="equal">
      <formula>"未完成"</formula>
    </cfRule>
  </conditionalFormatting>
  <conditionalFormatting sqref="AK161">
    <cfRule type="cellIs" dxfId="1" priority="3510" operator="equal">
      <formula>"未完成"</formula>
    </cfRule>
    <cfRule type="cellIs" dxfId="0" priority="3540" operator="equal">
      <formula>"未完成"</formula>
    </cfRule>
  </conditionalFormatting>
  <conditionalFormatting sqref="AL161">
    <cfRule type="cellIs" dxfId="1" priority="3630" operator="equal">
      <formula>"未完成"</formula>
    </cfRule>
    <cfRule type="cellIs" dxfId="0" priority="3660" operator="equal">
      <formula>"未完成"</formula>
    </cfRule>
  </conditionalFormatting>
  <conditionalFormatting sqref="AM161">
    <cfRule type="cellIs" dxfId="1" priority="3360" operator="equal">
      <formula>"未完成"</formula>
    </cfRule>
    <cfRule type="cellIs" dxfId="0" priority="3390" operator="equal">
      <formula>"未完成"</formula>
    </cfRule>
  </conditionalFormatting>
  <conditionalFormatting sqref="AP161">
    <cfRule type="cellIs" dxfId="1" priority="3300" operator="equal">
      <formula>"未完成"</formula>
    </cfRule>
    <cfRule type="cellIs" dxfId="0" priority="3330" operator="equal">
      <formula>"未完成"</formula>
    </cfRule>
  </conditionalFormatting>
  <conditionalFormatting sqref="AQ161">
    <cfRule type="cellIs" dxfId="1" priority="3690" operator="equal">
      <formula>"未完成"</formula>
    </cfRule>
    <cfRule type="cellIs" dxfId="0" priority="3720" operator="equal">
      <formula>"未完成"</formula>
    </cfRule>
  </conditionalFormatting>
  <conditionalFormatting sqref="AT161">
    <cfRule type="cellIs" dxfId="1" priority="3570" operator="equal">
      <formula>"未完成"</formula>
    </cfRule>
    <cfRule type="cellIs" dxfId="0" priority="3600" operator="equal">
      <formula>"未完成"</formula>
    </cfRule>
  </conditionalFormatting>
  <conditionalFormatting sqref="AU161:AV161">
    <cfRule type="cellIs" dxfId="1" priority="3750" operator="equal">
      <formula>"未完成"</formula>
    </cfRule>
    <cfRule type="cellIs" dxfId="0" priority="3780" operator="equal">
      <formula>"未完成"</formula>
    </cfRule>
  </conditionalFormatting>
  <conditionalFormatting sqref="R162">
    <cfRule type="cellIs" dxfId="0" priority="3479" operator="equal">
      <formula>"欠"</formula>
    </cfRule>
  </conditionalFormatting>
  <conditionalFormatting sqref="T162:U162">
    <cfRule type="cellIs" dxfId="0" priority="3269" operator="equal">
      <formula>"欠"</formula>
    </cfRule>
  </conditionalFormatting>
  <conditionalFormatting sqref="AE162">
    <cfRule type="cellIs" dxfId="0" priority="3809" operator="equal">
      <formula>"未完成"</formula>
    </cfRule>
  </conditionalFormatting>
  <conditionalFormatting sqref="AI162:AJ162">
    <cfRule type="cellIs" dxfId="1" priority="3839" operator="equal">
      <formula>"未完成"</formula>
    </cfRule>
    <cfRule type="cellIs" dxfId="0" priority="3869" operator="equal">
      <formula>"未完成"</formula>
    </cfRule>
  </conditionalFormatting>
  <conditionalFormatting sqref="AK162">
    <cfRule type="cellIs" dxfId="1" priority="3509" operator="equal">
      <formula>"未完成"</formula>
    </cfRule>
    <cfRule type="cellIs" dxfId="0" priority="3539" operator="equal">
      <formula>"未完成"</formula>
    </cfRule>
  </conditionalFormatting>
  <conditionalFormatting sqref="AL162">
    <cfRule type="cellIs" dxfId="1" priority="3629" operator="equal">
      <formula>"未完成"</formula>
    </cfRule>
    <cfRule type="cellIs" dxfId="0" priority="3659" operator="equal">
      <formula>"未完成"</formula>
    </cfRule>
  </conditionalFormatting>
  <conditionalFormatting sqref="AM162">
    <cfRule type="cellIs" dxfId="1" priority="3359" operator="equal">
      <formula>"未完成"</formula>
    </cfRule>
    <cfRule type="cellIs" dxfId="0" priority="3389" operator="equal">
      <formula>"未完成"</formula>
    </cfRule>
  </conditionalFormatting>
  <conditionalFormatting sqref="AP162">
    <cfRule type="cellIs" dxfId="1" priority="3299" operator="equal">
      <formula>"未完成"</formula>
    </cfRule>
    <cfRule type="cellIs" dxfId="0" priority="3329" operator="equal">
      <formula>"未完成"</formula>
    </cfRule>
  </conditionalFormatting>
  <conditionalFormatting sqref="AQ162">
    <cfRule type="cellIs" dxfId="1" priority="3689" operator="equal">
      <formula>"未完成"</formula>
    </cfRule>
    <cfRule type="cellIs" dxfId="0" priority="3719" operator="equal">
      <formula>"未完成"</formula>
    </cfRule>
  </conditionalFormatting>
  <conditionalFormatting sqref="AT162">
    <cfRule type="cellIs" dxfId="1" priority="3569" operator="equal">
      <formula>"未完成"</formula>
    </cfRule>
    <cfRule type="cellIs" dxfId="0" priority="3599" operator="equal">
      <formula>"未完成"</formula>
    </cfRule>
  </conditionalFormatting>
  <conditionalFormatting sqref="AU162:AV162">
    <cfRule type="cellIs" dxfId="1" priority="3749" operator="equal">
      <formula>"未完成"</formula>
    </cfRule>
    <cfRule type="cellIs" dxfId="0" priority="3779" operator="equal">
      <formula>"未完成"</formula>
    </cfRule>
  </conditionalFormatting>
  <conditionalFormatting sqref="R163">
    <cfRule type="cellIs" dxfId="0" priority="3478" operator="equal">
      <formula>"欠"</formula>
    </cfRule>
  </conditionalFormatting>
  <conditionalFormatting sqref="T163:U163">
    <cfRule type="cellIs" dxfId="0" priority="3268" operator="equal">
      <formula>"欠"</formula>
    </cfRule>
  </conditionalFormatting>
  <conditionalFormatting sqref="AE163">
    <cfRule type="cellIs" dxfId="0" priority="3808" operator="equal">
      <formula>"未完成"</formula>
    </cfRule>
  </conditionalFormatting>
  <conditionalFormatting sqref="AI163:AJ163">
    <cfRule type="cellIs" dxfId="1" priority="3838" operator="equal">
      <formula>"未完成"</formula>
    </cfRule>
    <cfRule type="cellIs" dxfId="0" priority="3868" operator="equal">
      <formula>"未完成"</formula>
    </cfRule>
  </conditionalFormatting>
  <conditionalFormatting sqref="AK163">
    <cfRule type="cellIs" dxfId="1" priority="3508" operator="equal">
      <formula>"未完成"</formula>
    </cfRule>
    <cfRule type="cellIs" dxfId="0" priority="3538" operator="equal">
      <formula>"未完成"</formula>
    </cfRule>
  </conditionalFormatting>
  <conditionalFormatting sqref="AL163">
    <cfRule type="cellIs" dxfId="1" priority="3628" operator="equal">
      <formula>"未完成"</formula>
    </cfRule>
    <cfRule type="cellIs" dxfId="0" priority="3658" operator="equal">
      <formula>"未完成"</formula>
    </cfRule>
  </conditionalFormatting>
  <conditionalFormatting sqref="AM163">
    <cfRule type="cellIs" dxfId="1" priority="3358" operator="equal">
      <formula>"未完成"</formula>
    </cfRule>
    <cfRule type="cellIs" dxfId="0" priority="3388" operator="equal">
      <formula>"未完成"</formula>
    </cfRule>
  </conditionalFormatting>
  <conditionalFormatting sqref="AP163">
    <cfRule type="cellIs" dxfId="1" priority="3298" operator="equal">
      <formula>"未完成"</formula>
    </cfRule>
    <cfRule type="cellIs" dxfId="0" priority="3328" operator="equal">
      <formula>"未完成"</formula>
    </cfRule>
  </conditionalFormatting>
  <conditionalFormatting sqref="AQ163">
    <cfRule type="cellIs" dxfId="1" priority="3688" operator="equal">
      <formula>"未完成"</formula>
    </cfRule>
    <cfRule type="cellIs" dxfId="0" priority="3718" operator="equal">
      <formula>"未完成"</formula>
    </cfRule>
  </conditionalFormatting>
  <conditionalFormatting sqref="AT163">
    <cfRule type="cellIs" dxfId="1" priority="3568" operator="equal">
      <formula>"未完成"</formula>
    </cfRule>
    <cfRule type="cellIs" dxfId="0" priority="3598" operator="equal">
      <formula>"未完成"</formula>
    </cfRule>
  </conditionalFormatting>
  <conditionalFormatting sqref="AU163:AV163">
    <cfRule type="cellIs" dxfId="1" priority="3748" operator="equal">
      <formula>"未完成"</formula>
    </cfRule>
    <cfRule type="cellIs" dxfId="0" priority="3778" operator="equal">
      <formula>"未完成"</formula>
    </cfRule>
  </conditionalFormatting>
  <conditionalFormatting sqref="R164">
    <cfRule type="cellIs" dxfId="0" priority="3477" operator="equal">
      <formula>"欠"</formula>
    </cfRule>
  </conditionalFormatting>
  <conditionalFormatting sqref="T164:U164">
    <cfRule type="cellIs" dxfId="0" priority="3267" operator="equal">
      <formula>"欠"</formula>
    </cfRule>
  </conditionalFormatting>
  <conditionalFormatting sqref="AE164">
    <cfRule type="cellIs" dxfId="0" priority="3807" operator="equal">
      <formula>"未完成"</formula>
    </cfRule>
  </conditionalFormatting>
  <conditionalFormatting sqref="AI164:AJ164">
    <cfRule type="cellIs" dxfId="1" priority="3837" operator="equal">
      <formula>"未完成"</formula>
    </cfRule>
    <cfRule type="cellIs" dxfId="0" priority="3867" operator="equal">
      <formula>"未完成"</formula>
    </cfRule>
  </conditionalFormatting>
  <conditionalFormatting sqref="AK164">
    <cfRule type="cellIs" dxfId="1" priority="3507" operator="equal">
      <formula>"未完成"</formula>
    </cfRule>
    <cfRule type="cellIs" dxfId="0" priority="3537" operator="equal">
      <formula>"未完成"</formula>
    </cfRule>
  </conditionalFormatting>
  <conditionalFormatting sqref="AL164">
    <cfRule type="cellIs" dxfId="1" priority="3627" operator="equal">
      <formula>"未完成"</formula>
    </cfRule>
    <cfRule type="cellIs" dxfId="0" priority="3657" operator="equal">
      <formula>"未完成"</formula>
    </cfRule>
  </conditionalFormatting>
  <conditionalFormatting sqref="AM164">
    <cfRule type="cellIs" dxfId="1" priority="3357" operator="equal">
      <formula>"未完成"</formula>
    </cfRule>
    <cfRule type="cellIs" dxfId="0" priority="3387" operator="equal">
      <formula>"未完成"</formula>
    </cfRule>
  </conditionalFormatting>
  <conditionalFormatting sqref="AP164">
    <cfRule type="cellIs" dxfId="1" priority="3297" operator="equal">
      <formula>"未完成"</formula>
    </cfRule>
    <cfRule type="cellIs" dxfId="0" priority="3327" operator="equal">
      <formula>"未完成"</formula>
    </cfRule>
  </conditionalFormatting>
  <conditionalFormatting sqref="AQ164">
    <cfRule type="cellIs" dxfId="1" priority="3687" operator="equal">
      <formula>"未完成"</formula>
    </cfRule>
    <cfRule type="cellIs" dxfId="0" priority="3717" operator="equal">
      <formula>"未完成"</formula>
    </cfRule>
  </conditionalFormatting>
  <conditionalFormatting sqref="AT164">
    <cfRule type="cellIs" dxfId="1" priority="3567" operator="equal">
      <formula>"未完成"</formula>
    </cfRule>
    <cfRule type="cellIs" dxfId="0" priority="3597" operator="equal">
      <formula>"未完成"</formula>
    </cfRule>
  </conditionalFormatting>
  <conditionalFormatting sqref="AU164:AV164">
    <cfRule type="cellIs" dxfId="1" priority="3747" operator="equal">
      <formula>"未完成"</formula>
    </cfRule>
    <cfRule type="cellIs" dxfId="0" priority="3777" operator="equal">
      <formula>"未完成"</formula>
    </cfRule>
  </conditionalFormatting>
  <conditionalFormatting sqref="R165">
    <cfRule type="cellIs" dxfId="0" priority="3476" operator="equal">
      <formula>"欠"</formula>
    </cfRule>
  </conditionalFormatting>
  <conditionalFormatting sqref="T165:U165">
    <cfRule type="cellIs" dxfId="0" priority="3266" operator="equal">
      <formula>"欠"</formula>
    </cfRule>
  </conditionalFormatting>
  <conditionalFormatting sqref="AE165">
    <cfRule type="cellIs" dxfId="0" priority="3806" operator="equal">
      <formula>"未完成"</formula>
    </cfRule>
  </conditionalFormatting>
  <conditionalFormatting sqref="AI165:AJ165">
    <cfRule type="cellIs" dxfId="1" priority="3836" operator="equal">
      <formula>"未完成"</formula>
    </cfRule>
    <cfRule type="cellIs" dxfId="0" priority="3866" operator="equal">
      <formula>"未完成"</formula>
    </cfRule>
  </conditionalFormatting>
  <conditionalFormatting sqref="AK165">
    <cfRule type="cellIs" dxfId="1" priority="3506" operator="equal">
      <formula>"未完成"</formula>
    </cfRule>
    <cfRule type="cellIs" dxfId="0" priority="3536" operator="equal">
      <formula>"未完成"</formula>
    </cfRule>
  </conditionalFormatting>
  <conditionalFormatting sqref="AL165">
    <cfRule type="cellIs" dxfId="1" priority="3626" operator="equal">
      <formula>"未完成"</formula>
    </cfRule>
    <cfRule type="cellIs" dxfId="0" priority="3656" operator="equal">
      <formula>"未完成"</formula>
    </cfRule>
  </conditionalFormatting>
  <conditionalFormatting sqref="AM165">
    <cfRule type="cellIs" dxfId="1" priority="3356" operator="equal">
      <formula>"未完成"</formula>
    </cfRule>
    <cfRule type="cellIs" dxfId="0" priority="3386" operator="equal">
      <formula>"未完成"</formula>
    </cfRule>
  </conditionalFormatting>
  <conditionalFormatting sqref="AP165">
    <cfRule type="cellIs" dxfId="1" priority="3296" operator="equal">
      <formula>"未完成"</formula>
    </cfRule>
    <cfRule type="cellIs" dxfId="0" priority="3326" operator="equal">
      <formula>"未完成"</formula>
    </cfRule>
  </conditionalFormatting>
  <conditionalFormatting sqref="AQ165">
    <cfRule type="cellIs" dxfId="1" priority="3686" operator="equal">
      <formula>"未完成"</formula>
    </cfRule>
    <cfRule type="cellIs" dxfId="0" priority="3716" operator="equal">
      <formula>"未完成"</formula>
    </cfRule>
  </conditionalFormatting>
  <conditionalFormatting sqref="AT165">
    <cfRule type="cellIs" dxfId="1" priority="3566" operator="equal">
      <formula>"未完成"</formula>
    </cfRule>
    <cfRule type="cellIs" dxfId="0" priority="3596" operator="equal">
      <formula>"未完成"</formula>
    </cfRule>
  </conditionalFormatting>
  <conditionalFormatting sqref="AU165:AV165">
    <cfRule type="cellIs" dxfId="1" priority="3746" operator="equal">
      <formula>"未完成"</formula>
    </cfRule>
    <cfRule type="cellIs" dxfId="0" priority="3776" operator="equal">
      <formula>"未完成"</formula>
    </cfRule>
  </conditionalFormatting>
  <conditionalFormatting sqref="R166">
    <cfRule type="cellIs" dxfId="0" priority="3475" operator="equal">
      <formula>"欠"</formula>
    </cfRule>
  </conditionalFormatting>
  <conditionalFormatting sqref="T166:U166">
    <cfRule type="cellIs" dxfId="0" priority="3265" operator="equal">
      <formula>"欠"</formula>
    </cfRule>
  </conditionalFormatting>
  <conditionalFormatting sqref="AE166">
    <cfRule type="cellIs" dxfId="0" priority="3805" operator="equal">
      <formula>"未完成"</formula>
    </cfRule>
  </conditionalFormatting>
  <conditionalFormatting sqref="AI166:AJ166">
    <cfRule type="cellIs" dxfId="1" priority="3835" operator="equal">
      <formula>"未完成"</formula>
    </cfRule>
    <cfRule type="cellIs" dxfId="0" priority="3865" operator="equal">
      <formula>"未完成"</formula>
    </cfRule>
  </conditionalFormatting>
  <conditionalFormatting sqref="AK166">
    <cfRule type="cellIs" dxfId="1" priority="3505" operator="equal">
      <formula>"未完成"</formula>
    </cfRule>
    <cfRule type="cellIs" dxfId="0" priority="3535" operator="equal">
      <formula>"未完成"</formula>
    </cfRule>
  </conditionalFormatting>
  <conditionalFormatting sqref="AL166">
    <cfRule type="cellIs" dxfId="1" priority="3625" operator="equal">
      <formula>"未完成"</formula>
    </cfRule>
    <cfRule type="cellIs" dxfId="0" priority="3655" operator="equal">
      <formula>"未完成"</formula>
    </cfRule>
  </conditionalFormatting>
  <conditionalFormatting sqref="AM166">
    <cfRule type="cellIs" dxfId="1" priority="3355" operator="equal">
      <formula>"未完成"</formula>
    </cfRule>
    <cfRule type="cellIs" dxfId="0" priority="3385" operator="equal">
      <formula>"未完成"</formula>
    </cfRule>
  </conditionalFormatting>
  <conditionalFormatting sqref="AP166">
    <cfRule type="cellIs" dxfId="1" priority="3295" operator="equal">
      <formula>"未完成"</formula>
    </cfRule>
    <cfRule type="cellIs" dxfId="0" priority="3325" operator="equal">
      <formula>"未完成"</formula>
    </cfRule>
  </conditionalFormatting>
  <conditionalFormatting sqref="AQ166">
    <cfRule type="cellIs" dxfId="1" priority="3685" operator="equal">
      <formula>"未完成"</formula>
    </cfRule>
    <cfRule type="cellIs" dxfId="0" priority="3715" operator="equal">
      <formula>"未完成"</formula>
    </cfRule>
  </conditionalFormatting>
  <conditionalFormatting sqref="AT166">
    <cfRule type="cellIs" dxfId="1" priority="3565" operator="equal">
      <formula>"未完成"</formula>
    </cfRule>
    <cfRule type="cellIs" dxfId="0" priority="3595" operator="equal">
      <formula>"未完成"</formula>
    </cfRule>
  </conditionalFormatting>
  <conditionalFormatting sqref="AU166:AV166">
    <cfRule type="cellIs" dxfId="1" priority="3745" operator="equal">
      <formula>"未完成"</formula>
    </cfRule>
    <cfRule type="cellIs" dxfId="0" priority="3775" operator="equal">
      <formula>"未完成"</formula>
    </cfRule>
  </conditionalFormatting>
  <conditionalFormatting sqref="R167">
    <cfRule type="cellIs" dxfId="0" priority="3474" operator="equal">
      <formula>"欠"</formula>
    </cfRule>
  </conditionalFormatting>
  <conditionalFormatting sqref="T167:U167">
    <cfRule type="cellIs" dxfId="0" priority="3264" operator="equal">
      <formula>"欠"</formula>
    </cfRule>
  </conditionalFormatting>
  <conditionalFormatting sqref="AE167">
    <cfRule type="cellIs" dxfId="0" priority="3804" operator="equal">
      <formula>"未完成"</formula>
    </cfRule>
  </conditionalFormatting>
  <conditionalFormatting sqref="AI167:AJ167">
    <cfRule type="cellIs" dxfId="1" priority="3834" operator="equal">
      <formula>"未完成"</formula>
    </cfRule>
    <cfRule type="cellIs" dxfId="0" priority="3864" operator="equal">
      <formula>"未完成"</formula>
    </cfRule>
  </conditionalFormatting>
  <conditionalFormatting sqref="AK167">
    <cfRule type="cellIs" dxfId="1" priority="3504" operator="equal">
      <formula>"未完成"</formula>
    </cfRule>
    <cfRule type="cellIs" dxfId="0" priority="3534" operator="equal">
      <formula>"未完成"</formula>
    </cfRule>
  </conditionalFormatting>
  <conditionalFormatting sqref="AL167">
    <cfRule type="cellIs" dxfId="1" priority="3624" operator="equal">
      <formula>"未完成"</formula>
    </cfRule>
    <cfRule type="cellIs" dxfId="0" priority="3654" operator="equal">
      <formula>"未完成"</formula>
    </cfRule>
  </conditionalFormatting>
  <conditionalFormatting sqref="AM167">
    <cfRule type="cellIs" dxfId="1" priority="3354" operator="equal">
      <formula>"未完成"</formula>
    </cfRule>
    <cfRule type="cellIs" dxfId="0" priority="3384" operator="equal">
      <formula>"未完成"</formula>
    </cfRule>
  </conditionalFormatting>
  <conditionalFormatting sqref="AP167">
    <cfRule type="cellIs" dxfId="1" priority="3294" operator="equal">
      <formula>"未完成"</formula>
    </cfRule>
    <cfRule type="cellIs" dxfId="0" priority="3324" operator="equal">
      <formula>"未完成"</formula>
    </cfRule>
  </conditionalFormatting>
  <conditionalFormatting sqref="AQ167">
    <cfRule type="cellIs" dxfId="1" priority="3684" operator="equal">
      <formula>"未完成"</formula>
    </cfRule>
    <cfRule type="cellIs" dxfId="0" priority="3714" operator="equal">
      <formula>"未完成"</formula>
    </cfRule>
  </conditionalFormatting>
  <conditionalFormatting sqref="AT167">
    <cfRule type="cellIs" dxfId="1" priority="3564" operator="equal">
      <formula>"未完成"</formula>
    </cfRule>
    <cfRule type="cellIs" dxfId="0" priority="3594" operator="equal">
      <formula>"未完成"</formula>
    </cfRule>
  </conditionalFormatting>
  <conditionalFormatting sqref="AU167:AV167">
    <cfRule type="cellIs" dxfId="1" priority="3744" operator="equal">
      <formula>"未完成"</formula>
    </cfRule>
    <cfRule type="cellIs" dxfId="0" priority="3774" operator="equal">
      <formula>"未完成"</formula>
    </cfRule>
  </conditionalFormatting>
  <conditionalFormatting sqref="R168">
    <cfRule type="cellIs" dxfId="0" priority="3473" operator="equal">
      <formula>"欠"</formula>
    </cfRule>
  </conditionalFormatting>
  <conditionalFormatting sqref="T168:U168">
    <cfRule type="cellIs" dxfId="0" priority="3263" operator="equal">
      <formula>"欠"</formula>
    </cfRule>
  </conditionalFormatting>
  <conditionalFormatting sqref="AE168">
    <cfRule type="cellIs" dxfId="0" priority="3803" operator="equal">
      <formula>"未完成"</formula>
    </cfRule>
  </conditionalFormatting>
  <conditionalFormatting sqref="AI168:AJ168">
    <cfRule type="cellIs" dxfId="1" priority="3833" operator="equal">
      <formula>"未完成"</formula>
    </cfRule>
    <cfRule type="cellIs" dxfId="0" priority="3863" operator="equal">
      <formula>"未完成"</formula>
    </cfRule>
  </conditionalFormatting>
  <conditionalFormatting sqref="AK168">
    <cfRule type="cellIs" dxfId="1" priority="3503" operator="equal">
      <formula>"未完成"</formula>
    </cfRule>
    <cfRule type="cellIs" dxfId="0" priority="3533" operator="equal">
      <formula>"未完成"</formula>
    </cfRule>
  </conditionalFormatting>
  <conditionalFormatting sqref="AL168">
    <cfRule type="cellIs" dxfId="1" priority="3623" operator="equal">
      <formula>"未完成"</formula>
    </cfRule>
    <cfRule type="cellIs" dxfId="0" priority="3653" operator="equal">
      <formula>"未完成"</formula>
    </cfRule>
  </conditionalFormatting>
  <conditionalFormatting sqref="AM168">
    <cfRule type="cellIs" dxfId="1" priority="3353" operator="equal">
      <formula>"未完成"</formula>
    </cfRule>
    <cfRule type="cellIs" dxfId="0" priority="3383" operator="equal">
      <formula>"未完成"</formula>
    </cfRule>
  </conditionalFormatting>
  <conditionalFormatting sqref="AP168">
    <cfRule type="cellIs" dxfId="1" priority="3293" operator="equal">
      <formula>"未完成"</formula>
    </cfRule>
    <cfRule type="cellIs" dxfId="0" priority="3323" operator="equal">
      <formula>"未完成"</formula>
    </cfRule>
  </conditionalFormatting>
  <conditionalFormatting sqref="AQ168">
    <cfRule type="cellIs" dxfId="1" priority="3683" operator="equal">
      <formula>"未完成"</formula>
    </cfRule>
    <cfRule type="cellIs" dxfId="0" priority="3713" operator="equal">
      <formula>"未完成"</formula>
    </cfRule>
  </conditionalFormatting>
  <conditionalFormatting sqref="AT168">
    <cfRule type="cellIs" dxfId="1" priority="3563" operator="equal">
      <formula>"未完成"</formula>
    </cfRule>
    <cfRule type="cellIs" dxfId="0" priority="3593" operator="equal">
      <formula>"未完成"</formula>
    </cfRule>
  </conditionalFormatting>
  <conditionalFormatting sqref="AU168:AV168">
    <cfRule type="cellIs" dxfId="1" priority="3743" operator="equal">
      <formula>"未完成"</formula>
    </cfRule>
    <cfRule type="cellIs" dxfId="0" priority="3773" operator="equal">
      <formula>"未完成"</formula>
    </cfRule>
  </conditionalFormatting>
  <conditionalFormatting sqref="R169">
    <cfRule type="cellIs" dxfId="0" priority="3472" operator="equal">
      <formula>"欠"</formula>
    </cfRule>
  </conditionalFormatting>
  <conditionalFormatting sqref="T169:U169">
    <cfRule type="cellIs" dxfId="0" priority="3262" operator="equal">
      <formula>"欠"</formula>
    </cfRule>
  </conditionalFormatting>
  <conditionalFormatting sqref="AE169">
    <cfRule type="cellIs" dxfId="0" priority="3802" operator="equal">
      <formula>"未完成"</formula>
    </cfRule>
  </conditionalFormatting>
  <conditionalFormatting sqref="AI169:AJ169">
    <cfRule type="cellIs" dxfId="1" priority="3832" operator="equal">
      <formula>"未完成"</formula>
    </cfRule>
    <cfRule type="cellIs" dxfId="0" priority="3862" operator="equal">
      <formula>"未完成"</formula>
    </cfRule>
  </conditionalFormatting>
  <conditionalFormatting sqref="AK169">
    <cfRule type="cellIs" dxfId="1" priority="3502" operator="equal">
      <formula>"未完成"</formula>
    </cfRule>
    <cfRule type="cellIs" dxfId="0" priority="3532" operator="equal">
      <formula>"未完成"</formula>
    </cfRule>
  </conditionalFormatting>
  <conditionalFormatting sqref="AL169">
    <cfRule type="cellIs" dxfId="1" priority="3622" operator="equal">
      <formula>"未完成"</formula>
    </cfRule>
    <cfRule type="cellIs" dxfId="0" priority="3652" operator="equal">
      <formula>"未完成"</formula>
    </cfRule>
  </conditionalFormatting>
  <conditionalFormatting sqref="AM169">
    <cfRule type="cellIs" dxfId="1" priority="3352" operator="equal">
      <formula>"未完成"</formula>
    </cfRule>
    <cfRule type="cellIs" dxfId="0" priority="3382" operator="equal">
      <formula>"未完成"</formula>
    </cfRule>
  </conditionalFormatting>
  <conditionalFormatting sqref="AP169">
    <cfRule type="cellIs" dxfId="1" priority="3292" operator="equal">
      <formula>"未完成"</formula>
    </cfRule>
    <cfRule type="cellIs" dxfId="0" priority="3322" operator="equal">
      <formula>"未完成"</formula>
    </cfRule>
  </conditionalFormatting>
  <conditionalFormatting sqref="AQ169">
    <cfRule type="cellIs" dxfId="1" priority="3682" operator="equal">
      <formula>"未完成"</formula>
    </cfRule>
    <cfRule type="cellIs" dxfId="0" priority="3712" operator="equal">
      <formula>"未完成"</formula>
    </cfRule>
  </conditionalFormatting>
  <conditionalFormatting sqref="AT169">
    <cfRule type="cellIs" dxfId="1" priority="3562" operator="equal">
      <formula>"未完成"</formula>
    </cfRule>
    <cfRule type="cellIs" dxfId="0" priority="3592" operator="equal">
      <formula>"未完成"</formula>
    </cfRule>
  </conditionalFormatting>
  <conditionalFormatting sqref="AU169:AV169">
    <cfRule type="cellIs" dxfId="1" priority="3742" operator="equal">
      <formula>"未完成"</formula>
    </cfRule>
    <cfRule type="cellIs" dxfId="0" priority="3772" operator="equal">
      <formula>"未完成"</formula>
    </cfRule>
  </conditionalFormatting>
  <conditionalFormatting sqref="R170">
    <cfRule type="cellIs" dxfId="0" priority="3471" operator="equal">
      <formula>"欠"</formula>
    </cfRule>
  </conditionalFormatting>
  <conditionalFormatting sqref="T170:U170">
    <cfRule type="cellIs" dxfId="0" priority="3261" operator="equal">
      <formula>"欠"</formula>
    </cfRule>
  </conditionalFormatting>
  <conditionalFormatting sqref="AE170">
    <cfRule type="cellIs" dxfId="0" priority="3801" operator="equal">
      <formula>"未完成"</formula>
    </cfRule>
  </conditionalFormatting>
  <conditionalFormatting sqref="AI170:AJ170">
    <cfRule type="cellIs" dxfId="1" priority="3831" operator="equal">
      <formula>"未完成"</formula>
    </cfRule>
    <cfRule type="cellIs" dxfId="0" priority="3861" operator="equal">
      <formula>"未完成"</formula>
    </cfRule>
  </conditionalFormatting>
  <conditionalFormatting sqref="AK170">
    <cfRule type="cellIs" dxfId="1" priority="3501" operator="equal">
      <formula>"未完成"</formula>
    </cfRule>
    <cfRule type="cellIs" dxfId="0" priority="3531" operator="equal">
      <formula>"未完成"</formula>
    </cfRule>
  </conditionalFormatting>
  <conditionalFormatting sqref="AL170">
    <cfRule type="cellIs" dxfId="1" priority="3621" operator="equal">
      <formula>"未完成"</formula>
    </cfRule>
    <cfRule type="cellIs" dxfId="0" priority="3651" operator="equal">
      <formula>"未完成"</formula>
    </cfRule>
  </conditionalFormatting>
  <conditionalFormatting sqref="AM170">
    <cfRule type="cellIs" dxfId="1" priority="3351" operator="equal">
      <formula>"未完成"</formula>
    </cfRule>
    <cfRule type="cellIs" dxfId="0" priority="3381" operator="equal">
      <formula>"未完成"</formula>
    </cfRule>
  </conditionalFormatting>
  <conditionalFormatting sqref="AP170">
    <cfRule type="cellIs" dxfId="1" priority="3291" operator="equal">
      <formula>"未完成"</formula>
    </cfRule>
    <cfRule type="cellIs" dxfId="0" priority="3321" operator="equal">
      <formula>"未完成"</formula>
    </cfRule>
  </conditionalFormatting>
  <conditionalFormatting sqref="AQ170">
    <cfRule type="cellIs" dxfId="1" priority="3681" operator="equal">
      <formula>"未完成"</formula>
    </cfRule>
    <cfRule type="cellIs" dxfId="0" priority="3711" operator="equal">
      <formula>"未完成"</formula>
    </cfRule>
  </conditionalFormatting>
  <conditionalFormatting sqref="AS170">
    <cfRule type="cellIs" dxfId="1" priority="3411" operator="equal">
      <formula>"未完成"</formula>
    </cfRule>
    <cfRule type="cellIs" dxfId="0" priority="3441" operator="equal">
      <formula>"未完成"</formula>
    </cfRule>
  </conditionalFormatting>
  <conditionalFormatting sqref="AT170">
    <cfRule type="cellIs" dxfId="1" priority="3561" operator="equal">
      <formula>"未完成"</formula>
    </cfRule>
    <cfRule type="cellIs" dxfId="0" priority="3591" operator="equal">
      <formula>"未完成"</formula>
    </cfRule>
  </conditionalFormatting>
  <conditionalFormatting sqref="AU170:AV170">
    <cfRule type="cellIs" dxfId="1" priority="3741" operator="equal">
      <formula>"未完成"</formula>
    </cfRule>
    <cfRule type="cellIs" dxfId="0" priority="3771" operator="equal">
      <formula>"未完成"</formula>
    </cfRule>
  </conditionalFormatting>
  <conditionalFormatting sqref="R171">
    <cfRule type="cellIs" dxfId="0" priority="3470" operator="equal">
      <formula>"欠"</formula>
    </cfRule>
  </conditionalFormatting>
  <conditionalFormatting sqref="T171:U171">
    <cfRule type="cellIs" dxfId="0" priority="3260" operator="equal">
      <formula>"欠"</formula>
    </cfRule>
  </conditionalFormatting>
  <conditionalFormatting sqref="AE171">
    <cfRule type="cellIs" dxfId="0" priority="3800" operator="equal">
      <formula>"未完成"</formula>
    </cfRule>
  </conditionalFormatting>
  <conditionalFormatting sqref="AI171:AJ171">
    <cfRule type="cellIs" dxfId="1" priority="3830" operator="equal">
      <formula>"未完成"</formula>
    </cfRule>
    <cfRule type="cellIs" dxfId="0" priority="3860" operator="equal">
      <formula>"未完成"</formula>
    </cfRule>
  </conditionalFormatting>
  <conditionalFormatting sqref="AK171">
    <cfRule type="cellIs" dxfId="1" priority="3500" operator="equal">
      <formula>"未完成"</formula>
    </cfRule>
    <cfRule type="cellIs" dxfId="0" priority="3530" operator="equal">
      <formula>"未完成"</formula>
    </cfRule>
  </conditionalFormatting>
  <conditionalFormatting sqref="AL171">
    <cfRule type="cellIs" dxfId="1" priority="3620" operator="equal">
      <formula>"未完成"</formula>
    </cfRule>
    <cfRule type="cellIs" dxfId="0" priority="3650" operator="equal">
      <formula>"未完成"</formula>
    </cfRule>
  </conditionalFormatting>
  <conditionalFormatting sqref="AM171">
    <cfRule type="cellIs" dxfId="1" priority="3350" operator="equal">
      <formula>"未完成"</formula>
    </cfRule>
    <cfRule type="cellIs" dxfId="0" priority="3380" operator="equal">
      <formula>"未完成"</formula>
    </cfRule>
  </conditionalFormatting>
  <conditionalFormatting sqref="AP171">
    <cfRule type="cellIs" dxfId="1" priority="3290" operator="equal">
      <formula>"未完成"</formula>
    </cfRule>
    <cfRule type="cellIs" dxfId="0" priority="3320" operator="equal">
      <formula>"未完成"</formula>
    </cfRule>
  </conditionalFormatting>
  <conditionalFormatting sqref="AQ171">
    <cfRule type="cellIs" dxfId="1" priority="3680" operator="equal">
      <formula>"未完成"</formula>
    </cfRule>
    <cfRule type="cellIs" dxfId="0" priority="3710" operator="equal">
      <formula>"未完成"</formula>
    </cfRule>
  </conditionalFormatting>
  <conditionalFormatting sqref="AS171">
    <cfRule type="cellIs" dxfId="1" priority="3410" operator="equal">
      <formula>"未完成"</formula>
    </cfRule>
    <cfRule type="cellIs" dxfId="0" priority="3440" operator="equal">
      <formula>"未完成"</formula>
    </cfRule>
  </conditionalFormatting>
  <conditionalFormatting sqref="AT171">
    <cfRule type="cellIs" dxfId="1" priority="3560" operator="equal">
      <formula>"未完成"</formula>
    </cfRule>
    <cfRule type="cellIs" dxfId="0" priority="3590" operator="equal">
      <formula>"未完成"</formula>
    </cfRule>
  </conditionalFormatting>
  <conditionalFormatting sqref="AU171:AV171">
    <cfRule type="cellIs" dxfId="1" priority="3740" operator="equal">
      <formula>"未完成"</formula>
    </cfRule>
    <cfRule type="cellIs" dxfId="0" priority="3770" operator="equal">
      <formula>"未完成"</formula>
    </cfRule>
  </conditionalFormatting>
  <conditionalFormatting sqref="R172">
    <cfRule type="cellIs" dxfId="0" priority="3469" operator="equal">
      <formula>"欠"</formula>
    </cfRule>
  </conditionalFormatting>
  <conditionalFormatting sqref="T172:U172">
    <cfRule type="cellIs" dxfId="0" priority="3259" operator="equal">
      <formula>"欠"</formula>
    </cfRule>
  </conditionalFormatting>
  <conditionalFormatting sqref="AE172">
    <cfRule type="cellIs" dxfId="0" priority="3799" operator="equal">
      <formula>"未完成"</formula>
    </cfRule>
  </conditionalFormatting>
  <conditionalFormatting sqref="AI172:AJ172">
    <cfRule type="cellIs" dxfId="1" priority="3829" operator="equal">
      <formula>"未完成"</formula>
    </cfRule>
    <cfRule type="cellIs" dxfId="0" priority="3859" operator="equal">
      <formula>"未完成"</formula>
    </cfRule>
  </conditionalFormatting>
  <conditionalFormatting sqref="AK172">
    <cfRule type="cellIs" dxfId="1" priority="3499" operator="equal">
      <formula>"未完成"</formula>
    </cfRule>
    <cfRule type="cellIs" dxfId="0" priority="3529" operator="equal">
      <formula>"未完成"</formula>
    </cfRule>
  </conditionalFormatting>
  <conditionalFormatting sqref="AL172">
    <cfRule type="cellIs" dxfId="1" priority="3619" operator="equal">
      <formula>"未完成"</formula>
    </cfRule>
    <cfRule type="cellIs" dxfId="0" priority="3649" operator="equal">
      <formula>"未完成"</formula>
    </cfRule>
  </conditionalFormatting>
  <conditionalFormatting sqref="AM172">
    <cfRule type="cellIs" dxfId="1" priority="3349" operator="equal">
      <formula>"未完成"</formula>
    </cfRule>
    <cfRule type="cellIs" dxfId="0" priority="3379" operator="equal">
      <formula>"未完成"</formula>
    </cfRule>
  </conditionalFormatting>
  <conditionalFormatting sqref="AP172">
    <cfRule type="cellIs" dxfId="1" priority="3289" operator="equal">
      <formula>"未完成"</formula>
    </cfRule>
    <cfRule type="cellIs" dxfId="0" priority="3319" operator="equal">
      <formula>"未完成"</formula>
    </cfRule>
  </conditionalFormatting>
  <conditionalFormatting sqref="AQ172">
    <cfRule type="cellIs" dxfId="1" priority="3679" operator="equal">
      <formula>"未完成"</formula>
    </cfRule>
    <cfRule type="cellIs" dxfId="0" priority="3709" operator="equal">
      <formula>"未完成"</formula>
    </cfRule>
  </conditionalFormatting>
  <conditionalFormatting sqref="AS172">
    <cfRule type="cellIs" dxfId="1" priority="3409" operator="equal">
      <formula>"未完成"</formula>
    </cfRule>
    <cfRule type="cellIs" dxfId="0" priority="3439" operator="equal">
      <formula>"未完成"</formula>
    </cfRule>
  </conditionalFormatting>
  <conditionalFormatting sqref="AT172">
    <cfRule type="cellIs" dxfId="1" priority="3559" operator="equal">
      <formula>"未完成"</formula>
    </cfRule>
    <cfRule type="cellIs" dxfId="0" priority="3589" operator="equal">
      <formula>"未完成"</formula>
    </cfRule>
  </conditionalFormatting>
  <conditionalFormatting sqref="AU172:AV172">
    <cfRule type="cellIs" dxfId="1" priority="3739" operator="equal">
      <formula>"未完成"</formula>
    </cfRule>
    <cfRule type="cellIs" dxfId="0" priority="3769" operator="equal">
      <formula>"未完成"</formula>
    </cfRule>
  </conditionalFormatting>
  <conditionalFormatting sqref="R173">
    <cfRule type="cellIs" dxfId="0" priority="3468" operator="equal">
      <formula>"欠"</formula>
    </cfRule>
  </conditionalFormatting>
  <conditionalFormatting sqref="T173:U173">
    <cfRule type="cellIs" dxfId="0" priority="3258" operator="equal">
      <formula>"欠"</formula>
    </cfRule>
  </conditionalFormatting>
  <conditionalFormatting sqref="AE173">
    <cfRule type="cellIs" dxfId="0" priority="3798" operator="equal">
      <formula>"未完成"</formula>
    </cfRule>
  </conditionalFormatting>
  <conditionalFormatting sqref="AI173:AJ173">
    <cfRule type="cellIs" dxfId="1" priority="3828" operator="equal">
      <formula>"未完成"</formula>
    </cfRule>
    <cfRule type="cellIs" dxfId="0" priority="3858" operator="equal">
      <formula>"未完成"</formula>
    </cfRule>
  </conditionalFormatting>
  <conditionalFormatting sqref="AK173">
    <cfRule type="cellIs" dxfId="1" priority="3498" operator="equal">
      <formula>"未完成"</formula>
    </cfRule>
    <cfRule type="cellIs" dxfId="0" priority="3528" operator="equal">
      <formula>"未完成"</formula>
    </cfRule>
  </conditionalFormatting>
  <conditionalFormatting sqref="AL173">
    <cfRule type="cellIs" dxfId="1" priority="3618" operator="equal">
      <formula>"未完成"</formula>
    </cfRule>
    <cfRule type="cellIs" dxfId="0" priority="3648" operator="equal">
      <formula>"未完成"</formula>
    </cfRule>
  </conditionalFormatting>
  <conditionalFormatting sqref="AM173">
    <cfRule type="cellIs" dxfId="1" priority="3348" operator="equal">
      <formula>"未完成"</formula>
    </cfRule>
    <cfRule type="cellIs" dxfId="0" priority="3378" operator="equal">
      <formula>"未完成"</formula>
    </cfRule>
  </conditionalFormatting>
  <conditionalFormatting sqref="AP173">
    <cfRule type="cellIs" dxfId="1" priority="3288" operator="equal">
      <formula>"未完成"</formula>
    </cfRule>
    <cfRule type="cellIs" dxfId="0" priority="3318" operator="equal">
      <formula>"未完成"</formula>
    </cfRule>
  </conditionalFormatting>
  <conditionalFormatting sqref="AQ173">
    <cfRule type="cellIs" dxfId="1" priority="3678" operator="equal">
      <formula>"未完成"</formula>
    </cfRule>
    <cfRule type="cellIs" dxfId="0" priority="3708" operator="equal">
      <formula>"未完成"</formula>
    </cfRule>
  </conditionalFormatting>
  <conditionalFormatting sqref="AS173">
    <cfRule type="cellIs" dxfId="1" priority="3408" operator="equal">
      <formula>"未完成"</formula>
    </cfRule>
    <cfRule type="cellIs" dxfId="0" priority="3438" operator="equal">
      <formula>"未完成"</formula>
    </cfRule>
  </conditionalFormatting>
  <conditionalFormatting sqref="AT173">
    <cfRule type="cellIs" dxfId="1" priority="3558" operator="equal">
      <formula>"未完成"</formula>
    </cfRule>
    <cfRule type="cellIs" dxfId="0" priority="3588" operator="equal">
      <formula>"未完成"</formula>
    </cfRule>
  </conditionalFormatting>
  <conditionalFormatting sqref="AU173:AV173">
    <cfRule type="cellIs" dxfId="1" priority="3738" operator="equal">
      <formula>"未完成"</formula>
    </cfRule>
    <cfRule type="cellIs" dxfId="0" priority="3768" operator="equal">
      <formula>"未完成"</formula>
    </cfRule>
  </conditionalFormatting>
  <conditionalFormatting sqref="R174">
    <cfRule type="cellIs" dxfId="0" priority="3467" operator="equal">
      <formula>"欠"</formula>
    </cfRule>
  </conditionalFormatting>
  <conditionalFormatting sqref="T174:U174">
    <cfRule type="cellIs" dxfId="0" priority="3257" operator="equal">
      <formula>"欠"</formula>
    </cfRule>
  </conditionalFormatting>
  <conditionalFormatting sqref="AE174">
    <cfRule type="cellIs" dxfId="0" priority="3797" operator="equal">
      <formula>"未完成"</formula>
    </cfRule>
  </conditionalFormatting>
  <conditionalFormatting sqref="AI174:AJ174">
    <cfRule type="cellIs" dxfId="1" priority="3827" operator="equal">
      <formula>"未完成"</formula>
    </cfRule>
    <cfRule type="cellIs" dxfId="0" priority="3857" operator="equal">
      <formula>"未完成"</formula>
    </cfRule>
  </conditionalFormatting>
  <conditionalFormatting sqref="AK174">
    <cfRule type="cellIs" dxfId="1" priority="3497" operator="equal">
      <formula>"未完成"</formula>
    </cfRule>
    <cfRule type="cellIs" dxfId="0" priority="3527" operator="equal">
      <formula>"未完成"</formula>
    </cfRule>
  </conditionalFormatting>
  <conditionalFormatting sqref="AL174">
    <cfRule type="cellIs" dxfId="1" priority="3617" operator="equal">
      <formula>"未完成"</formula>
    </cfRule>
    <cfRule type="cellIs" dxfId="0" priority="3647" operator="equal">
      <formula>"未完成"</formula>
    </cfRule>
  </conditionalFormatting>
  <conditionalFormatting sqref="AM174">
    <cfRule type="cellIs" dxfId="1" priority="3347" operator="equal">
      <formula>"未完成"</formula>
    </cfRule>
    <cfRule type="cellIs" dxfId="0" priority="3377" operator="equal">
      <formula>"未完成"</formula>
    </cfRule>
  </conditionalFormatting>
  <conditionalFormatting sqref="AP174">
    <cfRule type="cellIs" dxfId="1" priority="3287" operator="equal">
      <formula>"未完成"</formula>
    </cfRule>
    <cfRule type="cellIs" dxfId="0" priority="3317" operator="equal">
      <formula>"未完成"</formula>
    </cfRule>
  </conditionalFormatting>
  <conditionalFormatting sqref="AQ174">
    <cfRule type="cellIs" dxfId="1" priority="3677" operator="equal">
      <formula>"未完成"</formula>
    </cfRule>
    <cfRule type="cellIs" dxfId="0" priority="3707" operator="equal">
      <formula>"未完成"</formula>
    </cfRule>
  </conditionalFormatting>
  <conditionalFormatting sqref="AS174">
    <cfRule type="cellIs" dxfId="1" priority="3407" operator="equal">
      <formula>"未完成"</formula>
    </cfRule>
    <cfRule type="cellIs" dxfId="0" priority="3437" operator="equal">
      <formula>"未完成"</formula>
    </cfRule>
  </conditionalFormatting>
  <conditionalFormatting sqref="AT174">
    <cfRule type="cellIs" dxfId="1" priority="3557" operator="equal">
      <formula>"未完成"</formula>
    </cfRule>
    <cfRule type="cellIs" dxfId="0" priority="3587" operator="equal">
      <formula>"未完成"</formula>
    </cfRule>
  </conditionalFormatting>
  <conditionalFormatting sqref="AU174:AV174">
    <cfRule type="cellIs" dxfId="1" priority="3737" operator="equal">
      <formula>"未完成"</formula>
    </cfRule>
    <cfRule type="cellIs" dxfId="0" priority="3767" operator="equal">
      <formula>"未完成"</formula>
    </cfRule>
  </conditionalFormatting>
  <conditionalFormatting sqref="R175">
    <cfRule type="cellIs" dxfId="0" priority="3466" operator="equal">
      <formula>"欠"</formula>
    </cfRule>
  </conditionalFormatting>
  <conditionalFormatting sqref="T175:U175">
    <cfRule type="cellIs" dxfId="0" priority="3256" operator="equal">
      <formula>"欠"</formula>
    </cfRule>
  </conditionalFormatting>
  <conditionalFormatting sqref="AE175">
    <cfRule type="cellIs" dxfId="0" priority="3796" operator="equal">
      <formula>"未完成"</formula>
    </cfRule>
  </conditionalFormatting>
  <conditionalFormatting sqref="AI175:AJ175">
    <cfRule type="cellIs" dxfId="1" priority="3826" operator="equal">
      <formula>"未完成"</formula>
    </cfRule>
    <cfRule type="cellIs" dxfId="0" priority="3856" operator="equal">
      <formula>"未完成"</formula>
    </cfRule>
  </conditionalFormatting>
  <conditionalFormatting sqref="AK175">
    <cfRule type="cellIs" dxfId="1" priority="3496" operator="equal">
      <formula>"未完成"</formula>
    </cfRule>
    <cfRule type="cellIs" dxfId="0" priority="3526" operator="equal">
      <formula>"未完成"</formula>
    </cfRule>
  </conditionalFormatting>
  <conditionalFormatting sqref="AL175">
    <cfRule type="cellIs" dxfId="1" priority="3616" operator="equal">
      <formula>"未完成"</formula>
    </cfRule>
    <cfRule type="cellIs" dxfId="0" priority="3646" operator="equal">
      <formula>"未完成"</formula>
    </cfRule>
  </conditionalFormatting>
  <conditionalFormatting sqref="AM175">
    <cfRule type="cellIs" dxfId="1" priority="3346" operator="equal">
      <formula>"未完成"</formula>
    </cfRule>
    <cfRule type="cellIs" dxfId="0" priority="3376" operator="equal">
      <formula>"未完成"</formula>
    </cfRule>
  </conditionalFormatting>
  <conditionalFormatting sqref="AP175">
    <cfRule type="cellIs" dxfId="1" priority="3286" operator="equal">
      <formula>"未完成"</formula>
    </cfRule>
    <cfRule type="cellIs" dxfId="0" priority="3316" operator="equal">
      <formula>"未完成"</formula>
    </cfRule>
  </conditionalFormatting>
  <conditionalFormatting sqref="AQ175">
    <cfRule type="cellIs" dxfId="1" priority="3676" operator="equal">
      <formula>"未完成"</formula>
    </cfRule>
    <cfRule type="cellIs" dxfId="0" priority="3706" operator="equal">
      <formula>"未完成"</formula>
    </cfRule>
  </conditionalFormatting>
  <conditionalFormatting sqref="AS175">
    <cfRule type="cellIs" dxfId="1" priority="3406" operator="equal">
      <formula>"未完成"</formula>
    </cfRule>
    <cfRule type="cellIs" dxfId="0" priority="3436" operator="equal">
      <formula>"未完成"</formula>
    </cfRule>
  </conditionalFormatting>
  <conditionalFormatting sqref="AT175">
    <cfRule type="cellIs" dxfId="1" priority="3556" operator="equal">
      <formula>"未完成"</formula>
    </cfRule>
    <cfRule type="cellIs" dxfId="0" priority="3586" operator="equal">
      <formula>"未完成"</formula>
    </cfRule>
  </conditionalFormatting>
  <conditionalFormatting sqref="AU175:AV175">
    <cfRule type="cellIs" dxfId="1" priority="3736" operator="equal">
      <formula>"未完成"</formula>
    </cfRule>
    <cfRule type="cellIs" dxfId="0" priority="3766" operator="equal">
      <formula>"未完成"</formula>
    </cfRule>
  </conditionalFormatting>
  <conditionalFormatting sqref="R176">
    <cfRule type="cellIs" dxfId="0" priority="3465" operator="equal">
      <formula>"欠"</formula>
    </cfRule>
  </conditionalFormatting>
  <conditionalFormatting sqref="T176:U176">
    <cfRule type="cellIs" dxfId="0" priority="3255" operator="equal">
      <formula>"欠"</formula>
    </cfRule>
  </conditionalFormatting>
  <conditionalFormatting sqref="AE176">
    <cfRule type="cellIs" dxfId="0" priority="3795" operator="equal">
      <formula>"未完成"</formula>
    </cfRule>
  </conditionalFormatting>
  <conditionalFormatting sqref="AI176:AJ176">
    <cfRule type="cellIs" dxfId="1" priority="3825" operator="equal">
      <formula>"未完成"</formula>
    </cfRule>
    <cfRule type="cellIs" dxfId="0" priority="3855" operator="equal">
      <formula>"未完成"</formula>
    </cfRule>
  </conditionalFormatting>
  <conditionalFormatting sqref="AK176">
    <cfRule type="cellIs" dxfId="1" priority="3495" operator="equal">
      <formula>"未完成"</formula>
    </cfRule>
    <cfRule type="cellIs" dxfId="0" priority="3525" operator="equal">
      <formula>"未完成"</formula>
    </cfRule>
  </conditionalFormatting>
  <conditionalFormatting sqref="AL176">
    <cfRule type="cellIs" dxfId="1" priority="3615" operator="equal">
      <formula>"未完成"</formula>
    </cfRule>
    <cfRule type="cellIs" dxfId="0" priority="3645" operator="equal">
      <formula>"未完成"</formula>
    </cfRule>
  </conditionalFormatting>
  <conditionalFormatting sqref="AM176">
    <cfRule type="cellIs" dxfId="1" priority="3345" operator="equal">
      <formula>"未完成"</formula>
    </cfRule>
    <cfRule type="cellIs" dxfId="0" priority="3375" operator="equal">
      <formula>"未完成"</formula>
    </cfRule>
  </conditionalFormatting>
  <conditionalFormatting sqref="AP176">
    <cfRule type="cellIs" dxfId="1" priority="3285" operator="equal">
      <formula>"未完成"</formula>
    </cfRule>
    <cfRule type="cellIs" dxfId="0" priority="3315" operator="equal">
      <formula>"未完成"</formula>
    </cfRule>
  </conditionalFormatting>
  <conditionalFormatting sqref="AQ176">
    <cfRule type="cellIs" dxfId="1" priority="3675" operator="equal">
      <formula>"未完成"</formula>
    </cfRule>
    <cfRule type="cellIs" dxfId="0" priority="3705" operator="equal">
      <formula>"未完成"</formula>
    </cfRule>
  </conditionalFormatting>
  <conditionalFormatting sqref="AS176">
    <cfRule type="cellIs" dxfId="1" priority="3405" operator="equal">
      <formula>"未完成"</formula>
    </cfRule>
    <cfRule type="cellIs" dxfId="0" priority="3435" operator="equal">
      <formula>"未完成"</formula>
    </cfRule>
  </conditionalFormatting>
  <conditionalFormatting sqref="AT176">
    <cfRule type="cellIs" dxfId="1" priority="3555" operator="equal">
      <formula>"未完成"</formula>
    </cfRule>
    <cfRule type="cellIs" dxfId="0" priority="3585" operator="equal">
      <formula>"未完成"</formula>
    </cfRule>
  </conditionalFormatting>
  <conditionalFormatting sqref="AU176:AV176">
    <cfRule type="cellIs" dxfId="1" priority="3735" operator="equal">
      <formula>"未完成"</formula>
    </cfRule>
    <cfRule type="cellIs" dxfId="0" priority="3765" operator="equal">
      <formula>"未完成"</formula>
    </cfRule>
  </conditionalFormatting>
  <conditionalFormatting sqref="R177">
    <cfRule type="cellIs" dxfId="0" priority="3464" operator="equal">
      <formula>"欠"</formula>
    </cfRule>
  </conditionalFormatting>
  <conditionalFormatting sqref="T177:U177">
    <cfRule type="cellIs" dxfId="0" priority="3254" operator="equal">
      <formula>"欠"</formula>
    </cfRule>
  </conditionalFormatting>
  <conditionalFormatting sqref="AE177">
    <cfRule type="cellIs" dxfId="0" priority="3794" operator="equal">
      <formula>"未完成"</formula>
    </cfRule>
  </conditionalFormatting>
  <conditionalFormatting sqref="AI177:AJ177">
    <cfRule type="cellIs" dxfId="1" priority="3824" operator="equal">
      <formula>"未完成"</formula>
    </cfRule>
    <cfRule type="cellIs" dxfId="0" priority="3854" operator="equal">
      <formula>"未完成"</formula>
    </cfRule>
  </conditionalFormatting>
  <conditionalFormatting sqref="AK177">
    <cfRule type="cellIs" dxfId="1" priority="3494" operator="equal">
      <formula>"未完成"</formula>
    </cfRule>
    <cfRule type="cellIs" dxfId="0" priority="3524" operator="equal">
      <formula>"未完成"</formula>
    </cfRule>
  </conditionalFormatting>
  <conditionalFormatting sqref="AL177">
    <cfRule type="cellIs" dxfId="1" priority="3614" operator="equal">
      <formula>"未完成"</formula>
    </cfRule>
    <cfRule type="cellIs" dxfId="0" priority="3644" operator="equal">
      <formula>"未完成"</formula>
    </cfRule>
  </conditionalFormatting>
  <conditionalFormatting sqref="AM177">
    <cfRule type="cellIs" dxfId="1" priority="3344" operator="equal">
      <formula>"未完成"</formula>
    </cfRule>
    <cfRule type="cellIs" dxfId="0" priority="3374" operator="equal">
      <formula>"未完成"</formula>
    </cfRule>
  </conditionalFormatting>
  <conditionalFormatting sqref="AP177">
    <cfRule type="cellIs" dxfId="1" priority="3284" operator="equal">
      <formula>"未完成"</formula>
    </cfRule>
    <cfRule type="cellIs" dxfId="0" priority="3314" operator="equal">
      <formula>"未完成"</formula>
    </cfRule>
  </conditionalFormatting>
  <conditionalFormatting sqref="AQ177">
    <cfRule type="cellIs" dxfId="1" priority="3674" operator="equal">
      <formula>"未完成"</formula>
    </cfRule>
    <cfRule type="cellIs" dxfId="0" priority="3704" operator="equal">
      <formula>"未完成"</formula>
    </cfRule>
  </conditionalFormatting>
  <conditionalFormatting sqref="AS177">
    <cfRule type="cellIs" dxfId="1" priority="3404" operator="equal">
      <formula>"未完成"</formula>
    </cfRule>
    <cfRule type="cellIs" dxfId="0" priority="3434" operator="equal">
      <formula>"未完成"</formula>
    </cfRule>
  </conditionalFormatting>
  <conditionalFormatting sqref="AT177">
    <cfRule type="cellIs" dxfId="1" priority="3554" operator="equal">
      <formula>"未完成"</formula>
    </cfRule>
    <cfRule type="cellIs" dxfId="0" priority="3584" operator="equal">
      <formula>"未完成"</formula>
    </cfRule>
  </conditionalFormatting>
  <conditionalFormatting sqref="AU177:AV177">
    <cfRule type="cellIs" dxfId="1" priority="3734" operator="equal">
      <formula>"未完成"</formula>
    </cfRule>
    <cfRule type="cellIs" dxfId="0" priority="3764" operator="equal">
      <formula>"未完成"</formula>
    </cfRule>
  </conditionalFormatting>
  <conditionalFormatting sqref="R178">
    <cfRule type="cellIs" dxfId="0" priority="3214" operator="equal">
      <formula>"欠"</formula>
    </cfRule>
  </conditionalFormatting>
  <conditionalFormatting sqref="T178:U178">
    <cfRule type="cellIs" dxfId="0" priority="3193" operator="equal">
      <formula>"欠"</formula>
    </cfRule>
  </conditionalFormatting>
  <conditionalFormatting sqref="AE178">
    <cfRule type="cellIs" dxfId="0" priority="3247" operator="equal">
      <formula>"未完成"</formula>
    </cfRule>
  </conditionalFormatting>
  <conditionalFormatting sqref="AI178:AJ178">
    <cfRule type="cellIs" dxfId="1" priority="3250" operator="equal">
      <formula>"未完成"</formula>
    </cfRule>
    <cfRule type="cellIs" dxfId="0" priority="3253" operator="equal">
      <formula>"未完成"</formula>
    </cfRule>
  </conditionalFormatting>
  <conditionalFormatting sqref="AK178">
    <cfRule type="cellIs" dxfId="1" priority="3217" operator="equal">
      <formula>"未完成"</formula>
    </cfRule>
    <cfRule type="cellIs" dxfId="0" priority="3220" operator="equal">
      <formula>"未完成"</formula>
    </cfRule>
  </conditionalFormatting>
  <conditionalFormatting sqref="AL178">
    <cfRule type="cellIs" dxfId="1" priority="3229" operator="equal">
      <formula>"未完成"</formula>
    </cfRule>
    <cfRule type="cellIs" dxfId="0" priority="3232" operator="equal">
      <formula>"未完成"</formula>
    </cfRule>
  </conditionalFormatting>
  <conditionalFormatting sqref="AM178">
    <cfRule type="cellIs" dxfId="1" priority="3202" operator="equal">
      <formula>"未完成"</formula>
    </cfRule>
    <cfRule type="cellIs" dxfId="0" priority="3205" operator="equal">
      <formula>"未完成"</formula>
    </cfRule>
  </conditionalFormatting>
  <conditionalFormatting sqref="AP178">
    <cfRule type="cellIs" dxfId="1" priority="3196" operator="equal">
      <formula>"未完成"</formula>
    </cfRule>
    <cfRule type="cellIs" dxfId="0" priority="3199" operator="equal">
      <formula>"未完成"</formula>
    </cfRule>
  </conditionalFormatting>
  <conditionalFormatting sqref="AQ178">
    <cfRule type="cellIs" dxfId="1" priority="3235" operator="equal">
      <formula>"未完成"</formula>
    </cfRule>
    <cfRule type="cellIs" dxfId="0" priority="3238" operator="equal">
      <formula>"未完成"</formula>
    </cfRule>
  </conditionalFormatting>
  <conditionalFormatting sqref="AS178">
    <cfRule type="cellIs" dxfId="1" priority="3208" operator="equal">
      <formula>"未完成"</formula>
    </cfRule>
    <cfRule type="cellIs" dxfId="0" priority="3211" operator="equal">
      <formula>"未完成"</formula>
    </cfRule>
  </conditionalFormatting>
  <conditionalFormatting sqref="AT178">
    <cfRule type="cellIs" dxfId="1" priority="3223" operator="equal">
      <formula>"未完成"</formula>
    </cfRule>
    <cfRule type="cellIs" dxfId="0" priority="3226" operator="equal">
      <formula>"未完成"</formula>
    </cfRule>
  </conditionalFormatting>
  <conditionalFormatting sqref="AU178:AV178">
    <cfRule type="cellIs" dxfId="1" priority="3241" operator="equal">
      <formula>"未完成"</formula>
    </cfRule>
    <cfRule type="cellIs" dxfId="0" priority="3244" operator="equal">
      <formula>"未完成"</formula>
    </cfRule>
  </conditionalFormatting>
  <conditionalFormatting sqref="R179">
    <cfRule type="cellIs" dxfId="0" priority="3213" operator="equal">
      <formula>"欠"</formula>
    </cfRule>
  </conditionalFormatting>
  <conditionalFormatting sqref="T179:U179">
    <cfRule type="cellIs" dxfId="0" priority="3192" operator="equal">
      <formula>"欠"</formula>
    </cfRule>
  </conditionalFormatting>
  <conditionalFormatting sqref="AE179">
    <cfRule type="cellIs" dxfId="0" priority="3246" operator="equal">
      <formula>"未完成"</formula>
    </cfRule>
  </conditionalFormatting>
  <conditionalFormatting sqref="AI179:AJ179">
    <cfRule type="cellIs" dxfId="1" priority="3249" operator="equal">
      <formula>"未完成"</formula>
    </cfRule>
    <cfRule type="cellIs" dxfId="0" priority="3252" operator="equal">
      <formula>"未完成"</formula>
    </cfRule>
  </conditionalFormatting>
  <conditionalFormatting sqref="AK179">
    <cfRule type="cellIs" dxfId="1" priority="3216" operator="equal">
      <formula>"未完成"</formula>
    </cfRule>
    <cfRule type="cellIs" dxfId="0" priority="3219" operator="equal">
      <formula>"未完成"</formula>
    </cfRule>
  </conditionalFormatting>
  <conditionalFormatting sqref="AL179">
    <cfRule type="cellIs" dxfId="1" priority="3228" operator="equal">
      <formula>"未完成"</formula>
    </cfRule>
    <cfRule type="cellIs" dxfId="0" priority="3231" operator="equal">
      <formula>"未完成"</formula>
    </cfRule>
  </conditionalFormatting>
  <conditionalFormatting sqref="AM179">
    <cfRule type="cellIs" dxfId="1" priority="3201" operator="equal">
      <formula>"未完成"</formula>
    </cfRule>
    <cfRule type="cellIs" dxfId="0" priority="3204" operator="equal">
      <formula>"未完成"</formula>
    </cfRule>
  </conditionalFormatting>
  <conditionalFormatting sqref="AP179">
    <cfRule type="cellIs" dxfId="1" priority="3195" operator="equal">
      <formula>"未完成"</formula>
    </cfRule>
    <cfRule type="cellIs" dxfId="0" priority="3198" operator="equal">
      <formula>"未完成"</formula>
    </cfRule>
  </conditionalFormatting>
  <conditionalFormatting sqref="AQ179">
    <cfRule type="cellIs" dxfId="1" priority="3234" operator="equal">
      <formula>"未完成"</formula>
    </cfRule>
    <cfRule type="cellIs" dxfId="0" priority="3237" operator="equal">
      <formula>"未完成"</formula>
    </cfRule>
  </conditionalFormatting>
  <conditionalFormatting sqref="AT179">
    <cfRule type="cellIs" dxfId="1" priority="3222" operator="equal">
      <formula>"未完成"</formula>
    </cfRule>
    <cfRule type="cellIs" dxfId="0" priority="3225" operator="equal">
      <formula>"未完成"</formula>
    </cfRule>
  </conditionalFormatting>
  <conditionalFormatting sqref="AU179:AV179">
    <cfRule type="cellIs" dxfId="1" priority="3240" operator="equal">
      <formula>"未完成"</formula>
    </cfRule>
    <cfRule type="cellIs" dxfId="0" priority="3243" operator="equal">
      <formula>"未完成"</formula>
    </cfRule>
  </conditionalFormatting>
  <conditionalFormatting sqref="R180">
    <cfRule type="cellIs" dxfId="0" priority="3212" operator="equal">
      <formula>"欠"</formula>
    </cfRule>
  </conditionalFormatting>
  <conditionalFormatting sqref="T180:U180">
    <cfRule type="cellIs" dxfId="0" priority="3191" operator="equal">
      <formula>"欠"</formula>
    </cfRule>
  </conditionalFormatting>
  <conditionalFormatting sqref="AE180">
    <cfRule type="cellIs" dxfId="0" priority="3245" operator="equal">
      <formula>"未完成"</formula>
    </cfRule>
  </conditionalFormatting>
  <conditionalFormatting sqref="AI180:AJ180">
    <cfRule type="cellIs" dxfId="1" priority="3248" operator="equal">
      <formula>"未完成"</formula>
    </cfRule>
    <cfRule type="cellIs" dxfId="0" priority="3251" operator="equal">
      <formula>"未完成"</formula>
    </cfRule>
  </conditionalFormatting>
  <conditionalFormatting sqref="AK180">
    <cfRule type="cellIs" dxfId="1" priority="3215" operator="equal">
      <formula>"未完成"</formula>
    </cfRule>
    <cfRule type="cellIs" dxfId="0" priority="3218" operator="equal">
      <formula>"未完成"</formula>
    </cfRule>
  </conditionalFormatting>
  <conditionalFormatting sqref="AL180">
    <cfRule type="cellIs" dxfId="1" priority="3227" operator="equal">
      <formula>"未完成"</formula>
    </cfRule>
    <cfRule type="cellIs" dxfId="0" priority="3230" operator="equal">
      <formula>"未完成"</formula>
    </cfRule>
  </conditionalFormatting>
  <conditionalFormatting sqref="AM180">
    <cfRule type="cellIs" dxfId="1" priority="3200" operator="equal">
      <formula>"未完成"</formula>
    </cfRule>
    <cfRule type="cellIs" dxfId="0" priority="3203" operator="equal">
      <formula>"未完成"</formula>
    </cfRule>
  </conditionalFormatting>
  <conditionalFormatting sqref="AP180">
    <cfRule type="cellIs" dxfId="1" priority="3194" operator="equal">
      <formula>"未完成"</formula>
    </cfRule>
    <cfRule type="cellIs" dxfId="0" priority="3197" operator="equal">
      <formula>"未完成"</formula>
    </cfRule>
  </conditionalFormatting>
  <conditionalFormatting sqref="AQ180">
    <cfRule type="cellIs" dxfId="1" priority="3233" operator="equal">
      <formula>"未完成"</formula>
    </cfRule>
    <cfRule type="cellIs" dxfId="0" priority="3236" operator="equal">
      <formula>"未完成"</formula>
    </cfRule>
  </conditionalFormatting>
  <conditionalFormatting sqref="AS180">
    <cfRule type="cellIs" dxfId="1" priority="3206" operator="equal">
      <formula>"未完成"</formula>
    </cfRule>
    <cfRule type="cellIs" dxfId="0" priority="3209" operator="equal">
      <formula>"未完成"</formula>
    </cfRule>
  </conditionalFormatting>
  <conditionalFormatting sqref="AT180">
    <cfRule type="cellIs" dxfId="1" priority="3221" operator="equal">
      <formula>"未完成"</formula>
    </cfRule>
    <cfRule type="cellIs" dxfId="0" priority="3224" operator="equal">
      <formula>"未完成"</formula>
    </cfRule>
  </conditionalFormatting>
  <conditionalFormatting sqref="AU180:AV180">
    <cfRule type="cellIs" dxfId="1" priority="3239" operator="equal">
      <formula>"未完成"</formula>
    </cfRule>
    <cfRule type="cellIs" dxfId="0" priority="3242" operator="equal">
      <formula>"未完成"</formula>
    </cfRule>
  </conditionalFormatting>
  <conditionalFormatting sqref="R181">
    <cfRule type="cellIs" dxfId="0" priority="2718" operator="equal">
      <formula>"欠"</formula>
    </cfRule>
  </conditionalFormatting>
  <conditionalFormatting sqref="T181:U181">
    <cfRule type="cellIs" dxfId="0" priority="2648" operator="equal">
      <formula>"欠"</formula>
    </cfRule>
  </conditionalFormatting>
  <conditionalFormatting sqref="AE181">
    <cfRule type="cellIs" dxfId="0" priority="2828" operator="equal">
      <formula>"未完成"</formula>
    </cfRule>
  </conditionalFormatting>
  <conditionalFormatting sqref="AI181:AJ181">
    <cfRule type="cellIs" dxfId="1" priority="2838" operator="equal">
      <formula>"未完成"</formula>
    </cfRule>
    <cfRule type="cellIs" dxfId="0" priority="2848" operator="equal">
      <formula>"未完成"</formula>
    </cfRule>
  </conditionalFormatting>
  <conditionalFormatting sqref="AK181">
    <cfRule type="cellIs" dxfId="1" priority="2728" operator="equal">
      <formula>"未完成"</formula>
    </cfRule>
    <cfRule type="cellIs" dxfId="0" priority="2738" operator="equal">
      <formula>"未完成"</formula>
    </cfRule>
  </conditionalFormatting>
  <conditionalFormatting sqref="AL181">
    <cfRule type="cellIs" dxfId="1" priority="2768" operator="equal">
      <formula>"未完成"</formula>
    </cfRule>
    <cfRule type="cellIs" dxfId="0" priority="2778" operator="equal">
      <formula>"未完成"</formula>
    </cfRule>
  </conditionalFormatting>
  <conditionalFormatting sqref="AM181">
    <cfRule type="cellIs" dxfId="1" priority="2678" operator="equal">
      <formula>"未完成"</formula>
    </cfRule>
    <cfRule type="cellIs" dxfId="0" priority="2688" operator="equal">
      <formula>"未完成"</formula>
    </cfRule>
  </conditionalFormatting>
  <conditionalFormatting sqref="AP181">
    <cfRule type="cellIs" dxfId="1" priority="2658" operator="equal">
      <formula>"未完成"</formula>
    </cfRule>
    <cfRule type="cellIs" dxfId="0" priority="2668" operator="equal">
      <formula>"未完成"</formula>
    </cfRule>
  </conditionalFormatting>
  <conditionalFormatting sqref="AQ181">
    <cfRule type="cellIs" dxfId="1" priority="2788" operator="equal">
      <formula>"未完成"</formula>
    </cfRule>
    <cfRule type="cellIs" dxfId="0" priority="2798" operator="equal">
      <formula>"未完成"</formula>
    </cfRule>
  </conditionalFormatting>
  <conditionalFormatting sqref="AS181">
    <cfRule type="cellIs" dxfId="1" priority="2698" operator="equal">
      <formula>"未完成"</formula>
    </cfRule>
    <cfRule type="cellIs" dxfId="0" priority="2708" operator="equal">
      <formula>"未完成"</formula>
    </cfRule>
  </conditionalFormatting>
  <conditionalFormatting sqref="AT181">
    <cfRule type="cellIs" dxfId="1" priority="2748" operator="equal">
      <formula>"未完成"</formula>
    </cfRule>
    <cfRule type="cellIs" dxfId="0" priority="2758" operator="equal">
      <formula>"未完成"</formula>
    </cfRule>
  </conditionalFormatting>
  <conditionalFormatting sqref="AU181:AV181">
    <cfRule type="cellIs" dxfId="1" priority="2808" operator="equal">
      <formula>"未完成"</formula>
    </cfRule>
    <cfRule type="cellIs" dxfId="0" priority="2818" operator="equal">
      <formula>"未完成"</formula>
    </cfRule>
  </conditionalFormatting>
  <conditionalFormatting sqref="R182">
    <cfRule type="cellIs" dxfId="0" priority="2717" operator="equal">
      <formula>"欠"</formula>
    </cfRule>
  </conditionalFormatting>
  <conditionalFormatting sqref="T182:U182">
    <cfRule type="cellIs" dxfId="0" priority="2647" operator="equal">
      <formula>"欠"</formula>
    </cfRule>
  </conditionalFormatting>
  <conditionalFormatting sqref="AE182">
    <cfRule type="cellIs" dxfId="0" priority="2827" operator="equal">
      <formula>"未完成"</formula>
    </cfRule>
  </conditionalFormatting>
  <conditionalFormatting sqref="AI182:AJ182">
    <cfRule type="cellIs" dxfId="1" priority="2837" operator="equal">
      <formula>"未完成"</formula>
    </cfRule>
    <cfRule type="cellIs" dxfId="0" priority="2847" operator="equal">
      <formula>"未完成"</formula>
    </cfRule>
  </conditionalFormatting>
  <conditionalFormatting sqref="AK182">
    <cfRule type="cellIs" dxfId="1" priority="2727" operator="equal">
      <formula>"未完成"</formula>
    </cfRule>
    <cfRule type="cellIs" dxfId="0" priority="2737" operator="equal">
      <formula>"未完成"</formula>
    </cfRule>
  </conditionalFormatting>
  <conditionalFormatting sqref="AL182">
    <cfRule type="cellIs" dxfId="1" priority="2767" operator="equal">
      <formula>"未完成"</formula>
    </cfRule>
    <cfRule type="cellIs" dxfId="0" priority="2777" operator="equal">
      <formula>"未完成"</formula>
    </cfRule>
  </conditionalFormatting>
  <conditionalFormatting sqref="AM182">
    <cfRule type="cellIs" dxfId="1" priority="2677" operator="equal">
      <formula>"未完成"</formula>
    </cfRule>
    <cfRule type="cellIs" dxfId="0" priority="2687" operator="equal">
      <formula>"未完成"</formula>
    </cfRule>
  </conditionalFormatting>
  <conditionalFormatting sqref="AP182">
    <cfRule type="cellIs" dxfId="1" priority="2657" operator="equal">
      <formula>"未完成"</formula>
    </cfRule>
    <cfRule type="cellIs" dxfId="0" priority="2667" operator="equal">
      <formula>"未完成"</formula>
    </cfRule>
  </conditionalFormatting>
  <conditionalFormatting sqref="AQ182">
    <cfRule type="cellIs" dxfId="1" priority="2787" operator="equal">
      <formula>"未完成"</formula>
    </cfRule>
    <cfRule type="cellIs" dxfId="0" priority="2797" operator="equal">
      <formula>"未完成"</formula>
    </cfRule>
  </conditionalFormatting>
  <conditionalFormatting sqref="AS182">
    <cfRule type="cellIs" dxfId="1" priority="2697" operator="equal">
      <formula>"未完成"</formula>
    </cfRule>
    <cfRule type="cellIs" dxfId="0" priority="2707" operator="equal">
      <formula>"未完成"</formula>
    </cfRule>
  </conditionalFormatting>
  <conditionalFormatting sqref="AT182">
    <cfRule type="cellIs" dxfId="1" priority="2747" operator="equal">
      <formula>"未完成"</formula>
    </cfRule>
    <cfRule type="cellIs" dxfId="0" priority="2757" operator="equal">
      <formula>"未完成"</formula>
    </cfRule>
  </conditionalFormatting>
  <conditionalFormatting sqref="AU182:AV182">
    <cfRule type="cellIs" dxfId="1" priority="2807" operator="equal">
      <formula>"未完成"</formula>
    </cfRule>
    <cfRule type="cellIs" dxfId="0" priority="2817" operator="equal">
      <formula>"未完成"</formula>
    </cfRule>
  </conditionalFormatting>
  <conditionalFormatting sqref="R183">
    <cfRule type="cellIs" dxfId="0" priority="2716" operator="equal">
      <formula>"欠"</formula>
    </cfRule>
  </conditionalFormatting>
  <conditionalFormatting sqref="T183:U183">
    <cfRule type="cellIs" dxfId="0" priority="2646" operator="equal">
      <formula>"欠"</formula>
    </cfRule>
  </conditionalFormatting>
  <conditionalFormatting sqref="AE183">
    <cfRule type="cellIs" dxfId="0" priority="2826" operator="equal">
      <formula>"未完成"</formula>
    </cfRule>
  </conditionalFormatting>
  <conditionalFormatting sqref="AI183:AJ183">
    <cfRule type="cellIs" dxfId="1" priority="2836" operator="equal">
      <formula>"未完成"</formula>
    </cfRule>
    <cfRule type="cellIs" dxfId="0" priority="2846" operator="equal">
      <formula>"未完成"</formula>
    </cfRule>
  </conditionalFormatting>
  <conditionalFormatting sqref="AK183">
    <cfRule type="cellIs" dxfId="1" priority="2726" operator="equal">
      <formula>"未完成"</formula>
    </cfRule>
    <cfRule type="cellIs" dxfId="0" priority="2736" operator="equal">
      <formula>"未完成"</formula>
    </cfRule>
  </conditionalFormatting>
  <conditionalFormatting sqref="AL183">
    <cfRule type="cellIs" dxfId="1" priority="2766" operator="equal">
      <formula>"未完成"</formula>
    </cfRule>
    <cfRule type="cellIs" dxfId="0" priority="2776" operator="equal">
      <formula>"未完成"</formula>
    </cfRule>
  </conditionalFormatting>
  <conditionalFormatting sqref="AM183">
    <cfRule type="cellIs" dxfId="1" priority="2676" operator="equal">
      <formula>"未完成"</formula>
    </cfRule>
    <cfRule type="cellIs" dxfId="0" priority="2686" operator="equal">
      <formula>"未完成"</formula>
    </cfRule>
  </conditionalFormatting>
  <conditionalFormatting sqref="AP183">
    <cfRule type="cellIs" dxfId="1" priority="2656" operator="equal">
      <formula>"未完成"</formula>
    </cfRule>
    <cfRule type="cellIs" dxfId="0" priority="2666" operator="equal">
      <formula>"未完成"</formula>
    </cfRule>
  </conditionalFormatting>
  <conditionalFormatting sqref="AQ183">
    <cfRule type="cellIs" dxfId="1" priority="2786" operator="equal">
      <formula>"未完成"</formula>
    </cfRule>
    <cfRule type="cellIs" dxfId="0" priority="2796" operator="equal">
      <formula>"未完成"</formula>
    </cfRule>
  </conditionalFormatting>
  <conditionalFormatting sqref="AS183">
    <cfRule type="cellIs" dxfId="1" priority="2696" operator="equal">
      <formula>"未完成"</formula>
    </cfRule>
    <cfRule type="cellIs" dxfId="0" priority="2706" operator="equal">
      <formula>"未完成"</formula>
    </cfRule>
  </conditionalFormatting>
  <conditionalFormatting sqref="AT183">
    <cfRule type="cellIs" dxfId="1" priority="2746" operator="equal">
      <formula>"未完成"</formula>
    </cfRule>
    <cfRule type="cellIs" dxfId="0" priority="2756" operator="equal">
      <formula>"未完成"</formula>
    </cfRule>
  </conditionalFormatting>
  <conditionalFormatting sqref="AU183:AV183">
    <cfRule type="cellIs" dxfId="1" priority="2806" operator="equal">
      <formula>"未完成"</formula>
    </cfRule>
    <cfRule type="cellIs" dxfId="0" priority="2816" operator="equal">
      <formula>"未完成"</formula>
    </cfRule>
  </conditionalFormatting>
  <conditionalFormatting sqref="R184">
    <cfRule type="cellIs" dxfId="0" priority="2715" operator="equal">
      <formula>"欠"</formula>
    </cfRule>
  </conditionalFormatting>
  <conditionalFormatting sqref="T184:U184">
    <cfRule type="cellIs" dxfId="0" priority="2645" operator="equal">
      <formula>"欠"</formula>
    </cfRule>
  </conditionalFormatting>
  <conditionalFormatting sqref="AE184">
    <cfRule type="cellIs" dxfId="0" priority="2825" operator="equal">
      <formula>"未完成"</formula>
    </cfRule>
  </conditionalFormatting>
  <conditionalFormatting sqref="AI184:AJ184">
    <cfRule type="cellIs" dxfId="1" priority="2835" operator="equal">
      <formula>"未完成"</formula>
    </cfRule>
    <cfRule type="cellIs" dxfId="0" priority="2845" operator="equal">
      <formula>"未完成"</formula>
    </cfRule>
  </conditionalFormatting>
  <conditionalFormatting sqref="AK184">
    <cfRule type="cellIs" dxfId="1" priority="2725" operator="equal">
      <formula>"未完成"</formula>
    </cfRule>
    <cfRule type="cellIs" dxfId="0" priority="2735" operator="equal">
      <formula>"未完成"</formula>
    </cfRule>
  </conditionalFormatting>
  <conditionalFormatting sqref="AL184">
    <cfRule type="cellIs" dxfId="1" priority="2765" operator="equal">
      <formula>"未完成"</formula>
    </cfRule>
    <cfRule type="cellIs" dxfId="0" priority="2775" operator="equal">
      <formula>"未完成"</formula>
    </cfRule>
  </conditionalFormatting>
  <conditionalFormatting sqref="AM184">
    <cfRule type="cellIs" dxfId="1" priority="2675" operator="equal">
      <formula>"未完成"</formula>
    </cfRule>
    <cfRule type="cellIs" dxfId="0" priority="2685" operator="equal">
      <formula>"未完成"</formula>
    </cfRule>
  </conditionalFormatting>
  <conditionalFormatting sqref="AP184">
    <cfRule type="cellIs" dxfId="1" priority="2655" operator="equal">
      <formula>"未完成"</formula>
    </cfRule>
    <cfRule type="cellIs" dxfId="0" priority="2665" operator="equal">
      <formula>"未完成"</formula>
    </cfRule>
  </conditionalFormatting>
  <conditionalFormatting sqref="AQ184">
    <cfRule type="cellIs" dxfId="1" priority="2785" operator="equal">
      <formula>"未完成"</formula>
    </cfRule>
    <cfRule type="cellIs" dxfId="0" priority="2795" operator="equal">
      <formula>"未完成"</formula>
    </cfRule>
  </conditionalFormatting>
  <conditionalFormatting sqref="AS184">
    <cfRule type="cellIs" dxfId="1" priority="2695" operator="equal">
      <formula>"未完成"</formula>
    </cfRule>
    <cfRule type="cellIs" dxfId="0" priority="2705" operator="equal">
      <formula>"未完成"</formula>
    </cfRule>
  </conditionalFormatting>
  <conditionalFormatting sqref="AT184">
    <cfRule type="cellIs" dxfId="1" priority="2745" operator="equal">
      <formula>"未完成"</formula>
    </cfRule>
    <cfRule type="cellIs" dxfId="0" priority="2755" operator="equal">
      <formula>"未完成"</formula>
    </cfRule>
  </conditionalFormatting>
  <conditionalFormatting sqref="AU184:AV184">
    <cfRule type="cellIs" dxfId="1" priority="2805" operator="equal">
      <formula>"未完成"</formula>
    </cfRule>
    <cfRule type="cellIs" dxfId="0" priority="2815" operator="equal">
      <formula>"未完成"</formula>
    </cfRule>
  </conditionalFormatting>
  <conditionalFormatting sqref="R185">
    <cfRule type="cellIs" dxfId="0" priority="2714" operator="equal">
      <formula>"欠"</formula>
    </cfRule>
  </conditionalFormatting>
  <conditionalFormatting sqref="T185:U185">
    <cfRule type="cellIs" dxfId="0" priority="2644" operator="equal">
      <formula>"欠"</formula>
    </cfRule>
  </conditionalFormatting>
  <conditionalFormatting sqref="AE185">
    <cfRule type="cellIs" dxfId="0" priority="2824" operator="equal">
      <formula>"未完成"</formula>
    </cfRule>
  </conditionalFormatting>
  <conditionalFormatting sqref="AI185:AJ185">
    <cfRule type="cellIs" dxfId="1" priority="2834" operator="equal">
      <formula>"未完成"</formula>
    </cfRule>
    <cfRule type="cellIs" dxfId="0" priority="2844" operator="equal">
      <formula>"未完成"</formula>
    </cfRule>
  </conditionalFormatting>
  <conditionalFormatting sqref="AK185">
    <cfRule type="cellIs" dxfId="1" priority="2724" operator="equal">
      <formula>"未完成"</formula>
    </cfRule>
    <cfRule type="cellIs" dxfId="0" priority="2734" operator="equal">
      <formula>"未完成"</formula>
    </cfRule>
  </conditionalFormatting>
  <conditionalFormatting sqref="AL185">
    <cfRule type="cellIs" dxfId="1" priority="2764" operator="equal">
      <formula>"未完成"</formula>
    </cfRule>
    <cfRule type="cellIs" dxfId="0" priority="2774" operator="equal">
      <formula>"未完成"</formula>
    </cfRule>
  </conditionalFormatting>
  <conditionalFormatting sqref="AM185">
    <cfRule type="cellIs" dxfId="1" priority="2674" operator="equal">
      <formula>"未完成"</formula>
    </cfRule>
    <cfRule type="cellIs" dxfId="0" priority="2684" operator="equal">
      <formula>"未完成"</formula>
    </cfRule>
  </conditionalFormatting>
  <conditionalFormatting sqref="AP185">
    <cfRule type="cellIs" dxfId="1" priority="2654" operator="equal">
      <formula>"未完成"</formula>
    </cfRule>
    <cfRule type="cellIs" dxfId="0" priority="2664" operator="equal">
      <formula>"未完成"</formula>
    </cfRule>
  </conditionalFormatting>
  <conditionalFormatting sqref="AQ185">
    <cfRule type="cellIs" dxfId="1" priority="2784" operator="equal">
      <formula>"未完成"</formula>
    </cfRule>
    <cfRule type="cellIs" dxfId="0" priority="2794" operator="equal">
      <formula>"未完成"</formula>
    </cfRule>
  </conditionalFormatting>
  <conditionalFormatting sqref="AS185">
    <cfRule type="cellIs" dxfId="1" priority="2694" operator="equal">
      <formula>"未完成"</formula>
    </cfRule>
    <cfRule type="cellIs" dxfId="0" priority="2704" operator="equal">
      <formula>"未完成"</formula>
    </cfRule>
  </conditionalFormatting>
  <conditionalFormatting sqref="AT185">
    <cfRule type="cellIs" dxfId="1" priority="2744" operator="equal">
      <formula>"未完成"</formula>
    </cfRule>
    <cfRule type="cellIs" dxfId="0" priority="2754" operator="equal">
      <formula>"未完成"</formula>
    </cfRule>
  </conditionalFormatting>
  <conditionalFormatting sqref="AU185:AV185">
    <cfRule type="cellIs" dxfId="1" priority="2804" operator="equal">
      <formula>"未完成"</formula>
    </cfRule>
    <cfRule type="cellIs" dxfId="0" priority="2814" operator="equal">
      <formula>"未完成"</formula>
    </cfRule>
  </conditionalFormatting>
  <conditionalFormatting sqref="R186">
    <cfRule type="cellIs" dxfId="0" priority="2713" operator="equal">
      <formula>"欠"</formula>
    </cfRule>
  </conditionalFormatting>
  <conditionalFormatting sqref="T186:U186">
    <cfRule type="cellIs" dxfId="0" priority="2643" operator="equal">
      <formula>"欠"</formula>
    </cfRule>
  </conditionalFormatting>
  <conditionalFormatting sqref="AE186">
    <cfRule type="cellIs" dxfId="0" priority="2823" operator="equal">
      <formula>"未完成"</formula>
    </cfRule>
  </conditionalFormatting>
  <conditionalFormatting sqref="AI186:AJ186">
    <cfRule type="cellIs" dxfId="1" priority="2833" operator="equal">
      <formula>"未完成"</formula>
    </cfRule>
    <cfRule type="cellIs" dxfId="0" priority="2843" operator="equal">
      <formula>"未完成"</formula>
    </cfRule>
  </conditionalFormatting>
  <conditionalFormatting sqref="AK186">
    <cfRule type="cellIs" dxfId="1" priority="2723" operator="equal">
      <formula>"未完成"</formula>
    </cfRule>
    <cfRule type="cellIs" dxfId="0" priority="2733" operator="equal">
      <formula>"未完成"</formula>
    </cfRule>
  </conditionalFormatting>
  <conditionalFormatting sqref="AL186">
    <cfRule type="cellIs" dxfId="1" priority="2763" operator="equal">
      <formula>"未完成"</formula>
    </cfRule>
    <cfRule type="cellIs" dxfId="0" priority="2773" operator="equal">
      <formula>"未完成"</formula>
    </cfRule>
  </conditionalFormatting>
  <conditionalFormatting sqref="AM186">
    <cfRule type="cellIs" dxfId="1" priority="2673" operator="equal">
      <formula>"未完成"</formula>
    </cfRule>
    <cfRule type="cellIs" dxfId="0" priority="2683" operator="equal">
      <formula>"未完成"</formula>
    </cfRule>
  </conditionalFormatting>
  <conditionalFormatting sqref="AP186">
    <cfRule type="cellIs" dxfId="1" priority="2653" operator="equal">
      <formula>"未完成"</formula>
    </cfRule>
    <cfRule type="cellIs" dxfId="0" priority="2663" operator="equal">
      <formula>"未完成"</formula>
    </cfRule>
  </conditionalFormatting>
  <conditionalFormatting sqref="AQ186">
    <cfRule type="cellIs" dxfId="1" priority="2783" operator="equal">
      <formula>"未完成"</formula>
    </cfRule>
    <cfRule type="cellIs" dxfId="0" priority="2793" operator="equal">
      <formula>"未完成"</formula>
    </cfRule>
  </conditionalFormatting>
  <conditionalFormatting sqref="AS186">
    <cfRule type="cellIs" dxfId="1" priority="2693" operator="equal">
      <formula>"未完成"</formula>
    </cfRule>
    <cfRule type="cellIs" dxfId="0" priority="2703" operator="equal">
      <formula>"未完成"</formula>
    </cfRule>
  </conditionalFormatting>
  <conditionalFormatting sqref="AT186">
    <cfRule type="cellIs" dxfId="1" priority="2743" operator="equal">
      <formula>"未完成"</formula>
    </cfRule>
    <cfRule type="cellIs" dxfId="0" priority="2753" operator="equal">
      <formula>"未完成"</formula>
    </cfRule>
  </conditionalFormatting>
  <conditionalFormatting sqref="AU186:AV186">
    <cfRule type="cellIs" dxfId="1" priority="2803" operator="equal">
      <formula>"未完成"</formula>
    </cfRule>
    <cfRule type="cellIs" dxfId="0" priority="2813" operator="equal">
      <formula>"未完成"</formula>
    </cfRule>
  </conditionalFormatting>
  <conditionalFormatting sqref="R187">
    <cfRule type="cellIs" dxfId="0" priority="2712" operator="equal">
      <formula>"欠"</formula>
    </cfRule>
  </conditionalFormatting>
  <conditionalFormatting sqref="T187:U187">
    <cfRule type="cellIs" dxfId="0" priority="2642" operator="equal">
      <formula>"欠"</formula>
    </cfRule>
  </conditionalFormatting>
  <conditionalFormatting sqref="AE187">
    <cfRule type="cellIs" dxfId="0" priority="2822" operator="equal">
      <formula>"未完成"</formula>
    </cfRule>
  </conditionalFormatting>
  <conditionalFormatting sqref="AI187:AJ187">
    <cfRule type="cellIs" dxfId="1" priority="2832" operator="equal">
      <formula>"未完成"</formula>
    </cfRule>
    <cfRule type="cellIs" dxfId="0" priority="2842" operator="equal">
      <formula>"未完成"</formula>
    </cfRule>
  </conditionalFormatting>
  <conditionalFormatting sqref="AK187">
    <cfRule type="cellIs" dxfId="1" priority="2722" operator="equal">
      <formula>"未完成"</formula>
    </cfRule>
    <cfRule type="cellIs" dxfId="0" priority="2732" operator="equal">
      <formula>"未完成"</formula>
    </cfRule>
  </conditionalFormatting>
  <conditionalFormatting sqref="AL187">
    <cfRule type="cellIs" dxfId="1" priority="2762" operator="equal">
      <formula>"未完成"</formula>
    </cfRule>
    <cfRule type="cellIs" dxfId="0" priority="2772" operator="equal">
      <formula>"未完成"</formula>
    </cfRule>
  </conditionalFormatting>
  <conditionalFormatting sqref="AM187">
    <cfRule type="cellIs" dxfId="1" priority="2672" operator="equal">
      <formula>"未完成"</formula>
    </cfRule>
    <cfRule type="cellIs" dxfId="0" priority="2682" operator="equal">
      <formula>"未完成"</formula>
    </cfRule>
  </conditionalFormatting>
  <conditionalFormatting sqref="AP187">
    <cfRule type="cellIs" dxfId="1" priority="2652" operator="equal">
      <formula>"未完成"</formula>
    </cfRule>
    <cfRule type="cellIs" dxfId="0" priority="2662" operator="equal">
      <formula>"未完成"</formula>
    </cfRule>
  </conditionalFormatting>
  <conditionalFormatting sqref="AQ187">
    <cfRule type="cellIs" dxfId="1" priority="2782" operator="equal">
      <formula>"未完成"</formula>
    </cfRule>
    <cfRule type="cellIs" dxfId="0" priority="2792" operator="equal">
      <formula>"未完成"</formula>
    </cfRule>
  </conditionalFormatting>
  <conditionalFormatting sqref="AS187">
    <cfRule type="cellIs" dxfId="1" priority="2692" operator="equal">
      <formula>"未完成"</formula>
    </cfRule>
    <cfRule type="cellIs" dxfId="0" priority="2702" operator="equal">
      <formula>"未完成"</formula>
    </cfRule>
  </conditionalFormatting>
  <conditionalFormatting sqref="AT187">
    <cfRule type="cellIs" dxfId="1" priority="2742" operator="equal">
      <formula>"未完成"</formula>
    </cfRule>
    <cfRule type="cellIs" dxfId="0" priority="2752" operator="equal">
      <formula>"未完成"</formula>
    </cfRule>
  </conditionalFormatting>
  <conditionalFormatting sqref="AU187:AV187">
    <cfRule type="cellIs" dxfId="1" priority="2802" operator="equal">
      <formula>"未完成"</formula>
    </cfRule>
    <cfRule type="cellIs" dxfId="0" priority="2812" operator="equal">
      <formula>"未完成"</formula>
    </cfRule>
  </conditionalFormatting>
  <conditionalFormatting sqref="R188">
    <cfRule type="cellIs" dxfId="0" priority="2711" operator="equal">
      <formula>"欠"</formula>
    </cfRule>
  </conditionalFormatting>
  <conditionalFormatting sqref="T188:U188">
    <cfRule type="cellIs" dxfId="0" priority="2641" operator="equal">
      <formula>"欠"</formula>
    </cfRule>
  </conditionalFormatting>
  <conditionalFormatting sqref="AE188">
    <cfRule type="cellIs" dxfId="0" priority="2821" operator="equal">
      <formula>"未完成"</formula>
    </cfRule>
  </conditionalFormatting>
  <conditionalFormatting sqref="AI188:AJ188">
    <cfRule type="cellIs" dxfId="1" priority="2831" operator="equal">
      <formula>"未完成"</formula>
    </cfRule>
    <cfRule type="cellIs" dxfId="0" priority="2841" operator="equal">
      <formula>"未完成"</formula>
    </cfRule>
  </conditionalFormatting>
  <conditionalFormatting sqref="AK188">
    <cfRule type="cellIs" dxfId="1" priority="2721" operator="equal">
      <formula>"未完成"</formula>
    </cfRule>
    <cfRule type="cellIs" dxfId="0" priority="2731" operator="equal">
      <formula>"未完成"</formula>
    </cfRule>
  </conditionalFormatting>
  <conditionalFormatting sqref="AL188">
    <cfRule type="cellIs" dxfId="1" priority="2761" operator="equal">
      <formula>"未完成"</formula>
    </cfRule>
    <cfRule type="cellIs" dxfId="0" priority="2771" operator="equal">
      <formula>"未完成"</formula>
    </cfRule>
  </conditionalFormatting>
  <conditionalFormatting sqref="AM188">
    <cfRule type="cellIs" dxfId="1" priority="2671" operator="equal">
      <formula>"未完成"</formula>
    </cfRule>
    <cfRule type="cellIs" dxfId="0" priority="2681" operator="equal">
      <formula>"未完成"</formula>
    </cfRule>
  </conditionalFormatting>
  <conditionalFormatting sqref="AP188">
    <cfRule type="cellIs" dxfId="1" priority="2651" operator="equal">
      <formula>"未完成"</formula>
    </cfRule>
    <cfRule type="cellIs" dxfId="0" priority="2661" operator="equal">
      <formula>"未完成"</formula>
    </cfRule>
  </conditionalFormatting>
  <conditionalFormatting sqref="AQ188">
    <cfRule type="cellIs" dxfId="1" priority="2781" operator="equal">
      <formula>"未完成"</formula>
    </cfRule>
    <cfRule type="cellIs" dxfId="0" priority="2791" operator="equal">
      <formula>"未完成"</formula>
    </cfRule>
  </conditionalFormatting>
  <conditionalFormatting sqref="AS188">
    <cfRule type="cellIs" dxfId="1" priority="2691" operator="equal">
      <formula>"未完成"</formula>
    </cfRule>
    <cfRule type="cellIs" dxfId="0" priority="2701" operator="equal">
      <formula>"未完成"</formula>
    </cfRule>
  </conditionalFormatting>
  <conditionalFormatting sqref="AT188">
    <cfRule type="cellIs" dxfId="1" priority="2741" operator="equal">
      <formula>"未完成"</formula>
    </cfRule>
    <cfRule type="cellIs" dxfId="0" priority="2751" operator="equal">
      <formula>"未完成"</formula>
    </cfRule>
  </conditionalFormatting>
  <conditionalFormatting sqref="AU188:AV188">
    <cfRule type="cellIs" dxfId="1" priority="2801" operator="equal">
      <formula>"未完成"</formula>
    </cfRule>
    <cfRule type="cellIs" dxfId="0" priority="2811" operator="equal">
      <formula>"未完成"</formula>
    </cfRule>
  </conditionalFormatting>
  <conditionalFormatting sqref="R189">
    <cfRule type="cellIs" dxfId="0" priority="2710" operator="equal">
      <formula>"欠"</formula>
    </cfRule>
  </conditionalFormatting>
  <conditionalFormatting sqref="T189:U189">
    <cfRule type="cellIs" dxfId="0" priority="2640" operator="equal">
      <formula>"欠"</formula>
    </cfRule>
  </conditionalFormatting>
  <conditionalFormatting sqref="AE189">
    <cfRule type="cellIs" dxfId="0" priority="2820" operator="equal">
      <formula>"未完成"</formula>
    </cfRule>
  </conditionalFormatting>
  <conditionalFormatting sqref="AI189:AJ189">
    <cfRule type="cellIs" dxfId="1" priority="2830" operator="equal">
      <formula>"未完成"</formula>
    </cfRule>
    <cfRule type="cellIs" dxfId="0" priority="2840" operator="equal">
      <formula>"未完成"</formula>
    </cfRule>
  </conditionalFormatting>
  <conditionalFormatting sqref="AK189">
    <cfRule type="cellIs" dxfId="1" priority="2720" operator="equal">
      <formula>"未完成"</formula>
    </cfRule>
    <cfRule type="cellIs" dxfId="0" priority="2730" operator="equal">
      <formula>"未完成"</formula>
    </cfRule>
  </conditionalFormatting>
  <conditionalFormatting sqref="AL189">
    <cfRule type="cellIs" dxfId="1" priority="2760" operator="equal">
      <formula>"未完成"</formula>
    </cfRule>
    <cfRule type="cellIs" dxfId="0" priority="2770" operator="equal">
      <formula>"未完成"</formula>
    </cfRule>
  </conditionalFormatting>
  <conditionalFormatting sqref="AM189">
    <cfRule type="cellIs" dxfId="1" priority="2670" operator="equal">
      <formula>"未完成"</formula>
    </cfRule>
    <cfRule type="cellIs" dxfId="0" priority="2680" operator="equal">
      <formula>"未完成"</formula>
    </cfRule>
  </conditionalFormatting>
  <conditionalFormatting sqref="AP189">
    <cfRule type="cellIs" dxfId="1" priority="2650" operator="equal">
      <formula>"未完成"</formula>
    </cfRule>
    <cfRule type="cellIs" dxfId="0" priority="2660" operator="equal">
      <formula>"未完成"</formula>
    </cfRule>
  </conditionalFormatting>
  <conditionalFormatting sqref="AQ189">
    <cfRule type="cellIs" dxfId="1" priority="2780" operator="equal">
      <formula>"未完成"</formula>
    </cfRule>
    <cfRule type="cellIs" dxfId="0" priority="2790" operator="equal">
      <formula>"未完成"</formula>
    </cfRule>
  </conditionalFormatting>
  <conditionalFormatting sqref="AS189">
    <cfRule type="cellIs" dxfId="1" priority="2690" operator="equal">
      <formula>"未完成"</formula>
    </cfRule>
    <cfRule type="cellIs" dxfId="0" priority="2700" operator="equal">
      <formula>"未完成"</formula>
    </cfRule>
  </conditionalFormatting>
  <conditionalFormatting sqref="AT189">
    <cfRule type="cellIs" dxfId="1" priority="2740" operator="equal">
      <formula>"未完成"</formula>
    </cfRule>
    <cfRule type="cellIs" dxfId="0" priority="2750" operator="equal">
      <formula>"未完成"</formula>
    </cfRule>
  </conditionalFormatting>
  <conditionalFormatting sqref="AU189:AV189">
    <cfRule type="cellIs" dxfId="1" priority="2800" operator="equal">
      <formula>"未完成"</formula>
    </cfRule>
    <cfRule type="cellIs" dxfId="0" priority="2810" operator="equal">
      <formula>"未完成"</formula>
    </cfRule>
  </conditionalFormatting>
  <conditionalFormatting sqref="R190">
    <cfRule type="cellIs" dxfId="0" priority="2709" operator="equal">
      <formula>"欠"</formula>
    </cfRule>
  </conditionalFormatting>
  <conditionalFormatting sqref="T190:U190">
    <cfRule type="cellIs" dxfId="0" priority="2639" operator="equal">
      <formula>"欠"</formula>
    </cfRule>
  </conditionalFormatting>
  <conditionalFormatting sqref="AE190">
    <cfRule type="cellIs" dxfId="0" priority="2819" operator="equal">
      <formula>"未完成"</formula>
    </cfRule>
  </conditionalFormatting>
  <conditionalFormatting sqref="AI190:AJ190">
    <cfRule type="cellIs" dxfId="1" priority="2829" operator="equal">
      <formula>"未完成"</formula>
    </cfRule>
    <cfRule type="cellIs" dxfId="0" priority="2839" operator="equal">
      <formula>"未完成"</formula>
    </cfRule>
  </conditionalFormatting>
  <conditionalFormatting sqref="AK190">
    <cfRule type="cellIs" dxfId="1" priority="2719" operator="equal">
      <formula>"未完成"</formula>
    </cfRule>
    <cfRule type="cellIs" dxfId="0" priority="2729" operator="equal">
      <formula>"未完成"</formula>
    </cfRule>
  </conditionalFormatting>
  <conditionalFormatting sqref="AL190">
    <cfRule type="cellIs" dxfId="1" priority="2759" operator="equal">
      <formula>"未完成"</formula>
    </cfRule>
    <cfRule type="cellIs" dxfId="0" priority="2769" operator="equal">
      <formula>"未完成"</formula>
    </cfRule>
  </conditionalFormatting>
  <conditionalFormatting sqref="AM190">
    <cfRule type="cellIs" dxfId="1" priority="2669" operator="equal">
      <formula>"未完成"</formula>
    </cfRule>
    <cfRule type="cellIs" dxfId="0" priority="2679" operator="equal">
      <formula>"未完成"</formula>
    </cfRule>
  </conditionalFormatting>
  <conditionalFormatting sqref="AP190">
    <cfRule type="cellIs" dxfId="1" priority="2649" operator="equal">
      <formula>"未完成"</formula>
    </cfRule>
    <cfRule type="cellIs" dxfId="0" priority="2659" operator="equal">
      <formula>"未完成"</formula>
    </cfRule>
  </conditionalFormatting>
  <conditionalFormatting sqref="AQ190">
    <cfRule type="cellIs" dxfId="1" priority="2779" operator="equal">
      <formula>"未完成"</formula>
    </cfRule>
    <cfRule type="cellIs" dxfId="0" priority="2789" operator="equal">
      <formula>"未完成"</formula>
    </cfRule>
  </conditionalFormatting>
  <conditionalFormatting sqref="AS190">
    <cfRule type="cellIs" dxfId="1" priority="2689" operator="equal">
      <formula>"未完成"</formula>
    </cfRule>
    <cfRule type="cellIs" dxfId="0" priority="2699" operator="equal">
      <formula>"未完成"</formula>
    </cfRule>
  </conditionalFormatting>
  <conditionalFormatting sqref="AT190">
    <cfRule type="cellIs" dxfId="1" priority="2739" operator="equal">
      <formula>"未完成"</formula>
    </cfRule>
    <cfRule type="cellIs" dxfId="0" priority="2749" operator="equal">
      <formula>"未完成"</formula>
    </cfRule>
  </conditionalFormatting>
  <conditionalFormatting sqref="AU190:AV190">
    <cfRule type="cellIs" dxfId="1" priority="2799" operator="equal">
      <formula>"未完成"</formula>
    </cfRule>
    <cfRule type="cellIs" dxfId="0" priority="2809" operator="equal">
      <formula>"未完成"</formula>
    </cfRule>
  </conditionalFormatting>
  <conditionalFormatting sqref="R191">
    <cfRule type="cellIs" dxfId="0" priority="2353" operator="equal">
      <formula>"欠"</formula>
    </cfRule>
  </conditionalFormatting>
  <conditionalFormatting sqref="T191:U191">
    <cfRule type="cellIs" dxfId="0" priority="2234" operator="equal">
      <formula>"欠"</formula>
    </cfRule>
  </conditionalFormatting>
  <conditionalFormatting sqref="AE191">
    <cfRule type="cellIs" dxfId="0" priority="2540" operator="equal">
      <formula>"未完成"</formula>
    </cfRule>
  </conditionalFormatting>
  <conditionalFormatting sqref="AI191:AJ191">
    <cfRule type="cellIs" dxfId="1" priority="2557" operator="equal">
      <formula>"未完成"</formula>
    </cfRule>
    <cfRule type="cellIs" dxfId="0" priority="2574" operator="equal">
      <formula>"未完成"</formula>
    </cfRule>
  </conditionalFormatting>
  <conditionalFormatting sqref="AK191">
    <cfRule type="cellIs" dxfId="1" priority="2370" operator="equal">
      <formula>"未完成"</formula>
    </cfRule>
    <cfRule type="cellIs" dxfId="0" priority="2387" operator="equal">
      <formula>"未完成"</formula>
    </cfRule>
  </conditionalFormatting>
  <conditionalFormatting sqref="AL191">
    <cfRule type="cellIs" dxfId="1" priority="2438" operator="equal">
      <formula>"未完成"</formula>
    </cfRule>
    <cfRule type="cellIs" dxfId="0" priority="2455" operator="equal">
      <formula>"未完成"</formula>
    </cfRule>
  </conditionalFormatting>
  <conditionalFormatting sqref="AM191">
    <cfRule type="cellIs" dxfId="1" priority="2285" operator="equal">
      <formula>"未完成"</formula>
    </cfRule>
    <cfRule type="cellIs" dxfId="0" priority="2302" operator="equal">
      <formula>"未完成"</formula>
    </cfRule>
  </conditionalFormatting>
  <conditionalFormatting sqref="AP191">
    <cfRule type="cellIs" dxfId="1" priority="2251" operator="equal">
      <formula>"未完成"</formula>
    </cfRule>
    <cfRule type="cellIs" dxfId="0" priority="2268" operator="equal">
      <formula>"未完成"</formula>
    </cfRule>
  </conditionalFormatting>
  <conditionalFormatting sqref="AQ191">
    <cfRule type="cellIs" dxfId="1" priority="2472" operator="equal">
      <formula>"未完成"</formula>
    </cfRule>
    <cfRule type="cellIs" dxfId="0" priority="2489" operator="equal">
      <formula>"未完成"</formula>
    </cfRule>
  </conditionalFormatting>
  <conditionalFormatting sqref="AS191">
    <cfRule type="cellIs" dxfId="1" priority="2319" operator="equal">
      <formula>"未完成"</formula>
    </cfRule>
    <cfRule type="cellIs" dxfId="0" priority="2336" operator="equal">
      <formula>"未完成"</formula>
    </cfRule>
  </conditionalFormatting>
  <conditionalFormatting sqref="AT191">
    <cfRule type="cellIs" dxfId="1" priority="2404" operator="equal">
      <formula>"未完成"</formula>
    </cfRule>
    <cfRule type="cellIs" dxfId="0" priority="2421" operator="equal">
      <formula>"未完成"</formula>
    </cfRule>
  </conditionalFormatting>
  <conditionalFormatting sqref="AU191:AV191">
    <cfRule type="cellIs" dxfId="1" priority="2506" operator="equal">
      <formula>"未完成"</formula>
    </cfRule>
    <cfRule type="cellIs" dxfId="0" priority="2523" operator="equal">
      <formula>"未完成"</formula>
    </cfRule>
  </conditionalFormatting>
  <conditionalFormatting sqref="R192">
    <cfRule type="cellIs" dxfId="0" priority="2352" operator="equal">
      <formula>"欠"</formula>
    </cfRule>
  </conditionalFormatting>
  <conditionalFormatting sqref="T192:U192">
    <cfRule type="cellIs" dxfId="0" priority="2233" operator="equal">
      <formula>"欠"</formula>
    </cfRule>
  </conditionalFormatting>
  <conditionalFormatting sqref="AE192">
    <cfRule type="cellIs" dxfId="0" priority="2539" operator="equal">
      <formula>"未完成"</formula>
    </cfRule>
  </conditionalFormatting>
  <conditionalFormatting sqref="AI192:AJ192">
    <cfRule type="cellIs" dxfId="1" priority="2556" operator="equal">
      <formula>"未完成"</formula>
    </cfRule>
    <cfRule type="cellIs" dxfId="0" priority="2573" operator="equal">
      <formula>"未完成"</formula>
    </cfRule>
  </conditionalFormatting>
  <conditionalFormatting sqref="AL192">
    <cfRule type="cellIs" dxfId="1" priority="2437" operator="equal">
      <formula>"未完成"</formula>
    </cfRule>
    <cfRule type="cellIs" dxfId="0" priority="2454" operator="equal">
      <formula>"未完成"</formula>
    </cfRule>
  </conditionalFormatting>
  <conditionalFormatting sqref="AP192">
    <cfRule type="cellIs" dxfId="1" priority="2250" operator="equal">
      <formula>"未完成"</formula>
    </cfRule>
    <cfRule type="cellIs" dxfId="0" priority="2267" operator="equal">
      <formula>"未完成"</formula>
    </cfRule>
  </conditionalFormatting>
  <conditionalFormatting sqref="AQ192">
    <cfRule type="cellIs" dxfId="1" priority="2471" operator="equal">
      <formula>"未完成"</formula>
    </cfRule>
    <cfRule type="cellIs" dxfId="0" priority="2488" operator="equal">
      <formula>"未完成"</formula>
    </cfRule>
  </conditionalFormatting>
  <conditionalFormatting sqref="AS192">
    <cfRule type="cellIs" dxfId="1" priority="2318" operator="equal">
      <formula>"未完成"</formula>
    </cfRule>
    <cfRule type="cellIs" dxfId="0" priority="2335" operator="equal">
      <formula>"未完成"</formula>
    </cfRule>
  </conditionalFormatting>
  <conditionalFormatting sqref="AT192">
    <cfRule type="cellIs" dxfId="1" priority="2403" operator="equal">
      <formula>"未完成"</formula>
    </cfRule>
    <cfRule type="cellIs" dxfId="0" priority="2420" operator="equal">
      <formula>"未完成"</formula>
    </cfRule>
  </conditionalFormatting>
  <conditionalFormatting sqref="AU192:AV192">
    <cfRule type="cellIs" dxfId="1" priority="2505" operator="equal">
      <formula>"未完成"</formula>
    </cfRule>
    <cfRule type="cellIs" dxfId="0" priority="2522" operator="equal">
      <formula>"未完成"</formula>
    </cfRule>
  </conditionalFormatting>
  <conditionalFormatting sqref="R193">
    <cfRule type="cellIs" dxfId="0" priority="2351" operator="equal">
      <formula>"欠"</formula>
    </cfRule>
  </conditionalFormatting>
  <conditionalFormatting sqref="T193:U193">
    <cfRule type="cellIs" dxfId="0" priority="2232" operator="equal">
      <formula>"欠"</formula>
    </cfRule>
  </conditionalFormatting>
  <conditionalFormatting sqref="AE193">
    <cfRule type="cellIs" dxfId="0" priority="2538" operator="equal">
      <formula>"未完成"</formula>
    </cfRule>
  </conditionalFormatting>
  <conditionalFormatting sqref="AI193:AJ193">
    <cfRule type="cellIs" dxfId="1" priority="2555" operator="equal">
      <formula>"未完成"</formula>
    </cfRule>
    <cfRule type="cellIs" dxfId="0" priority="2572" operator="equal">
      <formula>"未完成"</formula>
    </cfRule>
  </conditionalFormatting>
  <conditionalFormatting sqref="AK193">
    <cfRule type="cellIs" dxfId="1" priority="2368" operator="equal">
      <formula>"未完成"</formula>
    </cfRule>
    <cfRule type="cellIs" dxfId="0" priority="2385" operator="equal">
      <formula>"未完成"</formula>
    </cfRule>
  </conditionalFormatting>
  <conditionalFormatting sqref="AL193">
    <cfRule type="cellIs" dxfId="1" priority="2436" operator="equal">
      <formula>"未完成"</formula>
    </cfRule>
    <cfRule type="cellIs" dxfId="0" priority="2453" operator="equal">
      <formula>"未完成"</formula>
    </cfRule>
  </conditionalFormatting>
  <conditionalFormatting sqref="AM193">
    <cfRule type="cellIs" dxfId="1" priority="2283" operator="equal">
      <formula>"未完成"</formula>
    </cfRule>
    <cfRule type="cellIs" dxfId="0" priority="2300" operator="equal">
      <formula>"未完成"</formula>
    </cfRule>
  </conditionalFormatting>
  <conditionalFormatting sqref="AP193">
    <cfRule type="cellIs" dxfId="1" priority="2249" operator="equal">
      <formula>"未完成"</formula>
    </cfRule>
    <cfRule type="cellIs" dxfId="0" priority="2266" operator="equal">
      <formula>"未完成"</formula>
    </cfRule>
  </conditionalFormatting>
  <conditionalFormatting sqref="AQ193">
    <cfRule type="cellIs" dxfId="1" priority="2470" operator="equal">
      <formula>"未完成"</formula>
    </cfRule>
    <cfRule type="cellIs" dxfId="0" priority="2487" operator="equal">
      <formula>"未完成"</formula>
    </cfRule>
  </conditionalFormatting>
  <conditionalFormatting sqref="AS193">
    <cfRule type="cellIs" dxfId="1" priority="2317" operator="equal">
      <formula>"未完成"</formula>
    </cfRule>
    <cfRule type="cellIs" dxfId="0" priority="2334" operator="equal">
      <formula>"未完成"</formula>
    </cfRule>
  </conditionalFormatting>
  <conditionalFormatting sqref="AT193">
    <cfRule type="cellIs" dxfId="1" priority="2402" operator="equal">
      <formula>"未完成"</formula>
    </cfRule>
    <cfRule type="cellIs" dxfId="0" priority="2419" operator="equal">
      <formula>"未完成"</formula>
    </cfRule>
  </conditionalFormatting>
  <conditionalFormatting sqref="AU193:AV193">
    <cfRule type="cellIs" dxfId="1" priority="2504" operator="equal">
      <formula>"未完成"</formula>
    </cfRule>
    <cfRule type="cellIs" dxfId="0" priority="2521" operator="equal">
      <formula>"未完成"</formula>
    </cfRule>
  </conditionalFormatting>
  <conditionalFormatting sqref="R194">
    <cfRule type="cellIs" dxfId="0" priority="2350" operator="equal">
      <formula>"欠"</formula>
    </cfRule>
  </conditionalFormatting>
  <conditionalFormatting sqref="T194:U194">
    <cfRule type="cellIs" dxfId="0" priority="2231" operator="equal">
      <formula>"欠"</formula>
    </cfRule>
  </conditionalFormatting>
  <conditionalFormatting sqref="AE194">
    <cfRule type="cellIs" dxfId="0" priority="2537" operator="equal">
      <formula>"未完成"</formula>
    </cfRule>
  </conditionalFormatting>
  <conditionalFormatting sqref="AI194:AJ194">
    <cfRule type="cellIs" dxfId="1" priority="2554" operator="equal">
      <formula>"未完成"</formula>
    </cfRule>
    <cfRule type="cellIs" dxfId="0" priority="2571" operator="equal">
      <formula>"未完成"</formula>
    </cfRule>
  </conditionalFormatting>
  <conditionalFormatting sqref="AK194">
    <cfRule type="cellIs" dxfId="1" priority="2367" operator="equal">
      <formula>"未完成"</formula>
    </cfRule>
    <cfRule type="cellIs" dxfId="0" priority="2384" operator="equal">
      <formula>"未完成"</formula>
    </cfRule>
  </conditionalFormatting>
  <conditionalFormatting sqref="AL194">
    <cfRule type="cellIs" dxfId="1" priority="2435" operator="equal">
      <formula>"未完成"</formula>
    </cfRule>
    <cfRule type="cellIs" dxfId="0" priority="2452" operator="equal">
      <formula>"未完成"</formula>
    </cfRule>
  </conditionalFormatting>
  <conditionalFormatting sqref="AM194">
    <cfRule type="cellIs" dxfId="1" priority="2282" operator="equal">
      <formula>"未完成"</formula>
    </cfRule>
    <cfRule type="cellIs" dxfId="0" priority="2299" operator="equal">
      <formula>"未完成"</formula>
    </cfRule>
  </conditionalFormatting>
  <conditionalFormatting sqref="AP194">
    <cfRule type="cellIs" dxfId="1" priority="2248" operator="equal">
      <formula>"未完成"</formula>
    </cfRule>
    <cfRule type="cellIs" dxfId="0" priority="2265" operator="equal">
      <formula>"未完成"</formula>
    </cfRule>
  </conditionalFormatting>
  <conditionalFormatting sqref="AQ194">
    <cfRule type="cellIs" dxfId="1" priority="2469" operator="equal">
      <formula>"未完成"</formula>
    </cfRule>
    <cfRule type="cellIs" dxfId="0" priority="2486" operator="equal">
      <formula>"未完成"</formula>
    </cfRule>
  </conditionalFormatting>
  <conditionalFormatting sqref="AS194">
    <cfRule type="cellIs" dxfId="1" priority="2316" operator="equal">
      <formula>"未完成"</formula>
    </cfRule>
    <cfRule type="cellIs" dxfId="0" priority="2333" operator="equal">
      <formula>"未完成"</formula>
    </cfRule>
  </conditionalFormatting>
  <conditionalFormatting sqref="AT194">
    <cfRule type="cellIs" dxfId="1" priority="2401" operator="equal">
      <formula>"未完成"</formula>
    </cfRule>
    <cfRule type="cellIs" dxfId="0" priority="2418" operator="equal">
      <formula>"未完成"</formula>
    </cfRule>
  </conditionalFormatting>
  <conditionalFormatting sqref="AU194:AV194">
    <cfRule type="cellIs" dxfId="1" priority="2503" operator="equal">
      <formula>"未完成"</formula>
    </cfRule>
    <cfRule type="cellIs" dxfId="0" priority="2520" operator="equal">
      <formula>"未完成"</formula>
    </cfRule>
  </conditionalFormatting>
  <conditionalFormatting sqref="T195:U195">
    <cfRule type="cellIs" dxfId="0" priority="2230" operator="equal">
      <formula>"欠"</formula>
    </cfRule>
  </conditionalFormatting>
  <conditionalFormatting sqref="AE195">
    <cfRule type="cellIs" dxfId="0" priority="2536" operator="equal">
      <formula>"未完成"</formula>
    </cfRule>
  </conditionalFormatting>
  <conditionalFormatting sqref="AI195:AJ195">
    <cfRule type="cellIs" dxfId="1" priority="2553" operator="equal">
      <formula>"未完成"</formula>
    </cfRule>
    <cfRule type="cellIs" dxfId="0" priority="2570" operator="equal">
      <formula>"未完成"</formula>
    </cfRule>
  </conditionalFormatting>
  <conditionalFormatting sqref="AL195">
    <cfRule type="cellIs" dxfId="1" priority="2434" operator="equal">
      <formula>"未完成"</formula>
    </cfRule>
    <cfRule type="cellIs" dxfId="0" priority="2451" operator="equal">
      <formula>"未完成"</formula>
    </cfRule>
  </conditionalFormatting>
  <conditionalFormatting sqref="AM195">
    <cfRule type="cellIs" dxfId="1" priority="2281" operator="equal">
      <formula>"未完成"</formula>
    </cfRule>
    <cfRule type="cellIs" dxfId="0" priority="2298" operator="equal">
      <formula>"未完成"</formula>
    </cfRule>
  </conditionalFormatting>
  <conditionalFormatting sqref="AQ195">
    <cfRule type="cellIs" dxfId="1" priority="2468" operator="equal">
      <formula>"未完成"</formula>
    </cfRule>
    <cfRule type="cellIs" dxfId="0" priority="2485" operator="equal">
      <formula>"未完成"</formula>
    </cfRule>
  </conditionalFormatting>
  <conditionalFormatting sqref="AS195">
    <cfRule type="cellIs" dxfId="1" priority="2315" operator="equal">
      <formula>"未完成"</formula>
    </cfRule>
    <cfRule type="cellIs" dxfId="0" priority="2332" operator="equal">
      <formula>"未完成"</formula>
    </cfRule>
  </conditionalFormatting>
  <conditionalFormatting sqref="AT195">
    <cfRule type="cellIs" dxfId="1" priority="2400" operator="equal">
      <formula>"未完成"</formula>
    </cfRule>
    <cfRule type="cellIs" dxfId="0" priority="2417" operator="equal">
      <formula>"未完成"</formula>
    </cfRule>
  </conditionalFormatting>
  <conditionalFormatting sqref="AU195:AV195">
    <cfRule type="cellIs" dxfId="1" priority="2502" operator="equal">
      <formula>"未完成"</formula>
    </cfRule>
    <cfRule type="cellIs" dxfId="0" priority="2519" operator="equal">
      <formula>"未完成"</formula>
    </cfRule>
  </conditionalFormatting>
  <conditionalFormatting sqref="R196">
    <cfRule type="cellIs" dxfId="0" priority="2348" operator="equal">
      <formula>"欠"</formula>
    </cfRule>
  </conditionalFormatting>
  <conditionalFormatting sqref="T196:U196">
    <cfRule type="cellIs" dxfId="0" priority="2229" operator="equal">
      <formula>"欠"</formula>
    </cfRule>
  </conditionalFormatting>
  <conditionalFormatting sqref="AE196">
    <cfRule type="cellIs" dxfId="0" priority="2535" operator="equal">
      <formula>"未完成"</formula>
    </cfRule>
  </conditionalFormatting>
  <conditionalFormatting sqref="AI196:AJ196">
    <cfRule type="cellIs" dxfId="1" priority="2552" operator="equal">
      <formula>"未完成"</formula>
    </cfRule>
    <cfRule type="cellIs" dxfId="0" priority="2569" operator="equal">
      <formula>"未完成"</formula>
    </cfRule>
  </conditionalFormatting>
  <conditionalFormatting sqref="AK196">
    <cfRule type="cellIs" dxfId="1" priority="2365" operator="equal">
      <formula>"未完成"</formula>
    </cfRule>
    <cfRule type="cellIs" dxfId="0" priority="2382" operator="equal">
      <formula>"未完成"</formula>
    </cfRule>
  </conditionalFormatting>
  <conditionalFormatting sqref="AL196">
    <cfRule type="cellIs" dxfId="1" priority="2433" operator="equal">
      <formula>"未完成"</formula>
    </cfRule>
    <cfRule type="cellIs" dxfId="0" priority="2450" operator="equal">
      <formula>"未完成"</formula>
    </cfRule>
  </conditionalFormatting>
  <conditionalFormatting sqref="AM196">
    <cfRule type="cellIs" dxfId="1" priority="2280" operator="equal">
      <formula>"未完成"</formula>
    </cfRule>
    <cfRule type="cellIs" dxfId="0" priority="2297" operator="equal">
      <formula>"未完成"</formula>
    </cfRule>
  </conditionalFormatting>
  <conditionalFormatting sqref="AP196">
    <cfRule type="cellIs" dxfId="1" priority="2246" operator="equal">
      <formula>"未完成"</formula>
    </cfRule>
    <cfRule type="cellIs" dxfId="0" priority="2263" operator="equal">
      <formula>"未完成"</formula>
    </cfRule>
  </conditionalFormatting>
  <conditionalFormatting sqref="AQ196">
    <cfRule type="cellIs" dxfId="1" priority="2467" operator="equal">
      <formula>"未完成"</formula>
    </cfRule>
    <cfRule type="cellIs" dxfId="0" priority="2484" operator="equal">
      <formula>"未完成"</formula>
    </cfRule>
  </conditionalFormatting>
  <conditionalFormatting sqref="AS196">
    <cfRule type="cellIs" dxfId="1" priority="2314" operator="equal">
      <formula>"未完成"</formula>
    </cfRule>
    <cfRule type="cellIs" dxfId="0" priority="2331" operator="equal">
      <formula>"未完成"</formula>
    </cfRule>
  </conditionalFormatting>
  <conditionalFormatting sqref="AT196">
    <cfRule type="cellIs" dxfId="1" priority="2399" operator="equal">
      <formula>"未完成"</formula>
    </cfRule>
    <cfRule type="cellIs" dxfId="0" priority="2416" operator="equal">
      <formula>"未完成"</formula>
    </cfRule>
  </conditionalFormatting>
  <conditionalFormatting sqref="AU196:AV196">
    <cfRule type="cellIs" dxfId="1" priority="2501" operator="equal">
      <formula>"未完成"</formula>
    </cfRule>
    <cfRule type="cellIs" dxfId="0" priority="2518" operator="equal">
      <formula>"未完成"</formula>
    </cfRule>
  </conditionalFormatting>
  <conditionalFormatting sqref="R197">
    <cfRule type="cellIs" dxfId="0" priority="2347" operator="equal">
      <formula>"欠"</formula>
    </cfRule>
  </conditionalFormatting>
  <conditionalFormatting sqref="T197:U197">
    <cfRule type="cellIs" dxfId="0" priority="2228" operator="equal">
      <formula>"欠"</formula>
    </cfRule>
  </conditionalFormatting>
  <conditionalFormatting sqref="AE197">
    <cfRule type="cellIs" dxfId="0" priority="2534" operator="equal">
      <formula>"未完成"</formula>
    </cfRule>
  </conditionalFormatting>
  <conditionalFormatting sqref="AI197:AJ197">
    <cfRule type="cellIs" dxfId="1" priority="2551" operator="equal">
      <formula>"未完成"</formula>
    </cfRule>
    <cfRule type="cellIs" dxfId="0" priority="2568" operator="equal">
      <formula>"未完成"</formula>
    </cfRule>
  </conditionalFormatting>
  <conditionalFormatting sqref="AK197">
    <cfRule type="cellIs" dxfId="1" priority="2364" operator="equal">
      <formula>"未完成"</formula>
    </cfRule>
    <cfRule type="cellIs" dxfId="0" priority="2381" operator="equal">
      <formula>"未完成"</formula>
    </cfRule>
  </conditionalFormatting>
  <conditionalFormatting sqref="AL197">
    <cfRule type="cellIs" dxfId="1" priority="2432" operator="equal">
      <formula>"未完成"</formula>
    </cfRule>
    <cfRule type="cellIs" dxfId="0" priority="2449" operator="equal">
      <formula>"未完成"</formula>
    </cfRule>
  </conditionalFormatting>
  <conditionalFormatting sqref="AM197">
    <cfRule type="cellIs" dxfId="1" priority="2279" operator="equal">
      <formula>"未完成"</formula>
    </cfRule>
    <cfRule type="cellIs" dxfId="0" priority="2296" operator="equal">
      <formula>"未完成"</formula>
    </cfRule>
  </conditionalFormatting>
  <conditionalFormatting sqref="AP197">
    <cfRule type="cellIs" dxfId="1" priority="2245" operator="equal">
      <formula>"未完成"</formula>
    </cfRule>
    <cfRule type="cellIs" dxfId="0" priority="2262" operator="equal">
      <formula>"未完成"</formula>
    </cfRule>
  </conditionalFormatting>
  <conditionalFormatting sqref="AQ197">
    <cfRule type="cellIs" dxfId="1" priority="2466" operator="equal">
      <formula>"未完成"</formula>
    </cfRule>
    <cfRule type="cellIs" dxfId="0" priority="2483" operator="equal">
      <formula>"未完成"</formula>
    </cfRule>
  </conditionalFormatting>
  <conditionalFormatting sqref="AS197">
    <cfRule type="cellIs" dxfId="1" priority="2313" operator="equal">
      <formula>"未完成"</formula>
    </cfRule>
    <cfRule type="cellIs" dxfId="0" priority="2330" operator="equal">
      <formula>"未完成"</formula>
    </cfRule>
  </conditionalFormatting>
  <conditionalFormatting sqref="AT197">
    <cfRule type="cellIs" dxfId="1" priority="2398" operator="equal">
      <formula>"未完成"</formula>
    </cfRule>
    <cfRule type="cellIs" dxfId="0" priority="2415" operator="equal">
      <formula>"未完成"</formula>
    </cfRule>
  </conditionalFormatting>
  <conditionalFormatting sqref="AU197:AV197">
    <cfRule type="cellIs" dxfId="1" priority="2500" operator="equal">
      <formula>"未完成"</formula>
    </cfRule>
    <cfRule type="cellIs" dxfId="0" priority="2517" operator="equal">
      <formula>"未完成"</formula>
    </cfRule>
  </conditionalFormatting>
  <conditionalFormatting sqref="R198">
    <cfRule type="cellIs" dxfId="0" priority="2346" operator="equal">
      <formula>"欠"</formula>
    </cfRule>
  </conditionalFormatting>
  <conditionalFormatting sqref="T198:U198">
    <cfRule type="cellIs" dxfId="0" priority="2227" operator="equal">
      <formula>"欠"</formula>
    </cfRule>
  </conditionalFormatting>
  <conditionalFormatting sqref="AE198">
    <cfRule type="cellIs" dxfId="0" priority="2533" operator="equal">
      <formula>"未完成"</formula>
    </cfRule>
  </conditionalFormatting>
  <conditionalFormatting sqref="AI198:AJ198">
    <cfRule type="cellIs" dxfId="1" priority="2550" operator="equal">
      <formula>"未完成"</formula>
    </cfRule>
    <cfRule type="cellIs" dxfId="0" priority="2567" operator="equal">
      <formula>"未完成"</formula>
    </cfRule>
  </conditionalFormatting>
  <conditionalFormatting sqref="AK198">
    <cfRule type="cellIs" dxfId="1" priority="2363" operator="equal">
      <formula>"未完成"</formula>
    </cfRule>
    <cfRule type="cellIs" dxfId="0" priority="2380" operator="equal">
      <formula>"未完成"</formula>
    </cfRule>
  </conditionalFormatting>
  <conditionalFormatting sqref="AL198">
    <cfRule type="cellIs" dxfId="1" priority="2431" operator="equal">
      <formula>"未完成"</formula>
    </cfRule>
    <cfRule type="cellIs" dxfId="0" priority="2448" operator="equal">
      <formula>"未完成"</formula>
    </cfRule>
  </conditionalFormatting>
  <conditionalFormatting sqref="AM198">
    <cfRule type="cellIs" dxfId="1" priority="2278" operator="equal">
      <formula>"未完成"</formula>
    </cfRule>
    <cfRule type="cellIs" dxfId="0" priority="2295" operator="equal">
      <formula>"未完成"</formula>
    </cfRule>
  </conditionalFormatting>
  <conditionalFormatting sqref="AP198">
    <cfRule type="cellIs" dxfId="1" priority="2244" operator="equal">
      <formula>"未完成"</formula>
    </cfRule>
    <cfRule type="cellIs" dxfId="0" priority="2261" operator="equal">
      <formula>"未完成"</formula>
    </cfRule>
  </conditionalFormatting>
  <conditionalFormatting sqref="AQ198">
    <cfRule type="cellIs" dxfId="1" priority="2465" operator="equal">
      <formula>"未完成"</formula>
    </cfRule>
    <cfRule type="cellIs" dxfId="0" priority="2482" operator="equal">
      <formula>"未完成"</formula>
    </cfRule>
  </conditionalFormatting>
  <conditionalFormatting sqref="AS198">
    <cfRule type="cellIs" dxfId="1" priority="2312" operator="equal">
      <formula>"未完成"</formula>
    </cfRule>
    <cfRule type="cellIs" dxfId="0" priority="2329" operator="equal">
      <formula>"未完成"</formula>
    </cfRule>
  </conditionalFormatting>
  <conditionalFormatting sqref="AT198">
    <cfRule type="cellIs" dxfId="1" priority="2397" operator="equal">
      <formula>"未完成"</formula>
    </cfRule>
    <cfRule type="cellIs" dxfId="0" priority="2414" operator="equal">
      <formula>"未完成"</formula>
    </cfRule>
  </conditionalFormatting>
  <conditionalFormatting sqref="AU198:AV198">
    <cfRule type="cellIs" dxfId="1" priority="2499" operator="equal">
      <formula>"未完成"</formula>
    </cfRule>
    <cfRule type="cellIs" dxfId="0" priority="2516" operator="equal">
      <formula>"未完成"</formula>
    </cfRule>
  </conditionalFormatting>
  <conditionalFormatting sqref="R199">
    <cfRule type="cellIs" dxfId="0" priority="2345" operator="equal">
      <formula>"欠"</formula>
    </cfRule>
  </conditionalFormatting>
  <conditionalFormatting sqref="T199:U199">
    <cfRule type="cellIs" dxfId="0" priority="2226" operator="equal">
      <formula>"欠"</formula>
    </cfRule>
  </conditionalFormatting>
  <conditionalFormatting sqref="AE199">
    <cfRule type="cellIs" dxfId="0" priority="2532" operator="equal">
      <formula>"未完成"</formula>
    </cfRule>
  </conditionalFormatting>
  <conditionalFormatting sqref="AI199:AJ199">
    <cfRule type="cellIs" dxfId="1" priority="2549" operator="equal">
      <formula>"未完成"</formula>
    </cfRule>
    <cfRule type="cellIs" dxfId="0" priority="2566" operator="equal">
      <formula>"未完成"</formula>
    </cfRule>
  </conditionalFormatting>
  <conditionalFormatting sqref="AK199">
    <cfRule type="cellIs" dxfId="1" priority="2362" operator="equal">
      <formula>"未完成"</formula>
    </cfRule>
    <cfRule type="cellIs" dxfId="0" priority="2379" operator="equal">
      <formula>"未完成"</formula>
    </cfRule>
  </conditionalFormatting>
  <conditionalFormatting sqref="AL199">
    <cfRule type="cellIs" dxfId="1" priority="2430" operator="equal">
      <formula>"未完成"</formula>
    </cfRule>
    <cfRule type="cellIs" dxfId="0" priority="2447" operator="equal">
      <formula>"未完成"</formula>
    </cfRule>
  </conditionalFormatting>
  <conditionalFormatting sqref="AM199">
    <cfRule type="cellIs" dxfId="1" priority="2277" operator="equal">
      <formula>"未完成"</formula>
    </cfRule>
    <cfRule type="cellIs" dxfId="0" priority="2294" operator="equal">
      <formula>"未完成"</formula>
    </cfRule>
  </conditionalFormatting>
  <conditionalFormatting sqref="AP199">
    <cfRule type="cellIs" dxfId="1" priority="2243" operator="equal">
      <formula>"未完成"</formula>
    </cfRule>
    <cfRule type="cellIs" dxfId="0" priority="2260" operator="equal">
      <formula>"未完成"</formula>
    </cfRule>
  </conditionalFormatting>
  <conditionalFormatting sqref="AQ199">
    <cfRule type="cellIs" dxfId="1" priority="2464" operator="equal">
      <formula>"未完成"</formula>
    </cfRule>
    <cfRule type="cellIs" dxfId="0" priority="2481" operator="equal">
      <formula>"未完成"</formula>
    </cfRule>
  </conditionalFormatting>
  <conditionalFormatting sqref="AS199">
    <cfRule type="cellIs" dxfId="1" priority="2311" operator="equal">
      <formula>"未完成"</formula>
    </cfRule>
    <cfRule type="cellIs" dxfId="0" priority="2328" operator="equal">
      <formula>"未完成"</formula>
    </cfRule>
  </conditionalFormatting>
  <conditionalFormatting sqref="AT199">
    <cfRule type="cellIs" dxfId="1" priority="2396" operator="equal">
      <formula>"未完成"</formula>
    </cfRule>
    <cfRule type="cellIs" dxfId="0" priority="2413" operator="equal">
      <formula>"未完成"</formula>
    </cfRule>
  </conditionalFormatting>
  <conditionalFormatting sqref="AU199:AV199">
    <cfRule type="cellIs" dxfId="1" priority="2498" operator="equal">
      <formula>"未完成"</formula>
    </cfRule>
    <cfRule type="cellIs" dxfId="0" priority="2515" operator="equal">
      <formula>"未完成"</formula>
    </cfRule>
  </conditionalFormatting>
  <conditionalFormatting sqref="R200">
    <cfRule type="cellIs" dxfId="0" priority="2344" operator="equal">
      <formula>"欠"</formula>
    </cfRule>
  </conditionalFormatting>
  <conditionalFormatting sqref="T200:U200">
    <cfRule type="cellIs" dxfId="0" priority="2225" operator="equal">
      <formula>"欠"</formula>
    </cfRule>
  </conditionalFormatting>
  <conditionalFormatting sqref="AE200">
    <cfRule type="cellIs" dxfId="0" priority="2531" operator="equal">
      <formula>"未完成"</formula>
    </cfRule>
  </conditionalFormatting>
  <conditionalFormatting sqref="AI200:AJ200">
    <cfRule type="cellIs" dxfId="1" priority="2548" operator="equal">
      <formula>"未完成"</formula>
    </cfRule>
    <cfRule type="cellIs" dxfId="0" priority="2565" operator="equal">
      <formula>"未完成"</formula>
    </cfRule>
  </conditionalFormatting>
  <conditionalFormatting sqref="AK200">
    <cfRule type="cellIs" dxfId="1" priority="2361" operator="equal">
      <formula>"未完成"</formula>
    </cfRule>
    <cfRule type="cellIs" dxfId="0" priority="2378" operator="equal">
      <formula>"未完成"</formula>
    </cfRule>
  </conditionalFormatting>
  <conditionalFormatting sqref="AL200">
    <cfRule type="cellIs" dxfId="1" priority="2429" operator="equal">
      <formula>"未完成"</formula>
    </cfRule>
    <cfRule type="cellIs" dxfId="0" priority="2446" operator="equal">
      <formula>"未完成"</formula>
    </cfRule>
  </conditionalFormatting>
  <conditionalFormatting sqref="AM200">
    <cfRule type="cellIs" dxfId="1" priority="2276" operator="equal">
      <formula>"未完成"</formula>
    </cfRule>
    <cfRule type="cellIs" dxfId="0" priority="2293" operator="equal">
      <formula>"未完成"</formula>
    </cfRule>
  </conditionalFormatting>
  <conditionalFormatting sqref="AP200">
    <cfRule type="cellIs" dxfId="1" priority="2242" operator="equal">
      <formula>"未完成"</formula>
    </cfRule>
    <cfRule type="cellIs" dxfId="0" priority="2259" operator="equal">
      <formula>"未完成"</formula>
    </cfRule>
  </conditionalFormatting>
  <conditionalFormatting sqref="AQ200">
    <cfRule type="cellIs" dxfId="1" priority="2463" operator="equal">
      <formula>"未完成"</formula>
    </cfRule>
    <cfRule type="cellIs" dxfId="0" priority="2480" operator="equal">
      <formula>"未完成"</formula>
    </cfRule>
  </conditionalFormatting>
  <conditionalFormatting sqref="AS200">
    <cfRule type="cellIs" dxfId="1" priority="2310" operator="equal">
      <formula>"未完成"</formula>
    </cfRule>
    <cfRule type="cellIs" dxfId="0" priority="2327" operator="equal">
      <formula>"未完成"</formula>
    </cfRule>
  </conditionalFormatting>
  <conditionalFormatting sqref="AT200">
    <cfRule type="cellIs" dxfId="1" priority="2395" operator="equal">
      <formula>"未完成"</formula>
    </cfRule>
    <cfRule type="cellIs" dxfId="0" priority="2412" operator="equal">
      <formula>"未完成"</formula>
    </cfRule>
  </conditionalFormatting>
  <conditionalFormatting sqref="AU200:AV200">
    <cfRule type="cellIs" dxfId="1" priority="2497" operator="equal">
      <formula>"未完成"</formula>
    </cfRule>
    <cfRule type="cellIs" dxfId="0" priority="2514" operator="equal">
      <formula>"未完成"</formula>
    </cfRule>
  </conditionalFormatting>
  <conditionalFormatting sqref="R201">
    <cfRule type="cellIs" dxfId="0" priority="2343" operator="equal">
      <formula>"欠"</formula>
    </cfRule>
  </conditionalFormatting>
  <conditionalFormatting sqref="T201:U201">
    <cfRule type="cellIs" dxfId="0" priority="2224" operator="equal">
      <formula>"欠"</formula>
    </cfRule>
  </conditionalFormatting>
  <conditionalFormatting sqref="AE201">
    <cfRule type="cellIs" dxfId="0" priority="2530" operator="equal">
      <formula>"未完成"</formula>
    </cfRule>
  </conditionalFormatting>
  <conditionalFormatting sqref="AI201:AJ201">
    <cfRule type="cellIs" dxfId="1" priority="2547" operator="equal">
      <formula>"未完成"</formula>
    </cfRule>
    <cfRule type="cellIs" dxfId="0" priority="2564" operator="equal">
      <formula>"未完成"</formula>
    </cfRule>
  </conditionalFormatting>
  <conditionalFormatting sqref="AK201">
    <cfRule type="cellIs" dxfId="1" priority="2360" operator="equal">
      <formula>"未完成"</formula>
    </cfRule>
    <cfRule type="cellIs" dxfId="0" priority="2377" operator="equal">
      <formula>"未完成"</formula>
    </cfRule>
  </conditionalFormatting>
  <conditionalFormatting sqref="AL201">
    <cfRule type="cellIs" dxfId="1" priority="2428" operator="equal">
      <formula>"未完成"</formula>
    </cfRule>
    <cfRule type="cellIs" dxfId="0" priority="2445" operator="equal">
      <formula>"未完成"</formula>
    </cfRule>
  </conditionalFormatting>
  <conditionalFormatting sqref="AM201">
    <cfRule type="cellIs" dxfId="1" priority="2275" operator="equal">
      <formula>"未完成"</formula>
    </cfRule>
    <cfRule type="cellIs" dxfId="0" priority="2292" operator="equal">
      <formula>"未完成"</formula>
    </cfRule>
  </conditionalFormatting>
  <conditionalFormatting sqref="AP201">
    <cfRule type="cellIs" dxfId="1" priority="2241" operator="equal">
      <formula>"未完成"</formula>
    </cfRule>
    <cfRule type="cellIs" dxfId="0" priority="2258" operator="equal">
      <formula>"未完成"</formula>
    </cfRule>
  </conditionalFormatting>
  <conditionalFormatting sqref="AQ201">
    <cfRule type="cellIs" dxfId="1" priority="2462" operator="equal">
      <formula>"未完成"</formula>
    </cfRule>
    <cfRule type="cellIs" dxfId="0" priority="2479" operator="equal">
      <formula>"未完成"</formula>
    </cfRule>
  </conditionalFormatting>
  <conditionalFormatting sqref="AS201">
    <cfRule type="cellIs" dxfId="1" priority="2309" operator="equal">
      <formula>"未完成"</formula>
    </cfRule>
    <cfRule type="cellIs" dxfId="0" priority="2326" operator="equal">
      <formula>"未完成"</formula>
    </cfRule>
  </conditionalFormatting>
  <conditionalFormatting sqref="AT201">
    <cfRule type="cellIs" dxfId="1" priority="2394" operator="equal">
      <formula>"未完成"</formula>
    </cfRule>
    <cfRule type="cellIs" dxfId="0" priority="2411" operator="equal">
      <formula>"未完成"</formula>
    </cfRule>
  </conditionalFormatting>
  <conditionalFormatting sqref="AU201:AV201">
    <cfRule type="cellIs" dxfId="1" priority="2496" operator="equal">
      <formula>"未完成"</formula>
    </cfRule>
    <cfRule type="cellIs" dxfId="0" priority="2513" operator="equal">
      <formula>"未完成"</formula>
    </cfRule>
  </conditionalFormatting>
  <conditionalFormatting sqref="R202">
    <cfRule type="cellIs" dxfId="0" priority="2342" operator="equal">
      <formula>"欠"</formula>
    </cfRule>
  </conditionalFormatting>
  <conditionalFormatting sqref="T202:U202">
    <cfRule type="cellIs" dxfId="0" priority="2223" operator="equal">
      <formula>"欠"</formula>
    </cfRule>
  </conditionalFormatting>
  <conditionalFormatting sqref="AE202">
    <cfRule type="cellIs" dxfId="0" priority="2529" operator="equal">
      <formula>"未完成"</formula>
    </cfRule>
  </conditionalFormatting>
  <conditionalFormatting sqref="AI202:AJ202">
    <cfRule type="cellIs" dxfId="1" priority="2546" operator="equal">
      <formula>"未完成"</formula>
    </cfRule>
    <cfRule type="cellIs" dxfId="0" priority="2563" operator="equal">
      <formula>"未完成"</formula>
    </cfRule>
  </conditionalFormatting>
  <conditionalFormatting sqref="AK202">
    <cfRule type="cellIs" dxfId="1" priority="2359" operator="equal">
      <formula>"未完成"</formula>
    </cfRule>
    <cfRule type="cellIs" dxfId="0" priority="2376" operator="equal">
      <formula>"未完成"</formula>
    </cfRule>
  </conditionalFormatting>
  <conditionalFormatting sqref="AL202">
    <cfRule type="cellIs" dxfId="1" priority="2427" operator="equal">
      <formula>"未完成"</formula>
    </cfRule>
    <cfRule type="cellIs" dxfId="0" priority="2444" operator="equal">
      <formula>"未完成"</formula>
    </cfRule>
  </conditionalFormatting>
  <conditionalFormatting sqref="AM202">
    <cfRule type="cellIs" dxfId="1" priority="2274" operator="equal">
      <formula>"未完成"</formula>
    </cfRule>
    <cfRule type="cellIs" dxfId="0" priority="2291" operator="equal">
      <formula>"未完成"</formula>
    </cfRule>
  </conditionalFormatting>
  <conditionalFormatting sqref="AP202">
    <cfRule type="cellIs" dxfId="1" priority="2240" operator="equal">
      <formula>"未完成"</formula>
    </cfRule>
    <cfRule type="cellIs" dxfId="0" priority="2257" operator="equal">
      <formula>"未完成"</formula>
    </cfRule>
  </conditionalFormatting>
  <conditionalFormatting sqref="AQ202">
    <cfRule type="cellIs" dxfId="1" priority="2461" operator="equal">
      <formula>"未完成"</formula>
    </cfRule>
    <cfRule type="cellIs" dxfId="0" priority="2478" operator="equal">
      <formula>"未完成"</formula>
    </cfRule>
  </conditionalFormatting>
  <conditionalFormatting sqref="AS202">
    <cfRule type="cellIs" dxfId="1" priority="2308" operator="equal">
      <formula>"未完成"</formula>
    </cfRule>
    <cfRule type="cellIs" dxfId="0" priority="2325" operator="equal">
      <formula>"未完成"</formula>
    </cfRule>
  </conditionalFormatting>
  <conditionalFormatting sqref="AT202">
    <cfRule type="cellIs" dxfId="1" priority="2393" operator="equal">
      <formula>"未完成"</formula>
    </cfRule>
    <cfRule type="cellIs" dxfId="0" priority="2410" operator="equal">
      <formula>"未完成"</formula>
    </cfRule>
  </conditionalFormatting>
  <conditionalFormatting sqref="AU202:AV202">
    <cfRule type="cellIs" dxfId="1" priority="2495" operator="equal">
      <formula>"未完成"</formula>
    </cfRule>
    <cfRule type="cellIs" dxfId="0" priority="2512" operator="equal">
      <formula>"未完成"</formula>
    </cfRule>
  </conditionalFormatting>
  <conditionalFormatting sqref="R203">
    <cfRule type="cellIs" dxfId="0" priority="2341" operator="equal">
      <formula>"欠"</formula>
    </cfRule>
  </conditionalFormatting>
  <conditionalFormatting sqref="T203:U203">
    <cfRule type="cellIs" dxfId="0" priority="2222" operator="equal">
      <formula>"欠"</formula>
    </cfRule>
  </conditionalFormatting>
  <conditionalFormatting sqref="AE203">
    <cfRule type="cellIs" dxfId="0" priority="2528" operator="equal">
      <formula>"未完成"</formula>
    </cfRule>
  </conditionalFormatting>
  <conditionalFormatting sqref="AI203:AJ203">
    <cfRule type="cellIs" dxfId="1" priority="2545" operator="equal">
      <formula>"未完成"</formula>
    </cfRule>
    <cfRule type="cellIs" dxfId="0" priority="2562" operator="equal">
      <formula>"未完成"</formula>
    </cfRule>
  </conditionalFormatting>
  <conditionalFormatting sqref="AK203">
    <cfRule type="cellIs" dxfId="1" priority="2358" operator="equal">
      <formula>"未完成"</formula>
    </cfRule>
    <cfRule type="cellIs" dxfId="0" priority="2375" operator="equal">
      <formula>"未完成"</formula>
    </cfRule>
  </conditionalFormatting>
  <conditionalFormatting sqref="AL203">
    <cfRule type="cellIs" dxfId="1" priority="2426" operator="equal">
      <formula>"未完成"</formula>
    </cfRule>
    <cfRule type="cellIs" dxfId="0" priority="2443" operator="equal">
      <formula>"未完成"</formula>
    </cfRule>
  </conditionalFormatting>
  <conditionalFormatting sqref="AM203">
    <cfRule type="cellIs" dxfId="1" priority="2273" operator="equal">
      <formula>"未完成"</formula>
    </cfRule>
    <cfRule type="cellIs" dxfId="0" priority="2290" operator="equal">
      <formula>"未完成"</formula>
    </cfRule>
  </conditionalFormatting>
  <conditionalFormatting sqref="AP203">
    <cfRule type="cellIs" dxfId="1" priority="2239" operator="equal">
      <formula>"未完成"</formula>
    </cfRule>
    <cfRule type="cellIs" dxfId="0" priority="2256" operator="equal">
      <formula>"未完成"</formula>
    </cfRule>
  </conditionalFormatting>
  <conditionalFormatting sqref="AQ203">
    <cfRule type="cellIs" dxfId="1" priority="2460" operator="equal">
      <formula>"未完成"</formula>
    </cfRule>
    <cfRule type="cellIs" dxfId="0" priority="2477" operator="equal">
      <formula>"未完成"</formula>
    </cfRule>
  </conditionalFormatting>
  <conditionalFormatting sqref="AS203">
    <cfRule type="cellIs" dxfId="1" priority="2307" operator="equal">
      <formula>"未完成"</formula>
    </cfRule>
    <cfRule type="cellIs" dxfId="0" priority="2324" operator="equal">
      <formula>"未完成"</formula>
    </cfRule>
  </conditionalFormatting>
  <conditionalFormatting sqref="AT203">
    <cfRule type="cellIs" dxfId="1" priority="2392" operator="equal">
      <formula>"未完成"</formula>
    </cfRule>
    <cfRule type="cellIs" dxfId="0" priority="2409" operator="equal">
      <formula>"未完成"</formula>
    </cfRule>
  </conditionalFormatting>
  <conditionalFormatting sqref="AU203:AV203">
    <cfRule type="cellIs" dxfId="1" priority="2494" operator="equal">
      <formula>"未完成"</formula>
    </cfRule>
    <cfRule type="cellIs" dxfId="0" priority="2511" operator="equal">
      <formula>"未完成"</formula>
    </cfRule>
  </conditionalFormatting>
  <conditionalFormatting sqref="R204">
    <cfRule type="cellIs" dxfId="0" priority="2340" operator="equal">
      <formula>"欠"</formula>
    </cfRule>
  </conditionalFormatting>
  <conditionalFormatting sqref="T204:U204">
    <cfRule type="cellIs" dxfId="0" priority="2221" operator="equal">
      <formula>"欠"</formula>
    </cfRule>
  </conditionalFormatting>
  <conditionalFormatting sqref="AE204">
    <cfRule type="cellIs" dxfId="0" priority="2527" operator="equal">
      <formula>"未完成"</formula>
    </cfRule>
  </conditionalFormatting>
  <conditionalFormatting sqref="AI204:AJ204">
    <cfRule type="cellIs" dxfId="1" priority="2544" operator="equal">
      <formula>"未完成"</formula>
    </cfRule>
    <cfRule type="cellIs" dxfId="0" priority="2561" operator="equal">
      <formula>"未完成"</formula>
    </cfRule>
  </conditionalFormatting>
  <conditionalFormatting sqref="AK204">
    <cfRule type="cellIs" dxfId="1" priority="2357" operator="equal">
      <formula>"未完成"</formula>
    </cfRule>
    <cfRule type="cellIs" dxfId="0" priority="2374" operator="equal">
      <formula>"未完成"</formula>
    </cfRule>
  </conditionalFormatting>
  <conditionalFormatting sqref="AL204">
    <cfRule type="cellIs" dxfId="1" priority="2425" operator="equal">
      <formula>"未完成"</formula>
    </cfRule>
    <cfRule type="cellIs" dxfId="0" priority="2442" operator="equal">
      <formula>"未完成"</formula>
    </cfRule>
  </conditionalFormatting>
  <conditionalFormatting sqref="AM204">
    <cfRule type="cellIs" dxfId="1" priority="2272" operator="equal">
      <formula>"未完成"</formula>
    </cfRule>
    <cfRule type="cellIs" dxfId="0" priority="2289" operator="equal">
      <formula>"未完成"</formula>
    </cfRule>
  </conditionalFormatting>
  <conditionalFormatting sqref="AP204">
    <cfRule type="cellIs" dxfId="1" priority="2238" operator="equal">
      <formula>"未完成"</formula>
    </cfRule>
    <cfRule type="cellIs" dxfId="0" priority="2255" operator="equal">
      <formula>"未完成"</formula>
    </cfRule>
  </conditionalFormatting>
  <conditionalFormatting sqref="AQ204">
    <cfRule type="cellIs" dxfId="1" priority="2459" operator="equal">
      <formula>"未完成"</formula>
    </cfRule>
    <cfRule type="cellIs" dxfId="0" priority="2476" operator="equal">
      <formula>"未完成"</formula>
    </cfRule>
  </conditionalFormatting>
  <conditionalFormatting sqref="AS204">
    <cfRule type="cellIs" dxfId="1" priority="2306" operator="equal">
      <formula>"未完成"</formula>
    </cfRule>
    <cfRule type="cellIs" dxfId="0" priority="2323" operator="equal">
      <formula>"未完成"</formula>
    </cfRule>
  </conditionalFormatting>
  <conditionalFormatting sqref="AT204">
    <cfRule type="cellIs" dxfId="1" priority="2391" operator="equal">
      <formula>"未完成"</formula>
    </cfRule>
    <cfRule type="cellIs" dxfId="0" priority="2408" operator="equal">
      <formula>"未完成"</formula>
    </cfRule>
  </conditionalFormatting>
  <conditionalFormatting sqref="AU204:AV204">
    <cfRule type="cellIs" dxfId="1" priority="2493" operator="equal">
      <formula>"未完成"</formula>
    </cfRule>
    <cfRule type="cellIs" dxfId="0" priority="2510" operator="equal">
      <formula>"未完成"</formula>
    </cfRule>
  </conditionalFormatting>
  <conditionalFormatting sqref="R205">
    <cfRule type="cellIs" dxfId="0" priority="2080" operator="equal">
      <formula>"欠"</formula>
    </cfRule>
  </conditionalFormatting>
  <conditionalFormatting sqref="T205:U205">
    <cfRule type="cellIs" dxfId="0" priority="2024" operator="equal">
      <formula>"欠"</formula>
    </cfRule>
  </conditionalFormatting>
  <conditionalFormatting sqref="AE205">
    <cfRule type="cellIs" dxfId="0" priority="2168" operator="equal">
      <formula>"未完成"</formula>
    </cfRule>
  </conditionalFormatting>
  <conditionalFormatting sqref="AI205:AJ205">
    <cfRule type="cellIs" dxfId="1" priority="2176" operator="equal">
      <formula>"未完成"</formula>
    </cfRule>
    <cfRule type="cellIs" dxfId="0" priority="2184" operator="equal">
      <formula>"未完成"</formula>
    </cfRule>
  </conditionalFormatting>
  <conditionalFormatting sqref="AK205">
    <cfRule type="cellIs" dxfId="1" priority="2088" operator="equal">
      <formula>"未完成"</formula>
    </cfRule>
    <cfRule type="cellIs" dxfId="0" priority="2096" operator="equal">
      <formula>"未完成"</formula>
    </cfRule>
  </conditionalFormatting>
  <conditionalFormatting sqref="AL205">
    <cfRule type="cellIs" dxfId="1" priority="2120" operator="equal">
      <formula>"未完成"</formula>
    </cfRule>
    <cfRule type="cellIs" dxfId="0" priority="2128" operator="equal">
      <formula>"未完成"</formula>
    </cfRule>
  </conditionalFormatting>
  <conditionalFormatting sqref="AM205">
    <cfRule type="cellIs" dxfId="1" priority="2048" operator="equal">
      <formula>"未完成"</formula>
    </cfRule>
    <cfRule type="cellIs" dxfId="0" priority="2056" operator="equal">
      <formula>"未完成"</formula>
    </cfRule>
  </conditionalFormatting>
  <conditionalFormatting sqref="AP205">
    <cfRule type="cellIs" dxfId="1" priority="2032" operator="equal">
      <formula>"未完成"</formula>
    </cfRule>
    <cfRule type="cellIs" dxfId="0" priority="2040" operator="equal">
      <formula>"未完成"</formula>
    </cfRule>
  </conditionalFormatting>
  <conditionalFormatting sqref="AQ205">
    <cfRule type="cellIs" dxfId="1" priority="2136" operator="equal">
      <formula>"未完成"</formula>
    </cfRule>
    <cfRule type="cellIs" dxfId="0" priority="2144" operator="equal">
      <formula>"未完成"</formula>
    </cfRule>
  </conditionalFormatting>
  <conditionalFormatting sqref="AS205">
    <cfRule type="cellIs" dxfId="1" priority="2064" operator="equal">
      <formula>"未完成"</formula>
    </cfRule>
    <cfRule type="cellIs" dxfId="0" priority="2072" operator="equal">
      <formula>"未完成"</formula>
    </cfRule>
  </conditionalFormatting>
  <conditionalFormatting sqref="AT205">
    <cfRule type="cellIs" dxfId="1" priority="2104" operator="equal">
      <formula>"未完成"</formula>
    </cfRule>
    <cfRule type="cellIs" dxfId="0" priority="2112" operator="equal">
      <formula>"未完成"</formula>
    </cfRule>
  </conditionalFormatting>
  <conditionalFormatting sqref="AU205:AV205">
    <cfRule type="cellIs" dxfId="1" priority="2152" operator="equal">
      <formula>"未完成"</formula>
    </cfRule>
    <cfRule type="cellIs" dxfId="0" priority="2160" operator="equal">
      <formula>"未完成"</formula>
    </cfRule>
  </conditionalFormatting>
  <conditionalFormatting sqref="R206">
    <cfRule type="cellIs" dxfId="0" priority="2339" operator="equal">
      <formula>"欠"</formula>
    </cfRule>
  </conditionalFormatting>
  <conditionalFormatting sqref="T206:U206">
    <cfRule type="cellIs" dxfId="0" priority="2220" operator="equal">
      <formula>"欠"</formula>
    </cfRule>
  </conditionalFormatting>
  <conditionalFormatting sqref="AE206">
    <cfRule type="cellIs" dxfId="0" priority="2526" operator="equal">
      <formula>"未完成"</formula>
    </cfRule>
  </conditionalFormatting>
  <conditionalFormatting sqref="AI206:AJ206">
    <cfRule type="cellIs" dxfId="1" priority="2543" operator="equal">
      <formula>"未完成"</formula>
    </cfRule>
    <cfRule type="cellIs" dxfId="0" priority="2560" operator="equal">
      <formula>"未完成"</formula>
    </cfRule>
  </conditionalFormatting>
  <conditionalFormatting sqref="AK206">
    <cfRule type="cellIs" dxfId="1" priority="2356" operator="equal">
      <formula>"未完成"</formula>
    </cfRule>
    <cfRule type="cellIs" dxfId="0" priority="2373" operator="equal">
      <formula>"未完成"</formula>
    </cfRule>
  </conditionalFormatting>
  <conditionalFormatting sqref="AL206">
    <cfRule type="cellIs" dxfId="1" priority="2424" operator="equal">
      <formula>"未完成"</formula>
    </cfRule>
    <cfRule type="cellIs" dxfId="0" priority="2441" operator="equal">
      <formula>"未完成"</formula>
    </cfRule>
  </conditionalFormatting>
  <conditionalFormatting sqref="AM206">
    <cfRule type="cellIs" dxfId="1" priority="2271" operator="equal">
      <formula>"未完成"</formula>
    </cfRule>
    <cfRule type="cellIs" dxfId="0" priority="2288" operator="equal">
      <formula>"未完成"</formula>
    </cfRule>
  </conditionalFormatting>
  <conditionalFormatting sqref="AP206">
    <cfRule type="cellIs" dxfId="1" priority="2237" operator="equal">
      <formula>"未完成"</formula>
    </cfRule>
    <cfRule type="cellIs" dxfId="0" priority="2254" operator="equal">
      <formula>"未完成"</formula>
    </cfRule>
  </conditionalFormatting>
  <conditionalFormatting sqref="AQ206">
    <cfRule type="cellIs" dxfId="1" priority="2458" operator="equal">
      <formula>"未完成"</formula>
    </cfRule>
    <cfRule type="cellIs" dxfId="0" priority="2475" operator="equal">
      <formula>"未完成"</formula>
    </cfRule>
  </conditionalFormatting>
  <conditionalFormatting sqref="AS206">
    <cfRule type="cellIs" dxfId="1" priority="2305" operator="equal">
      <formula>"未完成"</formula>
    </cfRule>
    <cfRule type="cellIs" dxfId="0" priority="2322" operator="equal">
      <formula>"未完成"</formula>
    </cfRule>
  </conditionalFormatting>
  <conditionalFormatting sqref="AT206">
    <cfRule type="cellIs" dxfId="1" priority="2390" operator="equal">
      <formula>"未完成"</formula>
    </cfRule>
    <cfRule type="cellIs" dxfId="0" priority="2407" operator="equal">
      <formula>"未完成"</formula>
    </cfRule>
  </conditionalFormatting>
  <conditionalFormatting sqref="AU206:AV206">
    <cfRule type="cellIs" dxfId="1" priority="2492" operator="equal">
      <formula>"未完成"</formula>
    </cfRule>
    <cfRule type="cellIs" dxfId="0" priority="2509" operator="equal">
      <formula>"未完成"</formula>
    </cfRule>
  </conditionalFormatting>
  <conditionalFormatting sqref="R207">
    <cfRule type="cellIs" dxfId="0" priority="2338" operator="equal">
      <formula>"欠"</formula>
    </cfRule>
  </conditionalFormatting>
  <conditionalFormatting sqref="T207:U207">
    <cfRule type="cellIs" dxfId="0" priority="2219" operator="equal">
      <formula>"欠"</formula>
    </cfRule>
  </conditionalFormatting>
  <conditionalFormatting sqref="AE207">
    <cfRule type="cellIs" dxfId="0" priority="2525" operator="equal">
      <formula>"未完成"</formula>
    </cfRule>
  </conditionalFormatting>
  <conditionalFormatting sqref="AI207:AJ207">
    <cfRule type="cellIs" dxfId="1" priority="2542" operator="equal">
      <formula>"未完成"</formula>
    </cfRule>
    <cfRule type="cellIs" dxfId="0" priority="2559" operator="equal">
      <formula>"未完成"</formula>
    </cfRule>
  </conditionalFormatting>
  <conditionalFormatting sqref="AK207">
    <cfRule type="cellIs" dxfId="1" priority="2355" operator="equal">
      <formula>"未完成"</formula>
    </cfRule>
    <cfRule type="cellIs" dxfId="0" priority="2372" operator="equal">
      <formula>"未完成"</formula>
    </cfRule>
  </conditionalFormatting>
  <conditionalFormatting sqref="AL207">
    <cfRule type="cellIs" dxfId="1" priority="2423" operator="equal">
      <formula>"未完成"</formula>
    </cfRule>
    <cfRule type="cellIs" dxfId="0" priority="2440" operator="equal">
      <formula>"未完成"</formula>
    </cfRule>
  </conditionalFormatting>
  <conditionalFormatting sqref="AM207">
    <cfRule type="cellIs" dxfId="1" priority="2270" operator="equal">
      <formula>"未完成"</formula>
    </cfRule>
    <cfRule type="cellIs" dxfId="0" priority="2287" operator="equal">
      <formula>"未完成"</formula>
    </cfRule>
  </conditionalFormatting>
  <conditionalFormatting sqref="AP207">
    <cfRule type="cellIs" dxfId="1" priority="2236" operator="equal">
      <formula>"未完成"</formula>
    </cfRule>
    <cfRule type="cellIs" dxfId="0" priority="2253" operator="equal">
      <formula>"未完成"</formula>
    </cfRule>
  </conditionalFormatting>
  <conditionalFormatting sqref="AQ207">
    <cfRule type="cellIs" dxfId="1" priority="2457" operator="equal">
      <formula>"未完成"</formula>
    </cfRule>
    <cfRule type="cellIs" dxfId="0" priority="2474" operator="equal">
      <formula>"未完成"</formula>
    </cfRule>
  </conditionalFormatting>
  <conditionalFormatting sqref="AS207">
    <cfRule type="cellIs" dxfId="1" priority="2304" operator="equal">
      <formula>"未完成"</formula>
    </cfRule>
    <cfRule type="cellIs" dxfId="0" priority="2321" operator="equal">
      <formula>"未完成"</formula>
    </cfRule>
  </conditionalFormatting>
  <conditionalFormatting sqref="AT207">
    <cfRule type="cellIs" dxfId="1" priority="2389" operator="equal">
      <formula>"未完成"</formula>
    </cfRule>
    <cfRule type="cellIs" dxfId="0" priority="2406" operator="equal">
      <formula>"未完成"</formula>
    </cfRule>
  </conditionalFormatting>
  <conditionalFormatting sqref="AU207:AV207">
    <cfRule type="cellIs" dxfId="1" priority="2491" operator="equal">
      <formula>"未完成"</formula>
    </cfRule>
    <cfRule type="cellIs" dxfId="0" priority="2508" operator="equal">
      <formula>"未完成"</formula>
    </cfRule>
  </conditionalFormatting>
  <conditionalFormatting sqref="R208">
    <cfRule type="cellIs" dxfId="0" priority="2337" operator="equal">
      <formula>"欠"</formula>
    </cfRule>
  </conditionalFormatting>
  <conditionalFormatting sqref="T208:U208">
    <cfRule type="cellIs" dxfId="0" priority="2218" operator="equal">
      <formula>"欠"</formula>
    </cfRule>
  </conditionalFormatting>
  <conditionalFormatting sqref="AE208">
    <cfRule type="cellIs" dxfId="0" priority="2524" operator="equal">
      <formula>"未完成"</formula>
    </cfRule>
  </conditionalFormatting>
  <conditionalFormatting sqref="AI208:AJ208">
    <cfRule type="cellIs" dxfId="1" priority="2541" operator="equal">
      <formula>"未完成"</formula>
    </cfRule>
    <cfRule type="cellIs" dxfId="0" priority="2558" operator="equal">
      <formula>"未完成"</formula>
    </cfRule>
  </conditionalFormatting>
  <conditionalFormatting sqref="AK208">
    <cfRule type="cellIs" dxfId="1" priority="2354" operator="equal">
      <formula>"未完成"</formula>
    </cfRule>
    <cfRule type="cellIs" dxfId="0" priority="2371" operator="equal">
      <formula>"未完成"</formula>
    </cfRule>
  </conditionalFormatting>
  <conditionalFormatting sqref="AL208">
    <cfRule type="cellIs" dxfId="1" priority="2422" operator="equal">
      <formula>"未完成"</formula>
    </cfRule>
    <cfRule type="cellIs" dxfId="0" priority="2439" operator="equal">
      <formula>"未完成"</formula>
    </cfRule>
  </conditionalFormatting>
  <conditionalFormatting sqref="AM208">
    <cfRule type="cellIs" dxfId="1" priority="2269" operator="equal">
      <formula>"未完成"</formula>
    </cfRule>
    <cfRule type="cellIs" dxfId="0" priority="2286" operator="equal">
      <formula>"未完成"</formula>
    </cfRule>
  </conditionalFormatting>
  <conditionalFormatting sqref="AP208">
    <cfRule type="cellIs" dxfId="1" priority="2235" operator="equal">
      <formula>"未完成"</formula>
    </cfRule>
    <cfRule type="cellIs" dxfId="0" priority="2252" operator="equal">
      <formula>"未完成"</formula>
    </cfRule>
  </conditionalFormatting>
  <conditionalFormatting sqref="AQ208">
    <cfRule type="cellIs" dxfId="1" priority="2456" operator="equal">
      <formula>"未完成"</formula>
    </cfRule>
    <cfRule type="cellIs" dxfId="0" priority="2473" operator="equal">
      <formula>"未完成"</formula>
    </cfRule>
  </conditionalFormatting>
  <conditionalFormatting sqref="AS208">
    <cfRule type="cellIs" dxfId="1" priority="2303" operator="equal">
      <formula>"未完成"</formula>
    </cfRule>
    <cfRule type="cellIs" dxfId="0" priority="2320" operator="equal">
      <formula>"未完成"</formula>
    </cfRule>
  </conditionalFormatting>
  <conditionalFormatting sqref="AT208">
    <cfRule type="cellIs" dxfId="1" priority="2388" operator="equal">
      <formula>"未完成"</formula>
    </cfRule>
    <cfRule type="cellIs" dxfId="0" priority="2405" operator="equal">
      <formula>"未完成"</formula>
    </cfRule>
  </conditionalFormatting>
  <conditionalFormatting sqref="AU208:AV208">
    <cfRule type="cellIs" dxfId="1" priority="2490" operator="equal">
      <formula>"未完成"</formula>
    </cfRule>
    <cfRule type="cellIs" dxfId="0" priority="2507" operator="equal">
      <formula>"未完成"</formula>
    </cfRule>
  </conditionalFormatting>
  <conditionalFormatting sqref="R209">
    <cfRule type="cellIs" dxfId="0" priority="2079" operator="equal">
      <formula>"欠"</formula>
    </cfRule>
  </conditionalFormatting>
  <conditionalFormatting sqref="T209:U209">
    <cfRule type="cellIs" dxfId="0" priority="2023" operator="equal">
      <formula>"欠"</formula>
    </cfRule>
  </conditionalFormatting>
  <conditionalFormatting sqref="AE209">
    <cfRule type="cellIs" dxfId="0" priority="2167" operator="equal">
      <formula>"未完成"</formula>
    </cfRule>
  </conditionalFormatting>
  <conditionalFormatting sqref="AI209:AJ209">
    <cfRule type="cellIs" dxfId="1" priority="2175" operator="equal">
      <formula>"未完成"</formula>
    </cfRule>
    <cfRule type="cellIs" dxfId="0" priority="2183" operator="equal">
      <formula>"未完成"</formula>
    </cfRule>
  </conditionalFormatting>
  <conditionalFormatting sqref="AK209">
    <cfRule type="cellIs" dxfId="1" priority="2087" operator="equal">
      <formula>"未完成"</formula>
    </cfRule>
    <cfRule type="cellIs" dxfId="0" priority="2095" operator="equal">
      <formula>"未完成"</formula>
    </cfRule>
  </conditionalFormatting>
  <conditionalFormatting sqref="AL209">
    <cfRule type="cellIs" dxfId="1" priority="2119" operator="equal">
      <formula>"未完成"</formula>
    </cfRule>
    <cfRule type="cellIs" dxfId="0" priority="2127" operator="equal">
      <formula>"未完成"</formula>
    </cfRule>
  </conditionalFormatting>
  <conditionalFormatting sqref="AM209">
    <cfRule type="cellIs" dxfId="1" priority="2047" operator="equal">
      <formula>"未完成"</formula>
    </cfRule>
    <cfRule type="cellIs" dxfId="0" priority="2055" operator="equal">
      <formula>"未完成"</formula>
    </cfRule>
  </conditionalFormatting>
  <conditionalFormatting sqref="AP209">
    <cfRule type="cellIs" dxfId="1" priority="2031" operator="equal">
      <formula>"未完成"</formula>
    </cfRule>
    <cfRule type="cellIs" dxfId="0" priority="2039" operator="equal">
      <formula>"未完成"</formula>
    </cfRule>
  </conditionalFormatting>
  <conditionalFormatting sqref="AQ209">
    <cfRule type="cellIs" dxfId="1" priority="2135" operator="equal">
      <formula>"未完成"</formula>
    </cfRule>
    <cfRule type="cellIs" dxfId="0" priority="2143" operator="equal">
      <formula>"未完成"</formula>
    </cfRule>
  </conditionalFormatting>
  <conditionalFormatting sqref="AS209">
    <cfRule type="cellIs" dxfId="1" priority="2063" operator="equal">
      <formula>"未完成"</formula>
    </cfRule>
    <cfRule type="cellIs" dxfId="0" priority="2071" operator="equal">
      <formula>"未完成"</formula>
    </cfRule>
  </conditionalFormatting>
  <conditionalFormatting sqref="AT209">
    <cfRule type="cellIs" dxfId="1" priority="2103" operator="equal">
      <formula>"未完成"</formula>
    </cfRule>
    <cfRule type="cellIs" dxfId="0" priority="2111" operator="equal">
      <formula>"未完成"</formula>
    </cfRule>
  </conditionalFormatting>
  <conditionalFormatting sqref="AU209:AV209">
    <cfRule type="cellIs" dxfId="1" priority="2151" operator="equal">
      <formula>"未完成"</formula>
    </cfRule>
    <cfRule type="cellIs" dxfId="0" priority="2159" operator="equal">
      <formula>"未完成"</formula>
    </cfRule>
  </conditionalFormatting>
  <conditionalFormatting sqref="R210">
    <cfRule type="cellIs" dxfId="0" priority="2078" operator="equal">
      <formula>"欠"</formula>
    </cfRule>
  </conditionalFormatting>
  <conditionalFormatting sqref="T210:U210">
    <cfRule type="cellIs" dxfId="0" priority="2022" operator="equal">
      <formula>"欠"</formula>
    </cfRule>
  </conditionalFormatting>
  <conditionalFormatting sqref="AE210">
    <cfRule type="cellIs" dxfId="0" priority="2166" operator="equal">
      <formula>"未完成"</formula>
    </cfRule>
  </conditionalFormatting>
  <conditionalFormatting sqref="AI210:AJ210">
    <cfRule type="cellIs" dxfId="1" priority="2174" operator="equal">
      <formula>"未完成"</formula>
    </cfRule>
    <cfRule type="cellIs" dxfId="0" priority="2182" operator="equal">
      <formula>"未完成"</formula>
    </cfRule>
  </conditionalFormatting>
  <conditionalFormatting sqref="AK210">
    <cfRule type="cellIs" dxfId="1" priority="2086" operator="equal">
      <formula>"未完成"</formula>
    </cfRule>
    <cfRule type="cellIs" dxfId="0" priority="2094" operator="equal">
      <formula>"未完成"</formula>
    </cfRule>
  </conditionalFormatting>
  <conditionalFormatting sqref="AL210">
    <cfRule type="cellIs" dxfId="1" priority="2118" operator="equal">
      <formula>"未完成"</formula>
    </cfRule>
    <cfRule type="cellIs" dxfId="0" priority="2126" operator="equal">
      <formula>"未完成"</formula>
    </cfRule>
  </conditionalFormatting>
  <conditionalFormatting sqref="AM210">
    <cfRule type="cellIs" dxfId="1" priority="2046" operator="equal">
      <formula>"未完成"</formula>
    </cfRule>
    <cfRule type="cellIs" dxfId="0" priority="2054" operator="equal">
      <formula>"未完成"</formula>
    </cfRule>
  </conditionalFormatting>
  <conditionalFormatting sqref="AP210">
    <cfRule type="cellIs" dxfId="1" priority="2030" operator="equal">
      <formula>"未完成"</formula>
    </cfRule>
    <cfRule type="cellIs" dxfId="0" priority="2038" operator="equal">
      <formula>"未完成"</formula>
    </cfRule>
  </conditionalFormatting>
  <conditionalFormatting sqref="AQ210">
    <cfRule type="cellIs" dxfId="1" priority="2134" operator="equal">
      <formula>"未完成"</formula>
    </cfRule>
    <cfRule type="cellIs" dxfId="0" priority="2142" operator="equal">
      <formula>"未完成"</formula>
    </cfRule>
  </conditionalFormatting>
  <conditionalFormatting sqref="AS210">
    <cfRule type="cellIs" dxfId="1" priority="2062" operator="equal">
      <formula>"未完成"</formula>
    </cfRule>
    <cfRule type="cellIs" dxfId="0" priority="2070" operator="equal">
      <formula>"未完成"</formula>
    </cfRule>
  </conditionalFormatting>
  <conditionalFormatting sqref="AT210">
    <cfRule type="cellIs" dxfId="1" priority="2102" operator="equal">
      <formula>"未完成"</formula>
    </cfRule>
    <cfRule type="cellIs" dxfId="0" priority="2110" operator="equal">
      <formula>"未完成"</formula>
    </cfRule>
  </conditionalFormatting>
  <conditionalFormatting sqref="AU210:AV210">
    <cfRule type="cellIs" dxfId="1" priority="2150" operator="equal">
      <formula>"未完成"</formula>
    </cfRule>
    <cfRule type="cellIs" dxfId="0" priority="2158" operator="equal">
      <formula>"未完成"</formula>
    </cfRule>
  </conditionalFormatting>
  <conditionalFormatting sqref="R211">
    <cfRule type="cellIs" dxfId="0" priority="2077" operator="equal">
      <formula>"欠"</formula>
    </cfRule>
  </conditionalFormatting>
  <conditionalFormatting sqref="T211:U211">
    <cfRule type="cellIs" dxfId="0" priority="2021" operator="equal">
      <formula>"欠"</formula>
    </cfRule>
  </conditionalFormatting>
  <conditionalFormatting sqref="AE211">
    <cfRule type="cellIs" dxfId="0" priority="2165" operator="equal">
      <formula>"未完成"</formula>
    </cfRule>
  </conditionalFormatting>
  <conditionalFormatting sqref="AI211:AJ211">
    <cfRule type="cellIs" dxfId="1" priority="2173" operator="equal">
      <formula>"未完成"</formula>
    </cfRule>
    <cfRule type="cellIs" dxfId="0" priority="2181" operator="equal">
      <formula>"未完成"</formula>
    </cfRule>
  </conditionalFormatting>
  <conditionalFormatting sqref="AK211">
    <cfRule type="cellIs" dxfId="1" priority="2085" operator="equal">
      <formula>"未完成"</formula>
    </cfRule>
    <cfRule type="cellIs" dxfId="0" priority="2093" operator="equal">
      <formula>"未完成"</formula>
    </cfRule>
  </conditionalFormatting>
  <conditionalFormatting sqref="AL211">
    <cfRule type="cellIs" dxfId="1" priority="2117" operator="equal">
      <formula>"未完成"</formula>
    </cfRule>
    <cfRule type="cellIs" dxfId="0" priority="2125" operator="equal">
      <formula>"未完成"</formula>
    </cfRule>
  </conditionalFormatting>
  <conditionalFormatting sqref="AM211">
    <cfRule type="cellIs" dxfId="1" priority="2045" operator="equal">
      <formula>"未完成"</formula>
    </cfRule>
    <cfRule type="cellIs" dxfId="0" priority="2053" operator="equal">
      <formula>"未完成"</formula>
    </cfRule>
  </conditionalFormatting>
  <conditionalFormatting sqref="AP211">
    <cfRule type="cellIs" dxfId="1" priority="2029" operator="equal">
      <formula>"未完成"</formula>
    </cfRule>
    <cfRule type="cellIs" dxfId="0" priority="2037" operator="equal">
      <formula>"未完成"</formula>
    </cfRule>
  </conditionalFormatting>
  <conditionalFormatting sqref="AQ211">
    <cfRule type="cellIs" dxfId="1" priority="2133" operator="equal">
      <formula>"未完成"</formula>
    </cfRule>
    <cfRule type="cellIs" dxfId="0" priority="2141" operator="equal">
      <formula>"未完成"</formula>
    </cfRule>
  </conditionalFormatting>
  <conditionalFormatting sqref="AS211">
    <cfRule type="cellIs" dxfId="1" priority="2061" operator="equal">
      <formula>"未完成"</formula>
    </cfRule>
    <cfRule type="cellIs" dxfId="0" priority="2069" operator="equal">
      <formula>"未完成"</formula>
    </cfRule>
  </conditionalFormatting>
  <conditionalFormatting sqref="AT211">
    <cfRule type="cellIs" dxfId="1" priority="2101" operator="equal">
      <formula>"未完成"</formula>
    </cfRule>
    <cfRule type="cellIs" dxfId="0" priority="2109" operator="equal">
      <formula>"未完成"</formula>
    </cfRule>
  </conditionalFormatting>
  <conditionalFormatting sqref="AU211:AV211">
    <cfRule type="cellIs" dxfId="1" priority="2149" operator="equal">
      <formula>"未完成"</formula>
    </cfRule>
    <cfRule type="cellIs" dxfId="0" priority="2157" operator="equal">
      <formula>"未完成"</formula>
    </cfRule>
  </conditionalFormatting>
  <conditionalFormatting sqref="R212">
    <cfRule type="cellIs" dxfId="0" priority="2076" operator="equal">
      <formula>"欠"</formula>
    </cfRule>
  </conditionalFormatting>
  <conditionalFormatting sqref="T212:U212">
    <cfRule type="cellIs" dxfId="0" priority="2020" operator="equal">
      <formula>"欠"</formula>
    </cfRule>
  </conditionalFormatting>
  <conditionalFormatting sqref="AE212">
    <cfRule type="cellIs" dxfId="0" priority="2164" operator="equal">
      <formula>"未完成"</formula>
    </cfRule>
  </conditionalFormatting>
  <conditionalFormatting sqref="AI212:AJ212">
    <cfRule type="cellIs" dxfId="1" priority="2172" operator="equal">
      <formula>"未完成"</formula>
    </cfRule>
    <cfRule type="cellIs" dxfId="0" priority="2180" operator="equal">
      <formula>"未完成"</formula>
    </cfRule>
  </conditionalFormatting>
  <conditionalFormatting sqref="AK212">
    <cfRule type="cellIs" dxfId="1" priority="2084" operator="equal">
      <formula>"未完成"</formula>
    </cfRule>
    <cfRule type="cellIs" dxfId="0" priority="2092" operator="equal">
      <formula>"未完成"</formula>
    </cfRule>
  </conditionalFormatting>
  <conditionalFormatting sqref="AL212">
    <cfRule type="cellIs" dxfId="1" priority="2116" operator="equal">
      <formula>"未完成"</formula>
    </cfRule>
    <cfRule type="cellIs" dxfId="0" priority="2124" operator="equal">
      <formula>"未完成"</formula>
    </cfRule>
  </conditionalFormatting>
  <conditionalFormatting sqref="AM212">
    <cfRule type="cellIs" dxfId="1" priority="2044" operator="equal">
      <formula>"未完成"</formula>
    </cfRule>
    <cfRule type="cellIs" dxfId="0" priority="2052" operator="equal">
      <formula>"未完成"</formula>
    </cfRule>
  </conditionalFormatting>
  <conditionalFormatting sqref="AP212">
    <cfRule type="cellIs" dxfId="1" priority="2028" operator="equal">
      <formula>"未完成"</formula>
    </cfRule>
    <cfRule type="cellIs" dxfId="0" priority="2036" operator="equal">
      <formula>"未完成"</formula>
    </cfRule>
  </conditionalFormatting>
  <conditionalFormatting sqref="AQ212">
    <cfRule type="cellIs" dxfId="1" priority="2132" operator="equal">
      <formula>"未完成"</formula>
    </cfRule>
    <cfRule type="cellIs" dxfId="0" priority="2140" operator="equal">
      <formula>"未完成"</formula>
    </cfRule>
  </conditionalFormatting>
  <conditionalFormatting sqref="AS212">
    <cfRule type="cellIs" dxfId="1" priority="2060" operator="equal">
      <formula>"未完成"</formula>
    </cfRule>
    <cfRule type="cellIs" dxfId="0" priority="2068" operator="equal">
      <formula>"未完成"</formula>
    </cfRule>
  </conditionalFormatting>
  <conditionalFormatting sqref="AT212">
    <cfRule type="cellIs" dxfId="1" priority="2100" operator="equal">
      <formula>"未完成"</formula>
    </cfRule>
    <cfRule type="cellIs" dxfId="0" priority="2108" operator="equal">
      <formula>"未完成"</formula>
    </cfRule>
  </conditionalFormatting>
  <conditionalFormatting sqref="AU212:AV212">
    <cfRule type="cellIs" dxfId="1" priority="2148" operator="equal">
      <formula>"未完成"</formula>
    </cfRule>
    <cfRule type="cellIs" dxfId="0" priority="2156" operator="equal">
      <formula>"未完成"</formula>
    </cfRule>
  </conditionalFormatting>
  <conditionalFormatting sqref="R213">
    <cfRule type="cellIs" dxfId="0" priority="2075" operator="equal">
      <formula>"欠"</formula>
    </cfRule>
  </conditionalFormatting>
  <conditionalFormatting sqref="T213:U213">
    <cfRule type="cellIs" dxfId="0" priority="2019" operator="equal">
      <formula>"欠"</formula>
    </cfRule>
  </conditionalFormatting>
  <conditionalFormatting sqref="AE213">
    <cfRule type="cellIs" dxfId="0" priority="2163" operator="equal">
      <formula>"未完成"</formula>
    </cfRule>
  </conditionalFormatting>
  <conditionalFormatting sqref="AI213:AJ213">
    <cfRule type="cellIs" dxfId="1" priority="2171" operator="equal">
      <formula>"未完成"</formula>
    </cfRule>
    <cfRule type="cellIs" dxfId="0" priority="2179" operator="equal">
      <formula>"未完成"</formula>
    </cfRule>
  </conditionalFormatting>
  <conditionalFormatting sqref="AK213">
    <cfRule type="cellIs" dxfId="1" priority="2083" operator="equal">
      <formula>"未完成"</formula>
    </cfRule>
    <cfRule type="cellIs" dxfId="0" priority="2091" operator="equal">
      <formula>"未完成"</formula>
    </cfRule>
  </conditionalFormatting>
  <conditionalFormatting sqref="AL213">
    <cfRule type="cellIs" dxfId="1" priority="2115" operator="equal">
      <formula>"未完成"</formula>
    </cfRule>
    <cfRule type="cellIs" dxfId="0" priority="2123" operator="equal">
      <formula>"未完成"</formula>
    </cfRule>
  </conditionalFormatting>
  <conditionalFormatting sqref="AM213">
    <cfRule type="cellIs" dxfId="1" priority="2043" operator="equal">
      <formula>"未完成"</formula>
    </cfRule>
    <cfRule type="cellIs" dxfId="0" priority="2051" operator="equal">
      <formula>"未完成"</formula>
    </cfRule>
  </conditionalFormatting>
  <conditionalFormatting sqref="AP213">
    <cfRule type="cellIs" dxfId="1" priority="2027" operator="equal">
      <formula>"未完成"</formula>
    </cfRule>
    <cfRule type="cellIs" dxfId="0" priority="2035" operator="equal">
      <formula>"未完成"</formula>
    </cfRule>
  </conditionalFormatting>
  <conditionalFormatting sqref="AQ213">
    <cfRule type="cellIs" dxfId="1" priority="2131" operator="equal">
      <formula>"未完成"</formula>
    </cfRule>
    <cfRule type="cellIs" dxfId="0" priority="2139" operator="equal">
      <formula>"未完成"</formula>
    </cfRule>
  </conditionalFormatting>
  <conditionalFormatting sqref="AS213">
    <cfRule type="cellIs" dxfId="1" priority="2059" operator="equal">
      <formula>"未完成"</formula>
    </cfRule>
    <cfRule type="cellIs" dxfId="0" priority="2067" operator="equal">
      <formula>"未完成"</formula>
    </cfRule>
  </conditionalFormatting>
  <conditionalFormatting sqref="AT213">
    <cfRule type="cellIs" dxfId="1" priority="2099" operator="equal">
      <formula>"未完成"</formula>
    </cfRule>
    <cfRule type="cellIs" dxfId="0" priority="2107" operator="equal">
      <formula>"未完成"</formula>
    </cfRule>
  </conditionalFormatting>
  <conditionalFormatting sqref="AU213:AV213">
    <cfRule type="cellIs" dxfId="1" priority="2147" operator="equal">
      <formula>"未完成"</formula>
    </cfRule>
    <cfRule type="cellIs" dxfId="0" priority="2155" operator="equal">
      <formula>"未完成"</formula>
    </cfRule>
  </conditionalFormatting>
  <conditionalFormatting sqref="R214">
    <cfRule type="cellIs" dxfId="0" priority="2074" operator="equal">
      <formula>"欠"</formula>
    </cfRule>
  </conditionalFormatting>
  <conditionalFormatting sqref="T214:U214">
    <cfRule type="cellIs" dxfId="0" priority="2018" operator="equal">
      <formula>"欠"</formula>
    </cfRule>
  </conditionalFormatting>
  <conditionalFormatting sqref="AE214">
    <cfRule type="cellIs" dxfId="0" priority="2162" operator="equal">
      <formula>"未完成"</formula>
    </cfRule>
  </conditionalFormatting>
  <conditionalFormatting sqref="AI214:AJ214">
    <cfRule type="cellIs" dxfId="1" priority="2170" operator="equal">
      <formula>"未完成"</formula>
    </cfRule>
    <cfRule type="cellIs" dxfId="0" priority="2178" operator="equal">
      <formula>"未完成"</formula>
    </cfRule>
  </conditionalFormatting>
  <conditionalFormatting sqref="AK214">
    <cfRule type="cellIs" dxfId="1" priority="2082" operator="equal">
      <formula>"未完成"</formula>
    </cfRule>
    <cfRule type="cellIs" dxfId="0" priority="2090" operator="equal">
      <formula>"未完成"</formula>
    </cfRule>
  </conditionalFormatting>
  <conditionalFormatting sqref="AL214">
    <cfRule type="cellIs" dxfId="1" priority="2114" operator="equal">
      <formula>"未完成"</formula>
    </cfRule>
    <cfRule type="cellIs" dxfId="0" priority="2122" operator="equal">
      <formula>"未完成"</formula>
    </cfRule>
  </conditionalFormatting>
  <conditionalFormatting sqref="AM214">
    <cfRule type="cellIs" dxfId="1" priority="2042" operator="equal">
      <formula>"未完成"</formula>
    </cfRule>
    <cfRule type="cellIs" dxfId="0" priority="2050" operator="equal">
      <formula>"未完成"</formula>
    </cfRule>
  </conditionalFormatting>
  <conditionalFormatting sqref="AP214">
    <cfRule type="cellIs" dxfId="1" priority="2026" operator="equal">
      <formula>"未完成"</formula>
    </cfRule>
    <cfRule type="cellIs" dxfId="0" priority="2034" operator="equal">
      <formula>"未完成"</formula>
    </cfRule>
  </conditionalFormatting>
  <conditionalFormatting sqref="AQ214">
    <cfRule type="cellIs" dxfId="1" priority="2130" operator="equal">
      <formula>"未完成"</formula>
    </cfRule>
    <cfRule type="cellIs" dxfId="0" priority="2138" operator="equal">
      <formula>"未完成"</formula>
    </cfRule>
  </conditionalFormatting>
  <conditionalFormatting sqref="AS214">
    <cfRule type="cellIs" dxfId="1" priority="2058" operator="equal">
      <formula>"未完成"</formula>
    </cfRule>
    <cfRule type="cellIs" dxfId="0" priority="2066" operator="equal">
      <formula>"未完成"</formula>
    </cfRule>
  </conditionalFormatting>
  <conditionalFormatting sqref="AT214">
    <cfRule type="cellIs" dxfId="1" priority="2098" operator="equal">
      <formula>"未完成"</formula>
    </cfRule>
    <cfRule type="cellIs" dxfId="0" priority="2106" operator="equal">
      <formula>"未完成"</formula>
    </cfRule>
  </conditionalFormatting>
  <conditionalFormatting sqref="AU214:AV214">
    <cfRule type="cellIs" dxfId="1" priority="2146" operator="equal">
      <formula>"未完成"</formula>
    </cfRule>
    <cfRule type="cellIs" dxfId="0" priority="2154" operator="equal">
      <formula>"未完成"</formula>
    </cfRule>
  </conditionalFormatting>
  <conditionalFormatting sqref="R215">
    <cfRule type="cellIs" dxfId="0" priority="2073" operator="equal">
      <formula>"欠"</formula>
    </cfRule>
  </conditionalFormatting>
  <conditionalFormatting sqref="T215:U215">
    <cfRule type="cellIs" dxfId="0" priority="2017" operator="equal">
      <formula>"欠"</formula>
    </cfRule>
  </conditionalFormatting>
  <conditionalFormatting sqref="AE215">
    <cfRule type="cellIs" dxfId="0" priority="2161" operator="equal">
      <formula>"未完成"</formula>
    </cfRule>
  </conditionalFormatting>
  <conditionalFormatting sqref="AI215:AJ215">
    <cfRule type="cellIs" dxfId="1" priority="2169" operator="equal">
      <formula>"未完成"</formula>
    </cfRule>
    <cfRule type="cellIs" dxfId="0" priority="2177" operator="equal">
      <formula>"未完成"</formula>
    </cfRule>
  </conditionalFormatting>
  <conditionalFormatting sqref="AK215">
    <cfRule type="cellIs" dxfId="1" priority="2081" operator="equal">
      <formula>"未完成"</formula>
    </cfRule>
    <cfRule type="cellIs" dxfId="0" priority="2089" operator="equal">
      <formula>"未完成"</formula>
    </cfRule>
  </conditionalFormatting>
  <conditionalFormatting sqref="AL215">
    <cfRule type="cellIs" dxfId="1" priority="2113" operator="equal">
      <formula>"未完成"</formula>
    </cfRule>
    <cfRule type="cellIs" dxfId="0" priority="2121" operator="equal">
      <formula>"未完成"</formula>
    </cfRule>
  </conditionalFormatting>
  <conditionalFormatting sqref="AM215">
    <cfRule type="cellIs" dxfId="1" priority="2041" operator="equal">
      <formula>"未完成"</formula>
    </cfRule>
    <cfRule type="cellIs" dxfId="0" priority="2049" operator="equal">
      <formula>"未完成"</formula>
    </cfRule>
  </conditionalFormatting>
  <conditionalFormatting sqref="AP215">
    <cfRule type="cellIs" dxfId="1" priority="2025" operator="equal">
      <formula>"未完成"</formula>
    </cfRule>
    <cfRule type="cellIs" dxfId="0" priority="2033" operator="equal">
      <formula>"未完成"</formula>
    </cfRule>
  </conditionalFormatting>
  <conditionalFormatting sqref="AQ215">
    <cfRule type="cellIs" dxfId="1" priority="2129" operator="equal">
      <formula>"未完成"</formula>
    </cfRule>
    <cfRule type="cellIs" dxfId="0" priority="2137" operator="equal">
      <formula>"未完成"</formula>
    </cfRule>
  </conditionalFormatting>
  <conditionalFormatting sqref="AS215">
    <cfRule type="cellIs" dxfId="1" priority="2057" operator="equal">
      <formula>"未完成"</formula>
    </cfRule>
    <cfRule type="cellIs" dxfId="0" priority="2065" operator="equal">
      <formula>"未完成"</formula>
    </cfRule>
  </conditionalFormatting>
  <conditionalFormatting sqref="AT215">
    <cfRule type="cellIs" dxfId="1" priority="2097" operator="equal">
      <formula>"未完成"</formula>
    </cfRule>
    <cfRule type="cellIs" dxfId="0" priority="2105" operator="equal">
      <formula>"未完成"</formula>
    </cfRule>
  </conditionalFormatting>
  <conditionalFormatting sqref="AU215:AV215">
    <cfRule type="cellIs" dxfId="1" priority="2145" operator="equal">
      <formula>"未完成"</formula>
    </cfRule>
    <cfRule type="cellIs" dxfId="0" priority="2153" operator="equal">
      <formula>"未完成"</formula>
    </cfRule>
  </conditionalFormatting>
  <conditionalFormatting sqref="AE216">
    <cfRule type="cellIs" dxfId="0" priority="3071" operator="equal">
      <formula>"未完成"</formula>
    </cfRule>
  </conditionalFormatting>
  <conditionalFormatting sqref="AI216:AJ216">
    <cfRule type="cellIs" dxfId="1" priority="3049" operator="equal">
      <formula>"未完成"</formula>
    </cfRule>
    <cfRule type="cellIs" dxfId="0" priority="3060" operator="equal">
      <formula>"未完成"</formula>
    </cfRule>
  </conditionalFormatting>
  <conditionalFormatting sqref="AK216">
    <cfRule type="cellIs" dxfId="1" priority="2961" operator="equal">
      <formula>"未完成"</formula>
    </cfRule>
    <cfRule type="cellIs" dxfId="0" priority="2972" operator="equal">
      <formula>"未完成"</formula>
    </cfRule>
  </conditionalFormatting>
  <conditionalFormatting sqref="AL216">
    <cfRule type="cellIs" dxfId="1" priority="3005" operator="equal">
      <formula>"未完成"</formula>
    </cfRule>
    <cfRule type="cellIs" dxfId="0" priority="3016" operator="equal">
      <formula>"未完成"</formula>
    </cfRule>
  </conditionalFormatting>
  <conditionalFormatting sqref="AP216:AQ216">
    <cfRule type="cellIs" dxfId="1" priority="2939" operator="equal">
      <formula>"未完成"</formula>
    </cfRule>
    <cfRule type="cellIs" dxfId="0" priority="2950" operator="equal">
      <formula>"未完成"</formula>
    </cfRule>
  </conditionalFormatting>
  <conditionalFormatting sqref="AS216">
    <cfRule type="cellIs" dxfId="1" priority="2917" operator="equal">
      <formula>"未完成"</formula>
    </cfRule>
    <cfRule type="cellIs" dxfId="0" priority="2928" operator="equal">
      <formula>"未完成"</formula>
    </cfRule>
  </conditionalFormatting>
  <conditionalFormatting sqref="AE217">
    <cfRule type="cellIs" dxfId="0" priority="3070" operator="equal">
      <formula>"未完成"</formula>
    </cfRule>
  </conditionalFormatting>
  <conditionalFormatting sqref="AI217">
    <cfRule type="cellIs" dxfId="1" priority="2616" operator="equal">
      <formula>"未完成"</formula>
    </cfRule>
    <cfRule type="cellIs" dxfId="0" priority="2617" operator="equal">
      <formula>"未完成"</formula>
    </cfRule>
  </conditionalFormatting>
  <conditionalFormatting sqref="AJ217">
    <cfRule type="cellIs" dxfId="1" priority="3048" operator="equal">
      <formula>"未完成"</formula>
    </cfRule>
    <cfRule type="cellIs" dxfId="0" priority="3059" operator="equal">
      <formula>"未完成"</formula>
    </cfRule>
  </conditionalFormatting>
  <conditionalFormatting sqref="AK217">
    <cfRule type="cellIs" dxfId="1" priority="2960" operator="equal">
      <formula>"未完成"</formula>
    </cfRule>
    <cfRule type="cellIs" dxfId="0" priority="2971" operator="equal">
      <formula>"未完成"</formula>
    </cfRule>
  </conditionalFormatting>
  <conditionalFormatting sqref="AL217">
    <cfRule type="cellIs" dxfId="1" priority="3004" operator="equal">
      <formula>"未完成"</formula>
    </cfRule>
    <cfRule type="cellIs" dxfId="0" priority="3015" operator="equal">
      <formula>"未完成"</formula>
    </cfRule>
  </conditionalFormatting>
  <conditionalFormatting sqref="AP217:AQ217">
    <cfRule type="cellIs" dxfId="1" priority="2938" operator="equal">
      <formula>"未完成"</formula>
    </cfRule>
    <cfRule type="cellIs" dxfId="0" priority="2949" operator="equal">
      <formula>"未完成"</formula>
    </cfRule>
  </conditionalFormatting>
  <conditionalFormatting sqref="AS217">
    <cfRule type="cellIs" dxfId="1" priority="2916" operator="equal">
      <formula>"未完成"</formula>
    </cfRule>
    <cfRule type="cellIs" dxfId="0" priority="2927" operator="equal">
      <formula>"未完成"</formula>
    </cfRule>
  </conditionalFormatting>
  <conditionalFormatting sqref="AE218">
    <cfRule type="cellIs" dxfId="0" priority="3069" operator="equal">
      <formula>"未完成"</formula>
    </cfRule>
  </conditionalFormatting>
  <conditionalFormatting sqref="AI218">
    <cfRule type="cellIs" dxfId="1" priority="2614" operator="equal">
      <formula>"未完成"</formula>
    </cfRule>
    <cfRule type="cellIs" dxfId="0" priority="2615" operator="equal">
      <formula>"未完成"</formula>
    </cfRule>
  </conditionalFormatting>
  <conditionalFormatting sqref="AJ218">
    <cfRule type="cellIs" dxfId="1" priority="3047" operator="equal">
      <formula>"未完成"</formula>
    </cfRule>
    <cfRule type="cellIs" dxfId="0" priority="3058" operator="equal">
      <formula>"未完成"</formula>
    </cfRule>
  </conditionalFormatting>
  <conditionalFormatting sqref="AL218">
    <cfRule type="cellIs" dxfId="1" priority="3003" operator="equal">
      <formula>"未完成"</formula>
    </cfRule>
    <cfRule type="cellIs" dxfId="0" priority="3014" operator="equal">
      <formula>"未完成"</formula>
    </cfRule>
  </conditionalFormatting>
  <conditionalFormatting sqref="AP218:AQ218">
    <cfRule type="cellIs" dxfId="1" priority="2937" operator="equal">
      <formula>"未完成"</formula>
    </cfRule>
    <cfRule type="cellIs" dxfId="0" priority="2948" operator="equal">
      <formula>"未完成"</formula>
    </cfRule>
  </conditionalFormatting>
  <conditionalFormatting sqref="AS218">
    <cfRule type="cellIs" dxfId="1" priority="2915" operator="equal">
      <formula>"未完成"</formula>
    </cfRule>
    <cfRule type="cellIs" dxfId="0" priority="2926" operator="equal">
      <formula>"未完成"</formula>
    </cfRule>
  </conditionalFormatting>
  <conditionalFormatting sqref="R223">
    <cfRule type="cellIs" dxfId="0" priority="3123" operator="equal">
      <formula>"欠"</formula>
    </cfRule>
  </conditionalFormatting>
  <conditionalFormatting sqref="AE223">
    <cfRule type="cellIs" dxfId="0" priority="3139" operator="equal">
      <formula>"未完成"</formula>
    </cfRule>
  </conditionalFormatting>
  <conditionalFormatting sqref="AI223:AJ223">
    <cfRule type="cellIs" dxfId="1" priority="3137" operator="equal">
      <formula>"未完成"</formula>
    </cfRule>
    <cfRule type="cellIs" dxfId="0" priority="3138" operator="equal">
      <formula>"未完成"</formula>
    </cfRule>
  </conditionalFormatting>
  <conditionalFormatting sqref="AL223">
    <cfRule type="cellIs" dxfId="1" priority="3133" operator="equal">
      <formula>"未完成"</formula>
    </cfRule>
    <cfRule type="cellIs" dxfId="0" priority="3134" operator="equal">
      <formula>"未完成"</formula>
    </cfRule>
  </conditionalFormatting>
  <conditionalFormatting sqref="AP223:AQ223">
    <cfRule type="cellIs" dxfId="1" priority="3127" operator="equal">
      <formula>"未完成"</formula>
    </cfRule>
    <cfRule type="cellIs" dxfId="0" priority="3128" operator="equal">
      <formula>"未完成"</formula>
    </cfRule>
  </conditionalFormatting>
  <conditionalFormatting sqref="AT223:AV223">
    <cfRule type="cellIs" dxfId="1" priority="3135" operator="equal">
      <formula>"未完成"</formula>
    </cfRule>
    <cfRule type="cellIs" dxfId="0" priority="3136" operator="equal">
      <formula>"未完成"</formula>
    </cfRule>
  </conditionalFormatting>
  <conditionalFormatting sqref="T224:U224">
    <cfRule type="cellIs" dxfId="0" priority="2896" operator="equal">
      <formula>"欠"</formula>
    </cfRule>
  </conditionalFormatting>
  <conditionalFormatting sqref="AI224">
    <cfRule type="cellIs" dxfId="1" priority="2608" operator="equal">
      <formula>"未完成"</formula>
    </cfRule>
    <cfRule type="cellIs" dxfId="0" priority="2609" operator="equal">
      <formula>"未完成"</formula>
    </cfRule>
  </conditionalFormatting>
  <conditionalFormatting sqref="AE225">
    <cfRule type="cellIs" dxfId="0" priority="2638" operator="equal">
      <formula>"未完成"</formula>
    </cfRule>
  </conditionalFormatting>
  <conditionalFormatting sqref="AL225">
    <cfRule type="cellIs" dxfId="1" priority="2632" operator="equal">
      <formula>"未完成"</formula>
    </cfRule>
    <cfRule type="cellIs" dxfId="0" priority="2633" operator="equal">
      <formula>"未完成"</formula>
    </cfRule>
  </conditionalFormatting>
  <conditionalFormatting sqref="AP225:AQ225">
    <cfRule type="cellIs" dxfId="1" priority="2626" operator="equal">
      <formula>"未完成"</formula>
    </cfRule>
    <cfRule type="cellIs" dxfId="0" priority="2627" operator="equal">
      <formula>"未完成"</formula>
    </cfRule>
  </conditionalFormatting>
  <conditionalFormatting sqref="AT225:AV225">
    <cfRule type="cellIs" dxfId="1" priority="2634" operator="equal">
      <formula>"未完成"</formula>
    </cfRule>
    <cfRule type="cellIs" dxfId="0" priority="2635" operator="equal">
      <formula>"未完成"</formula>
    </cfRule>
  </conditionalFormatting>
  <conditionalFormatting sqref="AE226">
    <cfRule type="cellIs" dxfId="0" priority="2865" operator="equal">
      <formula>"未完成"</formula>
    </cfRule>
  </conditionalFormatting>
  <conditionalFormatting sqref="AJ226">
    <cfRule type="cellIs" dxfId="1" priority="2863" operator="equal">
      <formula>"未完成"</formula>
    </cfRule>
    <cfRule type="cellIs" dxfId="0" priority="2864" operator="equal">
      <formula>"未完成"</formula>
    </cfRule>
  </conditionalFormatting>
  <conditionalFormatting sqref="AK226">
    <cfRule type="cellIs" dxfId="1" priority="2855" operator="equal">
      <formula>"未完成"</formula>
    </cfRule>
    <cfRule type="cellIs" dxfId="0" priority="2856" operator="equal">
      <formula>"未完成"</formula>
    </cfRule>
  </conditionalFormatting>
  <conditionalFormatting sqref="AL226">
    <cfRule type="cellIs" dxfId="1" priority="2859" operator="equal">
      <formula>"未完成"</formula>
    </cfRule>
    <cfRule type="cellIs" dxfId="0" priority="2860" operator="equal">
      <formula>"未完成"</formula>
    </cfRule>
  </conditionalFormatting>
  <conditionalFormatting sqref="AP226:AQ226">
    <cfRule type="cellIs" dxfId="1" priority="2853" operator="equal">
      <formula>"未完成"</formula>
    </cfRule>
    <cfRule type="cellIs" dxfId="0" priority="2854" operator="equal">
      <formula>"未完成"</formula>
    </cfRule>
  </conditionalFormatting>
  <conditionalFormatting sqref="AS226">
    <cfRule type="cellIs" dxfId="1" priority="1951" operator="equal">
      <formula>"未完成"</formula>
    </cfRule>
    <cfRule type="cellIs" dxfId="0" priority="1952" operator="equal">
      <formula>"未完成"</formula>
    </cfRule>
  </conditionalFormatting>
  <conditionalFormatting sqref="AT226:AV226">
    <cfRule type="cellIs" dxfId="1" priority="2861" operator="equal">
      <formula>"未完成"</formula>
    </cfRule>
    <cfRule type="cellIs" dxfId="0" priority="2862" operator="equal">
      <formula>"未完成"</formula>
    </cfRule>
  </conditionalFormatting>
  <conditionalFormatting sqref="AP227">
    <cfRule type="cellIs" dxfId="1" priority="5357" operator="equal">
      <formula>"未完成"</formula>
    </cfRule>
    <cfRule type="cellIs" dxfId="0" priority="5358" operator="equal">
      <formula>"未完成"</formula>
    </cfRule>
  </conditionalFormatting>
  <conditionalFormatting sqref="AQ227">
    <cfRule type="cellIs" dxfId="1" priority="5705" operator="equal">
      <formula>"未完成"</formula>
    </cfRule>
    <cfRule type="cellIs" dxfId="0" priority="5706" operator="equal">
      <formula>"未完成"</formula>
    </cfRule>
  </conditionalFormatting>
  <conditionalFormatting sqref="AS227">
    <cfRule type="cellIs" dxfId="1" priority="5565" operator="equal">
      <formula>"未完成"</formula>
    </cfRule>
    <cfRule type="cellIs" dxfId="0" priority="5566" operator="equal">
      <formula>"未完成"</formula>
    </cfRule>
  </conditionalFormatting>
  <conditionalFormatting sqref="AT227:AV227">
    <cfRule type="cellIs" dxfId="1" priority="5701" operator="equal">
      <formula>"未完成"</formula>
    </cfRule>
    <cfRule type="cellIs" dxfId="0" priority="5702" operator="equal">
      <formula>"未完成"</formula>
    </cfRule>
  </conditionalFormatting>
  <conditionalFormatting sqref="AP230">
    <cfRule type="cellIs" dxfId="1" priority="2009" operator="equal">
      <formula>"未完成"</formula>
    </cfRule>
    <cfRule type="cellIs" dxfId="0" priority="2010" operator="equal">
      <formula>"未完成"</formula>
    </cfRule>
  </conditionalFormatting>
  <conditionalFormatting sqref="R231">
    <cfRule type="cellIs" dxfId="0" priority="2202" operator="equal">
      <formula>"欠"</formula>
    </cfRule>
  </conditionalFormatting>
  <conditionalFormatting sqref="AE231">
    <cfRule type="cellIs" dxfId="0" priority="2217" operator="equal">
      <formula>"未完成"</formula>
    </cfRule>
  </conditionalFormatting>
  <conditionalFormatting sqref="AI231:AJ231">
    <cfRule type="cellIs" dxfId="1" priority="2215" operator="equal">
      <formula>"未完成"</formula>
    </cfRule>
    <cfRule type="cellIs" dxfId="0" priority="2216" operator="equal">
      <formula>"未完成"</formula>
    </cfRule>
  </conditionalFormatting>
  <conditionalFormatting sqref="AL231">
    <cfRule type="cellIs" dxfId="1" priority="2211" operator="equal">
      <formula>"未完成"</formula>
    </cfRule>
    <cfRule type="cellIs" dxfId="0" priority="2212" operator="equal">
      <formula>"未完成"</formula>
    </cfRule>
  </conditionalFormatting>
  <conditionalFormatting sqref="AM231">
    <cfRule type="cellIs" dxfId="1" priority="2209" operator="equal">
      <formula>"未完成"</formula>
    </cfRule>
    <cfRule type="cellIs" dxfId="0" priority="2210" operator="equal">
      <formula>"未完成"</formula>
    </cfRule>
  </conditionalFormatting>
  <conditionalFormatting sqref="AQ231">
    <cfRule type="cellIs" dxfId="1" priority="2205" operator="equal">
      <formula>"未完成"</formula>
    </cfRule>
    <cfRule type="cellIs" dxfId="0" priority="2206" operator="equal">
      <formula>"未完成"</formula>
    </cfRule>
  </conditionalFormatting>
  <conditionalFormatting sqref="AT231:AV231">
    <cfRule type="cellIs" dxfId="1" priority="2213" operator="equal">
      <formula>"未完成"</formula>
    </cfRule>
    <cfRule type="cellIs" dxfId="0" priority="2214" operator="equal">
      <formula>"未完成"</formula>
    </cfRule>
  </conditionalFormatting>
  <conditionalFormatting sqref="AS237">
    <cfRule type="cellIs" dxfId="1" priority="1947" operator="equal">
      <formula>"未完成"</formula>
    </cfRule>
    <cfRule type="cellIs" dxfId="0" priority="1948" operator="equal">
      <formula>"未完成"</formula>
    </cfRule>
  </conditionalFormatting>
  <conditionalFormatting sqref="R245">
    <cfRule type="cellIs" dxfId="0" priority="1916" operator="equal">
      <formula>"欠"</formula>
    </cfRule>
  </conditionalFormatting>
  <conditionalFormatting sqref="T245:U245">
    <cfRule type="cellIs" dxfId="0" priority="1906" operator="equal">
      <formula>"欠"</formula>
    </cfRule>
  </conditionalFormatting>
  <conditionalFormatting sqref="AE245">
    <cfRule type="cellIs" dxfId="0" priority="1915" operator="equal">
      <formula>"未完成"</formula>
    </cfRule>
  </conditionalFormatting>
  <conditionalFormatting sqref="AI245:AJ245">
    <cfRule type="cellIs" dxfId="1" priority="1913" operator="equal">
      <formula>"未完成"</formula>
    </cfRule>
    <cfRule type="cellIs" dxfId="0" priority="1914" operator="equal">
      <formula>"未完成"</formula>
    </cfRule>
  </conditionalFormatting>
  <conditionalFormatting sqref="AL245">
    <cfRule type="cellIs" dxfId="1" priority="1909" operator="equal">
      <formula>"未完成"</formula>
    </cfRule>
    <cfRule type="cellIs" dxfId="0" priority="1910" operator="equal">
      <formula>"未完成"</formula>
    </cfRule>
  </conditionalFormatting>
  <conditionalFormatting sqref="AP245">
    <cfRule type="cellIs" dxfId="1" priority="1917" operator="equal">
      <formula>"未完成"</formula>
    </cfRule>
    <cfRule type="cellIs" dxfId="0" priority="1918" operator="equal">
      <formula>"未完成"</formula>
    </cfRule>
  </conditionalFormatting>
  <conditionalFormatting sqref="AQ245">
    <cfRule type="cellIs" dxfId="1" priority="1907" operator="equal">
      <formula>"未完成"</formula>
    </cfRule>
    <cfRule type="cellIs" dxfId="0" priority="1908" operator="equal">
      <formula>"未完成"</formula>
    </cfRule>
  </conditionalFormatting>
  <conditionalFormatting sqref="AT245:AV245">
    <cfRule type="cellIs" dxfId="1" priority="1911" operator="equal">
      <formula>"未完成"</formula>
    </cfRule>
    <cfRule type="cellIs" dxfId="0" priority="1912" operator="equal">
      <formula>"未完成"</formula>
    </cfRule>
  </conditionalFormatting>
  <conditionalFormatting sqref="AM246">
    <cfRule type="cellIs" dxfId="1" priority="1956" operator="equal">
      <formula>"未完成"</formula>
    </cfRule>
    <cfRule type="cellIs" dxfId="0" priority="1957" operator="equal">
      <formula>"未完成"</formula>
    </cfRule>
  </conditionalFormatting>
  <conditionalFormatting sqref="AE248">
    <cfRule type="cellIs" dxfId="0" priority="1937" operator="equal">
      <formula>"未完成"</formula>
    </cfRule>
  </conditionalFormatting>
  <conditionalFormatting sqref="AI248">
    <cfRule type="cellIs" dxfId="1" priority="1807" operator="equal">
      <formula>"未完成"</formula>
    </cfRule>
    <cfRule type="cellIs" dxfId="0" priority="1808" operator="equal">
      <formula>"未完成"</formula>
    </cfRule>
  </conditionalFormatting>
  <conditionalFormatting sqref="AJ248">
    <cfRule type="cellIs" dxfId="1" priority="1935" operator="equal">
      <formula>"未完成"</formula>
    </cfRule>
    <cfRule type="cellIs" dxfId="0" priority="1936" operator="equal">
      <formula>"未完成"</formula>
    </cfRule>
  </conditionalFormatting>
  <conditionalFormatting sqref="AL248">
    <cfRule type="cellIs" dxfId="1" priority="1931" operator="equal">
      <formula>"未完成"</formula>
    </cfRule>
    <cfRule type="cellIs" dxfId="0" priority="1932" operator="equal">
      <formula>"未完成"</formula>
    </cfRule>
  </conditionalFormatting>
  <conditionalFormatting sqref="AP248">
    <cfRule type="cellIs" dxfId="1" priority="1941" operator="equal">
      <formula>"未完成"</formula>
    </cfRule>
    <cfRule type="cellIs" dxfId="0" priority="1942" operator="equal">
      <formula>"未完成"</formula>
    </cfRule>
  </conditionalFormatting>
  <conditionalFormatting sqref="AQ248">
    <cfRule type="cellIs" dxfId="1" priority="1927" operator="equal">
      <formula>"未完成"</formula>
    </cfRule>
    <cfRule type="cellIs" dxfId="0" priority="1928" operator="equal">
      <formula>"未完成"</formula>
    </cfRule>
  </conditionalFormatting>
  <conditionalFormatting sqref="AT248:AV248">
    <cfRule type="cellIs" dxfId="1" priority="1933" operator="equal">
      <formula>"未完成"</formula>
    </cfRule>
    <cfRule type="cellIs" dxfId="0" priority="1934" operator="equal">
      <formula>"未完成"</formula>
    </cfRule>
  </conditionalFormatting>
  <conditionalFormatting sqref="R255">
    <cfRule type="cellIs" dxfId="0" priority="1864" operator="equal">
      <formula>"欠"</formula>
    </cfRule>
  </conditionalFormatting>
  <conditionalFormatting sqref="AE255">
    <cfRule type="cellIs" dxfId="0" priority="1883" operator="equal">
      <formula>"未完成"</formula>
    </cfRule>
  </conditionalFormatting>
  <conditionalFormatting sqref="AI255:AJ255">
    <cfRule type="cellIs" dxfId="1" priority="1879" operator="equal">
      <formula>"未完成"</formula>
    </cfRule>
    <cfRule type="cellIs" dxfId="0" priority="1881" operator="equal">
      <formula>"未完成"</formula>
    </cfRule>
  </conditionalFormatting>
  <conditionalFormatting sqref="AK255">
    <cfRule type="cellIs" dxfId="1" priority="1893" operator="equal">
      <formula>"未完成"</formula>
    </cfRule>
    <cfRule type="cellIs" dxfId="0" priority="1895" operator="equal">
      <formula>"未完成"</formula>
    </cfRule>
  </conditionalFormatting>
  <conditionalFormatting sqref="AL255">
    <cfRule type="cellIs" dxfId="1" priority="1871" operator="equal">
      <formula>"未完成"</formula>
    </cfRule>
    <cfRule type="cellIs" dxfId="0" priority="1873" operator="equal">
      <formula>"未完成"</formula>
    </cfRule>
  </conditionalFormatting>
  <conditionalFormatting sqref="AP255">
    <cfRule type="cellIs" dxfId="1" priority="1887" operator="equal">
      <formula>"未完成"</formula>
    </cfRule>
    <cfRule type="cellIs" dxfId="0" priority="1889" operator="equal">
      <formula>"未完成"</formula>
    </cfRule>
  </conditionalFormatting>
  <conditionalFormatting sqref="AQ255">
    <cfRule type="cellIs" dxfId="1" priority="1867" operator="equal">
      <formula>"未完成"</formula>
    </cfRule>
    <cfRule type="cellIs" dxfId="0" priority="1869" operator="equal">
      <formula>"未完成"</formula>
    </cfRule>
  </conditionalFormatting>
  <conditionalFormatting sqref="AT255:AV255">
    <cfRule type="cellIs" dxfId="1" priority="1875" operator="equal">
      <formula>"未完成"</formula>
    </cfRule>
    <cfRule type="cellIs" dxfId="0" priority="1877" operator="equal">
      <formula>"未完成"</formula>
    </cfRule>
  </conditionalFormatting>
  <conditionalFormatting sqref="T256:U256">
    <cfRule type="cellIs" dxfId="0" priority="1993" operator="equal">
      <formula>"欠"</formula>
    </cfRule>
  </conditionalFormatting>
  <conditionalFormatting sqref="AE256">
    <cfRule type="cellIs" dxfId="0" priority="2008" operator="equal">
      <formula>"未完成"</formula>
    </cfRule>
  </conditionalFormatting>
  <conditionalFormatting sqref="AI256">
    <cfRule type="cellIs" dxfId="1" priority="1809" operator="equal">
      <formula>"未完成"</formula>
    </cfRule>
    <cfRule type="cellIs" dxfId="0" priority="1810" operator="equal">
      <formula>"未完成"</formula>
    </cfRule>
  </conditionalFormatting>
  <conditionalFormatting sqref="AJ256">
    <cfRule type="cellIs" dxfId="1" priority="2006" operator="equal">
      <formula>"未完成"</formula>
    </cfRule>
    <cfRule type="cellIs" dxfId="0" priority="2007" operator="equal">
      <formula>"未完成"</formula>
    </cfRule>
  </conditionalFormatting>
  <conditionalFormatting sqref="AL256">
    <cfRule type="cellIs" dxfId="1" priority="2002" operator="equal">
      <formula>"未完成"</formula>
    </cfRule>
    <cfRule type="cellIs" dxfId="0" priority="2003" operator="equal">
      <formula>"未完成"</formula>
    </cfRule>
  </conditionalFormatting>
  <conditionalFormatting sqref="AM256">
    <cfRule type="cellIs" dxfId="1" priority="2000" operator="equal">
      <formula>"未完成"</formula>
    </cfRule>
    <cfRule type="cellIs" dxfId="0" priority="2001" operator="equal">
      <formula>"未完成"</formula>
    </cfRule>
  </conditionalFormatting>
  <conditionalFormatting sqref="AQ256">
    <cfRule type="cellIs" dxfId="1" priority="1996" operator="equal">
      <formula>"未完成"</formula>
    </cfRule>
    <cfRule type="cellIs" dxfId="0" priority="1997" operator="equal">
      <formula>"未完成"</formula>
    </cfRule>
  </conditionalFormatting>
  <conditionalFormatting sqref="AT256:AV256">
    <cfRule type="cellIs" dxfId="1" priority="2004" operator="equal">
      <formula>"未完成"</formula>
    </cfRule>
    <cfRule type="cellIs" dxfId="0" priority="2005" operator="equal">
      <formula>"未完成"</formula>
    </cfRule>
  </conditionalFormatting>
  <conditionalFormatting sqref="R257:S257">
    <cfRule type="cellIs" dxfId="0" priority="1579" operator="equal">
      <formula>"欠"</formula>
    </cfRule>
  </conditionalFormatting>
  <conditionalFormatting sqref="T257:U257">
    <cfRule type="cellIs" dxfId="0" priority="1339" operator="equal">
      <formula>"欠"</formula>
    </cfRule>
  </conditionalFormatting>
  <conditionalFormatting sqref="AE257">
    <cfRule type="cellIs" dxfId="0" priority="1504" operator="equal">
      <formula>"未完成"</formula>
    </cfRule>
  </conditionalFormatting>
  <conditionalFormatting sqref="AI257">
    <cfRule type="cellIs" dxfId="1" priority="1309" operator="equal">
      <formula>"未完成"</formula>
    </cfRule>
    <cfRule type="cellIs" dxfId="0" priority="1324" operator="equal">
      <formula>"未完成"</formula>
    </cfRule>
  </conditionalFormatting>
  <conditionalFormatting sqref="AJ257">
    <cfRule type="cellIs" dxfId="1" priority="1474" operator="equal">
      <formula>"未完成"</formula>
    </cfRule>
    <cfRule type="cellIs" dxfId="0" priority="1489" operator="equal">
      <formula>"未完成"</formula>
    </cfRule>
  </conditionalFormatting>
  <conditionalFormatting sqref="AK257">
    <cfRule type="cellIs" dxfId="1" priority="1594" operator="equal">
      <formula>"未完成"</formula>
    </cfRule>
    <cfRule type="cellIs" dxfId="0" priority="1609" operator="equal">
      <formula>"未完成"</formula>
    </cfRule>
  </conditionalFormatting>
  <conditionalFormatting sqref="AL257">
    <cfRule type="cellIs" dxfId="1" priority="1414" operator="equal">
      <formula>"未完成"</formula>
    </cfRule>
    <cfRule type="cellIs" dxfId="0" priority="1429" operator="equal">
      <formula>"未完成"</formula>
    </cfRule>
  </conditionalFormatting>
  <conditionalFormatting sqref="AM257">
    <cfRule type="cellIs" dxfId="1" priority="1384" operator="equal">
      <formula>"未完成"</formula>
    </cfRule>
    <cfRule type="cellIs" dxfId="0" priority="1399" operator="equal">
      <formula>"未完成"</formula>
    </cfRule>
  </conditionalFormatting>
  <conditionalFormatting sqref="AP257">
    <cfRule type="cellIs" dxfId="1" priority="1549" operator="equal">
      <formula>"未完成"</formula>
    </cfRule>
    <cfRule type="cellIs" dxfId="0" priority="1564" operator="equal">
      <formula>"未完成"</formula>
    </cfRule>
  </conditionalFormatting>
  <conditionalFormatting sqref="AQ257">
    <cfRule type="cellIs" dxfId="1" priority="1354" operator="equal">
      <formula>"未完成"</formula>
    </cfRule>
    <cfRule type="cellIs" dxfId="0" priority="1369" operator="equal">
      <formula>"未完成"</formula>
    </cfRule>
  </conditionalFormatting>
  <conditionalFormatting sqref="AT257:AV257">
    <cfRule type="cellIs" dxfId="1" priority="1444" operator="equal">
      <formula>"未完成"</formula>
    </cfRule>
    <cfRule type="cellIs" dxfId="0" priority="1459" operator="equal">
      <formula>"未完成"</formula>
    </cfRule>
  </conditionalFormatting>
  <conditionalFormatting sqref="R258:S258">
    <cfRule type="cellIs" dxfId="0" priority="1578" operator="equal">
      <formula>"欠"</formula>
    </cfRule>
  </conditionalFormatting>
  <conditionalFormatting sqref="T258:U258">
    <cfRule type="cellIs" dxfId="0" priority="1338" operator="equal">
      <formula>"欠"</formula>
    </cfRule>
  </conditionalFormatting>
  <conditionalFormatting sqref="AE258">
    <cfRule type="cellIs" dxfId="0" priority="1503" operator="equal">
      <formula>"未完成"</formula>
    </cfRule>
  </conditionalFormatting>
  <conditionalFormatting sqref="AI258">
    <cfRule type="cellIs" dxfId="1" priority="1308" operator="equal">
      <formula>"未完成"</formula>
    </cfRule>
    <cfRule type="cellIs" dxfId="0" priority="1323" operator="equal">
      <formula>"未完成"</formula>
    </cfRule>
  </conditionalFormatting>
  <conditionalFormatting sqref="AJ258">
    <cfRule type="cellIs" dxfId="1" priority="1473" operator="equal">
      <formula>"未完成"</formula>
    </cfRule>
    <cfRule type="cellIs" dxfId="0" priority="1488" operator="equal">
      <formula>"未完成"</formula>
    </cfRule>
  </conditionalFormatting>
  <conditionalFormatting sqref="AK258">
    <cfRule type="cellIs" dxfId="1" priority="1593" operator="equal">
      <formula>"未完成"</formula>
    </cfRule>
    <cfRule type="cellIs" dxfId="0" priority="1608" operator="equal">
      <formula>"未完成"</formula>
    </cfRule>
  </conditionalFormatting>
  <conditionalFormatting sqref="AL258">
    <cfRule type="cellIs" dxfId="1" priority="1413" operator="equal">
      <formula>"未完成"</formula>
    </cfRule>
    <cfRule type="cellIs" dxfId="0" priority="1428" operator="equal">
      <formula>"未完成"</formula>
    </cfRule>
  </conditionalFormatting>
  <conditionalFormatting sqref="AM258">
    <cfRule type="cellIs" dxfId="1" priority="1383" operator="equal">
      <formula>"未完成"</formula>
    </cfRule>
    <cfRule type="cellIs" dxfId="0" priority="1398" operator="equal">
      <formula>"未完成"</formula>
    </cfRule>
  </conditionalFormatting>
  <conditionalFormatting sqref="AP258">
    <cfRule type="cellIs" dxfId="1" priority="1548" operator="equal">
      <formula>"未完成"</formula>
    </cfRule>
    <cfRule type="cellIs" dxfId="0" priority="1563" operator="equal">
      <formula>"未完成"</formula>
    </cfRule>
  </conditionalFormatting>
  <conditionalFormatting sqref="AQ258">
    <cfRule type="cellIs" dxfId="1" priority="1353" operator="equal">
      <formula>"未完成"</formula>
    </cfRule>
    <cfRule type="cellIs" dxfId="0" priority="1368" operator="equal">
      <formula>"未完成"</formula>
    </cfRule>
  </conditionalFormatting>
  <conditionalFormatting sqref="AT258:AV258">
    <cfRule type="cellIs" dxfId="1" priority="1443" operator="equal">
      <formula>"未完成"</formula>
    </cfRule>
    <cfRule type="cellIs" dxfId="0" priority="1458" operator="equal">
      <formula>"未完成"</formula>
    </cfRule>
  </conditionalFormatting>
  <conditionalFormatting sqref="R259:S259">
    <cfRule type="cellIs" dxfId="0" priority="1577" operator="equal">
      <formula>"欠"</formula>
    </cfRule>
  </conditionalFormatting>
  <conditionalFormatting sqref="T259:U259">
    <cfRule type="cellIs" dxfId="0" priority="1337" operator="equal">
      <formula>"欠"</formula>
    </cfRule>
  </conditionalFormatting>
  <conditionalFormatting sqref="AE259">
    <cfRule type="cellIs" dxfId="0" priority="1502" operator="equal">
      <formula>"未完成"</formula>
    </cfRule>
  </conditionalFormatting>
  <conditionalFormatting sqref="AI259">
    <cfRule type="cellIs" dxfId="1" priority="1307" operator="equal">
      <formula>"未完成"</formula>
    </cfRule>
    <cfRule type="cellIs" dxfId="0" priority="1322" operator="equal">
      <formula>"未完成"</formula>
    </cfRule>
  </conditionalFormatting>
  <conditionalFormatting sqref="AJ259">
    <cfRule type="cellIs" dxfId="1" priority="1472" operator="equal">
      <formula>"未完成"</formula>
    </cfRule>
    <cfRule type="cellIs" dxfId="0" priority="1487" operator="equal">
      <formula>"未完成"</formula>
    </cfRule>
  </conditionalFormatting>
  <conditionalFormatting sqref="AK259">
    <cfRule type="cellIs" dxfId="1" priority="1592" operator="equal">
      <formula>"未完成"</formula>
    </cfRule>
    <cfRule type="cellIs" dxfId="0" priority="1607" operator="equal">
      <formula>"未完成"</formula>
    </cfRule>
  </conditionalFormatting>
  <conditionalFormatting sqref="AL259">
    <cfRule type="cellIs" dxfId="1" priority="1412" operator="equal">
      <formula>"未完成"</formula>
    </cfRule>
    <cfRule type="cellIs" dxfId="0" priority="1427" operator="equal">
      <formula>"未完成"</formula>
    </cfRule>
  </conditionalFormatting>
  <conditionalFormatting sqref="AM259">
    <cfRule type="cellIs" dxfId="1" priority="1382" operator="equal">
      <formula>"未完成"</formula>
    </cfRule>
    <cfRule type="cellIs" dxfId="0" priority="1397" operator="equal">
      <formula>"未完成"</formula>
    </cfRule>
  </conditionalFormatting>
  <conditionalFormatting sqref="AP259">
    <cfRule type="cellIs" dxfId="1" priority="1547" operator="equal">
      <formula>"未完成"</formula>
    </cfRule>
    <cfRule type="cellIs" dxfId="0" priority="1562" operator="equal">
      <formula>"未完成"</formula>
    </cfRule>
  </conditionalFormatting>
  <conditionalFormatting sqref="AQ259">
    <cfRule type="cellIs" dxfId="1" priority="1352" operator="equal">
      <formula>"未完成"</formula>
    </cfRule>
    <cfRule type="cellIs" dxfId="0" priority="1367" operator="equal">
      <formula>"未完成"</formula>
    </cfRule>
  </conditionalFormatting>
  <conditionalFormatting sqref="AT259:AV259">
    <cfRule type="cellIs" dxfId="1" priority="1442" operator="equal">
      <formula>"未完成"</formula>
    </cfRule>
    <cfRule type="cellIs" dxfId="0" priority="1457" operator="equal">
      <formula>"未完成"</formula>
    </cfRule>
  </conditionalFormatting>
  <conditionalFormatting sqref="R260:S260">
    <cfRule type="cellIs" dxfId="0" priority="1576" operator="equal">
      <formula>"欠"</formula>
    </cfRule>
  </conditionalFormatting>
  <conditionalFormatting sqref="T260:U260">
    <cfRule type="cellIs" dxfId="0" priority="1336" operator="equal">
      <formula>"欠"</formula>
    </cfRule>
  </conditionalFormatting>
  <conditionalFormatting sqref="AE260">
    <cfRule type="cellIs" dxfId="0" priority="1501" operator="equal">
      <formula>"未完成"</formula>
    </cfRule>
  </conditionalFormatting>
  <conditionalFormatting sqref="AI260">
    <cfRule type="cellIs" dxfId="1" priority="1306" operator="equal">
      <formula>"未完成"</formula>
    </cfRule>
    <cfRule type="cellIs" dxfId="0" priority="1321" operator="equal">
      <formula>"未完成"</formula>
    </cfRule>
  </conditionalFormatting>
  <conditionalFormatting sqref="AJ260">
    <cfRule type="cellIs" dxfId="1" priority="1471" operator="equal">
      <formula>"未完成"</formula>
    </cfRule>
    <cfRule type="cellIs" dxfId="0" priority="1486" operator="equal">
      <formula>"未完成"</formula>
    </cfRule>
  </conditionalFormatting>
  <conditionalFormatting sqref="AK260">
    <cfRule type="cellIs" dxfId="1" priority="1591" operator="equal">
      <formula>"未完成"</formula>
    </cfRule>
    <cfRule type="cellIs" dxfId="0" priority="1606" operator="equal">
      <formula>"未完成"</formula>
    </cfRule>
  </conditionalFormatting>
  <conditionalFormatting sqref="AL260">
    <cfRule type="cellIs" dxfId="1" priority="1411" operator="equal">
      <formula>"未完成"</formula>
    </cfRule>
    <cfRule type="cellIs" dxfId="0" priority="1426" operator="equal">
      <formula>"未完成"</formula>
    </cfRule>
  </conditionalFormatting>
  <conditionalFormatting sqref="AM260">
    <cfRule type="cellIs" dxfId="1" priority="1381" operator="equal">
      <formula>"未完成"</formula>
    </cfRule>
    <cfRule type="cellIs" dxfId="0" priority="1396" operator="equal">
      <formula>"未完成"</formula>
    </cfRule>
  </conditionalFormatting>
  <conditionalFormatting sqref="AP260">
    <cfRule type="cellIs" dxfId="1" priority="1546" operator="equal">
      <formula>"未完成"</formula>
    </cfRule>
    <cfRule type="cellIs" dxfId="0" priority="1561" operator="equal">
      <formula>"未完成"</formula>
    </cfRule>
  </conditionalFormatting>
  <conditionalFormatting sqref="AQ260">
    <cfRule type="cellIs" dxfId="1" priority="1351" operator="equal">
      <formula>"未完成"</formula>
    </cfRule>
    <cfRule type="cellIs" dxfId="0" priority="1366" operator="equal">
      <formula>"未完成"</formula>
    </cfRule>
  </conditionalFormatting>
  <conditionalFormatting sqref="AT260:AV260">
    <cfRule type="cellIs" dxfId="1" priority="1441" operator="equal">
      <formula>"未完成"</formula>
    </cfRule>
    <cfRule type="cellIs" dxfId="0" priority="1456" operator="equal">
      <formula>"未完成"</formula>
    </cfRule>
  </conditionalFormatting>
  <conditionalFormatting sqref="R261:S261">
    <cfRule type="cellIs" dxfId="0" priority="1575" operator="equal">
      <formula>"欠"</formula>
    </cfRule>
  </conditionalFormatting>
  <conditionalFormatting sqref="T261:U261">
    <cfRule type="cellIs" dxfId="0" priority="1335" operator="equal">
      <formula>"欠"</formula>
    </cfRule>
  </conditionalFormatting>
  <conditionalFormatting sqref="AE261">
    <cfRule type="cellIs" dxfId="0" priority="1500" operator="equal">
      <formula>"未完成"</formula>
    </cfRule>
  </conditionalFormatting>
  <conditionalFormatting sqref="AI261">
    <cfRule type="cellIs" dxfId="1" priority="1305" operator="equal">
      <formula>"未完成"</formula>
    </cfRule>
    <cfRule type="cellIs" dxfId="0" priority="1320" operator="equal">
      <formula>"未完成"</formula>
    </cfRule>
  </conditionalFormatting>
  <conditionalFormatting sqref="AJ261">
    <cfRule type="cellIs" dxfId="1" priority="1470" operator="equal">
      <formula>"未完成"</formula>
    </cfRule>
    <cfRule type="cellIs" dxfId="0" priority="1485" operator="equal">
      <formula>"未完成"</formula>
    </cfRule>
  </conditionalFormatting>
  <conditionalFormatting sqref="AK261">
    <cfRule type="cellIs" dxfId="1" priority="1590" operator="equal">
      <formula>"未完成"</formula>
    </cfRule>
    <cfRule type="cellIs" dxfId="0" priority="1605" operator="equal">
      <formula>"未完成"</formula>
    </cfRule>
  </conditionalFormatting>
  <conditionalFormatting sqref="AL261">
    <cfRule type="cellIs" dxfId="1" priority="1410" operator="equal">
      <formula>"未完成"</formula>
    </cfRule>
    <cfRule type="cellIs" dxfId="0" priority="1425" operator="equal">
      <formula>"未完成"</formula>
    </cfRule>
  </conditionalFormatting>
  <conditionalFormatting sqref="AM261">
    <cfRule type="cellIs" dxfId="1" priority="1380" operator="equal">
      <formula>"未完成"</formula>
    </cfRule>
    <cfRule type="cellIs" dxfId="0" priority="1395" operator="equal">
      <formula>"未完成"</formula>
    </cfRule>
  </conditionalFormatting>
  <conditionalFormatting sqref="AP261">
    <cfRule type="cellIs" dxfId="1" priority="1545" operator="equal">
      <formula>"未完成"</formula>
    </cfRule>
    <cfRule type="cellIs" dxfId="0" priority="1560" operator="equal">
      <formula>"未完成"</formula>
    </cfRule>
  </conditionalFormatting>
  <conditionalFormatting sqref="AQ261">
    <cfRule type="cellIs" dxfId="1" priority="1350" operator="equal">
      <formula>"未完成"</formula>
    </cfRule>
    <cfRule type="cellIs" dxfId="0" priority="1365" operator="equal">
      <formula>"未完成"</formula>
    </cfRule>
  </conditionalFormatting>
  <conditionalFormatting sqref="AT261:AV261">
    <cfRule type="cellIs" dxfId="1" priority="1440" operator="equal">
      <formula>"未完成"</formula>
    </cfRule>
    <cfRule type="cellIs" dxfId="0" priority="1455" operator="equal">
      <formula>"未完成"</formula>
    </cfRule>
  </conditionalFormatting>
  <conditionalFormatting sqref="R262:S262">
    <cfRule type="cellIs" dxfId="0" priority="1574" operator="equal">
      <formula>"欠"</formula>
    </cfRule>
  </conditionalFormatting>
  <conditionalFormatting sqref="T262:U262">
    <cfRule type="cellIs" dxfId="0" priority="1334" operator="equal">
      <formula>"欠"</formula>
    </cfRule>
  </conditionalFormatting>
  <conditionalFormatting sqref="AE262">
    <cfRule type="cellIs" dxfId="0" priority="1499" operator="equal">
      <formula>"未完成"</formula>
    </cfRule>
  </conditionalFormatting>
  <conditionalFormatting sqref="AI262">
    <cfRule type="cellIs" dxfId="1" priority="1304" operator="equal">
      <formula>"未完成"</formula>
    </cfRule>
    <cfRule type="cellIs" dxfId="0" priority="1319" operator="equal">
      <formula>"未完成"</formula>
    </cfRule>
  </conditionalFormatting>
  <conditionalFormatting sqref="AJ262">
    <cfRule type="cellIs" dxfId="1" priority="1469" operator="equal">
      <formula>"未完成"</formula>
    </cfRule>
    <cfRule type="cellIs" dxfId="0" priority="1484" operator="equal">
      <formula>"未完成"</formula>
    </cfRule>
  </conditionalFormatting>
  <conditionalFormatting sqref="AK262">
    <cfRule type="cellIs" dxfId="1" priority="1589" operator="equal">
      <formula>"未完成"</formula>
    </cfRule>
    <cfRule type="cellIs" dxfId="0" priority="1604" operator="equal">
      <formula>"未完成"</formula>
    </cfRule>
  </conditionalFormatting>
  <conditionalFormatting sqref="AL262">
    <cfRule type="cellIs" dxfId="1" priority="1409" operator="equal">
      <formula>"未完成"</formula>
    </cfRule>
    <cfRule type="cellIs" dxfId="0" priority="1424" operator="equal">
      <formula>"未完成"</formula>
    </cfRule>
  </conditionalFormatting>
  <conditionalFormatting sqref="AM262">
    <cfRule type="cellIs" dxfId="1" priority="1379" operator="equal">
      <formula>"未完成"</formula>
    </cfRule>
    <cfRule type="cellIs" dxfId="0" priority="1394" operator="equal">
      <formula>"未完成"</formula>
    </cfRule>
  </conditionalFormatting>
  <conditionalFormatting sqref="AP262">
    <cfRule type="cellIs" dxfId="1" priority="1544" operator="equal">
      <formula>"未完成"</formula>
    </cfRule>
    <cfRule type="cellIs" dxfId="0" priority="1559" operator="equal">
      <formula>"未完成"</formula>
    </cfRule>
  </conditionalFormatting>
  <conditionalFormatting sqref="AQ262">
    <cfRule type="cellIs" dxfId="1" priority="1349" operator="equal">
      <formula>"未完成"</formula>
    </cfRule>
    <cfRule type="cellIs" dxfId="0" priority="1364" operator="equal">
      <formula>"未完成"</formula>
    </cfRule>
  </conditionalFormatting>
  <conditionalFormatting sqref="AT262:AV262">
    <cfRule type="cellIs" dxfId="1" priority="1439" operator="equal">
      <formula>"未完成"</formula>
    </cfRule>
    <cfRule type="cellIs" dxfId="0" priority="1454" operator="equal">
      <formula>"未完成"</formula>
    </cfRule>
  </conditionalFormatting>
  <conditionalFormatting sqref="R263:S263">
    <cfRule type="cellIs" dxfId="0" priority="1573" operator="equal">
      <formula>"欠"</formula>
    </cfRule>
  </conditionalFormatting>
  <conditionalFormatting sqref="T263:U263">
    <cfRule type="cellIs" dxfId="0" priority="1333" operator="equal">
      <formula>"欠"</formula>
    </cfRule>
  </conditionalFormatting>
  <conditionalFormatting sqref="AE263">
    <cfRule type="cellIs" dxfId="0" priority="1498" operator="equal">
      <formula>"未完成"</formula>
    </cfRule>
  </conditionalFormatting>
  <conditionalFormatting sqref="AI263">
    <cfRule type="cellIs" dxfId="1" priority="1303" operator="equal">
      <formula>"未完成"</formula>
    </cfRule>
    <cfRule type="cellIs" dxfId="0" priority="1318" operator="equal">
      <formula>"未完成"</formula>
    </cfRule>
  </conditionalFormatting>
  <conditionalFormatting sqref="AJ263">
    <cfRule type="cellIs" dxfId="1" priority="1468" operator="equal">
      <formula>"未完成"</formula>
    </cfRule>
    <cfRule type="cellIs" dxfId="0" priority="1483" operator="equal">
      <formula>"未完成"</formula>
    </cfRule>
  </conditionalFormatting>
  <conditionalFormatting sqref="AK263">
    <cfRule type="cellIs" dxfId="1" priority="1588" operator="equal">
      <formula>"未完成"</formula>
    </cfRule>
    <cfRule type="cellIs" dxfId="0" priority="1603" operator="equal">
      <formula>"未完成"</formula>
    </cfRule>
  </conditionalFormatting>
  <conditionalFormatting sqref="AL263">
    <cfRule type="cellIs" dxfId="1" priority="1408" operator="equal">
      <formula>"未完成"</formula>
    </cfRule>
    <cfRule type="cellIs" dxfId="0" priority="1423" operator="equal">
      <formula>"未完成"</formula>
    </cfRule>
  </conditionalFormatting>
  <conditionalFormatting sqref="R264:S264">
    <cfRule type="cellIs" dxfId="0" priority="1572" operator="equal">
      <formula>"欠"</formula>
    </cfRule>
  </conditionalFormatting>
  <conditionalFormatting sqref="T264:U264">
    <cfRule type="cellIs" dxfId="0" priority="1332" operator="equal">
      <formula>"欠"</formula>
    </cfRule>
  </conditionalFormatting>
  <conditionalFormatting sqref="AE264">
    <cfRule type="cellIs" dxfId="0" priority="1497" operator="equal">
      <formula>"未完成"</formula>
    </cfRule>
  </conditionalFormatting>
  <conditionalFormatting sqref="AI264">
    <cfRule type="cellIs" dxfId="1" priority="1302" operator="equal">
      <formula>"未完成"</formula>
    </cfRule>
    <cfRule type="cellIs" dxfId="0" priority="1317" operator="equal">
      <formula>"未完成"</formula>
    </cfRule>
  </conditionalFormatting>
  <conditionalFormatting sqref="AJ264">
    <cfRule type="cellIs" dxfId="1" priority="1467" operator="equal">
      <formula>"未完成"</formula>
    </cfRule>
    <cfRule type="cellIs" dxfId="0" priority="1482" operator="equal">
      <formula>"未完成"</formula>
    </cfRule>
  </conditionalFormatting>
  <conditionalFormatting sqref="AK264">
    <cfRule type="cellIs" dxfId="1" priority="1587" operator="equal">
      <formula>"未完成"</formula>
    </cfRule>
    <cfRule type="cellIs" dxfId="0" priority="1602" operator="equal">
      <formula>"未完成"</formula>
    </cfRule>
  </conditionalFormatting>
  <conditionalFormatting sqref="AL264">
    <cfRule type="cellIs" dxfId="1" priority="1407" operator="equal">
      <formula>"未完成"</formula>
    </cfRule>
    <cfRule type="cellIs" dxfId="0" priority="1422" operator="equal">
      <formula>"未完成"</formula>
    </cfRule>
  </conditionalFormatting>
  <conditionalFormatting sqref="AM264">
    <cfRule type="cellIs" dxfId="1" priority="1377" operator="equal">
      <formula>"未完成"</formula>
    </cfRule>
    <cfRule type="cellIs" dxfId="0" priority="1392" operator="equal">
      <formula>"未完成"</formula>
    </cfRule>
  </conditionalFormatting>
  <conditionalFormatting sqref="AP264">
    <cfRule type="cellIs" dxfId="1" priority="1542" operator="equal">
      <formula>"未完成"</formula>
    </cfRule>
    <cfRule type="cellIs" dxfId="0" priority="1557" operator="equal">
      <formula>"未完成"</formula>
    </cfRule>
  </conditionalFormatting>
  <conditionalFormatting sqref="AQ264">
    <cfRule type="cellIs" dxfId="1" priority="1347" operator="equal">
      <formula>"未完成"</formula>
    </cfRule>
    <cfRule type="cellIs" dxfId="0" priority="1362" operator="equal">
      <formula>"未完成"</formula>
    </cfRule>
  </conditionalFormatting>
  <conditionalFormatting sqref="AT264:AV264">
    <cfRule type="cellIs" dxfId="1" priority="1437" operator="equal">
      <formula>"未完成"</formula>
    </cfRule>
    <cfRule type="cellIs" dxfId="0" priority="1452" operator="equal">
      <formula>"未完成"</formula>
    </cfRule>
  </conditionalFormatting>
  <conditionalFormatting sqref="R265:S265">
    <cfRule type="cellIs" dxfId="0" priority="1571" operator="equal">
      <formula>"欠"</formula>
    </cfRule>
  </conditionalFormatting>
  <conditionalFormatting sqref="T265:U265">
    <cfRule type="cellIs" dxfId="0" priority="1331" operator="equal">
      <formula>"欠"</formula>
    </cfRule>
  </conditionalFormatting>
  <conditionalFormatting sqref="AE265">
    <cfRule type="cellIs" dxfId="0" priority="1496" operator="equal">
      <formula>"未完成"</formula>
    </cfRule>
  </conditionalFormatting>
  <conditionalFormatting sqref="AI265">
    <cfRule type="cellIs" dxfId="1" priority="1301" operator="equal">
      <formula>"未完成"</formula>
    </cfRule>
    <cfRule type="cellIs" dxfId="0" priority="1316" operator="equal">
      <formula>"未完成"</formula>
    </cfRule>
  </conditionalFormatting>
  <conditionalFormatting sqref="AJ265">
    <cfRule type="cellIs" dxfId="1" priority="1466" operator="equal">
      <formula>"未完成"</formula>
    </cfRule>
    <cfRule type="cellIs" dxfId="0" priority="1481" operator="equal">
      <formula>"未完成"</formula>
    </cfRule>
  </conditionalFormatting>
  <conditionalFormatting sqref="AK265">
    <cfRule type="cellIs" dxfId="1" priority="1586" operator="equal">
      <formula>"未完成"</formula>
    </cfRule>
    <cfRule type="cellIs" dxfId="0" priority="1601" operator="equal">
      <formula>"未完成"</formula>
    </cfRule>
  </conditionalFormatting>
  <conditionalFormatting sqref="AL265">
    <cfRule type="cellIs" dxfId="1" priority="1406" operator="equal">
      <formula>"未完成"</formula>
    </cfRule>
    <cfRule type="cellIs" dxfId="0" priority="1421" operator="equal">
      <formula>"未完成"</formula>
    </cfRule>
  </conditionalFormatting>
  <conditionalFormatting sqref="AM265">
    <cfRule type="cellIs" dxfId="1" priority="1376" operator="equal">
      <formula>"未完成"</formula>
    </cfRule>
    <cfRule type="cellIs" dxfId="0" priority="1391" operator="equal">
      <formula>"未完成"</formula>
    </cfRule>
  </conditionalFormatting>
  <conditionalFormatting sqref="AP265">
    <cfRule type="cellIs" dxfId="1" priority="1541" operator="equal">
      <formula>"未完成"</formula>
    </cfRule>
    <cfRule type="cellIs" dxfId="0" priority="1556" operator="equal">
      <formula>"未完成"</formula>
    </cfRule>
  </conditionalFormatting>
  <conditionalFormatting sqref="AQ265">
    <cfRule type="cellIs" dxfId="1" priority="1346" operator="equal">
      <formula>"未完成"</formula>
    </cfRule>
    <cfRule type="cellIs" dxfId="0" priority="1361" operator="equal">
      <formula>"未完成"</formula>
    </cfRule>
  </conditionalFormatting>
  <conditionalFormatting sqref="AT265:AV265">
    <cfRule type="cellIs" dxfId="1" priority="1436" operator="equal">
      <formula>"未完成"</formula>
    </cfRule>
    <cfRule type="cellIs" dxfId="0" priority="1451" operator="equal">
      <formula>"未完成"</formula>
    </cfRule>
  </conditionalFormatting>
  <conditionalFormatting sqref="R266:S266">
    <cfRule type="cellIs" dxfId="0" priority="1570" operator="equal">
      <formula>"欠"</formula>
    </cfRule>
  </conditionalFormatting>
  <conditionalFormatting sqref="T266:U266">
    <cfRule type="cellIs" dxfId="0" priority="1330" operator="equal">
      <formula>"欠"</formula>
    </cfRule>
  </conditionalFormatting>
  <conditionalFormatting sqref="AE266">
    <cfRule type="cellIs" dxfId="0" priority="1495" operator="equal">
      <formula>"未完成"</formula>
    </cfRule>
  </conditionalFormatting>
  <conditionalFormatting sqref="AI266">
    <cfRule type="cellIs" dxfId="1" priority="1300" operator="equal">
      <formula>"未完成"</formula>
    </cfRule>
    <cfRule type="cellIs" dxfId="0" priority="1315" operator="equal">
      <formula>"未完成"</formula>
    </cfRule>
  </conditionalFormatting>
  <conditionalFormatting sqref="AJ266">
    <cfRule type="cellIs" dxfId="1" priority="1465" operator="equal">
      <formula>"未完成"</formula>
    </cfRule>
    <cfRule type="cellIs" dxfId="0" priority="1480" operator="equal">
      <formula>"未完成"</formula>
    </cfRule>
  </conditionalFormatting>
  <conditionalFormatting sqref="AK266">
    <cfRule type="cellIs" dxfId="1" priority="1585" operator="equal">
      <formula>"未完成"</formula>
    </cfRule>
    <cfRule type="cellIs" dxfId="0" priority="1600" operator="equal">
      <formula>"未完成"</formula>
    </cfRule>
  </conditionalFormatting>
  <conditionalFormatting sqref="AL266">
    <cfRule type="cellIs" dxfId="1" priority="1405" operator="equal">
      <formula>"未完成"</formula>
    </cfRule>
    <cfRule type="cellIs" dxfId="0" priority="1420" operator="equal">
      <formula>"未完成"</formula>
    </cfRule>
  </conditionalFormatting>
  <conditionalFormatting sqref="AM266">
    <cfRule type="cellIs" dxfId="1" priority="1375" operator="equal">
      <formula>"未完成"</formula>
    </cfRule>
    <cfRule type="cellIs" dxfId="0" priority="1390" operator="equal">
      <formula>"未完成"</formula>
    </cfRule>
  </conditionalFormatting>
  <conditionalFormatting sqref="AP266">
    <cfRule type="cellIs" dxfId="1" priority="1540" operator="equal">
      <formula>"未完成"</formula>
    </cfRule>
    <cfRule type="cellIs" dxfId="0" priority="1555" operator="equal">
      <formula>"未完成"</formula>
    </cfRule>
  </conditionalFormatting>
  <conditionalFormatting sqref="AQ266">
    <cfRule type="cellIs" dxfId="1" priority="1345" operator="equal">
      <formula>"未完成"</formula>
    </cfRule>
    <cfRule type="cellIs" dxfId="0" priority="1360" operator="equal">
      <formula>"未完成"</formula>
    </cfRule>
  </conditionalFormatting>
  <conditionalFormatting sqref="AT266:AV266">
    <cfRule type="cellIs" dxfId="1" priority="1435" operator="equal">
      <formula>"未完成"</formula>
    </cfRule>
    <cfRule type="cellIs" dxfId="0" priority="1450" operator="equal">
      <formula>"未完成"</formula>
    </cfRule>
  </conditionalFormatting>
  <conditionalFormatting sqref="R267:S267">
    <cfRule type="cellIs" dxfId="0" priority="1569" operator="equal">
      <formula>"欠"</formula>
    </cfRule>
  </conditionalFormatting>
  <conditionalFormatting sqref="T267:U267">
    <cfRule type="cellIs" dxfId="0" priority="1329" operator="equal">
      <formula>"欠"</formula>
    </cfRule>
  </conditionalFormatting>
  <conditionalFormatting sqref="AE267">
    <cfRule type="cellIs" dxfId="0" priority="1494" operator="equal">
      <formula>"未完成"</formula>
    </cfRule>
  </conditionalFormatting>
  <conditionalFormatting sqref="AI267">
    <cfRule type="cellIs" dxfId="1" priority="1299" operator="equal">
      <formula>"未完成"</formula>
    </cfRule>
    <cfRule type="cellIs" dxfId="0" priority="1314" operator="equal">
      <formula>"未完成"</formula>
    </cfRule>
  </conditionalFormatting>
  <conditionalFormatting sqref="AJ267">
    <cfRule type="cellIs" dxfId="1" priority="1464" operator="equal">
      <formula>"未完成"</formula>
    </cfRule>
    <cfRule type="cellIs" dxfId="0" priority="1479" operator="equal">
      <formula>"未完成"</formula>
    </cfRule>
  </conditionalFormatting>
  <conditionalFormatting sqref="AK267">
    <cfRule type="cellIs" dxfId="1" priority="1584" operator="equal">
      <formula>"未完成"</formula>
    </cfRule>
    <cfRule type="cellIs" dxfId="0" priority="1599" operator="equal">
      <formula>"未完成"</formula>
    </cfRule>
  </conditionalFormatting>
  <conditionalFormatting sqref="AL267">
    <cfRule type="cellIs" dxfId="1" priority="1404" operator="equal">
      <formula>"未完成"</formula>
    </cfRule>
    <cfRule type="cellIs" dxfId="0" priority="1419" operator="equal">
      <formula>"未完成"</formula>
    </cfRule>
  </conditionalFormatting>
  <conditionalFormatting sqref="AM267">
    <cfRule type="cellIs" dxfId="1" priority="1374" operator="equal">
      <formula>"未完成"</formula>
    </cfRule>
    <cfRule type="cellIs" dxfId="0" priority="1389" operator="equal">
      <formula>"未完成"</formula>
    </cfRule>
  </conditionalFormatting>
  <conditionalFormatting sqref="AP267">
    <cfRule type="cellIs" dxfId="1" priority="1539" operator="equal">
      <formula>"未完成"</formula>
    </cfRule>
    <cfRule type="cellIs" dxfId="0" priority="1554" operator="equal">
      <formula>"未完成"</formula>
    </cfRule>
  </conditionalFormatting>
  <conditionalFormatting sqref="AQ267">
    <cfRule type="cellIs" dxfId="1" priority="1344" operator="equal">
      <formula>"未完成"</formula>
    </cfRule>
    <cfRule type="cellIs" dxfId="0" priority="1359" operator="equal">
      <formula>"未完成"</formula>
    </cfRule>
  </conditionalFormatting>
  <conditionalFormatting sqref="AT267:AV267">
    <cfRule type="cellIs" dxfId="1" priority="1434" operator="equal">
      <formula>"未完成"</formula>
    </cfRule>
    <cfRule type="cellIs" dxfId="0" priority="1449" operator="equal">
      <formula>"未完成"</formula>
    </cfRule>
  </conditionalFormatting>
  <conditionalFormatting sqref="R268:S268">
    <cfRule type="cellIs" dxfId="0" priority="1568" operator="equal">
      <formula>"欠"</formula>
    </cfRule>
  </conditionalFormatting>
  <conditionalFormatting sqref="T268:U268">
    <cfRule type="cellIs" dxfId="0" priority="1328" operator="equal">
      <formula>"欠"</formula>
    </cfRule>
  </conditionalFormatting>
  <conditionalFormatting sqref="AE268">
    <cfRule type="cellIs" dxfId="0" priority="1493" operator="equal">
      <formula>"未完成"</formula>
    </cfRule>
  </conditionalFormatting>
  <conditionalFormatting sqref="AI268">
    <cfRule type="cellIs" dxfId="1" priority="1298" operator="equal">
      <formula>"未完成"</formula>
    </cfRule>
    <cfRule type="cellIs" dxfId="0" priority="1313" operator="equal">
      <formula>"未完成"</formula>
    </cfRule>
  </conditionalFormatting>
  <conditionalFormatting sqref="AJ268">
    <cfRule type="cellIs" dxfId="1" priority="1463" operator="equal">
      <formula>"未完成"</formula>
    </cfRule>
    <cfRule type="cellIs" dxfId="0" priority="1478" operator="equal">
      <formula>"未完成"</formula>
    </cfRule>
  </conditionalFormatting>
  <conditionalFormatting sqref="AK268">
    <cfRule type="cellIs" dxfId="1" priority="1583" operator="equal">
      <formula>"未完成"</formula>
    </cfRule>
    <cfRule type="cellIs" dxfId="0" priority="1598" operator="equal">
      <formula>"未完成"</formula>
    </cfRule>
  </conditionalFormatting>
  <conditionalFormatting sqref="AL268">
    <cfRule type="cellIs" dxfId="1" priority="1403" operator="equal">
      <formula>"未完成"</formula>
    </cfRule>
    <cfRule type="cellIs" dxfId="0" priority="1418" operator="equal">
      <formula>"未完成"</formula>
    </cfRule>
  </conditionalFormatting>
  <conditionalFormatting sqref="AM268">
    <cfRule type="cellIs" dxfId="1" priority="1373" operator="equal">
      <formula>"未完成"</formula>
    </cfRule>
    <cfRule type="cellIs" dxfId="0" priority="1388" operator="equal">
      <formula>"未完成"</formula>
    </cfRule>
  </conditionalFormatting>
  <conditionalFormatting sqref="AP268">
    <cfRule type="cellIs" dxfId="1" priority="1538" operator="equal">
      <formula>"未完成"</formula>
    </cfRule>
    <cfRule type="cellIs" dxfId="0" priority="1553" operator="equal">
      <formula>"未完成"</formula>
    </cfRule>
  </conditionalFormatting>
  <conditionalFormatting sqref="AQ268">
    <cfRule type="cellIs" dxfId="1" priority="1343" operator="equal">
      <formula>"未完成"</formula>
    </cfRule>
    <cfRule type="cellIs" dxfId="0" priority="1358" operator="equal">
      <formula>"未完成"</formula>
    </cfRule>
  </conditionalFormatting>
  <conditionalFormatting sqref="AT268:AV268">
    <cfRule type="cellIs" dxfId="1" priority="1433" operator="equal">
      <formula>"未完成"</formula>
    </cfRule>
    <cfRule type="cellIs" dxfId="0" priority="1448" operator="equal">
      <formula>"未完成"</formula>
    </cfRule>
  </conditionalFormatting>
  <conditionalFormatting sqref="R269:S269">
    <cfRule type="cellIs" dxfId="0" priority="1567" operator="equal">
      <formula>"欠"</formula>
    </cfRule>
  </conditionalFormatting>
  <conditionalFormatting sqref="T269:U269">
    <cfRule type="cellIs" dxfId="0" priority="1327" operator="equal">
      <formula>"欠"</formula>
    </cfRule>
  </conditionalFormatting>
  <conditionalFormatting sqref="AE269">
    <cfRule type="cellIs" dxfId="0" priority="1492" operator="equal">
      <formula>"未完成"</formula>
    </cfRule>
  </conditionalFormatting>
  <conditionalFormatting sqref="AI269">
    <cfRule type="cellIs" dxfId="1" priority="1297" operator="equal">
      <formula>"未完成"</formula>
    </cfRule>
    <cfRule type="cellIs" dxfId="0" priority="1312" operator="equal">
      <formula>"未完成"</formula>
    </cfRule>
  </conditionalFormatting>
  <conditionalFormatting sqref="AJ269">
    <cfRule type="cellIs" dxfId="1" priority="1462" operator="equal">
      <formula>"未完成"</formula>
    </cfRule>
    <cfRule type="cellIs" dxfId="0" priority="1477" operator="equal">
      <formula>"未完成"</formula>
    </cfRule>
  </conditionalFormatting>
  <conditionalFormatting sqref="AK269">
    <cfRule type="cellIs" dxfId="1" priority="1582" operator="equal">
      <formula>"未完成"</formula>
    </cfRule>
    <cfRule type="cellIs" dxfId="0" priority="1597" operator="equal">
      <formula>"未完成"</formula>
    </cfRule>
  </conditionalFormatting>
  <conditionalFormatting sqref="AL269">
    <cfRule type="cellIs" dxfId="1" priority="1402" operator="equal">
      <formula>"未完成"</formula>
    </cfRule>
    <cfRule type="cellIs" dxfId="0" priority="1417" operator="equal">
      <formula>"未完成"</formula>
    </cfRule>
  </conditionalFormatting>
  <conditionalFormatting sqref="AM269">
    <cfRule type="cellIs" dxfId="1" priority="1372" operator="equal">
      <formula>"未完成"</formula>
    </cfRule>
    <cfRule type="cellIs" dxfId="0" priority="1387" operator="equal">
      <formula>"未完成"</formula>
    </cfRule>
  </conditionalFormatting>
  <conditionalFormatting sqref="AP269">
    <cfRule type="cellIs" dxfId="1" priority="1537" operator="equal">
      <formula>"未完成"</formula>
    </cfRule>
    <cfRule type="cellIs" dxfId="0" priority="1552" operator="equal">
      <formula>"未完成"</formula>
    </cfRule>
  </conditionalFormatting>
  <conditionalFormatting sqref="AQ269">
    <cfRule type="cellIs" dxfId="1" priority="1342" operator="equal">
      <formula>"未完成"</formula>
    </cfRule>
    <cfRule type="cellIs" dxfId="0" priority="1357" operator="equal">
      <formula>"未完成"</formula>
    </cfRule>
  </conditionalFormatting>
  <conditionalFormatting sqref="AT269:AV269">
    <cfRule type="cellIs" dxfId="1" priority="1432" operator="equal">
      <formula>"未完成"</formula>
    </cfRule>
    <cfRule type="cellIs" dxfId="0" priority="1447" operator="equal">
      <formula>"未完成"</formula>
    </cfRule>
  </conditionalFormatting>
  <conditionalFormatting sqref="R270:S270">
    <cfRule type="cellIs" dxfId="0" priority="1566" operator="equal">
      <formula>"欠"</formula>
    </cfRule>
  </conditionalFormatting>
  <conditionalFormatting sqref="T270:U270">
    <cfRule type="cellIs" dxfId="0" priority="1326" operator="equal">
      <formula>"欠"</formula>
    </cfRule>
  </conditionalFormatting>
  <conditionalFormatting sqref="AE270">
    <cfRule type="cellIs" dxfId="0" priority="1491" operator="equal">
      <formula>"未完成"</formula>
    </cfRule>
  </conditionalFormatting>
  <conditionalFormatting sqref="AI270">
    <cfRule type="cellIs" dxfId="1" priority="1296" operator="equal">
      <formula>"未完成"</formula>
    </cfRule>
    <cfRule type="cellIs" dxfId="0" priority="1311" operator="equal">
      <formula>"未完成"</formula>
    </cfRule>
  </conditionalFormatting>
  <conditionalFormatting sqref="AJ270">
    <cfRule type="cellIs" dxfId="1" priority="1461" operator="equal">
      <formula>"未完成"</formula>
    </cfRule>
    <cfRule type="cellIs" dxfId="0" priority="1476" operator="equal">
      <formula>"未完成"</formula>
    </cfRule>
  </conditionalFormatting>
  <conditionalFormatting sqref="AK270">
    <cfRule type="cellIs" dxfId="1" priority="1581" operator="equal">
      <formula>"未完成"</formula>
    </cfRule>
    <cfRule type="cellIs" dxfId="0" priority="1596" operator="equal">
      <formula>"未完成"</formula>
    </cfRule>
  </conditionalFormatting>
  <conditionalFormatting sqref="AL270">
    <cfRule type="cellIs" dxfId="1" priority="1401" operator="equal">
      <formula>"未完成"</formula>
    </cfRule>
    <cfRule type="cellIs" dxfId="0" priority="1416" operator="equal">
      <formula>"未完成"</formula>
    </cfRule>
  </conditionalFormatting>
  <conditionalFormatting sqref="AM270">
    <cfRule type="cellIs" dxfId="1" priority="1371" operator="equal">
      <formula>"未完成"</formula>
    </cfRule>
    <cfRule type="cellIs" dxfId="0" priority="1386" operator="equal">
      <formula>"未完成"</formula>
    </cfRule>
  </conditionalFormatting>
  <conditionalFormatting sqref="AP270">
    <cfRule type="cellIs" dxfId="1" priority="1536" operator="equal">
      <formula>"未完成"</formula>
    </cfRule>
    <cfRule type="cellIs" dxfId="0" priority="1551" operator="equal">
      <formula>"未完成"</formula>
    </cfRule>
  </conditionalFormatting>
  <conditionalFormatting sqref="AQ270">
    <cfRule type="cellIs" dxfId="1" priority="1341" operator="equal">
      <formula>"未完成"</formula>
    </cfRule>
    <cfRule type="cellIs" dxfId="0" priority="1356" operator="equal">
      <formula>"未完成"</formula>
    </cfRule>
  </conditionalFormatting>
  <conditionalFormatting sqref="AT270:AV270">
    <cfRule type="cellIs" dxfId="1" priority="1431" operator="equal">
      <formula>"未完成"</formula>
    </cfRule>
    <cfRule type="cellIs" dxfId="0" priority="1446" operator="equal">
      <formula>"未完成"</formula>
    </cfRule>
  </conditionalFormatting>
  <conditionalFormatting sqref="R271:S271">
    <cfRule type="cellIs" dxfId="0" priority="1565" operator="equal">
      <formula>"欠"</formula>
    </cfRule>
  </conditionalFormatting>
  <conditionalFormatting sqref="T271:U271">
    <cfRule type="cellIs" dxfId="0" priority="1325" operator="equal">
      <formula>"欠"</formula>
    </cfRule>
  </conditionalFormatting>
  <conditionalFormatting sqref="AE271">
    <cfRule type="cellIs" dxfId="0" priority="1490" operator="equal">
      <formula>"未完成"</formula>
    </cfRule>
  </conditionalFormatting>
  <conditionalFormatting sqref="AI271">
    <cfRule type="cellIs" dxfId="1" priority="1295" operator="equal">
      <formula>"未完成"</formula>
    </cfRule>
    <cfRule type="cellIs" dxfId="0" priority="1310" operator="equal">
      <formula>"未完成"</formula>
    </cfRule>
  </conditionalFormatting>
  <conditionalFormatting sqref="AJ271">
    <cfRule type="cellIs" dxfId="1" priority="1460" operator="equal">
      <formula>"未完成"</formula>
    </cfRule>
    <cfRule type="cellIs" dxfId="0" priority="1475" operator="equal">
      <formula>"未完成"</formula>
    </cfRule>
  </conditionalFormatting>
  <conditionalFormatting sqref="AK271">
    <cfRule type="cellIs" dxfId="1" priority="1580" operator="equal">
      <formula>"未完成"</formula>
    </cfRule>
    <cfRule type="cellIs" dxfId="0" priority="1595" operator="equal">
      <formula>"未完成"</formula>
    </cfRule>
  </conditionalFormatting>
  <conditionalFormatting sqref="AL271">
    <cfRule type="cellIs" dxfId="1" priority="1400" operator="equal">
      <formula>"未完成"</formula>
    </cfRule>
    <cfRule type="cellIs" dxfId="0" priority="1415" operator="equal">
      <formula>"未完成"</formula>
    </cfRule>
  </conditionalFormatting>
  <conditionalFormatting sqref="AM271">
    <cfRule type="cellIs" dxfId="1" priority="1370" operator="equal">
      <formula>"未完成"</formula>
    </cfRule>
    <cfRule type="cellIs" dxfId="0" priority="1385" operator="equal">
      <formula>"未完成"</formula>
    </cfRule>
  </conditionalFormatting>
  <conditionalFormatting sqref="AP271">
    <cfRule type="cellIs" dxfId="1" priority="1535" operator="equal">
      <formula>"未完成"</formula>
    </cfRule>
    <cfRule type="cellIs" dxfId="0" priority="1550" operator="equal">
      <formula>"未完成"</formula>
    </cfRule>
  </conditionalFormatting>
  <conditionalFormatting sqref="AQ271">
    <cfRule type="cellIs" dxfId="1" priority="1340" operator="equal">
      <formula>"未完成"</formula>
    </cfRule>
    <cfRule type="cellIs" dxfId="0" priority="1355" operator="equal">
      <formula>"未完成"</formula>
    </cfRule>
  </conditionalFormatting>
  <conditionalFormatting sqref="AT271:AV271">
    <cfRule type="cellIs" dxfId="1" priority="1430" operator="equal">
      <formula>"未完成"</formula>
    </cfRule>
    <cfRule type="cellIs" dxfId="0" priority="1445" operator="equal">
      <formula>"未完成"</formula>
    </cfRule>
  </conditionalFormatting>
  <conditionalFormatting sqref="R272:S272">
    <cfRule type="cellIs" dxfId="0" priority="865" operator="equal">
      <formula>"欠"</formula>
    </cfRule>
  </conditionalFormatting>
  <conditionalFormatting sqref="T272:U272">
    <cfRule type="containsText" dxfId="0" priority="637" operator="between" text="欠">
      <formula>NOT(ISERROR(SEARCH("欠",T272)))</formula>
    </cfRule>
    <cfRule type="cellIs" dxfId="0" priority="673" operator="equal">
      <formula>"欠"</formula>
    </cfRule>
  </conditionalFormatting>
  <conditionalFormatting sqref="AE272">
    <cfRule type="cellIs" dxfId="0" priority="805" operator="equal">
      <formula>"未完成"</formula>
    </cfRule>
  </conditionalFormatting>
  <conditionalFormatting sqref="AI272">
    <cfRule type="cellIs" dxfId="1" priority="649" operator="equal">
      <formula>"未完成"</formula>
    </cfRule>
    <cfRule type="cellIs" dxfId="0" priority="661" operator="equal">
      <formula>"未完成"</formula>
    </cfRule>
  </conditionalFormatting>
  <conditionalFormatting sqref="AJ272">
    <cfRule type="cellIs" dxfId="1" priority="781" operator="equal">
      <formula>"未完成"</formula>
    </cfRule>
    <cfRule type="cellIs" dxfId="0" priority="793" operator="equal">
      <formula>"未完成"</formula>
    </cfRule>
  </conditionalFormatting>
  <conditionalFormatting sqref="AK272">
    <cfRule type="cellIs" dxfId="1" priority="877" operator="equal">
      <formula>"未完成"</formula>
    </cfRule>
    <cfRule type="cellIs" dxfId="0" priority="889" operator="equal">
      <formula>"未完成"</formula>
    </cfRule>
  </conditionalFormatting>
  <conditionalFormatting sqref="AL272">
    <cfRule type="cellIs" dxfId="1" priority="733" operator="equal">
      <formula>"未完成"</formula>
    </cfRule>
    <cfRule type="cellIs" dxfId="0" priority="745" operator="equal">
      <formula>"未完成"</formula>
    </cfRule>
  </conditionalFormatting>
  <conditionalFormatting sqref="AM272">
    <cfRule type="cellIs" dxfId="1" priority="709" operator="equal">
      <formula>"未完成"</formula>
    </cfRule>
    <cfRule type="cellIs" dxfId="0" priority="721" operator="equal">
      <formula>"未完成"</formula>
    </cfRule>
  </conditionalFormatting>
  <conditionalFormatting sqref="AP272">
    <cfRule type="cellIs" dxfId="1" priority="841" operator="equal">
      <formula>"未完成"</formula>
    </cfRule>
    <cfRule type="cellIs" dxfId="0" priority="853" operator="equal">
      <formula>"未完成"</formula>
    </cfRule>
  </conditionalFormatting>
  <conditionalFormatting sqref="AQ272">
    <cfRule type="cellIs" dxfId="1" priority="685" operator="equal">
      <formula>"未完成"</formula>
    </cfRule>
    <cfRule type="cellIs" dxfId="0" priority="697" operator="equal">
      <formula>"未完成"</formula>
    </cfRule>
  </conditionalFormatting>
  <conditionalFormatting sqref="AS272">
    <cfRule type="cellIs" dxfId="1" priority="817" operator="equal">
      <formula>"未完成"</formula>
    </cfRule>
    <cfRule type="cellIs" dxfId="0" priority="829" operator="equal">
      <formula>"未完成"</formula>
    </cfRule>
  </conditionalFormatting>
  <conditionalFormatting sqref="AT272:AV272">
    <cfRule type="cellIs" dxfId="1" priority="757" operator="equal">
      <formula>"未完成"</formula>
    </cfRule>
    <cfRule type="cellIs" dxfId="0" priority="769" operator="equal">
      <formula>"未完成"</formula>
    </cfRule>
  </conditionalFormatting>
  <conditionalFormatting sqref="R273:S273">
    <cfRule type="cellIs" dxfId="0" priority="864" operator="equal">
      <formula>"欠"</formula>
    </cfRule>
  </conditionalFormatting>
  <conditionalFormatting sqref="T273:U273">
    <cfRule type="containsText" dxfId="0" priority="636" operator="between" text="欠">
      <formula>NOT(ISERROR(SEARCH("欠",T273)))</formula>
    </cfRule>
    <cfRule type="cellIs" dxfId="0" priority="672" operator="equal">
      <formula>"欠"</formula>
    </cfRule>
  </conditionalFormatting>
  <conditionalFormatting sqref="AE273">
    <cfRule type="cellIs" dxfId="0" priority="804" operator="equal">
      <formula>"未完成"</formula>
    </cfRule>
  </conditionalFormatting>
  <conditionalFormatting sqref="AI273">
    <cfRule type="cellIs" dxfId="1" priority="648" operator="equal">
      <formula>"未完成"</formula>
    </cfRule>
    <cfRule type="cellIs" dxfId="0" priority="660" operator="equal">
      <formula>"未完成"</formula>
    </cfRule>
  </conditionalFormatting>
  <conditionalFormatting sqref="AJ273">
    <cfRule type="cellIs" dxfId="1" priority="780" operator="equal">
      <formula>"未完成"</formula>
    </cfRule>
    <cfRule type="cellIs" dxfId="0" priority="792" operator="equal">
      <formula>"未完成"</formula>
    </cfRule>
  </conditionalFormatting>
  <conditionalFormatting sqref="AK273">
    <cfRule type="cellIs" dxfId="1" priority="876" operator="equal">
      <formula>"未完成"</formula>
    </cfRule>
    <cfRule type="cellIs" dxfId="0" priority="888" operator="equal">
      <formula>"未完成"</formula>
    </cfRule>
  </conditionalFormatting>
  <conditionalFormatting sqref="AL273">
    <cfRule type="cellIs" dxfId="1" priority="732" operator="equal">
      <formula>"未完成"</formula>
    </cfRule>
    <cfRule type="cellIs" dxfId="0" priority="744" operator="equal">
      <formula>"未完成"</formula>
    </cfRule>
  </conditionalFormatting>
  <conditionalFormatting sqref="AM273">
    <cfRule type="cellIs" dxfId="1" priority="708" operator="equal">
      <formula>"未完成"</formula>
    </cfRule>
    <cfRule type="cellIs" dxfId="0" priority="720" operator="equal">
      <formula>"未完成"</formula>
    </cfRule>
  </conditionalFormatting>
  <conditionalFormatting sqref="AP273">
    <cfRule type="cellIs" dxfId="1" priority="840" operator="equal">
      <formula>"未完成"</formula>
    </cfRule>
    <cfRule type="cellIs" dxfId="0" priority="852" operator="equal">
      <formula>"未完成"</formula>
    </cfRule>
  </conditionalFormatting>
  <conditionalFormatting sqref="AQ273">
    <cfRule type="cellIs" dxfId="1" priority="684" operator="equal">
      <formula>"未完成"</formula>
    </cfRule>
    <cfRule type="cellIs" dxfId="0" priority="696" operator="equal">
      <formula>"未完成"</formula>
    </cfRule>
  </conditionalFormatting>
  <conditionalFormatting sqref="AS273">
    <cfRule type="cellIs" dxfId="1" priority="816" operator="equal">
      <formula>"未完成"</formula>
    </cfRule>
    <cfRule type="cellIs" dxfId="0" priority="828" operator="equal">
      <formula>"未完成"</formula>
    </cfRule>
  </conditionalFormatting>
  <conditionalFormatting sqref="AT273:AV273">
    <cfRule type="cellIs" dxfId="1" priority="756" operator="equal">
      <formula>"未完成"</formula>
    </cfRule>
    <cfRule type="cellIs" dxfId="0" priority="768" operator="equal">
      <formula>"未完成"</formula>
    </cfRule>
  </conditionalFormatting>
  <conditionalFormatting sqref="R274:S274">
    <cfRule type="cellIs" dxfId="0" priority="863" operator="equal">
      <formula>"欠"</formula>
    </cfRule>
  </conditionalFormatting>
  <conditionalFormatting sqref="T274:U274">
    <cfRule type="containsText" dxfId="0" priority="635" operator="between" text="欠">
      <formula>NOT(ISERROR(SEARCH("欠",T274)))</formula>
    </cfRule>
    <cfRule type="cellIs" dxfId="0" priority="671" operator="equal">
      <formula>"欠"</formula>
    </cfRule>
  </conditionalFormatting>
  <conditionalFormatting sqref="AE274">
    <cfRule type="cellIs" dxfId="0" priority="803" operator="equal">
      <formula>"未完成"</formula>
    </cfRule>
  </conditionalFormatting>
  <conditionalFormatting sqref="AI274">
    <cfRule type="cellIs" dxfId="1" priority="647" operator="equal">
      <formula>"未完成"</formula>
    </cfRule>
    <cfRule type="cellIs" dxfId="0" priority="659" operator="equal">
      <formula>"未完成"</formula>
    </cfRule>
  </conditionalFormatting>
  <conditionalFormatting sqref="AJ274">
    <cfRule type="cellIs" dxfId="1" priority="779" operator="equal">
      <formula>"未完成"</formula>
    </cfRule>
    <cfRule type="cellIs" dxfId="0" priority="791" operator="equal">
      <formula>"未完成"</formula>
    </cfRule>
  </conditionalFormatting>
  <conditionalFormatting sqref="AK274">
    <cfRule type="cellIs" dxfId="1" priority="875" operator="equal">
      <formula>"未完成"</formula>
    </cfRule>
    <cfRule type="cellIs" dxfId="0" priority="887" operator="equal">
      <formula>"未完成"</formula>
    </cfRule>
  </conditionalFormatting>
  <conditionalFormatting sqref="AL274">
    <cfRule type="cellIs" dxfId="1" priority="731" operator="equal">
      <formula>"未完成"</formula>
    </cfRule>
    <cfRule type="cellIs" dxfId="0" priority="743" operator="equal">
      <formula>"未完成"</formula>
    </cfRule>
  </conditionalFormatting>
  <conditionalFormatting sqref="AM274">
    <cfRule type="cellIs" dxfId="1" priority="707" operator="equal">
      <formula>"未完成"</formula>
    </cfRule>
    <cfRule type="cellIs" dxfId="0" priority="719" operator="equal">
      <formula>"未完成"</formula>
    </cfRule>
  </conditionalFormatting>
  <conditionalFormatting sqref="AP274">
    <cfRule type="cellIs" dxfId="1" priority="839" operator="equal">
      <formula>"未完成"</formula>
    </cfRule>
    <cfRule type="cellIs" dxfId="0" priority="851" operator="equal">
      <formula>"未完成"</formula>
    </cfRule>
  </conditionalFormatting>
  <conditionalFormatting sqref="AQ274">
    <cfRule type="cellIs" dxfId="1" priority="683" operator="equal">
      <formula>"未完成"</formula>
    </cfRule>
    <cfRule type="cellIs" dxfId="0" priority="695" operator="equal">
      <formula>"未完成"</formula>
    </cfRule>
  </conditionalFormatting>
  <conditionalFormatting sqref="AT274:AV274">
    <cfRule type="cellIs" dxfId="1" priority="755" operator="equal">
      <formula>"未完成"</formula>
    </cfRule>
    <cfRule type="cellIs" dxfId="0" priority="767" operator="equal">
      <formula>"未完成"</formula>
    </cfRule>
  </conditionalFormatting>
  <conditionalFormatting sqref="R275:S275">
    <cfRule type="cellIs" dxfId="0" priority="862" operator="equal">
      <formula>"欠"</formula>
    </cfRule>
  </conditionalFormatting>
  <conditionalFormatting sqref="T275:U275">
    <cfRule type="containsText" dxfId="0" priority="634" operator="between" text="欠">
      <formula>NOT(ISERROR(SEARCH("欠",T275)))</formula>
    </cfRule>
    <cfRule type="cellIs" dxfId="0" priority="670" operator="equal">
      <formula>"欠"</formula>
    </cfRule>
  </conditionalFormatting>
  <conditionalFormatting sqref="AE275">
    <cfRule type="cellIs" dxfId="0" priority="802" operator="equal">
      <formula>"未完成"</formula>
    </cfRule>
  </conditionalFormatting>
  <conditionalFormatting sqref="AI275">
    <cfRule type="cellIs" dxfId="1" priority="646" operator="equal">
      <formula>"未完成"</formula>
    </cfRule>
    <cfRule type="cellIs" dxfId="0" priority="658" operator="equal">
      <formula>"未完成"</formula>
    </cfRule>
  </conditionalFormatting>
  <conditionalFormatting sqref="AJ275">
    <cfRule type="cellIs" dxfId="1" priority="778" operator="equal">
      <formula>"未完成"</formula>
    </cfRule>
    <cfRule type="cellIs" dxfId="0" priority="790" operator="equal">
      <formula>"未完成"</formula>
    </cfRule>
  </conditionalFormatting>
  <conditionalFormatting sqref="AK275">
    <cfRule type="cellIs" dxfId="1" priority="874" operator="equal">
      <formula>"未完成"</formula>
    </cfRule>
    <cfRule type="cellIs" dxfId="0" priority="886" operator="equal">
      <formula>"未完成"</formula>
    </cfRule>
  </conditionalFormatting>
  <conditionalFormatting sqref="AL275">
    <cfRule type="cellIs" dxfId="1" priority="730" operator="equal">
      <formula>"未完成"</formula>
    </cfRule>
    <cfRule type="cellIs" dxfId="0" priority="742" operator="equal">
      <formula>"未完成"</formula>
    </cfRule>
  </conditionalFormatting>
  <conditionalFormatting sqref="AM275">
    <cfRule type="cellIs" dxfId="1" priority="706" operator="equal">
      <formula>"未完成"</formula>
    </cfRule>
    <cfRule type="cellIs" dxfId="0" priority="718" operator="equal">
      <formula>"未完成"</formula>
    </cfRule>
  </conditionalFormatting>
  <conditionalFormatting sqref="AP275">
    <cfRule type="cellIs" dxfId="1" priority="838" operator="equal">
      <formula>"未完成"</formula>
    </cfRule>
    <cfRule type="cellIs" dxfId="0" priority="850" operator="equal">
      <formula>"未完成"</formula>
    </cfRule>
  </conditionalFormatting>
  <conditionalFormatting sqref="AQ275">
    <cfRule type="cellIs" dxfId="1" priority="682" operator="equal">
      <formula>"未完成"</formula>
    </cfRule>
    <cfRule type="cellIs" dxfId="0" priority="694" operator="equal">
      <formula>"未完成"</formula>
    </cfRule>
  </conditionalFormatting>
  <conditionalFormatting sqref="AT275:AV275">
    <cfRule type="cellIs" dxfId="1" priority="754" operator="equal">
      <formula>"未完成"</formula>
    </cfRule>
    <cfRule type="cellIs" dxfId="0" priority="766" operator="equal">
      <formula>"未完成"</formula>
    </cfRule>
  </conditionalFormatting>
  <conditionalFormatting sqref="R276:S276">
    <cfRule type="cellIs" dxfId="0" priority="861" operator="equal">
      <formula>"欠"</formula>
    </cfRule>
  </conditionalFormatting>
  <conditionalFormatting sqref="T276:U276">
    <cfRule type="containsText" dxfId="0" priority="633" operator="between" text="欠">
      <formula>NOT(ISERROR(SEARCH("欠",T276)))</formula>
    </cfRule>
    <cfRule type="cellIs" dxfId="0" priority="669" operator="equal">
      <formula>"欠"</formula>
    </cfRule>
  </conditionalFormatting>
  <conditionalFormatting sqref="AE276">
    <cfRule type="cellIs" dxfId="0" priority="801" operator="equal">
      <formula>"未完成"</formula>
    </cfRule>
  </conditionalFormatting>
  <conditionalFormatting sqref="AI276">
    <cfRule type="cellIs" dxfId="1" priority="645" operator="equal">
      <formula>"未完成"</formula>
    </cfRule>
    <cfRule type="cellIs" dxfId="0" priority="657" operator="equal">
      <formula>"未完成"</formula>
    </cfRule>
  </conditionalFormatting>
  <conditionalFormatting sqref="AJ276">
    <cfRule type="cellIs" dxfId="1" priority="777" operator="equal">
      <formula>"未完成"</formula>
    </cfRule>
    <cfRule type="cellIs" dxfId="0" priority="789" operator="equal">
      <formula>"未完成"</formula>
    </cfRule>
  </conditionalFormatting>
  <conditionalFormatting sqref="AK276">
    <cfRule type="cellIs" dxfId="1" priority="873" operator="equal">
      <formula>"未完成"</formula>
    </cfRule>
    <cfRule type="cellIs" dxfId="0" priority="885" operator="equal">
      <formula>"未完成"</formula>
    </cfRule>
  </conditionalFormatting>
  <conditionalFormatting sqref="AL276">
    <cfRule type="cellIs" dxfId="1" priority="729" operator="equal">
      <formula>"未完成"</formula>
    </cfRule>
    <cfRule type="cellIs" dxfId="0" priority="741" operator="equal">
      <formula>"未完成"</formula>
    </cfRule>
  </conditionalFormatting>
  <conditionalFormatting sqref="AM276">
    <cfRule type="cellIs" dxfId="1" priority="705" operator="equal">
      <formula>"未完成"</formula>
    </cfRule>
    <cfRule type="cellIs" dxfId="0" priority="717" operator="equal">
      <formula>"未完成"</formula>
    </cfRule>
  </conditionalFormatting>
  <conditionalFormatting sqref="AP276">
    <cfRule type="cellIs" dxfId="1" priority="837" operator="equal">
      <formula>"未完成"</formula>
    </cfRule>
    <cfRule type="cellIs" dxfId="0" priority="849" operator="equal">
      <formula>"未完成"</formula>
    </cfRule>
  </conditionalFormatting>
  <conditionalFormatting sqref="AQ276">
    <cfRule type="cellIs" dxfId="1" priority="681" operator="equal">
      <formula>"未完成"</formula>
    </cfRule>
    <cfRule type="cellIs" dxfId="0" priority="693" operator="equal">
      <formula>"未完成"</formula>
    </cfRule>
  </conditionalFormatting>
  <conditionalFormatting sqref="AT276:AV276">
    <cfRule type="cellIs" dxfId="1" priority="753" operator="equal">
      <formula>"未完成"</formula>
    </cfRule>
    <cfRule type="cellIs" dxfId="0" priority="765" operator="equal">
      <formula>"未完成"</formula>
    </cfRule>
  </conditionalFormatting>
  <conditionalFormatting sqref="R277:S277">
    <cfRule type="cellIs" dxfId="0" priority="860" operator="equal">
      <formula>"欠"</formula>
    </cfRule>
  </conditionalFormatting>
  <conditionalFormatting sqref="T277:U277">
    <cfRule type="containsText" dxfId="0" priority="632" operator="between" text="欠">
      <formula>NOT(ISERROR(SEARCH("欠",T277)))</formula>
    </cfRule>
    <cfRule type="cellIs" dxfId="0" priority="668" operator="equal">
      <formula>"欠"</formula>
    </cfRule>
  </conditionalFormatting>
  <conditionalFormatting sqref="AE277">
    <cfRule type="cellIs" dxfId="0" priority="800" operator="equal">
      <formula>"未完成"</formula>
    </cfRule>
  </conditionalFormatting>
  <conditionalFormatting sqref="AI277">
    <cfRule type="cellIs" dxfId="1" priority="644" operator="equal">
      <formula>"未完成"</formula>
    </cfRule>
    <cfRule type="cellIs" dxfId="0" priority="656" operator="equal">
      <formula>"未完成"</formula>
    </cfRule>
  </conditionalFormatting>
  <conditionalFormatting sqref="AJ277">
    <cfRule type="cellIs" dxfId="1" priority="776" operator="equal">
      <formula>"未完成"</formula>
    </cfRule>
    <cfRule type="cellIs" dxfId="0" priority="788" operator="equal">
      <formula>"未完成"</formula>
    </cfRule>
  </conditionalFormatting>
  <conditionalFormatting sqref="AK277">
    <cfRule type="cellIs" dxfId="1" priority="872" operator="equal">
      <formula>"未完成"</formula>
    </cfRule>
    <cfRule type="cellIs" dxfId="0" priority="884" operator="equal">
      <formula>"未完成"</formula>
    </cfRule>
  </conditionalFormatting>
  <conditionalFormatting sqref="AL277">
    <cfRule type="cellIs" dxfId="1" priority="728" operator="equal">
      <formula>"未完成"</formula>
    </cfRule>
    <cfRule type="cellIs" dxfId="0" priority="740" operator="equal">
      <formula>"未完成"</formula>
    </cfRule>
  </conditionalFormatting>
  <conditionalFormatting sqref="AM277">
    <cfRule type="cellIs" dxfId="1" priority="704" operator="equal">
      <formula>"未完成"</formula>
    </cfRule>
    <cfRule type="cellIs" dxfId="0" priority="716" operator="equal">
      <formula>"未完成"</formula>
    </cfRule>
  </conditionalFormatting>
  <conditionalFormatting sqref="AP277">
    <cfRule type="cellIs" dxfId="1" priority="836" operator="equal">
      <formula>"未完成"</formula>
    </cfRule>
    <cfRule type="cellIs" dxfId="0" priority="848" operator="equal">
      <formula>"未完成"</formula>
    </cfRule>
  </conditionalFormatting>
  <conditionalFormatting sqref="AQ277">
    <cfRule type="cellIs" dxfId="1" priority="680" operator="equal">
      <formula>"未完成"</formula>
    </cfRule>
    <cfRule type="cellIs" dxfId="0" priority="692" operator="equal">
      <formula>"未完成"</formula>
    </cfRule>
  </conditionalFormatting>
  <conditionalFormatting sqref="AT277:AV277">
    <cfRule type="cellIs" dxfId="1" priority="752" operator="equal">
      <formula>"未完成"</formula>
    </cfRule>
    <cfRule type="cellIs" dxfId="0" priority="764" operator="equal">
      <formula>"未完成"</formula>
    </cfRule>
  </conditionalFormatting>
  <conditionalFormatting sqref="R278:S278">
    <cfRule type="cellIs" dxfId="0" priority="859" operator="equal">
      <formula>"欠"</formula>
    </cfRule>
  </conditionalFormatting>
  <conditionalFormatting sqref="T278:U278">
    <cfRule type="containsText" dxfId="0" priority="631" operator="between" text="欠">
      <formula>NOT(ISERROR(SEARCH("欠",T278)))</formula>
    </cfRule>
    <cfRule type="cellIs" dxfId="0" priority="667" operator="equal">
      <formula>"欠"</formula>
    </cfRule>
  </conditionalFormatting>
  <conditionalFormatting sqref="AE278">
    <cfRule type="cellIs" dxfId="0" priority="799" operator="equal">
      <formula>"未完成"</formula>
    </cfRule>
  </conditionalFormatting>
  <conditionalFormatting sqref="AI278">
    <cfRule type="cellIs" dxfId="1" priority="643" operator="equal">
      <formula>"未完成"</formula>
    </cfRule>
    <cfRule type="cellIs" dxfId="0" priority="655" operator="equal">
      <formula>"未完成"</formula>
    </cfRule>
  </conditionalFormatting>
  <conditionalFormatting sqref="AJ278">
    <cfRule type="cellIs" dxfId="1" priority="775" operator="equal">
      <formula>"未完成"</formula>
    </cfRule>
    <cfRule type="cellIs" dxfId="0" priority="787" operator="equal">
      <formula>"未完成"</formula>
    </cfRule>
  </conditionalFormatting>
  <conditionalFormatting sqref="AK278">
    <cfRule type="cellIs" dxfId="1" priority="871" operator="equal">
      <formula>"未完成"</formula>
    </cfRule>
    <cfRule type="cellIs" dxfId="0" priority="883" operator="equal">
      <formula>"未完成"</formula>
    </cfRule>
  </conditionalFormatting>
  <conditionalFormatting sqref="AL278">
    <cfRule type="cellIs" dxfId="1" priority="727" operator="equal">
      <formula>"未完成"</formula>
    </cfRule>
    <cfRule type="cellIs" dxfId="0" priority="739" operator="equal">
      <formula>"未完成"</formula>
    </cfRule>
  </conditionalFormatting>
  <conditionalFormatting sqref="AM278">
    <cfRule type="cellIs" dxfId="1" priority="703" operator="equal">
      <formula>"未完成"</formula>
    </cfRule>
    <cfRule type="cellIs" dxfId="0" priority="715" operator="equal">
      <formula>"未完成"</formula>
    </cfRule>
  </conditionalFormatting>
  <conditionalFormatting sqref="AP278">
    <cfRule type="cellIs" dxfId="1" priority="835" operator="equal">
      <formula>"未完成"</formula>
    </cfRule>
    <cfRule type="cellIs" dxfId="0" priority="847" operator="equal">
      <formula>"未完成"</formula>
    </cfRule>
  </conditionalFormatting>
  <conditionalFormatting sqref="AQ278">
    <cfRule type="cellIs" dxfId="1" priority="679" operator="equal">
      <formula>"未完成"</formula>
    </cfRule>
    <cfRule type="cellIs" dxfId="0" priority="691" operator="equal">
      <formula>"未完成"</formula>
    </cfRule>
  </conditionalFormatting>
  <conditionalFormatting sqref="AT278:AV278">
    <cfRule type="cellIs" dxfId="1" priority="751" operator="equal">
      <formula>"未完成"</formula>
    </cfRule>
    <cfRule type="cellIs" dxfId="0" priority="763" operator="equal">
      <formula>"未完成"</formula>
    </cfRule>
  </conditionalFormatting>
  <conditionalFormatting sqref="R279:S279">
    <cfRule type="cellIs" dxfId="0" priority="858" operator="equal">
      <formula>"欠"</formula>
    </cfRule>
  </conditionalFormatting>
  <conditionalFormatting sqref="T279:U279">
    <cfRule type="containsText" dxfId="0" priority="630" operator="between" text="欠">
      <formula>NOT(ISERROR(SEARCH("欠",T279)))</formula>
    </cfRule>
    <cfRule type="cellIs" dxfId="0" priority="666" operator="equal">
      <formula>"欠"</formula>
    </cfRule>
  </conditionalFormatting>
  <conditionalFormatting sqref="AE279">
    <cfRule type="cellIs" dxfId="0" priority="798" operator="equal">
      <formula>"未完成"</formula>
    </cfRule>
  </conditionalFormatting>
  <conditionalFormatting sqref="AI279">
    <cfRule type="cellIs" dxfId="1" priority="642" operator="equal">
      <formula>"未完成"</formula>
    </cfRule>
    <cfRule type="cellIs" dxfId="0" priority="654" operator="equal">
      <formula>"未完成"</formula>
    </cfRule>
  </conditionalFormatting>
  <conditionalFormatting sqref="AJ279">
    <cfRule type="cellIs" dxfId="1" priority="774" operator="equal">
      <formula>"未完成"</formula>
    </cfRule>
    <cfRule type="cellIs" dxfId="0" priority="786" operator="equal">
      <formula>"未完成"</formula>
    </cfRule>
  </conditionalFormatting>
  <conditionalFormatting sqref="AK279">
    <cfRule type="cellIs" dxfId="1" priority="870" operator="equal">
      <formula>"未完成"</formula>
    </cfRule>
    <cfRule type="cellIs" dxfId="0" priority="882" operator="equal">
      <formula>"未完成"</formula>
    </cfRule>
  </conditionalFormatting>
  <conditionalFormatting sqref="AL279">
    <cfRule type="cellIs" dxfId="1" priority="726" operator="equal">
      <formula>"未完成"</formula>
    </cfRule>
    <cfRule type="cellIs" dxfId="0" priority="738" operator="equal">
      <formula>"未完成"</formula>
    </cfRule>
  </conditionalFormatting>
  <conditionalFormatting sqref="AM279">
    <cfRule type="cellIs" dxfId="1" priority="702" operator="equal">
      <formula>"未完成"</formula>
    </cfRule>
    <cfRule type="cellIs" dxfId="0" priority="714" operator="equal">
      <formula>"未完成"</formula>
    </cfRule>
  </conditionalFormatting>
  <conditionalFormatting sqref="AP279">
    <cfRule type="cellIs" dxfId="1" priority="834" operator="equal">
      <formula>"未完成"</formula>
    </cfRule>
    <cfRule type="cellIs" dxfId="0" priority="846" operator="equal">
      <formula>"未完成"</formula>
    </cfRule>
  </conditionalFormatting>
  <conditionalFormatting sqref="AQ279">
    <cfRule type="cellIs" dxfId="1" priority="678" operator="equal">
      <formula>"未完成"</formula>
    </cfRule>
    <cfRule type="cellIs" dxfId="0" priority="690" operator="equal">
      <formula>"未完成"</formula>
    </cfRule>
  </conditionalFormatting>
  <conditionalFormatting sqref="AT279:AV279">
    <cfRule type="cellIs" dxfId="1" priority="750" operator="equal">
      <formula>"未完成"</formula>
    </cfRule>
    <cfRule type="cellIs" dxfId="0" priority="762" operator="equal">
      <formula>"未完成"</formula>
    </cfRule>
  </conditionalFormatting>
  <conditionalFormatting sqref="R280:S280">
    <cfRule type="cellIs" dxfId="0" priority="857" operator="equal">
      <formula>"欠"</formula>
    </cfRule>
  </conditionalFormatting>
  <conditionalFormatting sqref="T280:U280">
    <cfRule type="containsText" dxfId="0" priority="629" operator="between" text="欠">
      <formula>NOT(ISERROR(SEARCH("欠",T280)))</formula>
    </cfRule>
    <cfRule type="cellIs" dxfId="0" priority="665" operator="equal">
      <formula>"欠"</formula>
    </cfRule>
  </conditionalFormatting>
  <conditionalFormatting sqref="AE280">
    <cfRule type="cellIs" dxfId="0" priority="797" operator="equal">
      <formula>"未完成"</formula>
    </cfRule>
  </conditionalFormatting>
  <conditionalFormatting sqref="AI280">
    <cfRule type="cellIs" dxfId="1" priority="641" operator="equal">
      <formula>"未完成"</formula>
    </cfRule>
    <cfRule type="cellIs" dxfId="0" priority="653" operator="equal">
      <formula>"未完成"</formula>
    </cfRule>
  </conditionalFormatting>
  <conditionalFormatting sqref="AJ280">
    <cfRule type="cellIs" dxfId="1" priority="773" operator="equal">
      <formula>"未完成"</formula>
    </cfRule>
    <cfRule type="cellIs" dxfId="0" priority="785" operator="equal">
      <formula>"未完成"</formula>
    </cfRule>
  </conditionalFormatting>
  <conditionalFormatting sqref="AK280">
    <cfRule type="cellIs" dxfId="1" priority="869" operator="equal">
      <formula>"未完成"</formula>
    </cfRule>
    <cfRule type="cellIs" dxfId="0" priority="881" operator="equal">
      <formula>"未完成"</formula>
    </cfRule>
  </conditionalFormatting>
  <conditionalFormatting sqref="AL280">
    <cfRule type="cellIs" dxfId="1" priority="725" operator="equal">
      <formula>"未完成"</formula>
    </cfRule>
    <cfRule type="cellIs" dxfId="0" priority="737" operator="equal">
      <formula>"未完成"</formula>
    </cfRule>
  </conditionalFormatting>
  <conditionalFormatting sqref="AM280">
    <cfRule type="cellIs" dxfId="1" priority="701" operator="equal">
      <formula>"未完成"</formula>
    </cfRule>
    <cfRule type="cellIs" dxfId="0" priority="713" operator="equal">
      <formula>"未完成"</formula>
    </cfRule>
  </conditionalFormatting>
  <conditionalFormatting sqref="AP280">
    <cfRule type="cellIs" dxfId="1" priority="833" operator="equal">
      <formula>"未完成"</formula>
    </cfRule>
    <cfRule type="cellIs" dxfId="0" priority="845" operator="equal">
      <formula>"未完成"</formula>
    </cfRule>
  </conditionalFormatting>
  <conditionalFormatting sqref="AQ280">
    <cfRule type="cellIs" dxfId="1" priority="677" operator="equal">
      <formula>"未完成"</formula>
    </cfRule>
    <cfRule type="cellIs" dxfId="0" priority="689" operator="equal">
      <formula>"未完成"</formula>
    </cfRule>
  </conditionalFormatting>
  <conditionalFormatting sqref="AT280:AV280">
    <cfRule type="cellIs" dxfId="1" priority="749" operator="equal">
      <formula>"未完成"</formula>
    </cfRule>
    <cfRule type="cellIs" dxfId="0" priority="761" operator="equal">
      <formula>"未完成"</formula>
    </cfRule>
  </conditionalFormatting>
  <conditionalFormatting sqref="R281:S281">
    <cfRule type="cellIs" dxfId="0" priority="856" operator="equal">
      <formula>"欠"</formula>
    </cfRule>
  </conditionalFormatting>
  <conditionalFormatting sqref="T281:U281">
    <cfRule type="containsText" dxfId="0" priority="628" operator="between" text="欠">
      <formula>NOT(ISERROR(SEARCH("欠",T281)))</formula>
    </cfRule>
    <cfRule type="cellIs" dxfId="0" priority="664" operator="equal">
      <formula>"欠"</formula>
    </cfRule>
  </conditionalFormatting>
  <conditionalFormatting sqref="AE281">
    <cfRule type="cellIs" dxfId="0" priority="796" operator="equal">
      <formula>"未完成"</formula>
    </cfRule>
  </conditionalFormatting>
  <conditionalFormatting sqref="AI281">
    <cfRule type="cellIs" dxfId="1" priority="640" operator="equal">
      <formula>"未完成"</formula>
    </cfRule>
    <cfRule type="cellIs" dxfId="0" priority="652" operator="equal">
      <formula>"未完成"</formula>
    </cfRule>
  </conditionalFormatting>
  <conditionalFormatting sqref="AJ281">
    <cfRule type="cellIs" dxfId="1" priority="772" operator="equal">
      <formula>"未完成"</formula>
    </cfRule>
    <cfRule type="cellIs" dxfId="0" priority="784" operator="equal">
      <formula>"未完成"</formula>
    </cfRule>
  </conditionalFormatting>
  <conditionalFormatting sqref="AK281">
    <cfRule type="cellIs" dxfId="1" priority="868" operator="equal">
      <formula>"未完成"</formula>
    </cfRule>
    <cfRule type="cellIs" dxfId="0" priority="880" operator="equal">
      <formula>"未完成"</formula>
    </cfRule>
  </conditionalFormatting>
  <conditionalFormatting sqref="AL281">
    <cfRule type="cellIs" dxfId="1" priority="724" operator="equal">
      <formula>"未完成"</formula>
    </cfRule>
    <cfRule type="cellIs" dxfId="0" priority="736" operator="equal">
      <formula>"未完成"</formula>
    </cfRule>
  </conditionalFormatting>
  <conditionalFormatting sqref="AM281">
    <cfRule type="cellIs" dxfId="1" priority="700" operator="equal">
      <formula>"未完成"</formula>
    </cfRule>
    <cfRule type="cellIs" dxfId="0" priority="712" operator="equal">
      <formula>"未完成"</formula>
    </cfRule>
  </conditionalFormatting>
  <conditionalFormatting sqref="AP281">
    <cfRule type="cellIs" dxfId="1" priority="832" operator="equal">
      <formula>"未完成"</formula>
    </cfRule>
    <cfRule type="cellIs" dxfId="0" priority="844" operator="equal">
      <formula>"未完成"</formula>
    </cfRule>
  </conditionalFormatting>
  <conditionalFormatting sqref="AQ281">
    <cfRule type="cellIs" dxfId="1" priority="676" operator="equal">
      <formula>"未完成"</formula>
    </cfRule>
    <cfRule type="cellIs" dxfId="0" priority="688" operator="equal">
      <formula>"未完成"</formula>
    </cfRule>
  </conditionalFormatting>
  <conditionalFormatting sqref="AT281:AV281">
    <cfRule type="cellIs" dxfId="1" priority="748" operator="equal">
      <formula>"未完成"</formula>
    </cfRule>
    <cfRule type="cellIs" dxfId="0" priority="760" operator="equal">
      <formula>"未完成"</formula>
    </cfRule>
  </conditionalFormatting>
  <conditionalFormatting sqref="R282:S282">
    <cfRule type="cellIs" dxfId="0" priority="855" operator="equal">
      <formula>"欠"</formula>
    </cfRule>
  </conditionalFormatting>
  <conditionalFormatting sqref="T282:U282">
    <cfRule type="containsText" dxfId="0" priority="627" operator="between" text="欠">
      <formula>NOT(ISERROR(SEARCH("欠",T282)))</formula>
    </cfRule>
    <cfRule type="cellIs" dxfId="0" priority="663" operator="equal">
      <formula>"欠"</formula>
    </cfRule>
  </conditionalFormatting>
  <conditionalFormatting sqref="AE282">
    <cfRule type="cellIs" dxfId="0" priority="795" operator="equal">
      <formula>"未完成"</formula>
    </cfRule>
  </conditionalFormatting>
  <conditionalFormatting sqref="AI282">
    <cfRule type="cellIs" dxfId="1" priority="639" operator="equal">
      <formula>"未完成"</formula>
    </cfRule>
    <cfRule type="cellIs" dxfId="0" priority="651" operator="equal">
      <formula>"未完成"</formula>
    </cfRule>
  </conditionalFormatting>
  <conditionalFormatting sqref="AJ282">
    <cfRule type="cellIs" dxfId="1" priority="771" operator="equal">
      <formula>"未完成"</formula>
    </cfRule>
    <cfRule type="cellIs" dxfId="0" priority="783" operator="equal">
      <formula>"未完成"</formula>
    </cfRule>
  </conditionalFormatting>
  <conditionalFormatting sqref="AK282">
    <cfRule type="cellIs" dxfId="1" priority="867" operator="equal">
      <formula>"未完成"</formula>
    </cfRule>
    <cfRule type="cellIs" dxfId="0" priority="879" operator="equal">
      <formula>"未完成"</formula>
    </cfRule>
  </conditionalFormatting>
  <conditionalFormatting sqref="AL282">
    <cfRule type="cellIs" dxfId="1" priority="723" operator="equal">
      <formula>"未完成"</formula>
    </cfRule>
    <cfRule type="cellIs" dxfId="0" priority="735" operator="equal">
      <formula>"未完成"</formula>
    </cfRule>
  </conditionalFormatting>
  <conditionalFormatting sqref="AM282">
    <cfRule type="cellIs" dxfId="1" priority="699" operator="equal">
      <formula>"未完成"</formula>
    </cfRule>
    <cfRule type="cellIs" dxfId="0" priority="711" operator="equal">
      <formula>"未完成"</formula>
    </cfRule>
  </conditionalFormatting>
  <conditionalFormatting sqref="AP282">
    <cfRule type="cellIs" dxfId="1" priority="831" operator="equal">
      <formula>"未完成"</formula>
    </cfRule>
    <cfRule type="cellIs" dxfId="0" priority="843" operator="equal">
      <formula>"未完成"</formula>
    </cfRule>
  </conditionalFormatting>
  <conditionalFormatting sqref="AQ282">
    <cfRule type="cellIs" dxfId="1" priority="675" operator="equal">
      <formula>"未完成"</formula>
    </cfRule>
    <cfRule type="cellIs" dxfId="0" priority="687" operator="equal">
      <formula>"未完成"</formula>
    </cfRule>
  </conditionalFormatting>
  <conditionalFormatting sqref="AT282:AV282">
    <cfRule type="cellIs" dxfId="1" priority="747" operator="equal">
      <formula>"未完成"</formula>
    </cfRule>
    <cfRule type="cellIs" dxfId="0" priority="759" operator="equal">
      <formula>"未完成"</formula>
    </cfRule>
  </conditionalFormatting>
  <conditionalFormatting sqref="R283:S283">
    <cfRule type="cellIs" dxfId="0" priority="854" operator="equal">
      <formula>"欠"</formula>
    </cfRule>
  </conditionalFormatting>
  <conditionalFormatting sqref="T283:U283">
    <cfRule type="containsText" dxfId="0" priority="626" operator="between" text="欠">
      <formula>NOT(ISERROR(SEARCH("欠",T283)))</formula>
    </cfRule>
    <cfRule type="cellIs" dxfId="0" priority="662" operator="equal">
      <formula>"欠"</formula>
    </cfRule>
  </conditionalFormatting>
  <conditionalFormatting sqref="AE283">
    <cfRule type="cellIs" dxfId="0" priority="794" operator="equal">
      <formula>"未完成"</formula>
    </cfRule>
  </conditionalFormatting>
  <conditionalFormatting sqref="AI283">
    <cfRule type="cellIs" dxfId="1" priority="638" operator="equal">
      <formula>"未完成"</formula>
    </cfRule>
    <cfRule type="cellIs" dxfId="0" priority="650" operator="equal">
      <formula>"未完成"</formula>
    </cfRule>
  </conditionalFormatting>
  <conditionalFormatting sqref="AJ283">
    <cfRule type="cellIs" dxfId="1" priority="770" operator="equal">
      <formula>"未完成"</formula>
    </cfRule>
    <cfRule type="cellIs" dxfId="0" priority="782" operator="equal">
      <formula>"未完成"</formula>
    </cfRule>
  </conditionalFormatting>
  <conditionalFormatting sqref="AL283">
    <cfRule type="cellIs" dxfId="1" priority="722" operator="equal">
      <formula>"未完成"</formula>
    </cfRule>
    <cfRule type="cellIs" dxfId="0" priority="734" operator="equal">
      <formula>"未完成"</formula>
    </cfRule>
  </conditionalFormatting>
  <conditionalFormatting sqref="R284:S284">
    <cfRule type="cellIs" dxfId="0" priority="482" operator="equal">
      <formula>"欠"</formula>
    </cfRule>
  </conditionalFormatting>
  <conditionalFormatting sqref="T284:U284">
    <cfRule type="containsText" dxfId="0" priority="444" operator="between" text="欠">
      <formula>NOT(ISERROR(SEARCH("欠",T284)))</formula>
    </cfRule>
    <cfRule type="cellIs" dxfId="0" priority="450" operator="equal">
      <formula>"欠"</formula>
    </cfRule>
  </conditionalFormatting>
  <conditionalFormatting sqref="AE284">
    <cfRule type="cellIs" dxfId="0" priority="472" operator="equal">
      <formula>"未完成"</formula>
    </cfRule>
  </conditionalFormatting>
  <conditionalFormatting sqref="AI284">
    <cfRule type="cellIs" dxfId="1" priority="446" operator="equal">
      <formula>"未完成"</formula>
    </cfRule>
    <cfRule type="cellIs" dxfId="0" priority="448" operator="equal">
      <formula>"未完成"</formula>
    </cfRule>
  </conditionalFormatting>
  <conditionalFormatting sqref="AJ284">
    <cfRule type="cellIs" dxfId="1" priority="468" operator="equal">
      <formula>"未完成"</formula>
    </cfRule>
    <cfRule type="cellIs" dxfId="0" priority="470" operator="equal">
      <formula>"未完成"</formula>
    </cfRule>
  </conditionalFormatting>
  <conditionalFormatting sqref="AK284">
    <cfRule type="cellIs" dxfId="1" priority="484" operator="equal">
      <formula>"未完成"</formula>
    </cfRule>
    <cfRule type="cellIs" dxfId="0" priority="486" operator="equal">
      <formula>"未完成"</formula>
    </cfRule>
  </conditionalFormatting>
  <conditionalFormatting sqref="AL284">
    <cfRule type="cellIs" dxfId="1" priority="460" operator="equal">
      <formula>"未完成"</formula>
    </cfRule>
    <cfRule type="cellIs" dxfId="0" priority="462" operator="equal">
      <formula>"未完成"</formula>
    </cfRule>
  </conditionalFormatting>
  <conditionalFormatting sqref="AM284">
    <cfRule type="cellIs" dxfId="1" priority="456" operator="equal">
      <formula>"未完成"</formula>
    </cfRule>
    <cfRule type="cellIs" dxfId="0" priority="458" operator="equal">
      <formula>"未完成"</formula>
    </cfRule>
  </conditionalFormatting>
  <conditionalFormatting sqref="AP284">
    <cfRule type="cellIs" dxfId="1" priority="478" operator="equal">
      <formula>"未完成"</formula>
    </cfRule>
    <cfRule type="cellIs" dxfId="0" priority="480" operator="equal">
      <formula>"未完成"</formula>
    </cfRule>
  </conditionalFormatting>
  <conditionalFormatting sqref="AQ284">
    <cfRule type="cellIs" dxfId="1" priority="452" operator="equal">
      <formula>"未完成"</formula>
    </cfRule>
    <cfRule type="cellIs" dxfId="0" priority="454" operator="equal">
      <formula>"未完成"</formula>
    </cfRule>
  </conditionalFormatting>
  <conditionalFormatting sqref="AT284:AV284">
    <cfRule type="cellIs" dxfId="1" priority="464" operator="equal">
      <formula>"未完成"</formula>
    </cfRule>
    <cfRule type="cellIs" dxfId="0" priority="466" operator="equal">
      <formula>"未完成"</formula>
    </cfRule>
  </conditionalFormatting>
  <conditionalFormatting sqref="R285:S285">
    <cfRule type="cellIs" dxfId="0" priority="481" operator="equal">
      <formula>"欠"</formula>
    </cfRule>
  </conditionalFormatting>
  <conditionalFormatting sqref="T285:U285">
    <cfRule type="containsText" dxfId="0" priority="443" operator="between" text="欠">
      <formula>NOT(ISERROR(SEARCH("欠",T285)))</formula>
    </cfRule>
    <cfRule type="cellIs" dxfId="0" priority="449" operator="equal">
      <formula>"欠"</formula>
    </cfRule>
  </conditionalFormatting>
  <conditionalFormatting sqref="AE285">
    <cfRule type="cellIs" dxfId="0" priority="471" operator="equal">
      <formula>"未完成"</formula>
    </cfRule>
  </conditionalFormatting>
  <conditionalFormatting sqref="AI285">
    <cfRule type="cellIs" dxfId="1" priority="445" operator="equal">
      <formula>"未完成"</formula>
    </cfRule>
    <cfRule type="cellIs" dxfId="0" priority="447" operator="equal">
      <formula>"未完成"</formula>
    </cfRule>
  </conditionalFormatting>
  <conditionalFormatting sqref="AJ285">
    <cfRule type="cellIs" dxfId="1" priority="467" operator="equal">
      <formula>"未完成"</formula>
    </cfRule>
    <cfRule type="cellIs" dxfId="0" priority="469" operator="equal">
      <formula>"未完成"</formula>
    </cfRule>
  </conditionalFormatting>
  <conditionalFormatting sqref="AK285">
    <cfRule type="cellIs" dxfId="1" priority="483" operator="equal">
      <formula>"未完成"</formula>
    </cfRule>
    <cfRule type="cellIs" dxfId="0" priority="485" operator="equal">
      <formula>"未完成"</formula>
    </cfRule>
  </conditionalFormatting>
  <conditionalFormatting sqref="AL285">
    <cfRule type="cellIs" dxfId="1" priority="459" operator="equal">
      <formula>"未完成"</formula>
    </cfRule>
    <cfRule type="cellIs" dxfId="0" priority="461" operator="equal">
      <formula>"未完成"</formula>
    </cfRule>
  </conditionalFormatting>
  <conditionalFormatting sqref="AM285">
    <cfRule type="cellIs" dxfId="1" priority="455" operator="equal">
      <formula>"未完成"</formula>
    </cfRule>
    <cfRule type="cellIs" dxfId="0" priority="457" operator="equal">
      <formula>"未完成"</formula>
    </cfRule>
  </conditionalFormatting>
  <conditionalFormatting sqref="AP285">
    <cfRule type="cellIs" dxfId="1" priority="477" operator="equal">
      <formula>"未完成"</formula>
    </cfRule>
    <cfRule type="cellIs" dxfId="0" priority="479" operator="equal">
      <formula>"未完成"</formula>
    </cfRule>
  </conditionalFormatting>
  <conditionalFormatting sqref="AQ285">
    <cfRule type="cellIs" dxfId="1" priority="451" operator="equal">
      <formula>"未完成"</formula>
    </cfRule>
    <cfRule type="cellIs" dxfId="0" priority="453" operator="equal">
      <formula>"未完成"</formula>
    </cfRule>
  </conditionalFormatting>
  <conditionalFormatting sqref="AT285:AV285">
    <cfRule type="cellIs" dxfId="1" priority="463" operator="equal">
      <formula>"未完成"</formula>
    </cfRule>
    <cfRule type="cellIs" dxfId="0" priority="465" operator="equal">
      <formula>"未完成"</formula>
    </cfRule>
  </conditionalFormatting>
  <conditionalFormatting sqref="AI287">
    <cfRule type="cellIs" dxfId="1" priority="523" operator="equal">
      <formula>"未完成"</formula>
    </cfRule>
    <cfRule type="cellIs" dxfId="0" priority="524" operator="equal">
      <formula>"未完成"</formula>
    </cfRule>
  </conditionalFormatting>
  <conditionalFormatting sqref="AE288">
    <cfRule type="cellIs" dxfId="0" priority="563" operator="equal">
      <formula>"未完成"</formula>
    </cfRule>
  </conditionalFormatting>
  <conditionalFormatting sqref="AI288">
    <cfRule type="cellIs" dxfId="1" priority="519" operator="equal">
      <formula>"未完成"</formula>
    </cfRule>
    <cfRule type="cellIs" dxfId="0" priority="520" operator="equal">
      <formula>"未完成"</formula>
    </cfRule>
  </conditionalFormatting>
  <conditionalFormatting sqref="AJ288">
    <cfRule type="cellIs" dxfId="1" priority="561" operator="equal">
      <formula>"未完成"</formula>
    </cfRule>
    <cfRule type="cellIs" dxfId="0" priority="562" operator="equal">
      <formula>"未完成"</formula>
    </cfRule>
  </conditionalFormatting>
  <conditionalFormatting sqref="AL288">
    <cfRule type="cellIs" dxfId="1" priority="557" operator="equal">
      <formula>"未完成"</formula>
    </cfRule>
    <cfRule type="cellIs" dxfId="0" priority="558" operator="equal">
      <formula>"未完成"</formula>
    </cfRule>
  </conditionalFormatting>
  <conditionalFormatting sqref="AP288">
    <cfRule type="cellIs" dxfId="1" priority="565" operator="equal">
      <formula>"未完成"</formula>
    </cfRule>
    <cfRule type="cellIs" dxfId="0" priority="566" operator="equal">
      <formula>"未完成"</formula>
    </cfRule>
  </conditionalFormatting>
  <conditionalFormatting sqref="AQ288">
    <cfRule type="cellIs" dxfId="1" priority="555" operator="equal">
      <formula>"未完成"</formula>
    </cfRule>
    <cfRule type="cellIs" dxfId="0" priority="556" operator="equal">
      <formula>"未完成"</formula>
    </cfRule>
  </conditionalFormatting>
  <conditionalFormatting sqref="AT288:AV288">
    <cfRule type="cellIs" dxfId="1" priority="559" operator="equal">
      <formula>"未完成"</formula>
    </cfRule>
    <cfRule type="cellIs" dxfId="0" priority="560" operator="equal">
      <formula>"未完成"</formula>
    </cfRule>
  </conditionalFormatting>
  <conditionalFormatting sqref="AI292">
    <cfRule type="cellIs" dxfId="1" priority="1743" operator="equal">
      <formula>"未完成"</formula>
    </cfRule>
    <cfRule type="cellIs" dxfId="0" priority="1744" operator="equal">
      <formula>"未完成"</formula>
    </cfRule>
  </conditionalFormatting>
  <conditionalFormatting sqref="AP292">
    <cfRule type="cellIs" dxfId="1" priority="1746" operator="equal">
      <formula>"未完成"</formula>
    </cfRule>
    <cfRule type="cellIs" dxfId="0" priority="1747" operator="equal">
      <formula>"未完成"</formula>
    </cfRule>
  </conditionalFormatting>
  <conditionalFormatting sqref="AQ292">
    <cfRule type="cellIs" dxfId="1" priority="1739" operator="equal">
      <formula>"未完成"</formula>
    </cfRule>
    <cfRule type="cellIs" dxfId="0" priority="1740" operator="equal">
      <formula>"未完成"</formula>
    </cfRule>
  </conditionalFormatting>
  <conditionalFormatting sqref="AT292:AV292">
    <cfRule type="cellIs" dxfId="1" priority="1741" operator="equal">
      <formula>"未完成"</formula>
    </cfRule>
    <cfRule type="cellIs" dxfId="0" priority="1742" operator="equal">
      <formula>"未完成"</formula>
    </cfRule>
  </conditionalFormatting>
  <conditionalFormatting sqref="AI293">
    <cfRule type="cellIs" dxfId="1" priority="1721" operator="equal">
      <formula>"未完成"</formula>
    </cfRule>
    <cfRule type="cellIs" dxfId="0" priority="1722" operator="equal">
      <formula>"未完成"</formula>
    </cfRule>
  </conditionalFormatting>
  <conditionalFormatting sqref="AP293">
    <cfRule type="cellIs" dxfId="1" priority="1724" operator="equal">
      <formula>"未完成"</formula>
    </cfRule>
    <cfRule type="cellIs" dxfId="0" priority="1725" operator="equal">
      <formula>"未完成"</formula>
    </cfRule>
  </conditionalFormatting>
  <conditionalFormatting sqref="AQ293">
    <cfRule type="cellIs" dxfId="1" priority="1717" operator="equal">
      <formula>"未完成"</formula>
    </cfRule>
    <cfRule type="cellIs" dxfId="0" priority="1718" operator="equal">
      <formula>"未完成"</formula>
    </cfRule>
  </conditionalFormatting>
  <conditionalFormatting sqref="AT293:AV293">
    <cfRule type="cellIs" dxfId="1" priority="1719" operator="equal">
      <formula>"未完成"</formula>
    </cfRule>
    <cfRule type="cellIs" dxfId="0" priority="1720" operator="equal">
      <formula>"未完成"</formula>
    </cfRule>
  </conditionalFormatting>
  <conditionalFormatting sqref="AE294">
    <cfRule type="cellIs" dxfId="0" priority="927" operator="equal">
      <formula>"未完成"</formula>
    </cfRule>
  </conditionalFormatting>
  <conditionalFormatting sqref="AI294">
    <cfRule type="cellIs" dxfId="1" priority="925" operator="equal">
      <formula>"未完成"</formula>
    </cfRule>
    <cfRule type="cellIs" dxfId="0" priority="926" operator="equal">
      <formula>"未完成"</formula>
    </cfRule>
  </conditionalFormatting>
  <conditionalFormatting sqref="AJ294">
    <cfRule type="cellIs" dxfId="1" priority="918" operator="equal">
      <formula>"未完成"</formula>
    </cfRule>
    <cfRule type="cellIs" dxfId="0" priority="919" operator="equal">
      <formula>"未完成"</formula>
    </cfRule>
  </conditionalFormatting>
  <conditionalFormatting sqref="AL294">
    <cfRule type="cellIs" dxfId="1" priority="916" operator="equal">
      <formula>"未完成"</formula>
    </cfRule>
    <cfRule type="cellIs" dxfId="0" priority="917" operator="equal">
      <formula>"未完成"</formula>
    </cfRule>
  </conditionalFormatting>
  <conditionalFormatting sqref="AI295">
    <cfRule type="cellIs" dxfId="1" priority="545" operator="equal">
      <formula>"未完成"</formula>
    </cfRule>
    <cfRule type="cellIs" dxfId="0" priority="546" operator="equal">
      <formula>"未完成"</formula>
    </cfRule>
  </conditionalFormatting>
  <conditionalFormatting sqref="R296">
    <cfRule type="cellIs" dxfId="0" priority="897" operator="equal">
      <formula>"欠"</formula>
    </cfRule>
  </conditionalFormatting>
  <conditionalFormatting sqref="AI296">
    <cfRule type="cellIs" dxfId="1" priority="902" operator="equal">
      <formula>"未完成"</formula>
    </cfRule>
    <cfRule type="cellIs" dxfId="0" priority="903" operator="equal">
      <formula>"未完成"</formula>
    </cfRule>
  </conditionalFormatting>
  <conditionalFormatting sqref="AP296">
    <cfRule type="cellIs" dxfId="1" priority="905" operator="equal">
      <formula>"未完成"</formula>
    </cfRule>
    <cfRule type="cellIs" dxfId="0" priority="906" operator="equal">
      <formula>"未完成"</formula>
    </cfRule>
  </conditionalFormatting>
  <conditionalFormatting sqref="AQ296">
    <cfRule type="cellIs" dxfId="1" priority="898" operator="equal">
      <formula>"未完成"</formula>
    </cfRule>
    <cfRule type="cellIs" dxfId="0" priority="899" operator="equal">
      <formula>"未完成"</formula>
    </cfRule>
  </conditionalFormatting>
  <conditionalFormatting sqref="AT296:AV296">
    <cfRule type="cellIs" dxfId="1" priority="900" operator="equal">
      <formula>"未完成"</formula>
    </cfRule>
    <cfRule type="cellIs" dxfId="0" priority="901" operator="equal">
      <formula>"未完成"</formula>
    </cfRule>
  </conditionalFormatting>
  <conditionalFormatting sqref="AI297">
    <cfRule type="cellIs" dxfId="1" priority="543" operator="equal">
      <formula>"未完成"</formula>
    </cfRule>
    <cfRule type="cellIs" dxfId="0" priority="544" operator="equal">
      <formula>"未完成"</formula>
    </cfRule>
  </conditionalFormatting>
  <conditionalFormatting sqref="AE298">
    <cfRule type="cellIs" dxfId="0" priority="950" operator="equal">
      <formula>"未完成"</formula>
    </cfRule>
  </conditionalFormatting>
  <conditionalFormatting sqref="AI298">
    <cfRule type="cellIs" dxfId="1" priority="541" operator="equal">
      <formula>"未完成"</formula>
    </cfRule>
    <cfRule type="cellIs" dxfId="0" priority="542" operator="equal">
      <formula>"未完成"</formula>
    </cfRule>
  </conditionalFormatting>
  <conditionalFormatting sqref="AJ298">
    <cfRule type="cellIs" dxfId="1" priority="941" operator="equal">
      <formula>"未完成"</formula>
    </cfRule>
    <cfRule type="cellIs" dxfId="0" priority="942" operator="equal">
      <formula>"未完成"</formula>
    </cfRule>
  </conditionalFormatting>
  <conditionalFormatting sqref="AL298">
    <cfRule type="cellIs" dxfId="1" priority="939" operator="equal">
      <formula>"未完成"</formula>
    </cfRule>
    <cfRule type="cellIs" dxfId="0" priority="940" operator="equal">
      <formula>"未完成"</formula>
    </cfRule>
  </conditionalFormatting>
  <conditionalFormatting sqref="AE299">
    <cfRule type="cellIs" dxfId="0" priority="1195" operator="equal">
      <formula>"未完成"</formula>
    </cfRule>
  </conditionalFormatting>
  <conditionalFormatting sqref="AI299:AJ299">
    <cfRule type="cellIs" dxfId="1" priority="1177" operator="equal">
      <formula>"未完成"</formula>
    </cfRule>
    <cfRule type="cellIs" dxfId="0" priority="1186" operator="equal">
      <formula>"未完成"</formula>
    </cfRule>
  </conditionalFormatting>
  <conditionalFormatting sqref="AL299">
    <cfRule type="cellIs" dxfId="1" priority="1141" operator="equal">
      <formula>"未完成"</formula>
    </cfRule>
    <cfRule type="cellIs" dxfId="0" priority="1150" operator="equal">
      <formula>"未完成"</formula>
    </cfRule>
  </conditionalFormatting>
  <conditionalFormatting sqref="AP299">
    <cfRule type="cellIs" dxfId="1" priority="1213" operator="equal">
      <formula>"未完成"</formula>
    </cfRule>
    <cfRule type="cellIs" dxfId="0" priority="1222" operator="equal">
      <formula>"未完成"</formula>
    </cfRule>
  </conditionalFormatting>
  <conditionalFormatting sqref="AQ299">
    <cfRule type="cellIs" dxfId="1" priority="1123" operator="equal">
      <formula>"未完成"</formula>
    </cfRule>
    <cfRule type="cellIs" dxfId="0" priority="1132" operator="equal">
      <formula>"未完成"</formula>
    </cfRule>
  </conditionalFormatting>
  <conditionalFormatting sqref="AT299:AV299">
    <cfRule type="cellIs" dxfId="1" priority="1159" operator="equal">
      <formula>"未完成"</formula>
    </cfRule>
    <cfRule type="cellIs" dxfId="0" priority="1168" operator="equal">
      <formula>"未完成"</formula>
    </cfRule>
  </conditionalFormatting>
  <conditionalFormatting sqref="AE300">
    <cfRule type="cellIs" dxfId="0" priority="1194" operator="equal">
      <formula>"未完成"</formula>
    </cfRule>
  </conditionalFormatting>
  <conditionalFormatting sqref="AI300">
    <cfRule type="cellIs" dxfId="1" priority="539" operator="equal">
      <formula>"未完成"</formula>
    </cfRule>
    <cfRule type="cellIs" dxfId="0" priority="540" operator="equal">
      <formula>"未完成"</formula>
    </cfRule>
  </conditionalFormatting>
  <conditionalFormatting sqref="AJ300">
    <cfRule type="cellIs" dxfId="1" priority="1176" operator="equal">
      <formula>"未完成"</formula>
    </cfRule>
    <cfRule type="cellIs" dxfId="0" priority="1185" operator="equal">
      <formula>"未完成"</formula>
    </cfRule>
  </conditionalFormatting>
  <conditionalFormatting sqref="AL300">
    <cfRule type="cellIs" dxfId="1" priority="1140" operator="equal">
      <formula>"未完成"</formula>
    </cfRule>
    <cfRule type="cellIs" dxfId="0" priority="1149" operator="equal">
      <formula>"未完成"</formula>
    </cfRule>
  </conditionalFormatting>
  <conditionalFormatting sqref="AP300">
    <cfRule type="cellIs" dxfId="1" priority="1212" operator="equal">
      <formula>"未完成"</formula>
    </cfRule>
    <cfRule type="cellIs" dxfId="0" priority="1221" operator="equal">
      <formula>"未完成"</formula>
    </cfRule>
  </conditionalFormatting>
  <conditionalFormatting sqref="AQ300">
    <cfRule type="cellIs" dxfId="1" priority="1122" operator="equal">
      <formula>"未完成"</formula>
    </cfRule>
    <cfRule type="cellIs" dxfId="0" priority="1131" operator="equal">
      <formula>"未完成"</formula>
    </cfRule>
  </conditionalFormatting>
  <conditionalFormatting sqref="AT300:AV300">
    <cfRule type="cellIs" dxfId="1" priority="1158" operator="equal">
      <formula>"未完成"</formula>
    </cfRule>
    <cfRule type="cellIs" dxfId="0" priority="1167" operator="equal">
      <formula>"未完成"</formula>
    </cfRule>
  </conditionalFormatting>
  <conditionalFormatting sqref="AE301">
    <cfRule type="cellIs" dxfId="0" priority="1193" operator="equal">
      <formula>"未完成"</formula>
    </cfRule>
  </conditionalFormatting>
  <conditionalFormatting sqref="AI301">
    <cfRule type="cellIs" dxfId="1" priority="537" operator="equal">
      <formula>"未完成"</formula>
    </cfRule>
    <cfRule type="cellIs" dxfId="0" priority="538" operator="equal">
      <formula>"未完成"</formula>
    </cfRule>
  </conditionalFormatting>
  <conditionalFormatting sqref="AJ301">
    <cfRule type="cellIs" dxfId="1" priority="1175" operator="equal">
      <formula>"未完成"</formula>
    </cfRule>
    <cfRule type="cellIs" dxfId="0" priority="1184" operator="equal">
      <formula>"未完成"</formula>
    </cfRule>
  </conditionalFormatting>
  <conditionalFormatting sqref="AL301">
    <cfRule type="cellIs" dxfId="1" priority="1139" operator="equal">
      <formula>"未完成"</formula>
    </cfRule>
    <cfRule type="cellIs" dxfId="0" priority="1148" operator="equal">
      <formula>"未完成"</formula>
    </cfRule>
  </conditionalFormatting>
  <conditionalFormatting sqref="AP301">
    <cfRule type="cellIs" dxfId="1" priority="1211" operator="equal">
      <formula>"未完成"</formula>
    </cfRule>
    <cfRule type="cellIs" dxfId="0" priority="1220" operator="equal">
      <formula>"未完成"</formula>
    </cfRule>
  </conditionalFormatting>
  <conditionalFormatting sqref="AQ301">
    <cfRule type="cellIs" dxfId="1" priority="1121" operator="equal">
      <formula>"未完成"</formula>
    </cfRule>
    <cfRule type="cellIs" dxfId="0" priority="1130" operator="equal">
      <formula>"未完成"</formula>
    </cfRule>
  </conditionalFormatting>
  <conditionalFormatting sqref="AT301:AV301">
    <cfRule type="cellIs" dxfId="1" priority="1157" operator="equal">
      <formula>"未完成"</formula>
    </cfRule>
    <cfRule type="cellIs" dxfId="0" priority="1166" operator="equal">
      <formula>"未完成"</formula>
    </cfRule>
  </conditionalFormatting>
  <conditionalFormatting sqref="AE302">
    <cfRule type="cellIs" dxfId="0" priority="1192" operator="equal">
      <formula>"未完成"</formula>
    </cfRule>
  </conditionalFormatting>
  <conditionalFormatting sqref="AI302">
    <cfRule type="cellIs" dxfId="1" priority="535" operator="equal">
      <formula>"未完成"</formula>
    </cfRule>
    <cfRule type="cellIs" dxfId="0" priority="536" operator="equal">
      <formula>"未完成"</formula>
    </cfRule>
  </conditionalFormatting>
  <conditionalFormatting sqref="AJ302">
    <cfRule type="cellIs" dxfId="1" priority="1174" operator="equal">
      <formula>"未完成"</formula>
    </cfRule>
    <cfRule type="cellIs" dxfId="0" priority="1183" operator="equal">
      <formula>"未完成"</formula>
    </cfRule>
  </conditionalFormatting>
  <conditionalFormatting sqref="AL302">
    <cfRule type="cellIs" dxfId="1" priority="1138" operator="equal">
      <formula>"未完成"</formula>
    </cfRule>
    <cfRule type="cellIs" dxfId="0" priority="1147" operator="equal">
      <formula>"未完成"</formula>
    </cfRule>
  </conditionalFormatting>
  <conditionalFormatting sqref="AP302">
    <cfRule type="cellIs" dxfId="1" priority="1210" operator="equal">
      <formula>"未完成"</formula>
    </cfRule>
    <cfRule type="cellIs" dxfId="0" priority="1219" operator="equal">
      <formula>"未完成"</formula>
    </cfRule>
  </conditionalFormatting>
  <conditionalFormatting sqref="AQ302">
    <cfRule type="cellIs" dxfId="1" priority="1120" operator="equal">
      <formula>"未完成"</formula>
    </cfRule>
    <cfRule type="cellIs" dxfId="0" priority="1129" operator="equal">
      <formula>"未完成"</formula>
    </cfRule>
  </conditionalFormatting>
  <conditionalFormatting sqref="AT302:AV302">
    <cfRule type="cellIs" dxfId="1" priority="1156" operator="equal">
      <formula>"未完成"</formula>
    </cfRule>
    <cfRule type="cellIs" dxfId="0" priority="1165" operator="equal">
      <formula>"未完成"</formula>
    </cfRule>
  </conditionalFormatting>
  <conditionalFormatting sqref="AE303">
    <cfRule type="cellIs" dxfId="0" priority="1191" operator="equal">
      <formula>"未完成"</formula>
    </cfRule>
  </conditionalFormatting>
  <conditionalFormatting sqref="AI303">
    <cfRule type="cellIs" dxfId="1" priority="533" operator="equal">
      <formula>"未完成"</formula>
    </cfRule>
    <cfRule type="cellIs" dxfId="0" priority="534" operator="equal">
      <formula>"未完成"</formula>
    </cfRule>
  </conditionalFormatting>
  <conditionalFormatting sqref="AJ303">
    <cfRule type="cellIs" dxfId="1" priority="1173" operator="equal">
      <formula>"未完成"</formula>
    </cfRule>
    <cfRule type="cellIs" dxfId="0" priority="1182" operator="equal">
      <formula>"未完成"</formula>
    </cfRule>
  </conditionalFormatting>
  <conditionalFormatting sqref="AL303">
    <cfRule type="cellIs" dxfId="1" priority="1137" operator="equal">
      <formula>"未完成"</formula>
    </cfRule>
    <cfRule type="cellIs" dxfId="0" priority="1146" operator="equal">
      <formula>"未完成"</formula>
    </cfRule>
  </conditionalFormatting>
  <conditionalFormatting sqref="AP303">
    <cfRule type="cellIs" dxfId="1" priority="1209" operator="equal">
      <formula>"未完成"</formula>
    </cfRule>
    <cfRule type="cellIs" dxfId="0" priority="1218" operator="equal">
      <formula>"未完成"</formula>
    </cfRule>
  </conditionalFormatting>
  <conditionalFormatting sqref="AQ303">
    <cfRule type="cellIs" dxfId="1" priority="1119" operator="equal">
      <formula>"未完成"</formula>
    </cfRule>
    <cfRule type="cellIs" dxfId="0" priority="1128" operator="equal">
      <formula>"未完成"</formula>
    </cfRule>
  </conditionalFormatting>
  <conditionalFormatting sqref="AT303:AV303">
    <cfRule type="cellIs" dxfId="1" priority="1155" operator="equal">
      <formula>"未完成"</formula>
    </cfRule>
    <cfRule type="cellIs" dxfId="0" priority="1164" operator="equal">
      <formula>"未完成"</formula>
    </cfRule>
  </conditionalFormatting>
  <conditionalFormatting sqref="AE304">
    <cfRule type="cellIs" dxfId="0" priority="1190" operator="equal">
      <formula>"未完成"</formula>
    </cfRule>
  </conditionalFormatting>
  <conditionalFormatting sqref="AI304">
    <cfRule type="cellIs" dxfId="1" priority="531" operator="equal">
      <formula>"未完成"</formula>
    </cfRule>
    <cfRule type="cellIs" dxfId="0" priority="532" operator="equal">
      <formula>"未完成"</formula>
    </cfRule>
  </conditionalFormatting>
  <conditionalFormatting sqref="AJ304">
    <cfRule type="cellIs" dxfId="1" priority="1172" operator="equal">
      <formula>"未完成"</formula>
    </cfRule>
    <cfRule type="cellIs" dxfId="0" priority="1181" operator="equal">
      <formula>"未完成"</formula>
    </cfRule>
  </conditionalFormatting>
  <conditionalFormatting sqref="AL304">
    <cfRule type="cellIs" dxfId="1" priority="1136" operator="equal">
      <formula>"未完成"</formula>
    </cfRule>
    <cfRule type="cellIs" dxfId="0" priority="1145" operator="equal">
      <formula>"未完成"</formula>
    </cfRule>
  </conditionalFormatting>
  <conditionalFormatting sqref="AP304">
    <cfRule type="cellIs" dxfId="1" priority="1208" operator="equal">
      <formula>"未完成"</formula>
    </cfRule>
    <cfRule type="cellIs" dxfId="0" priority="1217" operator="equal">
      <formula>"未完成"</formula>
    </cfRule>
  </conditionalFormatting>
  <conditionalFormatting sqref="AQ304">
    <cfRule type="cellIs" dxfId="1" priority="1118" operator="equal">
      <formula>"未完成"</formula>
    </cfRule>
    <cfRule type="cellIs" dxfId="0" priority="1127" operator="equal">
      <formula>"未完成"</formula>
    </cfRule>
  </conditionalFormatting>
  <conditionalFormatting sqref="AT304:AV304">
    <cfRule type="cellIs" dxfId="1" priority="1154" operator="equal">
      <formula>"未完成"</formula>
    </cfRule>
    <cfRule type="cellIs" dxfId="0" priority="1163" operator="equal">
      <formula>"未完成"</formula>
    </cfRule>
  </conditionalFormatting>
  <conditionalFormatting sqref="AE305">
    <cfRule type="cellIs" dxfId="0" priority="1189" operator="equal">
      <formula>"未完成"</formula>
    </cfRule>
  </conditionalFormatting>
  <conditionalFormatting sqref="AI305">
    <cfRule type="cellIs" dxfId="1" priority="529" operator="equal">
      <formula>"未完成"</formula>
    </cfRule>
    <cfRule type="cellIs" dxfId="0" priority="530" operator="equal">
      <formula>"未完成"</formula>
    </cfRule>
  </conditionalFormatting>
  <conditionalFormatting sqref="AJ305">
    <cfRule type="cellIs" dxfId="1" priority="1171" operator="equal">
      <formula>"未完成"</formula>
    </cfRule>
    <cfRule type="cellIs" dxfId="0" priority="1180" operator="equal">
      <formula>"未完成"</formula>
    </cfRule>
  </conditionalFormatting>
  <conditionalFormatting sqref="AL305">
    <cfRule type="cellIs" dxfId="1" priority="1135" operator="equal">
      <formula>"未完成"</formula>
    </cfRule>
    <cfRule type="cellIs" dxfId="0" priority="1144" operator="equal">
      <formula>"未完成"</formula>
    </cfRule>
  </conditionalFormatting>
  <conditionalFormatting sqref="AP305">
    <cfRule type="cellIs" dxfId="1" priority="1207" operator="equal">
      <formula>"未完成"</formula>
    </cfRule>
    <cfRule type="cellIs" dxfId="0" priority="1216" operator="equal">
      <formula>"未完成"</formula>
    </cfRule>
  </conditionalFormatting>
  <conditionalFormatting sqref="AQ305">
    <cfRule type="cellIs" dxfId="1" priority="1117" operator="equal">
      <formula>"未完成"</formula>
    </cfRule>
    <cfRule type="cellIs" dxfId="0" priority="1126" operator="equal">
      <formula>"未完成"</formula>
    </cfRule>
  </conditionalFormatting>
  <conditionalFormatting sqref="AT305:AV305">
    <cfRule type="cellIs" dxfId="1" priority="1153" operator="equal">
      <formula>"未完成"</formula>
    </cfRule>
    <cfRule type="cellIs" dxfId="0" priority="1162" operator="equal">
      <formula>"未完成"</formula>
    </cfRule>
  </conditionalFormatting>
  <conditionalFormatting sqref="AE306">
    <cfRule type="cellIs" dxfId="0" priority="1188" operator="equal">
      <formula>"未完成"</formula>
    </cfRule>
  </conditionalFormatting>
  <conditionalFormatting sqref="AI306">
    <cfRule type="cellIs" dxfId="1" priority="527" operator="equal">
      <formula>"未完成"</formula>
    </cfRule>
    <cfRule type="cellIs" dxfId="0" priority="528" operator="equal">
      <formula>"未完成"</formula>
    </cfRule>
  </conditionalFormatting>
  <conditionalFormatting sqref="AJ306">
    <cfRule type="cellIs" dxfId="1" priority="1170" operator="equal">
      <formula>"未完成"</formula>
    </cfRule>
    <cfRule type="cellIs" dxfId="0" priority="1179" operator="equal">
      <formula>"未完成"</formula>
    </cfRule>
  </conditionalFormatting>
  <conditionalFormatting sqref="AL306">
    <cfRule type="cellIs" dxfId="1" priority="1134" operator="equal">
      <formula>"未完成"</formula>
    </cfRule>
    <cfRule type="cellIs" dxfId="0" priority="1143" operator="equal">
      <formula>"未完成"</formula>
    </cfRule>
  </conditionalFormatting>
  <conditionalFormatting sqref="AP306">
    <cfRule type="cellIs" dxfId="1" priority="1206" operator="equal">
      <formula>"未完成"</formula>
    </cfRule>
    <cfRule type="cellIs" dxfId="0" priority="1215" operator="equal">
      <formula>"未完成"</formula>
    </cfRule>
  </conditionalFormatting>
  <conditionalFormatting sqref="AQ306">
    <cfRule type="cellIs" dxfId="1" priority="1116" operator="equal">
      <formula>"未完成"</formula>
    </cfRule>
    <cfRule type="cellIs" dxfId="0" priority="1125" operator="equal">
      <formula>"未完成"</formula>
    </cfRule>
  </conditionalFormatting>
  <conditionalFormatting sqref="AT306:AV306">
    <cfRule type="cellIs" dxfId="1" priority="1152" operator="equal">
      <formula>"未完成"</formula>
    </cfRule>
    <cfRule type="cellIs" dxfId="0" priority="1161" operator="equal">
      <formula>"未完成"</formula>
    </cfRule>
  </conditionalFormatting>
  <conditionalFormatting sqref="AI307">
    <cfRule type="cellIs" dxfId="1" priority="525" operator="equal">
      <formula>"未完成"</formula>
    </cfRule>
    <cfRule type="cellIs" dxfId="0" priority="526" operator="equal">
      <formula>"未完成"</formula>
    </cfRule>
  </conditionalFormatting>
  <conditionalFormatting sqref="R308">
    <cfRule type="cellIs" dxfId="0" priority="490" operator="equal">
      <formula>"欠"</formula>
    </cfRule>
  </conditionalFormatting>
  <conditionalFormatting sqref="S308">
    <cfRule type="containsText" dxfId="0" priority="409" operator="between" text="欠">
      <formula>NOT(ISERROR(SEARCH("欠",S308)))</formula>
    </cfRule>
    <cfRule type="cellIs" dxfId="0" priority="410" operator="equal">
      <formula>"欠"</formula>
    </cfRule>
  </conditionalFormatting>
  <conditionalFormatting sqref="AE308">
    <cfRule type="cellIs" dxfId="0" priority="502" operator="equal">
      <formula>"未完成"</formula>
    </cfRule>
  </conditionalFormatting>
  <conditionalFormatting sqref="AI308:AJ308">
    <cfRule type="cellIs" dxfId="1" priority="500" operator="equal">
      <formula>"未完成"</formula>
    </cfRule>
    <cfRule type="cellIs" dxfId="0" priority="501" operator="equal">
      <formula>"未完成"</formula>
    </cfRule>
  </conditionalFormatting>
  <conditionalFormatting sqref="AL308">
    <cfRule type="cellIs" dxfId="1" priority="492" operator="equal">
      <formula>"未完成"</formula>
    </cfRule>
    <cfRule type="cellIs" dxfId="0" priority="493" operator="equal">
      <formula>"未完成"</formula>
    </cfRule>
  </conditionalFormatting>
  <conditionalFormatting sqref="AE309">
    <cfRule type="cellIs" dxfId="0" priority="518" operator="equal">
      <formula>"未完成"</formula>
    </cfRule>
  </conditionalFormatting>
  <conditionalFormatting sqref="AI309:AJ309">
    <cfRule type="cellIs" dxfId="1" priority="516" operator="equal">
      <formula>"未完成"</formula>
    </cfRule>
    <cfRule type="cellIs" dxfId="0" priority="517" operator="equal">
      <formula>"未完成"</formula>
    </cfRule>
  </conditionalFormatting>
  <conditionalFormatting sqref="AL309">
    <cfRule type="cellIs" dxfId="1" priority="508" operator="equal">
      <formula>"未完成"</formula>
    </cfRule>
    <cfRule type="cellIs" dxfId="0" priority="509" operator="equal">
      <formula>"未完成"</formula>
    </cfRule>
  </conditionalFormatting>
  <conditionalFormatting sqref="AM309">
    <cfRule type="cellIs" dxfId="1" priority="504" operator="equal">
      <formula>"未完成"</formula>
    </cfRule>
    <cfRule type="cellIs" dxfId="0" priority="505" operator="equal">
      <formula>"未完成"</formula>
    </cfRule>
  </conditionalFormatting>
  <conditionalFormatting sqref="AI310">
    <cfRule type="cellIs" dxfId="1" priority="272" operator="equal">
      <formula>"未完成"</formula>
    </cfRule>
    <cfRule type="cellIs" dxfId="0" priority="273" operator="equal">
      <formula>"未完成"</formula>
    </cfRule>
  </conditionalFormatting>
  <conditionalFormatting sqref="AI311">
    <cfRule type="cellIs" dxfId="1" priority="268" operator="equal">
      <formula>"未完成"</formula>
    </cfRule>
    <cfRule type="cellIs" dxfId="0" priority="269" operator="equal">
      <formula>"未完成"</formula>
    </cfRule>
  </conditionalFormatting>
  <conditionalFormatting sqref="AE312">
    <cfRule type="cellIs" dxfId="0" priority="611" operator="equal">
      <formula>"未完成"</formula>
    </cfRule>
  </conditionalFormatting>
  <conditionalFormatting sqref="AI312">
    <cfRule type="cellIs" dxfId="1" priority="609" operator="equal">
      <formula>"未完成"</formula>
    </cfRule>
    <cfRule type="cellIs" dxfId="0" priority="610" operator="equal">
      <formula>"未完成"</formula>
    </cfRule>
  </conditionalFormatting>
  <conditionalFormatting sqref="AJ312">
    <cfRule type="cellIs" dxfId="1" priority="603" operator="equal">
      <formula>"未完成"</formula>
    </cfRule>
    <cfRule type="cellIs" dxfId="0" priority="604" operator="equal">
      <formula>"未完成"</formula>
    </cfRule>
  </conditionalFormatting>
  <conditionalFormatting sqref="AL312">
    <cfRule type="cellIs" dxfId="1" priority="601" operator="equal">
      <formula>"未完成"</formula>
    </cfRule>
    <cfRule type="cellIs" dxfId="0" priority="602" operator="equal">
      <formula>"未完成"</formula>
    </cfRule>
  </conditionalFormatting>
  <conditionalFormatting sqref="AI313">
    <cfRule type="cellIs" dxfId="1" priority="270" operator="equal">
      <formula>"未完成"</formula>
    </cfRule>
    <cfRule type="cellIs" dxfId="0" priority="271" operator="equal">
      <formula>"未完成"</formula>
    </cfRule>
  </conditionalFormatting>
  <conditionalFormatting sqref="R314">
    <cfRule type="cellIs" dxfId="0" priority="396" operator="equal">
      <formula>"欠"</formula>
    </cfRule>
  </conditionalFormatting>
  <conditionalFormatting sqref="T314:U314">
    <cfRule type="containsText" dxfId="0" priority="391" operator="between" text="欠">
      <formula>NOT(ISERROR(SEARCH("欠",T314)))</formula>
    </cfRule>
    <cfRule type="cellIs" dxfId="0" priority="397" operator="equal">
      <formula>"欠"</formula>
    </cfRule>
  </conditionalFormatting>
  <conditionalFormatting sqref="AE314">
    <cfRule type="cellIs" dxfId="0" priority="408" operator="equal">
      <formula>"未完成"</formula>
    </cfRule>
  </conditionalFormatting>
  <conditionalFormatting sqref="AI314:AJ314">
    <cfRule type="cellIs" dxfId="1" priority="406" operator="equal">
      <formula>"未完成"</formula>
    </cfRule>
    <cfRule type="cellIs" dxfId="0" priority="407" operator="equal">
      <formula>"未完成"</formula>
    </cfRule>
  </conditionalFormatting>
  <conditionalFormatting sqref="AL314">
    <cfRule type="cellIs" dxfId="1" priority="398" operator="equal">
      <formula>"未完成"</formula>
    </cfRule>
    <cfRule type="cellIs" dxfId="0" priority="399" operator="equal">
      <formula>"未完成"</formula>
    </cfRule>
  </conditionalFormatting>
  <conditionalFormatting sqref="AM314">
    <cfRule type="cellIs" dxfId="1" priority="389" operator="equal">
      <formula>"未完成"</formula>
    </cfRule>
    <cfRule type="cellIs" dxfId="0" priority="390" operator="equal">
      <formula>"未完成"</formula>
    </cfRule>
  </conditionalFormatting>
  <conditionalFormatting sqref="AP314:AQ314">
    <cfRule type="cellIs" dxfId="1" priority="404" operator="equal">
      <formula>"未完成"</formula>
    </cfRule>
    <cfRule type="cellIs" dxfId="0" priority="405" operator="equal">
      <formula>"未完成"</formula>
    </cfRule>
  </conditionalFormatting>
  <conditionalFormatting sqref="AT314:AV314">
    <cfRule type="cellIs" dxfId="1" priority="400" operator="equal">
      <formula>"未完成"</formula>
    </cfRule>
    <cfRule type="cellIs" dxfId="0" priority="401" operator="equal">
      <formula>"未完成"</formula>
    </cfRule>
  </conditionalFormatting>
  <conditionalFormatting sqref="AE328">
    <cfRule type="cellIs" dxfId="0" priority="442" operator="equal">
      <formula>"未完成"</formula>
    </cfRule>
  </conditionalFormatting>
  <conditionalFormatting sqref="AI328:AJ328">
    <cfRule type="cellIs" dxfId="1" priority="440" operator="equal">
      <formula>"未完成"</formula>
    </cfRule>
    <cfRule type="cellIs" dxfId="0" priority="441" operator="equal">
      <formula>"未完成"</formula>
    </cfRule>
  </conditionalFormatting>
  <conditionalFormatting sqref="AL328">
    <cfRule type="cellIs" dxfId="1" priority="432" operator="equal">
      <formula>"未完成"</formula>
    </cfRule>
    <cfRule type="cellIs" dxfId="0" priority="433" operator="equal">
      <formula>"未完成"</formula>
    </cfRule>
  </conditionalFormatting>
  <conditionalFormatting sqref="AM328">
    <cfRule type="cellIs" dxfId="1" priority="428" operator="equal">
      <formula>"未完成"</formula>
    </cfRule>
    <cfRule type="cellIs" dxfId="0" priority="429" operator="equal">
      <formula>"未完成"</formula>
    </cfRule>
  </conditionalFormatting>
  <conditionalFormatting sqref="R329">
    <cfRule type="cellIs" dxfId="0" priority="414" operator="equal">
      <formula>"欠"</formula>
    </cfRule>
  </conditionalFormatting>
  <conditionalFormatting sqref="T329:U329">
    <cfRule type="containsText" dxfId="0" priority="411" operator="between" text="欠">
      <formula>NOT(ISERROR(SEARCH("欠",T329)))</formula>
    </cfRule>
    <cfRule type="cellIs" dxfId="0" priority="415" operator="equal">
      <formula>"欠"</formula>
    </cfRule>
  </conditionalFormatting>
  <conditionalFormatting sqref="AE329">
    <cfRule type="cellIs" dxfId="0" priority="426" operator="equal">
      <formula>"未完成"</formula>
    </cfRule>
  </conditionalFormatting>
  <conditionalFormatting sqref="AI329">
    <cfRule type="cellIs" dxfId="1" priority="260" operator="equal">
      <formula>"未完成"</formula>
    </cfRule>
    <cfRule type="cellIs" dxfId="0" priority="261" operator="equal">
      <formula>"未完成"</formula>
    </cfRule>
  </conditionalFormatting>
  <conditionalFormatting sqref="AJ329">
    <cfRule type="cellIs" dxfId="1" priority="424" operator="equal">
      <formula>"未完成"</formula>
    </cfRule>
    <cfRule type="cellIs" dxfId="0" priority="425" operator="equal">
      <formula>"未完成"</formula>
    </cfRule>
  </conditionalFormatting>
  <conditionalFormatting sqref="AL329">
    <cfRule type="cellIs" dxfId="1" priority="416" operator="equal">
      <formula>"未完成"</formula>
    </cfRule>
    <cfRule type="cellIs" dxfId="0" priority="417" operator="equal">
      <formula>"未完成"</formula>
    </cfRule>
  </conditionalFormatting>
  <conditionalFormatting sqref="AM329">
    <cfRule type="cellIs" dxfId="1" priority="412" operator="equal">
      <formula>"未完成"</formula>
    </cfRule>
    <cfRule type="cellIs" dxfId="0" priority="413" operator="equal">
      <formula>"未完成"</formula>
    </cfRule>
  </conditionalFormatting>
  <conditionalFormatting sqref="AE330">
    <cfRule type="cellIs" dxfId="0" priority="360" operator="equal">
      <formula>"未完成"</formula>
    </cfRule>
  </conditionalFormatting>
  <conditionalFormatting sqref="AI330">
    <cfRule type="cellIs" dxfId="1" priority="358" operator="equal">
      <formula>"未完成"</formula>
    </cfRule>
    <cfRule type="cellIs" dxfId="0" priority="359" operator="equal">
      <formula>"未完成"</formula>
    </cfRule>
  </conditionalFormatting>
  <conditionalFormatting sqref="AJ330">
    <cfRule type="cellIs" dxfId="1" priority="352" operator="equal">
      <formula>"未完成"</formula>
    </cfRule>
    <cfRule type="cellIs" dxfId="0" priority="353" operator="equal">
      <formula>"未完成"</formula>
    </cfRule>
  </conditionalFormatting>
  <conditionalFormatting sqref="AK330">
    <cfRule type="cellIs" dxfId="1" priority="364" operator="equal">
      <formula>"未完成"</formula>
    </cfRule>
    <cfRule type="cellIs" dxfId="0" priority="365" operator="equal">
      <formula>"未完成"</formula>
    </cfRule>
  </conditionalFormatting>
  <conditionalFormatting sqref="AL330">
    <cfRule type="cellIs" dxfId="1" priority="350" operator="equal">
      <formula>"未完成"</formula>
    </cfRule>
    <cfRule type="cellIs" dxfId="0" priority="351" operator="equal">
      <formula>"未完成"</formula>
    </cfRule>
  </conditionalFormatting>
  <conditionalFormatting sqref="AP330">
    <cfRule type="cellIs" dxfId="1" priority="361" operator="equal">
      <formula>"未完成"</formula>
    </cfRule>
    <cfRule type="cellIs" dxfId="0" priority="362" operator="equal">
      <formula>"未完成"</formula>
    </cfRule>
  </conditionalFormatting>
  <conditionalFormatting sqref="AQ330">
    <cfRule type="cellIs" dxfId="1" priority="354" operator="equal">
      <formula>"未完成"</formula>
    </cfRule>
    <cfRule type="cellIs" dxfId="0" priority="355" operator="equal">
      <formula>"未完成"</formula>
    </cfRule>
  </conditionalFormatting>
  <conditionalFormatting sqref="AT330:AV330">
    <cfRule type="cellIs" dxfId="1" priority="356" operator="equal">
      <formula>"未完成"</formula>
    </cfRule>
    <cfRule type="cellIs" dxfId="0" priority="357" operator="equal">
      <formula>"未完成"</formula>
    </cfRule>
  </conditionalFormatting>
  <conditionalFormatting sqref="AE331">
    <cfRule type="cellIs" dxfId="0" priority="337" operator="equal">
      <formula>"未完成"</formula>
    </cfRule>
  </conditionalFormatting>
  <conditionalFormatting sqref="AI331">
    <cfRule type="cellIs" dxfId="1" priority="266" operator="equal">
      <formula>"未完成"</formula>
    </cfRule>
    <cfRule type="cellIs" dxfId="0" priority="267" operator="equal">
      <formula>"未完成"</formula>
    </cfRule>
  </conditionalFormatting>
  <conditionalFormatting sqref="AJ331">
    <cfRule type="cellIs" dxfId="1" priority="329" operator="equal">
      <formula>"未完成"</formula>
    </cfRule>
    <cfRule type="cellIs" dxfId="0" priority="330" operator="equal">
      <formula>"未完成"</formula>
    </cfRule>
  </conditionalFormatting>
  <conditionalFormatting sqref="AK331">
    <cfRule type="cellIs" dxfId="1" priority="341" operator="equal">
      <formula>"未完成"</formula>
    </cfRule>
    <cfRule type="cellIs" dxfId="0" priority="342" operator="equal">
      <formula>"未完成"</formula>
    </cfRule>
  </conditionalFormatting>
  <conditionalFormatting sqref="AL331">
    <cfRule type="cellIs" dxfId="1" priority="327" operator="equal">
      <formula>"未完成"</formula>
    </cfRule>
    <cfRule type="cellIs" dxfId="0" priority="328" operator="equal">
      <formula>"未完成"</formula>
    </cfRule>
  </conditionalFormatting>
  <conditionalFormatting sqref="AP331">
    <cfRule type="cellIs" dxfId="1" priority="338" operator="equal">
      <formula>"未完成"</formula>
    </cfRule>
    <cfRule type="cellIs" dxfId="0" priority="339" operator="equal">
      <formula>"未完成"</formula>
    </cfRule>
  </conditionalFormatting>
  <conditionalFormatting sqref="AQ331">
    <cfRule type="cellIs" dxfId="1" priority="331" operator="equal">
      <formula>"未完成"</formula>
    </cfRule>
    <cfRule type="cellIs" dxfId="0" priority="332" operator="equal">
      <formula>"未完成"</formula>
    </cfRule>
  </conditionalFormatting>
  <conditionalFormatting sqref="AT331:AV331">
    <cfRule type="cellIs" dxfId="1" priority="333" operator="equal">
      <formula>"未完成"</formula>
    </cfRule>
    <cfRule type="cellIs" dxfId="0" priority="334" operator="equal">
      <formula>"未完成"</formula>
    </cfRule>
  </conditionalFormatting>
  <conditionalFormatting sqref="AE333">
    <cfRule type="cellIs" dxfId="0" priority="314" operator="equal">
      <formula>"未完成"</formula>
    </cfRule>
  </conditionalFormatting>
  <conditionalFormatting sqref="AI333">
    <cfRule type="cellIs" dxfId="1" priority="264" operator="equal">
      <formula>"未完成"</formula>
    </cfRule>
    <cfRule type="cellIs" dxfId="0" priority="265" operator="equal">
      <formula>"未完成"</formula>
    </cfRule>
  </conditionalFormatting>
  <conditionalFormatting sqref="AJ333">
    <cfRule type="cellIs" dxfId="1" priority="306" operator="equal">
      <formula>"未完成"</formula>
    </cfRule>
    <cfRule type="cellIs" dxfId="0" priority="307" operator="equal">
      <formula>"未完成"</formula>
    </cfRule>
  </conditionalFormatting>
  <conditionalFormatting sqref="AK333">
    <cfRule type="cellIs" dxfId="1" priority="318" operator="equal">
      <formula>"未完成"</formula>
    </cfRule>
    <cfRule type="cellIs" dxfId="0" priority="319" operator="equal">
      <formula>"未完成"</formula>
    </cfRule>
  </conditionalFormatting>
  <conditionalFormatting sqref="AL333">
    <cfRule type="cellIs" dxfId="1" priority="304" operator="equal">
      <formula>"未完成"</formula>
    </cfRule>
    <cfRule type="cellIs" dxfId="0" priority="305" operator="equal">
      <formula>"未完成"</formula>
    </cfRule>
  </conditionalFormatting>
  <conditionalFormatting sqref="AP333">
    <cfRule type="cellIs" dxfId="1" priority="315" operator="equal">
      <formula>"未完成"</formula>
    </cfRule>
    <cfRule type="cellIs" dxfId="0" priority="316" operator="equal">
      <formula>"未完成"</formula>
    </cfRule>
  </conditionalFormatting>
  <conditionalFormatting sqref="AQ333">
    <cfRule type="cellIs" dxfId="1" priority="308" operator="equal">
      <formula>"未完成"</formula>
    </cfRule>
    <cfRule type="cellIs" dxfId="0" priority="309" operator="equal">
      <formula>"未完成"</formula>
    </cfRule>
  </conditionalFormatting>
  <conditionalFormatting sqref="AT333:AV333">
    <cfRule type="cellIs" dxfId="1" priority="310" operator="equal">
      <formula>"未完成"</formula>
    </cfRule>
    <cfRule type="cellIs" dxfId="0" priority="311" operator="equal">
      <formula>"未完成"</formula>
    </cfRule>
  </conditionalFormatting>
  <conditionalFormatting sqref="AE334">
    <cfRule type="cellIs" dxfId="0" priority="291" operator="equal">
      <formula>"未完成"</formula>
    </cfRule>
  </conditionalFormatting>
  <conditionalFormatting sqref="AI334">
    <cfRule type="cellIs" dxfId="1" priority="262" operator="equal">
      <formula>"未完成"</formula>
    </cfRule>
    <cfRule type="cellIs" dxfId="0" priority="263" operator="equal">
      <formula>"未完成"</formula>
    </cfRule>
  </conditionalFormatting>
  <conditionalFormatting sqref="AJ334">
    <cfRule type="cellIs" dxfId="1" priority="283" operator="equal">
      <formula>"未完成"</formula>
    </cfRule>
    <cfRule type="cellIs" dxfId="0" priority="284" operator="equal">
      <formula>"未完成"</formula>
    </cfRule>
  </conditionalFormatting>
  <conditionalFormatting sqref="AK334">
    <cfRule type="cellIs" dxfId="1" priority="295" operator="equal">
      <formula>"未完成"</formula>
    </cfRule>
    <cfRule type="cellIs" dxfId="0" priority="296" operator="equal">
      <formula>"未完成"</formula>
    </cfRule>
  </conditionalFormatting>
  <conditionalFormatting sqref="AL334">
    <cfRule type="cellIs" dxfId="1" priority="281" operator="equal">
      <formula>"未完成"</formula>
    </cfRule>
    <cfRule type="cellIs" dxfId="0" priority="282" operator="equal">
      <formula>"未完成"</formula>
    </cfRule>
  </conditionalFormatting>
  <conditionalFormatting sqref="AP334">
    <cfRule type="cellIs" dxfId="1" priority="292" operator="equal">
      <formula>"未完成"</formula>
    </cfRule>
    <cfRule type="cellIs" dxfId="0" priority="293" operator="equal">
      <formula>"未完成"</formula>
    </cfRule>
  </conditionalFormatting>
  <conditionalFormatting sqref="AQ334">
    <cfRule type="cellIs" dxfId="1" priority="285" operator="equal">
      <formula>"未完成"</formula>
    </cfRule>
    <cfRule type="cellIs" dxfId="0" priority="286" operator="equal">
      <formula>"未完成"</formula>
    </cfRule>
  </conditionalFormatting>
  <conditionalFormatting sqref="AT334:AV334">
    <cfRule type="cellIs" dxfId="1" priority="287" operator="equal">
      <formula>"未完成"</formula>
    </cfRule>
    <cfRule type="cellIs" dxfId="0" priority="288" operator="equal">
      <formula>"未完成"</formula>
    </cfRule>
  </conditionalFormatting>
  <conditionalFormatting sqref="R335">
    <cfRule type="cellIs" dxfId="0" priority="382" operator="equal">
      <formula>"欠"</formula>
    </cfRule>
  </conditionalFormatting>
  <conditionalFormatting sqref="S335">
    <cfRule type="cellIs" dxfId="0" priority="367" operator="equal">
      <formula>"欠"</formula>
    </cfRule>
  </conditionalFormatting>
  <conditionalFormatting sqref="T335:U335">
    <cfRule type="containsText" dxfId="0" priority="366" operator="between" text="欠">
      <formula>NOT(ISERROR(SEARCH("欠",T335)))</formula>
    </cfRule>
    <cfRule type="cellIs" dxfId="0" priority="381" operator="equal">
      <formula>"欠"</formula>
    </cfRule>
  </conditionalFormatting>
  <conditionalFormatting sqref="AE335">
    <cfRule type="cellIs" dxfId="0" priority="378" operator="equal">
      <formula>"未完成"</formula>
    </cfRule>
  </conditionalFormatting>
  <conditionalFormatting sqref="AI335">
    <cfRule type="cellIs" dxfId="1" priority="376" operator="equal">
      <formula>"未完成"</formula>
    </cfRule>
    <cfRule type="cellIs" dxfId="0" priority="377" operator="equal">
      <formula>"未完成"</formula>
    </cfRule>
  </conditionalFormatting>
  <conditionalFormatting sqref="AJ335">
    <cfRule type="cellIs" dxfId="1" priority="370" operator="equal">
      <formula>"未完成"</formula>
    </cfRule>
    <cfRule type="cellIs" dxfId="0" priority="371" operator="equal">
      <formula>"未完成"</formula>
    </cfRule>
  </conditionalFormatting>
  <conditionalFormatting sqref="AL335">
    <cfRule type="cellIs" dxfId="1" priority="368" operator="equal">
      <formula>"未完成"</formula>
    </cfRule>
    <cfRule type="cellIs" dxfId="0" priority="369" operator="equal">
      <formula>"未完成"</formula>
    </cfRule>
  </conditionalFormatting>
  <conditionalFormatting sqref="AP335">
    <cfRule type="cellIs" dxfId="1" priority="379" operator="equal">
      <formula>"未完成"</formula>
    </cfRule>
    <cfRule type="cellIs" dxfId="0" priority="380" operator="equal">
      <formula>"未完成"</formula>
    </cfRule>
  </conditionalFormatting>
  <conditionalFormatting sqref="AQ335">
    <cfRule type="cellIs" dxfId="1" priority="372" operator="equal">
      <formula>"未完成"</formula>
    </cfRule>
    <cfRule type="cellIs" dxfId="0" priority="373" operator="equal">
      <formula>"未完成"</formula>
    </cfRule>
  </conditionalFormatting>
  <conditionalFormatting sqref="AT335:AV335">
    <cfRule type="cellIs" dxfId="1" priority="374" operator="equal">
      <formula>"未完成"</formula>
    </cfRule>
    <cfRule type="cellIs" dxfId="0" priority="375" operator="equal">
      <formula>"未完成"</formula>
    </cfRule>
  </conditionalFormatting>
  <conditionalFormatting sqref="AE338">
    <cfRule type="cellIs" dxfId="0" priority="229" operator="equal">
      <formula>"未完成"</formula>
    </cfRule>
  </conditionalFormatting>
  <conditionalFormatting sqref="AI338">
    <cfRule type="cellIs" dxfId="1" priority="217" operator="equal">
      <formula>"未完成"</formula>
    </cfRule>
    <cfRule type="cellIs" dxfId="0" priority="223" operator="equal">
      <formula>"未完成"</formula>
    </cfRule>
  </conditionalFormatting>
  <conditionalFormatting sqref="AJ338">
    <cfRule type="cellIs" dxfId="1" priority="181" operator="equal">
      <formula>"未完成"</formula>
    </cfRule>
    <cfRule type="cellIs" dxfId="0" priority="187" operator="equal">
      <formula>"未完成"</formula>
    </cfRule>
  </conditionalFormatting>
  <conditionalFormatting sqref="AK338">
    <cfRule type="cellIs" dxfId="1" priority="253" operator="equal">
      <formula>"未完成"</formula>
    </cfRule>
    <cfRule type="cellIs" dxfId="0" priority="259" operator="equal">
      <formula>"未完成"</formula>
    </cfRule>
  </conditionalFormatting>
  <conditionalFormatting sqref="AL338">
    <cfRule type="cellIs" dxfId="1" priority="169" operator="equal">
      <formula>"未完成"</formula>
    </cfRule>
    <cfRule type="cellIs" dxfId="0" priority="175" operator="equal">
      <formula>"未完成"</formula>
    </cfRule>
  </conditionalFormatting>
  <conditionalFormatting sqref="AP338">
    <cfRule type="cellIs" dxfId="1" priority="235" operator="equal">
      <formula>"未完成"</formula>
    </cfRule>
    <cfRule type="cellIs" dxfId="0" priority="241" operator="equal">
      <formula>"未完成"</formula>
    </cfRule>
  </conditionalFormatting>
  <conditionalFormatting sqref="AQ338">
    <cfRule type="cellIs" dxfId="1" priority="193" operator="equal">
      <formula>"未完成"</formula>
    </cfRule>
    <cfRule type="cellIs" dxfId="0" priority="199" operator="equal">
      <formula>"未完成"</formula>
    </cfRule>
  </conditionalFormatting>
  <conditionalFormatting sqref="AT338:AV338">
    <cfRule type="cellIs" dxfId="1" priority="205" operator="equal">
      <formula>"未完成"</formula>
    </cfRule>
    <cfRule type="cellIs" dxfId="0" priority="211" operator="equal">
      <formula>"未完成"</formula>
    </cfRule>
  </conditionalFormatting>
  <conditionalFormatting sqref="AE339">
    <cfRule type="cellIs" dxfId="0" priority="228" operator="equal">
      <formula>"未完成"</formula>
    </cfRule>
  </conditionalFormatting>
  <conditionalFormatting sqref="AI339">
    <cfRule type="cellIs" dxfId="1" priority="216" operator="equal">
      <formula>"未完成"</formula>
    </cfRule>
    <cfRule type="cellIs" dxfId="0" priority="222" operator="equal">
      <formula>"未完成"</formula>
    </cfRule>
  </conditionalFormatting>
  <conditionalFormatting sqref="AJ339">
    <cfRule type="cellIs" dxfId="1" priority="180" operator="equal">
      <formula>"未完成"</formula>
    </cfRule>
    <cfRule type="cellIs" dxfId="0" priority="186" operator="equal">
      <formula>"未完成"</formula>
    </cfRule>
  </conditionalFormatting>
  <conditionalFormatting sqref="AK339">
    <cfRule type="cellIs" dxfId="1" priority="252" operator="equal">
      <formula>"未完成"</formula>
    </cfRule>
    <cfRule type="cellIs" dxfId="0" priority="258" operator="equal">
      <formula>"未完成"</formula>
    </cfRule>
  </conditionalFormatting>
  <conditionalFormatting sqref="AL339">
    <cfRule type="cellIs" dxfId="1" priority="168" operator="equal">
      <formula>"未完成"</formula>
    </cfRule>
    <cfRule type="cellIs" dxfId="0" priority="174" operator="equal">
      <formula>"未完成"</formula>
    </cfRule>
  </conditionalFormatting>
  <conditionalFormatting sqref="AP339">
    <cfRule type="cellIs" dxfId="1" priority="234" operator="equal">
      <formula>"未完成"</formula>
    </cfRule>
    <cfRule type="cellIs" dxfId="0" priority="240" operator="equal">
      <formula>"未完成"</formula>
    </cfRule>
  </conditionalFormatting>
  <conditionalFormatting sqref="AQ339">
    <cfRule type="cellIs" dxfId="1" priority="192" operator="equal">
      <formula>"未完成"</formula>
    </cfRule>
    <cfRule type="cellIs" dxfId="0" priority="198" operator="equal">
      <formula>"未完成"</formula>
    </cfRule>
  </conditionalFormatting>
  <conditionalFormatting sqref="AT339:AV339">
    <cfRule type="cellIs" dxfId="1" priority="204" operator="equal">
      <formula>"未完成"</formula>
    </cfRule>
    <cfRule type="cellIs" dxfId="0" priority="210" operator="equal">
      <formula>"未完成"</formula>
    </cfRule>
  </conditionalFormatting>
  <conditionalFormatting sqref="AE340">
    <cfRule type="cellIs" dxfId="0" priority="227" operator="equal">
      <formula>"未完成"</formula>
    </cfRule>
  </conditionalFormatting>
  <conditionalFormatting sqref="AI340">
    <cfRule type="cellIs" dxfId="1" priority="215" operator="equal">
      <formula>"未完成"</formula>
    </cfRule>
    <cfRule type="cellIs" dxfId="0" priority="221" operator="equal">
      <formula>"未完成"</formula>
    </cfRule>
  </conditionalFormatting>
  <conditionalFormatting sqref="AJ340">
    <cfRule type="cellIs" dxfId="1" priority="179" operator="equal">
      <formula>"未完成"</formula>
    </cfRule>
    <cfRule type="cellIs" dxfId="0" priority="185" operator="equal">
      <formula>"未完成"</formula>
    </cfRule>
  </conditionalFormatting>
  <conditionalFormatting sqref="AK340">
    <cfRule type="cellIs" dxfId="1" priority="251" operator="equal">
      <formula>"未完成"</formula>
    </cfRule>
    <cfRule type="cellIs" dxfId="0" priority="257" operator="equal">
      <formula>"未完成"</formula>
    </cfRule>
  </conditionalFormatting>
  <conditionalFormatting sqref="AL340">
    <cfRule type="cellIs" dxfId="1" priority="167" operator="equal">
      <formula>"未完成"</formula>
    </cfRule>
    <cfRule type="cellIs" dxfId="0" priority="173" operator="equal">
      <formula>"未完成"</formula>
    </cfRule>
  </conditionalFormatting>
  <conditionalFormatting sqref="AP340">
    <cfRule type="cellIs" dxfId="1" priority="233" operator="equal">
      <formula>"未完成"</formula>
    </cfRule>
    <cfRule type="cellIs" dxfId="0" priority="239" operator="equal">
      <formula>"未完成"</formula>
    </cfRule>
  </conditionalFormatting>
  <conditionalFormatting sqref="AQ340">
    <cfRule type="cellIs" dxfId="1" priority="191" operator="equal">
      <formula>"未完成"</formula>
    </cfRule>
    <cfRule type="cellIs" dxfId="0" priority="197" operator="equal">
      <formula>"未完成"</formula>
    </cfRule>
  </conditionalFormatting>
  <conditionalFormatting sqref="AT340:AV340">
    <cfRule type="cellIs" dxfId="1" priority="203" operator="equal">
      <formula>"未完成"</formula>
    </cfRule>
    <cfRule type="cellIs" dxfId="0" priority="209" operator="equal">
      <formula>"未完成"</formula>
    </cfRule>
  </conditionalFormatting>
  <conditionalFormatting sqref="AE341">
    <cfRule type="cellIs" dxfId="0" priority="226" operator="equal">
      <formula>"未完成"</formula>
    </cfRule>
  </conditionalFormatting>
  <conditionalFormatting sqref="AI341">
    <cfRule type="cellIs" dxfId="1" priority="214" operator="equal">
      <formula>"未完成"</formula>
    </cfRule>
    <cfRule type="cellIs" dxfId="0" priority="220" operator="equal">
      <formula>"未完成"</formula>
    </cfRule>
  </conditionalFormatting>
  <conditionalFormatting sqref="AJ341">
    <cfRule type="cellIs" dxfId="1" priority="178" operator="equal">
      <formula>"未完成"</formula>
    </cfRule>
    <cfRule type="cellIs" dxfId="0" priority="184" operator="equal">
      <formula>"未完成"</formula>
    </cfRule>
  </conditionalFormatting>
  <conditionalFormatting sqref="AK341">
    <cfRule type="cellIs" dxfId="1" priority="250" operator="equal">
      <formula>"未完成"</formula>
    </cfRule>
    <cfRule type="cellIs" dxfId="0" priority="256" operator="equal">
      <formula>"未完成"</formula>
    </cfRule>
  </conditionalFormatting>
  <conditionalFormatting sqref="AL341">
    <cfRule type="cellIs" dxfId="1" priority="166" operator="equal">
      <formula>"未完成"</formula>
    </cfRule>
    <cfRule type="cellIs" dxfId="0" priority="172" operator="equal">
      <formula>"未完成"</formula>
    </cfRule>
  </conditionalFormatting>
  <conditionalFormatting sqref="AP341">
    <cfRule type="cellIs" dxfId="1" priority="232" operator="equal">
      <formula>"未完成"</formula>
    </cfRule>
    <cfRule type="cellIs" dxfId="0" priority="238" operator="equal">
      <formula>"未完成"</formula>
    </cfRule>
  </conditionalFormatting>
  <conditionalFormatting sqref="AQ341">
    <cfRule type="cellIs" dxfId="1" priority="190" operator="equal">
      <formula>"未完成"</formula>
    </cfRule>
    <cfRule type="cellIs" dxfId="0" priority="196" operator="equal">
      <formula>"未完成"</formula>
    </cfRule>
  </conditionalFormatting>
  <conditionalFormatting sqref="AT341:AV341">
    <cfRule type="cellIs" dxfId="1" priority="202" operator="equal">
      <formula>"未完成"</formula>
    </cfRule>
    <cfRule type="cellIs" dxfId="0" priority="208" operator="equal">
      <formula>"未完成"</formula>
    </cfRule>
  </conditionalFormatting>
  <conditionalFormatting sqref="AE342">
    <cfRule type="cellIs" dxfId="0" priority="225" operator="equal">
      <formula>"未完成"</formula>
    </cfRule>
  </conditionalFormatting>
  <conditionalFormatting sqref="AI342">
    <cfRule type="cellIs" dxfId="1" priority="213" operator="equal">
      <formula>"未完成"</formula>
    </cfRule>
    <cfRule type="cellIs" dxfId="0" priority="219" operator="equal">
      <formula>"未完成"</formula>
    </cfRule>
  </conditionalFormatting>
  <conditionalFormatting sqref="AJ342">
    <cfRule type="cellIs" dxfId="1" priority="177" operator="equal">
      <formula>"未完成"</formula>
    </cfRule>
    <cfRule type="cellIs" dxfId="0" priority="183" operator="equal">
      <formula>"未完成"</formula>
    </cfRule>
  </conditionalFormatting>
  <conditionalFormatting sqref="AK342">
    <cfRule type="cellIs" dxfId="1" priority="249" operator="equal">
      <formula>"未完成"</formula>
    </cfRule>
    <cfRule type="cellIs" dxfId="0" priority="255" operator="equal">
      <formula>"未完成"</formula>
    </cfRule>
  </conditionalFormatting>
  <conditionalFormatting sqref="AL342">
    <cfRule type="cellIs" dxfId="1" priority="165" operator="equal">
      <formula>"未完成"</formula>
    </cfRule>
    <cfRule type="cellIs" dxfId="0" priority="171" operator="equal">
      <formula>"未完成"</formula>
    </cfRule>
  </conditionalFormatting>
  <conditionalFormatting sqref="AP342">
    <cfRule type="cellIs" dxfId="1" priority="231" operator="equal">
      <formula>"未完成"</formula>
    </cfRule>
    <cfRule type="cellIs" dxfId="0" priority="237" operator="equal">
      <formula>"未完成"</formula>
    </cfRule>
  </conditionalFormatting>
  <conditionalFormatting sqref="AQ342">
    <cfRule type="cellIs" dxfId="1" priority="189" operator="equal">
      <formula>"未完成"</formula>
    </cfRule>
    <cfRule type="cellIs" dxfId="0" priority="195" operator="equal">
      <formula>"未完成"</formula>
    </cfRule>
  </conditionalFormatting>
  <conditionalFormatting sqref="AT342:AV342">
    <cfRule type="cellIs" dxfId="1" priority="201" operator="equal">
      <formula>"未完成"</formula>
    </cfRule>
    <cfRule type="cellIs" dxfId="0" priority="207" operator="equal">
      <formula>"未完成"</formula>
    </cfRule>
  </conditionalFormatting>
  <conditionalFormatting sqref="AE343">
    <cfRule type="cellIs" dxfId="0" priority="224" operator="equal">
      <formula>"未完成"</formula>
    </cfRule>
  </conditionalFormatting>
  <conditionalFormatting sqref="AI343">
    <cfRule type="cellIs" dxfId="1" priority="212" operator="equal">
      <formula>"未完成"</formula>
    </cfRule>
    <cfRule type="cellIs" dxfId="0" priority="218" operator="equal">
      <formula>"未完成"</formula>
    </cfRule>
  </conditionalFormatting>
  <conditionalFormatting sqref="AJ343">
    <cfRule type="cellIs" dxfId="1" priority="176" operator="equal">
      <formula>"未完成"</formula>
    </cfRule>
    <cfRule type="cellIs" dxfId="0" priority="182" operator="equal">
      <formula>"未完成"</formula>
    </cfRule>
  </conditionalFormatting>
  <conditionalFormatting sqref="AK343">
    <cfRule type="cellIs" dxfId="1" priority="248" operator="equal">
      <formula>"未完成"</formula>
    </cfRule>
    <cfRule type="cellIs" dxfId="0" priority="254" operator="equal">
      <formula>"未完成"</formula>
    </cfRule>
  </conditionalFormatting>
  <conditionalFormatting sqref="AL343">
    <cfRule type="cellIs" dxfId="1" priority="164" operator="equal">
      <formula>"未完成"</formula>
    </cfRule>
    <cfRule type="cellIs" dxfId="0" priority="170" operator="equal">
      <formula>"未完成"</formula>
    </cfRule>
  </conditionalFormatting>
  <conditionalFormatting sqref="AP343">
    <cfRule type="cellIs" dxfId="1" priority="230" operator="equal">
      <formula>"未完成"</formula>
    </cfRule>
    <cfRule type="cellIs" dxfId="0" priority="236" operator="equal">
      <formula>"未完成"</formula>
    </cfRule>
  </conditionalFormatting>
  <conditionalFormatting sqref="AQ343">
    <cfRule type="cellIs" dxfId="1" priority="188" operator="equal">
      <formula>"未完成"</formula>
    </cfRule>
    <cfRule type="cellIs" dxfId="0" priority="194" operator="equal">
      <formula>"未完成"</formula>
    </cfRule>
  </conditionalFormatting>
  <conditionalFormatting sqref="AT343:AV343">
    <cfRule type="cellIs" dxfId="1" priority="200" operator="equal">
      <formula>"未完成"</formula>
    </cfRule>
    <cfRule type="cellIs" dxfId="0" priority="206" operator="equal">
      <formula>"未完成"</formula>
    </cfRule>
  </conditionalFormatting>
  <conditionalFormatting sqref="AE344">
    <cfRule type="cellIs" dxfId="0" priority="116" operator="equal">
      <formula>"未完成"</formula>
    </cfRule>
  </conditionalFormatting>
  <conditionalFormatting sqref="AI344">
    <cfRule type="cellIs" dxfId="1" priority="114" operator="equal">
      <formula>"未完成"</formula>
    </cfRule>
    <cfRule type="cellIs" dxfId="0" priority="115" operator="equal">
      <formula>"未完成"</formula>
    </cfRule>
  </conditionalFormatting>
  <conditionalFormatting sqref="AJ344">
    <cfRule type="cellIs" dxfId="1" priority="108" operator="equal">
      <formula>"未完成"</formula>
    </cfRule>
    <cfRule type="cellIs" dxfId="0" priority="109" operator="equal">
      <formula>"未完成"</formula>
    </cfRule>
  </conditionalFormatting>
  <conditionalFormatting sqref="AL344">
    <cfRule type="cellIs" dxfId="1" priority="106" operator="equal">
      <formula>"未完成"</formula>
    </cfRule>
    <cfRule type="cellIs" dxfId="0" priority="107" operator="equal">
      <formula>"未完成"</formula>
    </cfRule>
  </conditionalFormatting>
  <conditionalFormatting sqref="AP344">
    <cfRule type="cellIs" dxfId="1" priority="117" operator="equal">
      <formula>"未完成"</formula>
    </cfRule>
    <cfRule type="cellIs" dxfId="0" priority="118" operator="equal">
      <formula>"未完成"</formula>
    </cfRule>
  </conditionalFormatting>
  <conditionalFormatting sqref="AQ344">
    <cfRule type="cellIs" dxfId="1" priority="110" operator="equal">
      <formula>"未完成"</formula>
    </cfRule>
    <cfRule type="cellIs" dxfId="0" priority="111" operator="equal">
      <formula>"未完成"</formula>
    </cfRule>
  </conditionalFormatting>
  <conditionalFormatting sqref="AT344:AV344">
    <cfRule type="cellIs" dxfId="1" priority="112" operator="equal">
      <formula>"未完成"</formula>
    </cfRule>
    <cfRule type="cellIs" dxfId="0" priority="113" operator="equal">
      <formula>"未完成"</formula>
    </cfRule>
  </conditionalFormatting>
  <conditionalFormatting sqref="R346">
    <cfRule type="cellIs" dxfId="0" priority="94" operator="equal">
      <formula>"欠"</formula>
    </cfRule>
  </conditionalFormatting>
  <conditionalFormatting sqref="T346:U346">
    <cfRule type="containsText" dxfId="0" priority="91" operator="between" text="欠">
      <formula>NOT(ISERROR(SEARCH("欠",T346)))</formula>
    </cfRule>
    <cfRule type="cellIs" dxfId="0" priority="93" operator="equal">
      <formula>"欠"</formula>
    </cfRule>
  </conditionalFormatting>
  <conditionalFormatting sqref="AE346">
    <cfRule type="cellIs" dxfId="0" priority="86" operator="equal">
      <formula>"未完成"</formula>
    </cfRule>
  </conditionalFormatting>
  <conditionalFormatting sqref="AI346">
    <cfRule type="cellIs" dxfId="1" priority="28" operator="equal">
      <formula>"未完成"</formula>
    </cfRule>
    <cfRule type="cellIs" dxfId="0" priority="29" operator="equal">
      <formula>"未完成"</formula>
    </cfRule>
  </conditionalFormatting>
  <conditionalFormatting sqref="AJ346">
    <cfRule type="cellIs" dxfId="1" priority="78" operator="equal">
      <formula>"未完成"</formula>
    </cfRule>
    <cfRule type="cellIs" dxfId="0" priority="79" operator="equal">
      <formula>"未完成"</formula>
    </cfRule>
  </conditionalFormatting>
  <conditionalFormatting sqref="AP346">
    <cfRule type="cellIs" dxfId="1" priority="87" operator="equal">
      <formula>"未完成"</formula>
    </cfRule>
    <cfRule type="cellIs" dxfId="0" priority="88" operator="equal">
      <formula>"未完成"</formula>
    </cfRule>
  </conditionalFormatting>
  <conditionalFormatting sqref="AQ346">
    <cfRule type="cellIs" dxfId="1" priority="80" operator="equal">
      <formula>"未完成"</formula>
    </cfRule>
    <cfRule type="cellIs" dxfId="0" priority="81" operator="equal">
      <formula>"未完成"</formula>
    </cfRule>
  </conditionalFormatting>
  <conditionalFormatting sqref="AT346:AV346">
    <cfRule type="cellIs" dxfId="1" priority="82" operator="equal">
      <formula>"未完成"</formula>
    </cfRule>
    <cfRule type="cellIs" dxfId="0" priority="83" operator="equal">
      <formula>"未完成"</formula>
    </cfRule>
  </conditionalFormatting>
  <conditionalFormatting sqref="T347:U347">
    <cfRule type="containsText" dxfId="0" priority="68" operator="between" text="欠">
      <formula>NOT(ISERROR(SEARCH("欠",T347)))</formula>
    </cfRule>
    <cfRule type="cellIs" dxfId="0" priority="70" operator="equal">
      <formula>"欠"</formula>
    </cfRule>
  </conditionalFormatting>
  <conditionalFormatting sqref="AE347">
    <cfRule type="cellIs" dxfId="0" priority="63" operator="equal">
      <formula>"未完成"</formula>
    </cfRule>
  </conditionalFormatting>
  <conditionalFormatting sqref="AI347">
    <cfRule type="cellIs" dxfId="1" priority="61" operator="equal">
      <formula>"未完成"</formula>
    </cfRule>
    <cfRule type="cellIs" dxfId="0" priority="62" operator="equal">
      <formula>"未完成"</formula>
    </cfRule>
  </conditionalFormatting>
  <conditionalFormatting sqref="AJ347">
    <cfRule type="cellIs" dxfId="1" priority="55" operator="equal">
      <formula>"未完成"</formula>
    </cfRule>
    <cfRule type="cellIs" dxfId="0" priority="56" operator="equal">
      <formula>"未完成"</formula>
    </cfRule>
  </conditionalFormatting>
  <conditionalFormatting sqref="AL347">
    <cfRule type="cellIs" dxfId="1" priority="53" operator="equal">
      <formula>"未完成"</formula>
    </cfRule>
    <cfRule type="cellIs" dxfId="0" priority="54" operator="equal">
      <formula>"未完成"</formula>
    </cfRule>
  </conditionalFormatting>
  <conditionalFormatting sqref="AM347">
    <cfRule type="cellIs" dxfId="1" priority="72" operator="equal">
      <formula>"未完成"</formula>
    </cfRule>
    <cfRule type="cellIs" dxfId="0" priority="73" operator="equal">
      <formula>"未完成"</formula>
    </cfRule>
  </conditionalFormatting>
  <conditionalFormatting sqref="AQ347">
    <cfRule type="cellIs" dxfId="1" priority="57" operator="equal">
      <formula>"未完成"</formula>
    </cfRule>
    <cfRule type="cellIs" dxfId="0" priority="58" operator="equal">
      <formula>"未完成"</formula>
    </cfRule>
  </conditionalFormatting>
  <conditionalFormatting sqref="AT347:AV347">
    <cfRule type="cellIs" dxfId="1" priority="59" operator="equal">
      <formula>"未完成"</formula>
    </cfRule>
    <cfRule type="cellIs" dxfId="0" priority="60" operator="equal">
      <formula>"未完成"</formula>
    </cfRule>
  </conditionalFormatting>
  <conditionalFormatting sqref="T348:U348">
    <cfRule type="containsText" dxfId="0" priority="41" operator="between" text="欠">
      <formula>NOT(ISERROR(SEARCH("欠",T348)))</formula>
    </cfRule>
    <cfRule type="cellIs" dxfId="0" priority="42" operator="equal">
      <formula>"欠"</formula>
    </cfRule>
  </conditionalFormatting>
  <conditionalFormatting sqref="AE348">
    <cfRule type="cellIs" dxfId="0" priority="40" operator="equal">
      <formula>"未完成"</formula>
    </cfRule>
  </conditionalFormatting>
  <conditionalFormatting sqref="AI348">
    <cfRule type="cellIs" dxfId="1" priority="38" operator="equal">
      <formula>"未完成"</formula>
    </cfRule>
    <cfRule type="cellIs" dxfId="0" priority="39" operator="equal">
      <formula>"未完成"</formula>
    </cfRule>
  </conditionalFormatting>
  <conditionalFormatting sqref="AJ348">
    <cfRule type="cellIs" dxfId="1" priority="32" operator="equal">
      <formula>"未完成"</formula>
    </cfRule>
    <cfRule type="cellIs" dxfId="0" priority="33" operator="equal">
      <formula>"未完成"</formula>
    </cfRule>
  </conditionalFormatting>
  <conditionalFormatting sqref="AL348">
    <cfRule type="cellIs" dxfId="1" priority="30" operator="equal">
      <formula>"未完成"</formula>
    </cfRule>
    <cfRule type="cellIs" dxfId="0" priority="31" operator="equal">
      <formula>"未完成"</formula>
    </cfRule>
  </conditionalFormatting>
  <conditionalFormatting sqref="AP348">
    <cfRule type="cellIs" dxfId="1" priority="47" operator="equal">
      <formula>"未完成"</formula>
    </cfRule>
    <cfRule type="cellIs" dxfId="0" priority="48" operator="equal">
      <formula>"未完成"</formula>
    </cfRule>
  </conditionalFormatting>
  <conditionalFormatting sqref="AQ348">
    <cfRule type="cellIs" dxfId="1" priority="34" operator="equal">
      <formula>"未完成"</formula>
    </cfRule>
    <cfRule type="cellIs" dxfId="0" priority="35" operator="equal">
      <formula>"未完成"</formula>
    </cfRule>
  </conditionalFormatting>
  <conditionalFormatting sqref="AT348:AV348">
    <cfRule type="cellIs" dxfId="1" priority="36" operator="equal">
      <formula>"未完成"</formula>
    </cfRule>
    <cfRule type="cellIs" dxfId="0" priority="37" operator="equal">
      <formula>"未完成"</formula>
    </cfRule>
  </conditionalFormatting>
  <conditionalFormatting sqref="AN357">
    <cfRule type="cellIs" dxfId="0" priority="15067" operator="equal">
      <formula>"欠"</formula>
    </cfRule>
  </conditionalFormatting>
  <conditionalFormatting sqref="S374">
    <cfRule type="cellIs" dxfId="0" priority="15091" operator="equal">
      <formula>"欠"</formula>
    </cfRule>
  </conditionalFormatting>
  <conditionalFormatting sqref="AE374:AF374">
    <cfRule type="cellIs" dxfId="0" priority="15108" operator="equal">
      <formula>"未完成"</formula>
    </cfRule>
  </conditionalFormatting>
  <conditionalFormatting sqref="R375">
    <cfRule type="cellIs" dxfId="0" priority="15037" operator="equal">
      <formula>"欠"</formula>
    </cfRule>
  </conditionalFormatting>
  <conditionalFormatting sqref="S375">
    <cfRule type="cellIs" dxfId="0" priority="15076" operator="equal">
      <formula>"欠"</formula>
    </cfRule>
  </conditionalFormatting>
  <conditionalFormatting sqref="T375:U375">
    <cfRule type="cellIs" dxfId="0" priority="15077" operator="equal">
      <formula>"欠"</formula>
    </cfRule>
  </conditionalFormatting>
  <conditionalFormatting sqref="S379">
    <cfRule type="cellIs" dxfId="0" priority="15033" operator="equal">
      <formula>"欠"</formula>
    </cfRule>
  </conditionalFormatting>
  <conditionalFormatting sqref="R383">
    <cfRule type="cellIs" dxfId="0" priority="15046" operator="equal">
      <formula>"欠"</formula>
    </cfRule>
  </conditionalFormatting>
  <conditionalFormatting sqref="S383">
    <cfRule type="cellIs" dxfId="0" priority="15043" operator="equal">
      <formula>"欠"</formula>
    </cfRule>
  </conditionalFormatting>
  <conditionalFormatting sqref="T383:U383">
    <cfRule type="cellIs" dxfId="0" priority="15041" operator="equal">
      <formula>"欠"</formula>
    </cfRule>
  </conditionalFormatting>
  <conditionalFormatting sqref="AE383:AF383">
    <cfRule type="cellIs" dxfId="0" priority="15049" operator="equal">
      <formula>"未完成"</formula>
    </cfRule>
    <cfRule type="cellIs" dxfId="1" priority="15050" operator="equal">
      <formula>"未完成"</formula>
    </cfRule>
  </conditionalFormatting>
  <conditionalFormatting sqref="AG383:AH383">
    <cfRule type="cellIs" dxfId="1" priority="15056" operator="equal">
      <formula>"未完成"</formula>
    </cfRule>
    <cfRule type="cellIs" dxfId="0" priority="15057" operator="equal">
      <formula>"未完成"</formula>
    </cfRule>
  </conditionalFormatting>
  <conditionalFormatting sqref="AI383:AJ383">
    <cfRule type="cellIs" dxfId="1" priority="15054" operator="equal">
      <formula>"未完成"</formula>
    </cfRule>
    <cfRule type="cellIs" dxfId="0" priority="15055" operator="equal">
      <formula>"未完成"</formula>
    </cfRule>
  </conditionalFormatting>
  <conditionalFormatting sqref="S384">
    <cfRule type="cellIs" dxfId="0" priority="15074" operator="equal">
      <formula>"欠"</formula>
    </cfRule>
  </conditionalFormatting>
  <conditionalFormatting sqref="AE385:AF385">
    <cfRule type="cellIs" dxfId="0" priority="15102" operator="equal">
      <formula>"未完成"</formula>
    </cfRule>
  </conditionalFormatting>
  <conditionalFormatting sqref="AE386:AF386">
    <cfRule type="cellIs" dxfId="0" priority="15101" operator="equal">
      <formula>"未完成"</formula>
    </cfRule>
  </conditionalFormatting>
  <conditionalFormatting sqref="S387">
    <cfRule type="cellIs" dxfId="0" priority="15094" operator="equal">
      <formula>"欠"</formula>
    </cfRule>
  </conditionalFormatting>
  <conditionalFormatting sqref="AE387:AF387">
    <cfRule type="cellIs" dxfId="0" priority="15099" operator="equal">
      <formula>"未完成"</formula>
    </cfRule>
  </conditionalFormatting>
  <conditionalFormatting sqref="S388">
    <cfRule type="cellIs" dxfId="0" priority="14715" operator="equal">
      <formula>"欠"</formula>
    </cfRule>
  </conditionalFormatting>
  <conditionalFormatting sqref="R45:R46">
    <cfRule type="cellIs" dxfId="0" priority="8707" operator="equal">
      <formula>"欠"</formula>
    </cfRule>
  </conditionalFormatting>
  <conditionalFormatting sqref="R224:R226">
    <cfRule type="cellIs" dxfId="0" priority="2885" operator="equal">
      <formula>"欠"</formula>
    </cfRule>
  </conditionalFormatting>
  <conditionalFormatting sqref="R232:R233">
    <cfRule type="cellIs" dxfId="0" priority="1972" operator="equal">
      <formula>"欠"</formula>
    </cfRule>
  </conditionalFormatting>
  <conditionalFormatting sqref="R249:R254">
    <cfRule type="cellIs" dxfId="0" priority="1886" operator="equal">
      <formula>"欠"</formula>
    </cfRule>
  </conditionalFormatting>
  <conditionalFormatting sqref="R338:R344">
    <cfRule type="cellIs" dxfId="0" priority="247" operator="equal">
      <formula>"欠"</formula>
    </cfRule>
  </conditionalFormatting>
  <conditionalFormatting sqref="R348:R365">
    <cfRule type="cellIs" dxfId="0" priority="46" operator="equal">
      <formula>"欠"</formula>
    </cfRule>
  </conditionalFormatting>
  <conditionalFormatting sqref="S231:S233">
    <cfRule type="cellIs" dxfId="0" priority="2016" operator="equal">
      <formula>"欠"</formula>
    </cfRule>
  </conditionalFormatting>
  <conditionalFormatting sqref="S249:S255">
    <cfRule type="cellIs" dxfId="0" priority="1892" operator="equal">
      <formula>"欠"</formula>
    </cfRule>
  </conditionalFormatting>
  <conditionalFormatting sqref="S338:S344">
    <cfRule type="cellIs" dxfId="0" priority="133" operator="equal">
      <formula>"欠"</formula>
    </cfRule>
  </conditionalFormatting>
  <conditionalFormatting sqref="S346:S347">
    <cfRule type="cellIs" dxfId="0" priority="92" operator="equal">
      <formula>"欠"</formula>
    </cfRule>
  </conditionalFormatting>
  <conditionalFormatting sqref="S348:S365">
    <cfRule type="cellIs" dxfId="0" priority="45" operator="equal">
      <formula>"欠"</formula>
    </cfRule>
  </conditionalFormatting>
  <conditionalFormatting sqref="S385:S386">
    <cfRule type="cellIs" dxfId="0" priority="15095" operator="equal">
      <formula>"欠"</formula>
    </cfRule>
  </conditionalFormatting>
  <conditionalFormatting sqref="U$1:U$1048576">
    <cfRule type="containsText" dxfId="2" priority="1" operator="between" text="欠">
      <formula>NOT(ISERROR(SEARCH("欠",U1)))</formula>
    </cfRule>
  </conditionalFormatting>
  <conditionalFormatting sqref="Z$1:Z$1048576">
    <cfRule type="containsText" dxfId="2" priority="2" operator="between" text="否">
      <formula>NOT(ISERROR(SEARCH("否",Z1)))</formula>
    </cfRule>
  </conditionalFormatting>
  <conditionalFormatting sqref="AE219:AE222">
    <cfRule type="cellIs" dxfId="0" priority="3062" operator="equal">
      <formula>"未完成"</formula>
    </cfRule>
  </conditionalFormatting>
  <conditionalFormatting sqref="AE232:AE233">
    <cfRule type="cellIs" dxfId="0" priority="1990" operator="equal">
      <formula>"未完成"</formula>
    </cfRule>
  </conditionalFormatting>
  <conditionalFormatting sqref="AE249:AE254">
    <cfRule type="cellIs" dxfId="0" priority="1884" operator="equal">
      <formula>"未完成"</formula>
    </cfRule>
  </conditionalFormatting>
  <conditionalFormatting sqref="AE290:AE291">
    <cfRule type="cellIs" dxfId="0" priority="968" operator="equal">
      <formula>"未完成"</formula>
    </cfRule>
  </conditionalFormatting>
  <conditionalFormatting sqref="AE295:AE296">
    <cfRule type="cellIs" dxfId="0" priority="904" operator="equal">
      <formula>"未完成"</formula>
    </cfRule>
  </conditionalFormatting>
  <conditionalFormatting sqref="AI290:AI291">
    <cfRule type="cellIs" dxfId="1" priority="966" operator="equal">
      <formula>"未完成"</formula>
    </cfRule>
    <cfRule type="cellIs" dxfId="0" priority="967" operator="equal">
      <formula>"未完成"</formula>
    </cfRule>
  </conditionalFormatting>
  <conditionalFormatting sqref="AI349:AI356">
    <cfRule type="cellIs" dxfId="1" priority="11" operator="equal">
      <formula>"未完成"</formula>
    </cfRule>
    <cfRule type="cellIs" dxfId="0" priority="12" operator="equal">
      <formula>"未完成"</formula>
    </cfRule>
  </conditionalFormatting>
  <conditionalFormatting sqref="AJ290:AJ291">
    <cfRule type="cellIs" dxfId="1" priority="961" operator="equal">
      <formula>"未完成"</formula>
    </cfRule>
    <cfRule type="cellIs" dxfId="0" priority="962" operator="equal">
      <formula>"未完成"</formula>
    </cfRule>
  </conditionalFormatting>
  <conditionalFormatting sqref="AJ295:AJ296">
    <cfRule type="cellIs" dxfId="1" priority="895" operator="equal">
      <formula>"未完成"</formula>
    </cfRule>
    <cfRule type="cellIs" dxfId="0" priority="896" operator="equal">
      <formula>"未完成"</formula>
    </cfRule>
  </conditionalFormatting>
  <conditionalFormatting sqref="AJ349:AJ359">
    <cfRule type="cellIs" dxfId="1" priority="5" operator="equal">
      <formula>"未完成"</formula>
    </cfRule>
    <cfRule type="cellIs" dxfId="0" priority="6" operator="equal">
      <formula>"未完成"</formula>
    </cfRule>
  </conditionalFormatting>
  <conditionalFormatting sqref="AK218:AK222">
    <cfRule type="cellIs" dxfId="1" priority="2959" operator="equal">
      <formula>"未完成"</formula>
    </cfRule>
    <cfRule type="cellIs" dxfId="0" priority="2970" operator="equal">
      <formula>"未完成"</formula>
    </cfRule>
  </conditionalFormatting>
  <conditionalFormatting sqref="AK290:AK291">
    <cfRule type="cellIs" dxfId="1" priority="980" operator="equal">
      <formula>"未完成"</formula>
    </cfRule>
    <cfRule type="cellIs" dxfId="0" priority="981" operator="equal">
      <formula>"未完成"</formula>
    </cfRule>
  </conditionalFormatting>
  <conditionalFormatting sqref="AK294:AK295">
    <cfRule type="cellIs" dxfId="1" priority="932" operator="equal">
      <formula>"未完成"</formula>
    </cfRule>
    <cfRule type="cellIs" dxfId="0" priority="933" operator="equal">
      <formula>"未完成"</formula>
    </cfRule>
  </conditionalFormatting>
  <conditionalFormatting sqref="AL22:AL28">
    <cfRule type="cellIs" dxfId="1" priority="6994" operator="equal">
      <formula>"未完成"</formula>
    </cfRule>
    <cfRule type="cellIs" dxfId="0" priority="7005" operator="equal">
      <formula>"未完成"</formula>
    </cfRule>
  </conditionalFormatting>
  <conditionalFormatting sqref="AL148:AL157">
    <cfRule type="cellIs" dxfId="1" priority="2620" operator="equal">
      <formula>"未完成"</formula>
    </cfRule>
    <cfRule type="cellIs" dxfId="0" priority="2621" operator="equal">
      <formula>"未完成"</formula>
    </cfRule>
  </conditionalFormatting>
  <conditionalFormatting sqref="AL219:AL222">
    <cfRule type="cellIs" dxfId="1" priority="2996" operator="equal">
      <formula>"未完成"</formula>
    </cfRule>
    <cfRule type="cellIs" dxfId="0" priority="3007" operator="equal">
      <formula>"未完成"</formula>
    </cfRule>
  </conditionalFormatting>
  <conditionalFormatting sqref="AL232:AL233">
    <cfRule type="cellIs" dxfId="1" priority="1984" operator="equal">
      <formula>"未完成"</formula>
    </cfRule>
    <cfRule type="cellIs" dxfId="0" priority="1985" operator="equal">
      <formula>"未完成"</formula>
    </cfRule>
  </conditionalFormatting>
  <conditionalFormatting sqref="AL249:AL254">
    <cfRule type="cellIs" dxfId="1" priority="1872" operator="equal">
      <formula>"未完成"</formula>
    </cfRule>
    <cfRule type="cellIs" dxfId="0" priority="1874" operator="equal">
      <formula>"未完成"</formula>
    </cfRule>
  </conditionalFormatting>
  <conditionalFormatting sqref="AL290:AL291">
    <cfRule type="cellIs" dxfId="1" priority="959" operator="equal">
      <formula>"未完成"</formula>
    </cfRule>
    <cfRule type="cellIs" dxfId="0" priority="960" operator="equal">
      <formula>"未完成"</formula>
    </cfRule>
  </conditionalFormatting>
  <conditionalFormatting sqref="AL295:AL296">
    <cfRule type="cellIs" dxfId="1" priority="893" operator="equal">
      <formula>"未完成"</formula>
    </cfRule>
    <cfRule type="cellIs" dxfId="0" priority="894" operator="equal">
      <formula>"未完成"</formula>
    </cfRule>
  </conditionalFormatting>
  <conditionalFormatting sqref="AL349:AL359">
    <cfRule type="cellIs" dxfId="1" priority="3" operator="equal">
      <formula>"未完成"</formula>
    </cfRule>
    <cfRule type="cellIs" dxfId="0" priority="4" operator="equal">
      <formula>"未完成"</formula>
    </cfRule>
  </conditionalFormatting>
  <conditionalFormatting sqref="AL376:AL377">
    <cfRule type="cellIs" dxfId="1" priority="15081" operator="equal">
      <formula>"未完成"</formula>
    </cfRule>
    <cfRule type="cellIs" dxfId="0" priority="15082" operator="equal">
      <formula>"未完成"</formula>
    </cfRule>
  </conditionalFormatting>
  <conditionalFormatting sqref="AM8:AM16">
    <cfRule type="cellIs" dxfId="1" priority="7171" operator="equal">
      <formula>"未完成"</formula>
    </cfRule>
    <cfRule type="cellIs" dxfId="0" priority="7181" operator="equal">
      <formula>"未完成"</formula>
    </cfRule>
  </conditionalFormatting>
  <conditionalFormatting sqref="AM22:AM28">
    <cfRule type="cellIs" dxfId="1" priority="6950" operator="equal">
      <formula>"未完成"</formula>
    </cfRule>
    <cfRule type="cellIs" dxfId="0" priority="6961" operator="equal">
      <formula>"未完成"</formula>
    </cfRule>
  </conditionalFormatting>
  <conditionalFormatting sqref="AM45:AM46">
    <cfRule type="cellIs" dxfId="1" priority="8746" operator="equal">
      <formula>"未完成"</formula>
    </cfRule>
    <cfRule type="cellIs" dxfId="0" priority="8747" operator="equal">
      <formula>"未完成"</formula>
    </cfRule>
  </conditionalFormatting>
  <conditionalFormatting sqref="AP232:AP233">
    <cfRule type="cellIs" dxfId="1" priority="1975" operator="equal">
      <formula>"未完成"</formula>
    </cfRule>
    <cfRule type="cellIs" dxfId="0" priority="1976" operator="equal">
      <formula>"未完成"</formula>
    </cfRule>
  </conditionalFormatting>
  <conditionalFormatting sqref="AP349:AP359">
    <cfRule type="cellIs" dxfId="1" priority="20" operator="equal">
      <formula>"未完成"</formula>
    </cfRule>
    <cfRule type="cellIs" dxfId="0" priority="21" operator="equal">
      <formula>"未完成"</formula>
    </cfRule>
  </conditionalFormatting>
  <conditionalFormatting sqref="AQ232:AQ233">
    <cfRule type="cellIs" dxfId="1" priority="1980" operator="equal">
      <formula>"未完成"</formula>
    </cfRule>
    <cfRule type="cellIs" dxfId="0" priority="1981" operator="equal">
      <formula>"未完成"</formula>
    </cfRule>
  </conditionalFormatting>
  <conditionalFormatting sqref="AQ349:AQ359">
    <cfRule type="cellIs" dxfId="1" priority="7" operator="equal">
      <formula>"未完成"</formula>
    </cfRule>
    <cfRule type="cellIs" dxfId="0" priority="8" operator="equal">
      <formula>"未完成"</formula>
    </cfRule>
  </conditionalFormatting>
  <conditionalFormatting sqref="AS148:AS157">
    <cfRule type="cellIs" dxfId="1" priority="2618" operator="equal">
      <formula>"未完成"</formula>
    </cfRule>
    <cfRule type="cellIs" dxfId="0" priority="2619" operator="equal">
      <formula>"未完成"</formula>
    </cfRule>
  </conditionalFormatting>
  <conditionalFormatting sqref="AS219:AS222">
    <cfRule type="cellIs" dxfId="1" priority="2908" operator="equal">
      <formula>"未完成"</formula>
    </cfRule>
    <cfRule type="cellIs" dxfId="0" priority="2919" operator="equal">
      <formula>"未完成"</formula>
    </cfRule>
  </conditionalFormatting>
  <conditionalFormatting sqref="AS232:AS233">
    <cfRule type="cellIs" dxfId="1" priority="1949" operator="equal">
      <formula>"未完成"</formula>
    </cfRule>
    <cfRule type="cellIs" dxfId="0" priority="1950" operator="equal">
      <formula>"未完成"</formula>
    </cfRule>
  </conditionalFormatting>
  <conditionalFormatting sqref="AS310:AS313">
    <cfRule type="cellIs" dxfId="1" priority="806" operator="equal">
      <formula>"未完成"</formula>
    </cfRule>
    <cfRule type="cellIs" dxfId="0" priority="818" operator="equal">
      <formula>"未完成"</formula>
    </cfRule>
  </conditionalFormatting>
  <conditionalFormatting sqref="T1:U271 T292:U293 T308:U308 T310:U313 T315:U323 T332:U332 U360:U365 T366:U367 T368:T372 T373:U446 T457:U1048576">
    <cfRule type="containsText" dxfId="0" priority="1294" operator="between" text="欠">
      <formula>NOT(ISERROR(SEARCH("欠",T1)))</formula>
    </cfRule>
  </conditionalFormatting>
  <conditionalFormatting sqref="AE1 AE388:AF391 AF396:AF415 AE416:AE446 AE457:AE1048576">
    <cfRule type="cellIs" dxfId="0" priority="15113" operator="equal">
      <formula>"未完成"</formula>
    </cfRule>
  </conditionalFormatting>
  <conditionalFormatting sqref="AK2 AS2">
    <cfRule type="cellIs" dxfId="1" priority="7430" operator="equal">
      <formula>"未完成"</formula>
    </cfRule>
    <cfRule type="cellIs" dxfId="0" priority="7431" operator="equal">
      <formula>"未完成"</formula>
    </cfRule>
  </conditionalFormatting>
  <conditionalFormatting sqref="AK3 AS3">
    <cfRule type="cellIs" dxfId="1" priority="7388" operator="equal">
      <formula>"未完成"</formula>
    </cfRule>
    <cfRule type="cellIs" dxfId="0" priority="7390" operator="equal">
      <formula>"未完成"</formula>
    </cfRule>
  </conditionalFormatting>
  <conditionalFormatting sqref="AK4 AS4">
    <cfRule type="cellIs" dxfId="1" priority="7387" operator="equal">
      <formula>"未完成"</formula>
    </cfRule>
    <cfRule type="cellIs" dxfId="0" priority="7389" operator="equal">
      <formula>"未完成"</formula>
    </cfRule>
  </conditionalFormatting>
  <conditionalFormatting sqref="AK5 AS5">
    <cfRule type="cellIs" dxfId="1" priority="7322" operator="equal">
      <formula>"未完成"</formula>
    </cfRule>
    <cfRule type="cellIs" dxfId="0" priority="7323" operator="equal">
      <formula>"未完成"</formula>
    </cfRule>
  </conditionalFormatting>
  <conditionalFormatting sqref="AI6:AI7 AQ6">
    <cfRule type="cellIs" dxfId="1" priority="7253" operator="equal">
      <formula>"未完成"</formula>
    </cfRule>
    <cfRule type="cellIs" dxfId="0" priority="7263" operator="equal">
      <formula>"未完成"</formula>
    </cfRule>
  </conditionalFormatting>
  <conditionalFormatting sqref="AI8:AI15 AQ8">
    <cfRule type="cellIs" dxfId="1" priority="7251" operator="equal">
      <formula>"未完成"</formula>
    </cfRule>
    <cfRule type="cellIs" dxfId="0" priority="7261" operator="equal">
      <formula>"未完成"</formula>
    </cfRule>
  </conditionalFormatting>
  <conditionalFormatting sqref="AK17 AS17">
    <cfRule type="cellIs" dxfId="1" priority="7138" operator="equal">
      <formula>"未完成"</formula>
    </cfRule>
    <cfRule type="cellIs" dxfId="0" priority="7139" operator="equal">
      <formula>"未完成"</formula>
    </cfRule>
  </conditionalFormatting>
  <conditionalFormatting sqref="AK18 AS18">
    <cfRule type="cellIs" dxfId="1" priority="7042" operator="equal">
      <formula>"未完成"</formula>
    </cfRule>
    <cfRule type="cellIs" dxfId="0" priority="7053" operator="equal">
      <formula>"未完成"</formula>
    </cfRule>
  </conditionalFormatting>
  <conditionalFormatting sqref="AK19 AS19">
    <cfRule type="cellIs" dxfId="1" priority="7041" operator="equal">
      <formula>"未完成"</formula>
    </cfRule>
    <cfRule type="cellIs" dxfId="0" priority="7052" operator="equal">
      <formula>"未完成"</formula>
    </cfRule>
  </conditionalFormatting>
  <conditionalFormatting sqref="AK20 AS20">
    <cfRule type="cellIs" dxfId="1" priority="7040" operator="equal">
      <formula>"未完成"</formula>
    </cfRule>
    <cfRule type="cellIs" dxfId="0" priority="7051" operator="equal">
      <formula>"未完成"</formula>
    </cfRule>
  </conditionalFormatting>
  <conditionalFormatting sqref="AK21 AS21">
    <cfRule type="cellIs" dxfId="1" priority="7039" operator="equal">
      <formula>"未完成"</formula>
    </cfRule>
    <cfRule type="cellIs" dxfId="0" priority="7050" operator="equal">
      <formula>"未完成"</formula>
    </cfRule>
  </conditionalFormatting>
  <conditionalFormatting sqref="AI22:AI28 AQ22">
    <cfRule type="cellIs" dxfId="1" priority="7038" operator="equal">
      <formula>"未完成"</formula>
    </cfRule>
    <cfRule type="cellIs" dxfId="0" priority="7049" operator="equal">
      <formula>"未完成"</formula>
    </cfRule>
  </conditionalFormatting>
  <conditionalFormatting sqref="AK29 AS29">
    <cfRule type="cellIs" dxfId="1" priority="6931" operator="equal">
      <formula>"未完成"</formula>
    </cfRule>
    <cfRule type="cellIs" dxfId="0" priority="6933" operator="equal">
      <formula>"未完成"</formula>
    </cfRule>
  </conditionalFormatting>
  <conditionalFormatting sqref="AK30 AS30">
    <cfRule type="cellIs" dxfId="1" priority="6930" operator="equal">
      <formula>"未完成"</formula>
    </cfRule>
    <cfRule type="cellIs" dxfId="0" priority="6932" operator="equal">
      <formula>"未完成"</formula>
    </cfRule>
  </conditionalFormatting>
  <conditionalFormatting sqref="AK31 AS31">
    <cfRule type="cellIs" dxfId="1" priority="6883" operator="equal">
      <formula>"未完成"</formula>
    </cfRule>
    <cfRule type="cellIs" dxfId="0" priority="6888" operator="equal">
      <formula>"未完成"</formula>
    </cfRule>
  </conditionalFormatting>
  <conditionalFormatting sqref="AK32:AK43 AK235:AK236 AK238:AK245 AK299:AK307 AK315:AK323">
    <cfRule type="cellIs" dxfId="1" priority="6594" operator="equal">
      <formula>"未完成"</formula>
    </cfRule>
    <cfRule type="cellIs" dxfId="0" priority="6595" operator="equal">
      <formula>"未完成"</formula>
    </cfRule>
  </conditionalFormatting>
  <conditionalFormatting sqref="T36:U46 T60:U61">
    <cfRule type="cellIs" dxfId="0" priority="7419" operator="equal">
      <formula>"欠"</formula>
    </cfRule>
  </conditionalFormatting>
  <conditionalFormatting sqref="AM42 AM235:AM236 AM238:AM245 AM299:AM307 AM315:AM323 AM338:AM344 AM358:AM366">
    <cfRule type="cellIs" dxfId="1" priority="8134" operator="equal">
      <formula>"未完成"</formula>
    </cfRule>
    <cfRule type="cellIs" dxfId="0" priority="8141" operator="equal">
      <formula>"未完成"</formula>
    </cfRule>
  </conditionalFormatting>
  <conditionalFormatting sqref="AS42 AS235:AS236 AS238:AS244 AS299:AS307 AS315:AS323 AS338:AS344 AS358:AS366">
    <cfRule type="cellIs" dxfId="1" priority="8148" operator="equal">
      <formula>"未完成"</formula>
    </cfRule>
    <cfRule type="cellIs" dxfId="0" priority="8155" operator="equal">
      <formula>"未完成"</formula>
    </cfRule>
  </conditionalFormatting>
  <conditionalFormatting sqref="AK44 AS44">
    <cfRule type="cellIs" dxfId="1" priority="7466" operator="equal">
      <formula>"未完成"</formula>
    </cfRule>
    <cfRule type="cellIs" dxfId="0" priority="7467" operator="equal">
      <formula>"未完成"</formula>
    </cfRule>
  </conditionalFormatting>
  <conditionalFormatting sqref="AE45 AE60:AE61">
    <cfRule type="cellIs" dxfId="0" priority="14813" operator="equal">
      <formula>"未完成"</formula>
    </cfRule>
  </conditionalFormatting>
  <conditionalFormatting sqref="AI45:AJ45 AI60:AJ61">
    <cfRule type="cellIs" dxfId="1" priority="14814" operator="equal">
      <formula>"未完成"</formula>
    </cfRule>
    <cfRule type="cellIs" dxfId="0" priority="14815" operator="equal">
      <formula>"未完成"</formula>
    </cfRule>
  </conditionalFormatting>
  <conditionalFormatting sqref="AK45:AK46 AK60">
    <cfRule type="cellIs" dxfId="1" priority="14916" operator="equal">
      <formula>"未完成"</formula>
    </cfRule>
    <cfRule type="cellIs" dxfId="0" priority="14917" operator="equal">
      <formula>"未完成"</formula>
    </cfRule>
  </conditionalFormatting>
  <conditionalFormatting sqref="AL45 AL61">
    <cfRule type="cellIs" dxfId="1" priority="9918" operator="equal">
      <formula>"未完成"</formula>
    </cfRule>
    <cfRule type="cellIs" dxfId="0" priority="9919" operator="equal">
      <formula>"未完成"</formula>
    </cfRule>
  </conditionalFormatting>
  <conditionalFormatting sqref="AQ45 AQ60:AQ61">
    <cfRule type="cellIs" dxfId="1" priority="13136" operator="equal">
      <formula>"未完成"</formula>
    </cfRule>
    <cfRule type="cellIs" dxfId="0" priority="13138" operator="equal">
      <formula>"未完成"</formula>
    </cfRule>
  </conditionalFormatting>
  <conditionalFormatting sqref="AS45:AS46 AS60">
    <cfRule type="cellIs" dxfId="1" priority="14713" operator="equal">
      <formula>"未完成"</formula>
    </cfRule>
    <cfRule type="cellIs" dxfId="0" priority="14714" operator="equal">
      <formula>"未完成"</formula>
    </cfRule>
  </conditionalFormatting>
  <conditionalFormatting sqref="AT45 AT60:AT61">
    <cfRule type="cellIs" dxfId="1" priority="9912" operator="equal">
      <formula>"未完成"</formula>
    </cfRule>
    <cfRule type="cellIs" dxfId="0" priority="9913" operator="equal">
      <formula>"未完成"</formula>
    </cfRule>
  </conditionalFormatting>
  <conditionalFormatting sqref="AU45:AV45 AU60:AV61">
    <cfRule type="cellIs" dxfId="1" priority="14795" operator="equal">
      <formula>"未完成"</formula>
    </cfRule>
    <cfRule type="cellIs" dxfId="0" priority="14796" operator="equal">
      <formula>"未完成"</formula>
    </cfRule>
  </conditionalFormatting>
  <conditionalFormatting sqref="AM73 AM255">
    <cfRule type="cellIs" dxfId="1" priority="6141" operator="equal">
      <formula>"未完成"</formula>
    </cfRule>
    <cfRule type="cellIs" dxfId="0" priority="6144" operator="equal">
      <formula>"未完成"</formula>
    </cfRule>
  </conditionalFormatting>
  <conditionalFormatting sqref="AS73 AS255">
    <cfRule type="cellIs" dxfId="1" priority="6147" operator="equal">
      <formula>"未完成"</formula>
    </cfRule>
    <cfRule type="cellIs" dxfId="0" priority="6150" operator="equal">
      <formula>"未完成"</formula>
    </cfRule>
  </conditionalFormatting>
  <conditionalFormatting sqref="T96:U97 T113:U115 T120:U123">
    <cfRule type="cellIs" dxfId="0" priority="5613" operator="equal">
      <formula>"欠"</formula>
    </cfRule>
  </conditionalFormatting>
  <conditionalFormatting sqref="R111 R369:R372">
    <cfRule type="cellIs" dxfId="0" priority="5200" operator="equal">
      <formula>"欠"</formula>
    </cfRule>
  </conditionalFormatting>
  <conditionalFormatting sqref="AK111 AK369:AK371">
    <cfRule type="cellIs" dxfId="1" priority="5207" operator="equal">
      <formula>"未完成"</formula>
    </cfRule>
    <cfRule type="cellIs" dxfId="0" priority="5214" operator="equal">
      <formula>"未完成"</formula>
    </cfRule>
  </conditionalFormatting>
  <conditionalFormatting sqref="AP111 AP369:AP372">
    <cfRule type="cellIs" dxfId="1" priority="5158" operator="equal">
      <formula>"未完成"</formula>
    </cfRule>
    <cfRule type="cellIs" dxfId="0" priority="5165" operator="equal">
      <formula>"未完成"</formula>
    </cfRule>
  </conditionalFormatting>
  <conditionalFormatting sqref="AS111 AS369:AS371">
    <cfRule type="cellIs" dxfId="1" priority="5186" operator="equal">
      <formula>"未完成"</formula>
    </cfRule>
    <cfRule type="cellIs" dxfId="0" priority="5193" operator="equal">
      <formula>"未完成"</formula>
    </cfRule>
  </conditionalFormatting>
  <conditionalFormatting sqref="R123 R216:R222">
    <cfRule type="cellIs" dxfId="0" priority="4848" operator="equal">
      <formula>"欠"</formula>
    </cfRule>
  </conditionalFormatting>
  <conditionalFormatting sqref="AM123 AM216:AM222">
    <cfRule type="cellIs" dxfId="1" priority="4824" operator="equal">
      <formula>"未完成"</formula>
    </cfRule>
    <cfRule type="cellIs" dxfId="0" priority="4830" operator="equal">
      <formula>"未完成"</formula>
    </cfRule>
  </conditionalFormatting>
  <conditionalFormatting sqref="AU123:AV123 AU216:AU222">
    <cfRule type="cellIs" dxfId="1" priority="4902" operator="equal">
      <formula>"未完成"</formula>
    </cfRule>
    <cfRule type="cellIs" dxfId="0" priority="4908" operator="equal">
      <formula>"未完成"</formula>
    </cfRule>
  </conditionalFormatting>
  <conditionalFormatting sqref="AS158:AS169 AS179">
    <cfRule type="cellIs" dxfId="1" priority="3423" operator="equal">
      <formula>"未完成"</formula>
    </cfRule>
    <cfRule type="cellIs" dxfId="0" priority="3453" operator="equal">
      <formula>"未完成"</formula>
    </cfRule>
  </conditionalFormatting>
  <conditionalFormatting sqref="AK192 AK232:AK233 AK237 AK286">
    <cfRule type="cellIs" dxfId="1" priority="2369" operator="equal">
      <formula>"未完成"</formula>
    </cfRule>
    <cfRule type="cellIs" dxfId="0" priority="2386" operator="equal">
      <formula>"未完成"</formula>
    </cfRule>
  </conditionalFormatting>
  <conditionalFormatting sqref="AM192 AM232:AM233">
    <cfRule type="cellIs" dxfId="1" priority="2284" operator="equal">
      <formula>"未完成"</formula>
    </cfRule>
    <cfRule type="cellIs" dxfId="0" priority="2301" operator="equal">
      <formula>"未完成"</formula>
    </cfRule>
  </conditionalFormatting>
  <conditionalFormatting sqref="R195 R347">
    <cfRule type="cellIs" dxfId="0" priority="2349" operator="equal">
      <formula>"欠"</formula>
    </cfRule>
  </conditionalFormatting>
  <conditionalFormatting sqref="AK195 AK347">
    <cfRule type="cellIs" dxfId="1" priority="2366" operator="equal">
      <formula>"未完成"</formula>
    </cfRule>
    <cfRule type="cellIs" dxfId="0" priority="2383" operator="equal">
      <formula>"未完成"</formula>
    </cfRule>
  </conditionalFormatting>
  <conditionalFormatting sqref="AP195 AP347">
    <cfRule type="cellIs" dxfId="1" priority="2247" operator="equal">
      <formula>"未完成"</formula>
    </cfRule>
    <cfRule type="cellIs" dxfId="0" priority="2264" operator="equal">
      <formula>"未完成"</formula>
    </cfRule>
  </conditionalFormatting>
  <conditionalFormatting sqref="T216:U222">
    <cfRule type="cellIs" dxfId="0" priority="2906" operator="equal">
      <formula>"欠"</formula>
    </cfRule>
  </conditionalFormatting>
  <conditionalFormatting sqref="AT216 AV216">
    <cfRule type="cellIs" dxfId="1" priority="3027" operator="equal">
      <formula>"未完成"</formula>
    </cfRule>
    <cfRule type="cellIs" dxfId="0" priority="3038" operator="equal">
      <formula>"未完成"</formula>
    </cfRule>
  </conditionalFormatting>
  <conditionalFormatting sqref="AT217 AV217">
    <cfRule type="cellIs" dxfId="1" priority="3026" operator="equal">
      <formula>"未完成"</formula>
    </cfRule>
    <cfRule type="cellIs" dxfId="0" priority="3037" operator="equal">
      <formula>"未完成"</formula>
    </cfRule>
  </conditionalFormatting>
  <conditionalFormatting sqref="AT218 AV218">
    <cfRule type="cellIs" dxfId="1" priority="3025" operator="equal">
      <formula>"未完成"</formula>
    </cfRule>
    <cfRule type="cellIs" dxfId="0" priority="3036" operator="equal">
      <formula>"未完成"</formula>
    </cfRule>
  </conditionalFormatting>
  <conditionalFormatting sqref="AI219:AJ222">
    <cfRule type="cellIs" dxfId="1" priority="3040" operator="equal">
      <formula>"未完成"</formula>
    </cfRule>
    <cfRule type="cellIs" dxfId="0" priority="3051" operator="equal">
      <formula>"未完成"</formula>
    </cfRule>
  </conditionalFormatting>
  <conditionalFormatting sqref="AP219:AQ222">
    <cfRule type="cellIs" dxfId="1" priority="2930" operator="equal">
      <formula>"未完成"</formula>
    </cfRule>
    <cfRule type="cellIs" dxfId="0" priority="2941" operator="equal">
      <formula>"未完成"</formula>
    </cfRule>
  </conditionalFormatting>
  <conditionalFormatting sqref="AT219:AT222 AV219:AV222">
    <cfRule type="cellIs" dxfId="1" priority="3018" operator="equal">
      <formula>"未完成"</formula>
    </cfRule>
    <cfRule type="cellIs" dxfId="0" priority="3029" operator="equal">
      <formula>"未完成"</formula>
    </cfRule>
  </conditionalFormatting>
  <conditionalFormatting sqref="AK223 AK228 AK308">
    <cfRule type="cellIs" dxfId="1" priority="3129" operator="equal">
      <formula>"未完成"</formula>
    </cfRule>
    <cfRule type="cellIs" dxfId="0" priority="3130" operator="equal">
      <formula>"未完成"</formula>
    </cfRule>
  </conditionalFormatting>
  <conditionalFormatting sqref="AM223 AM228">
    <cfRule type="cellIs" dxfId="1" priority="3131" operator="equal">
      <formula>"未完成"</formula>
    </cfRule>
    <cfRule type="cellIs" dxfId="0" priority="3132" operator="equal">
      <formula>"未完成"</formula>
    </cfRule>
  </conditionalFormatting>
  <conditionalFormatting sqref="AS223 AS228">
    <cfRule type="cellIs" dxfId="1" priority="3125" operator="equal">
      <formula>"未完成"</formula>
    </cfRule>
    <cfRule type="cellIs" dxfId="0" priority="3126" operator="equal">
      <formula>"未完成"</formula>
    </cfRule>
  </conditionalFormatting>
  <conditionalFormatting sqref="AE224 AE227:AE230 AE234 AE237">
    <cfRule type="cellIs" dxfId="0" priority="3061" operator="equal">
      <formula>"未完成"</formula>
    </cfRule>
  </conditionalFormatting>
  <conditionalFormatting sqref="AJ224 AJ227 AI228:AJ230 AI234:AJ234 AI237:AJ237">
    <cfRule type="cellIs" dxfId="1" priority="3039" operator="equal">
      <formula>"未完成"</formula>
    </cfRule>
    <cfRule type="cellIs" dxfId="0" priority="3050" operator="equal">
      <formula>"未完成"</formula>
    </cfRule>
  </conditionalFormatting>
  <conditionalFormatting sqref="AK224 AK229:AK230 AK234 AK247:AK248 AK250:AK254 AK289 AK292:AK293 AK296:AK297 AK309 AK314 AK324:AK329 AK332 AK335:AK337 AK345:AK346 AK348:AK360 AK372">
    <cfRule type="cellIs" dxfId="1" priority="2951" operator="equal">
      <formula>"未完成"</formula>
    </cfRule>
    <cfRule type="cellIs" dxfId="0" priority="2962" operator="equal">
      <formula>"未完成"</formula>
    </cfRule>
  </conditionalFormatting>
  <conditionalFormatting sqref="AL224 AL227:AL230 AL234 AL237 AL346">
    <cfRule type="cellIs" dxfId="1" priority="2995" operator="equal">
      <formula>"未完成"</formula>
    </cfRule>
    <cfRule type="cellIs" dxfId="0" priority="3006" operator="equal">
      <formula>"未完成"</formula>
    </cfRule>
  </conditionalFormatting>
  <conditionalFormatting sqref="AM224:AM227 AM229:AM230 AM234 AM237 AM247:AM254 AM292:AM293 AM308 AM332 AM335 AM346">
    <cfRule type="cellIs" dxfId="1" priority="2973" operator="equal">
      <formula>"未完成"</formula>
    </cfRule>
    <cfRule type="cellIs" dxfId="0" priority="2984" operator="equal">
      <formula>"未完成"</formula>
    </cfRule>
  </conditionalFormatting>
  <conditionalFormatting sqref="AP224:AQ224 AP228:AQ229 AQ230 AP234:AQ234 AP237:AQ237">
    <cfRule type="cellIs" dxfId="1" priority="2929" operator="equal">
      <formula>"未完成"</formula>
    </cfRule>
    <cfRule type="cellIs" dxfId="0" priority="2940" operator="equal">
      <formula>"未完成"</formula>
    </cfRule>
  </conditionalFormatting>
  <conditionalFormatting sqref="AS224:AS225 AS229:AS230 AS234 AS245 AS247:AS254 AS257:AS271 AS274:AS285 AS287:AS288 AS290:AS295 AS297:AS298 AS308 AS324:AS327 AS330:AS337 AS346:AS356 AS368">
    <cfRule type="cellIs" dxfId="1" priority="2907" operator="equal">
      <formula>"未完成"</formula>
    </cfRule>
    <cfRule type="cellIs" dxfId="0" priority="2918" operator="equal">
      <formula>"未完成"</formula>
    </cfRule>
  </conditionalFormatting>
  <conditionalFormatting sqref="AT224:AV224 AT228:AV230 AT234:AV234 AT237:AV237">
    <cfRule type="cellIs" dxfId="1" priority="3017" operator="equal">
      <formula>"未完成"</formula>
    </cfRule>
    <cfRule type="cellIs" dxfId="0" priority="3028" operator="equal">
      <formula>"未完成"</formula>
    </cfRule>
  </conditionalFormatting>
  <conditionalFormatting sqref="AI225:AJ225 AI226:AI227">
    <cfRule type="cellIs" dxfId="1" priority="2636" operator="equal">
      <formula>"未完成"</formula>
    </cfRule>
    <cfRule type="cellIs" dxfId="0" priority="2637" operator="equal">
      <formula>"未完成"</formula>
    </cfRule>
  </conditionalFormatting>
  <conditionalFormatting sqref="AK225 AK227 AK231 AK246 AK249 AK256">
    <cfRule type="cellIs" dxfId="1" priority="5550" operator="equal">
      <formula>"未完成"</formula>
    </cfRule>
    <cfRule type="cellIs" dxfId="0" priority="5551" operator="equal">
      <formula>"未完成"</formula>
    </cfRule>
  </conditionalFormatting>
  <conditionalFormatting sqref="R227:U229 R230 T230:U230 R234:U234 S235:S236 R237:U237 S238:S248 R256:S256">
    <cfRule type="cellIs" dxfId="0" priority="2575" operator="equal">
      <formula>"欠"</formula>
    </cfRule>
  </conditionalFormatting>
  <conditionalFormatting sqref="T231:U233">
    <cfRule type="cellIs" dxfId="0" priority="2015" operator="equal">
      <formula>"欠"</formula>
    </cfRule>
  </conditionalFormatting>
  <conditionalFormatting sqref="AP231 AP235:AP236 AP238:AP244 AP246:AP247 AP256">
    <cfRule type="cellIs" dxfId="1" priority="2013" operator="equal">
      <formula>"未完成"</formula>
    </cfRule>
    <cfRule type="cellIs" dxfId="0" priority="2014" operator="equal">
      <formula>"未完成"</formula>
    </cfRule>
  </conditionalFormatting>
  <conditionalFormatting sqref="AS231 AS246 AS256">
    <cfRule type="cellIs" dxfId="1" priority="2011" operator="equal">
      <formula>"未完成"</formula>
    </cfRule>
    <cfRule type="cellIs" dxfId="0" priority="2012" operator="equal">
      <formula>"未完成"</formula>
    </cfRule>
  </conditionalFormatting>
  <conditionalFormatting sqref="AI232:AJ233">
    <cfRule type="cellIs" dxfId="1" priority="1988" operator="equal">
      <formula>"未完成"</formula>
    </cfRule>
    <cfRule type="cellIs" dxfId="0" priority="1989" operator="equal">
      <formula>"未完成"</formula>
    </cfRule>
  </conditionalFormatting>
  <conditionalFormatting sqref="AT232:AV233">
    <cfRule type="cellIs" dxfId="1" priority="1986" operator="equal">
      <formula>"未完成"</formula>
    </cfRule>
    <cfRule type="cellIs" dxfId="0" priority="1987" operator="equal">
      <formula>"未完成"</formula>
    </cfRule>
  </conditionalFormatting>
  <conditionalFormatting sqref="R235:R236 R238:R244 R246:R248">
    <cfRule type="cellIs" dxfId="0" priority="1969" operator="equal">
      <formula>"欠"</formula>
    </cfRule>
  </conditionalFormatting>
  <conditionalFormatting sqref="T235:U236 T238:U244">
    <cfRule type="cellIs" dxfId="0" priority="1946" operator="equal">
      <formula>"欠"</formula>
    </cfRule>
  </conditionalFormatting>
  <conditionalFormatting sqref="AE235:AE236 AE238:AE244 AE246:AE247">
    <cfRule type="cellIs" dxfId="0" priority="1964" operator="equal">
      <formula>"未完成"</formula>
    </cfRule>
  </conditionalFormatting>
  <conditionalFormatting sqref="AI235:AJ236 AI238:AJ244 AI246:AJ247">
    <cfRule type="cellIs" dxfId="1" priority="1962" operator="equal">
      <formula>"未完成"</formula>
    </cfRule>
    <cfRule type="cellIs" dxfId="0" priority="1963" operator="equal">
      <formula>"未完成"</formula>
    </cfRule>
  </conditionalFormatting>
  <conditionalFormatting sqref="AL235:AL236 AL238:AL244 AL246:AL247">
    <cfRule type="cellIs" dxfId="1" priority="1958" operator="equal">
      <formula>"未完成"</formula>
    </cfRule>
    <cfRule type="cellIs" dxfId="0" priority="1959" operator="equal">
      <formula>"未完成"</formula>
    </cfRule>
  </conditionalFormatting>
  <conditionalFormatting sqref="AQ235:AQ236 AQ238:AQ244 AQ246:AQ247">
    <cfRule type="cellIs" dxfId="1" priority="1954" operator="equal">
      <formula>"未完成"</formula>
    </cfRule>
    <cfRule type="cellIs" dxfId="0" priority="1955" operator="equal">
      <formula>"未完成"</formula>
    </cfRule>
  </conditionalFormatting>
  <conditionalFormatting sqref="AT235:AV236 AT238:AV244 AT246:AV247">
    <cfRule type="cellIs" dxfId="1" priority="1960" operator="equal">
      <formula>"未完成"</formula>
    </cfRule>
    <cfRule type="cellIs" dxfId="0" priority="1961" operator="equal">
      <formula>"未完成"</formula>
    </cfRule>
  </conditionalFormatting>
  <conditionalFormatting sqref="T246:U248">
    <cfRule type="cellIs" dxfId="0" priority="1953" operator="equal">
      <formula>"欠"</formula>
    </cfRule>
  </conditionalFormatting>
  <conditionalFormatting sqref="T249:U255 T308:U308">
    <cfRule type="cellIs" dxfId="0" priority="1866" operator="equal">
      <formula>"欠"</formula>
    </cfRule>
  </conditionalFormatting>
  <conditionalFormatting sqref="AI249:AJ254">
    <cfRule type="cellIs" dxfId="1" priority="1880" operator="equal">
      <formula>"未完成"</formula>
    </cfRule>
    <cfRule type="cellIs" dxfId="0" priority="1882" operator="equal">
      <formula>"未完成"</formula>
    </cfRule>
  </conditionalFormatting>
  <conditionalFormatting sqref="AP249:AP254 AP308">
    <cfRule type="cellIs" dxfId="1" priority="1888" operator="equal">
      <formula>"未完成"</formula>
    </cfRule>
    <cfRule type="cellIs" dxfId="0" priority="1890" operator="equal">
      <formula>"未完成"</formula>
    </cfRule>
  </conditionalFormatting>
  <conditionalFormatting sqref="AQ249:AQ254 AQ308">
    <cfRule type="cellIs" dxfId="1" priority="1868" operator="equal">
      <formula>"未完成"</formula>
    </cfRule>
    <cfRule type="cellIs" dxfId="0" priority="1870" operator="equal">
      <formula>"未完成"</formula>
    </cfRule>
  </conditionalFormatting>
  <conditionalFormatting sqref="AT249:AV254 AT308:AV308">
    <cfRule type="cellIs" dxfId="1" priority="1876" operator="equal">
      <formula>"未完成"</formula>
    </cfRule>
    <cfRule type="cellIs" dxfId="0" priority="1878" operator="equal">
      <formula>"未完成"</formula>
    </cfRule>
  </conditionalFormatting>
  <conditionalFormatting sqref="AM263 AM287:AM288 AM290:AM291 AM294:AM295 AM297:AM298 AM324:AM327 AM330:AM331 AM333:AM334 AM336:AM337 AM350:AM356">
    <cfRule type="cellIs" dxfId="1" priority="1378" operator="equal">
      <formula>"未完成"</formula>
    </cfRule>
    <cfRule type="cellIs" dxfId="0" priority="1393" operator="equal">
      <formula>"未完成"</formula>
    </cfRule>
  </conditionalFormatting>
  <conditionalFormatting sqref="AP263 AP290:AP291 AP294:AP295 AP297:AP298">
    <cfRule type="cellIs" dxfId="1" priority="1543" operator="equal">
      <formula>"未完成"</formula>
    </cfRule>
    <cfRule type="cellIs" dxfId="0" priority="1558" operator="equal">
      <formula>"未完成"</formula>
    </cfRule>
  </conditionalFormatting>
  <conditionalFormatting sqref="AQ263 AQ290:AQ291 AQ294:AQ295 AQ297:AQ298">
    <cfRule type="cellIs" dxfId="1" priority="1348" operator="equal">
      <formula>"未完成"</formula>
    </cfRule>
    <cfRule type="cellIs" dxfId="0" priority="1363" operator="equal">
      <formula>"未完成"</formula>
    </cfRule>
  </conditionalFormatting>
  <conditionalFormatting sqref="AT263:AV263 AT290:AV291 AT294:AV295 AT297:AV298">
    <cfRule type="cellIs" dxfId="1" priority="1438" operator="equal">
      <formula>"未完成"</formula>
    </cfRule>
    <cfRule type="cellIs" dxfId="0" priority="1453" operator="equal">
      <formula>"未完成"</formula>
    </cfRule>
  </conditionalFormatting>
  <conditionalFormatting sqref="AK283 AK310:AK313">
    <cfRule type="cellIs" dxfId="1" priority="866" operator="equal">
      <formula>"未完成"</formula>
    </cfRule>
    <cfRule type="cellIs" dxfId="0" priority="878" operator="equal">
      <formula>"未完成"</formula>
    </cfRule>
  </conditionalFormatting>
  <conditionalFormatting sqref="AM283 AM310:AM313">
    <cfRule type="cellIs" dxfId="1" priority="698" operator="equal">
      <formula>"未完成"</formula>
    </cfRule>
    <cfRule type="cellIs" dxfId="0" priority="710" operator="equal">
      <formula>"未完成"</formula>
    </cfRule>
  </conditionalFormatting>
  <conditionalFormatting sqref="AP283 AP310:AP313 AP315:AP325">
    <cfRule type="cellIs" dxfId="1" priority="830" operator="equal">
      <formula>"未完成"</formula>
    </cfRule>
    <cfRule type="cellIs" dxfId="0" priority="842" operator="equal">
      <formula>"未完成"</formula>
    </cfRule>
  </conditionalFormatting>
  <conditionalFormatting sqref="AQ283 AQ310:AQ313 AQ315:AQ325">
    <cfRule type="cellIs" dxfId="1" priority="674" operator="equal">
      <formula>"未完成"</formula>
    </cfRule>
    <cfRule type="cellIs" dxfId="0" priority="686" operator="equal">
      <formula>"未完成"</formula>
    </cfRule>
  </conditionalFormatting>
  <conditionalFormatting sqref="AT283:AV283 AT310:AV313 AT315:AV325">
    <cfRule type="cellIs" dxfId="1" priority="746" operator="equal">
      <formula>"未完成"</formula>
    </cfRule>
    <cfRule type="cellIs" dxfId="0" priority="758" operator="equal">
      <formula>"未完成"</formula>
    </cfRule>
  </conditionalFormatting>
  <conditionalFormatting sqref="R289 R286 R299:R307 R345">
    <cfRule type="cellIs" dxfId="0" priority="1204" operator="equal">
      <formula>"欠"</formula>
    </cfRule>
  </conditionalFormatting>
  <conditionalFormatting sqref="S286 S289 S299:S307">
    <cfRule type="cellIs" dxfId="0" priority="1231" operator="equal">
      <formula>"欠"</formula>
    </cfRule>
  </conditionalFormatting>
  <conditionalFormatting sqref="T286:U286 T289:U289 T299:U307">
    <cfRule type="containsText" dxfId="0" priority="1105" operator="between" text="欠">
      <formula>NOT(ISERROR(SEARCH("欠",T286)))</formula>
    </cfRule>
    <cfRule type="cellIs" dxfId="0" priority="1114" operator="equal">
      <formula>"欠"</formula>
    </cfRule>
  </conditionalFormatting>
  <conditionalFormatting sqref="AE286:AE287 AE289 AE307 AE345">
    <cfRule type="cellIs" dxfId="0" priority="1187" operator="equal">
      <formula>"未完成"</formula>
    </cfRule>
  </conditionalFormatting>
  <conditionalFormatting sqref="AI286:AJ286 AJ287 AI289:AJ289 AJ307 AI345:AJ345">
    <cfRule type="cellIs" dxfId="1" priority="1169" operator="equal">
      <formula>"未完成"</formula>
    </cfRule>
    <cfRule type="cellIs" dxfId="0" priority="1178" operator="equal">
      <formula>"未完成"</formula>
    </cfRule>
  </conditionalFormatting>
  <conditionalFormatting sqref="AL286:AL287 AL289 AL307 AL345">
    <cfRule type="cellIs" dxfId="1" priority="1133" operator="equal">
      <formula>"未完成"</formula>
    </cfRule>
    <cfRule type="cellIs" dxfId="0" priority="1142" operator="equal">
      <formula>"未完成"</formula>
    </cfRule>
  </conditionalFormatting>
  <conditionalFormatting sqref="AM286 AM289">
    <cfRule type="cellIs" dxfId="1" priority="624" operator="equal">
      <formula>"未完成"</formula>
    </cfRule>
    <cfRule type="cellIs" dxfId="0" priority="625" operator="equal">
      <formula>"未完成"</formula>
    </cfRule>
  </conditionalFormatting>
  <conditionalFormatting sqref="AP286:AP287 AP289 AP307 AP309 AP328:AP329 AP345">
    <cfRule type="cellIs" dxfId="1" priority="1205" operator="equal">
      <formula>"未完成"</formula>
    </cfRule>
    <cfRule type="cellIs" dxfId="0" priority="1214" operator="equal">
      <formula>"未完成"</formula>
    </cfRule>
  </conditionalFormatting>
  <conditionalFormatting sqref="AQ286:AQ287 AQ289 AQ307 AQ309 AQ328:AQ329 AQ345">
    <cfRule type="cellIs" dxfId="1" priority="1115" operator="equal">
      <formula>"未完成"</formula>
    </cfRule>
    <cfRule type="cellIs" dxfId="0" priority="1124" operator="equal">
      <formula>"未完成"</formula>
    </cfRule>
  </conditionalFormatting>
  <conditionalFormatting sqref="AS286 AS289 AS309 AS328:AS329">
    <cfRule type="cellIs" dxfId="1" priority="622" operator="equal">
      <formula>"未完成"</formula>
    </cfRule>
    <cfRule type="cellIs" dxfId="0" priority="623" operator="equal">
      <formula>"未完成"</formula>
    </cfRule>
  </conditionalFormatting>
  <conditionalFormatting sqref="AT286:AV287 AT289:AV289 AT307:AV307 AT309:AV309 AT328:AV329 AT345:AV345">
    <cfRule type="cellIs" dxfId="1" priority="1151" operator="equal">
      <formula>"未完成"</formula>
    </cfRule>
    <cfRule type="cellIs" dxfId="0" priority="1160" operator="equal">
      <formula>"未完成"</formula>
    </cfRule>
  </conditionalFormatting>
  <conditionalFormatting sqref="R287:R288 R290:R291 R294:R295 R297:R298">
    <cfRule type="cellIs" dxfId="0" priority="920" operator="equal">
      <formula>"欠"</formula>
    </cfRule>
  </conditionalFormatting>
  <conditionalFormatting sqref="S294:S295 S324:S327 S297:S298 S287:S288 S290:S291 S336:S337">
    <cfRule type="cellIs" dxfId="0" priority="914" operator="equal">
      <formula>"欠"</formula>
    </cfRule>
  </conditionalFormatting>
  <conditionalFormatting sqref="T287:U288 T290:U291 T294:U295 T297:U298 T324:U327 T336:U337">
    <cfRule type="containsText" dxfId="0" priority="913" operator="between" text="欠">
      <formula>NOT(ISERROR(SEARCH("欠",T287)))</formula>
    </cfRule>
    <cfRule type="cellIs" dxfId="0" priority="915" operator="equal">
      <formula>"欠"</formula>
    </cfRule>
  </conditionalFormatting>
  <conditionalFormatting sqref="AK287:AK288 AK298">
    <cfRule type="cellIs" dxfId="1" priority="955" operator="equal">
      <formula>"未完成"</formula>
    </cfRule>
    <cfRule type="cellIs" dxfId="0" priority="956" operator="equal">
      <formula>"未完成"</formula>
    </cfRule>
  </conditionalFormatting>
  <conditionalFormatting sqref="R310:R313 R292:R293 R315:R327 R332 R336:R337">
    <cfRule type="cellIs" dxfId="0" priority="1716" operator="equal">
      <formula>"欠"</formula>
    </cfRule>
  </conditionalFormatting>
  <conditionalFormatting sqref="S315:S323 S292:S293 S310:S313 S332">
    <cfRule type="cellIs" dxfId="0" priority="1687" operator="equal">
      <formula>"欠"</formula>
    </cfRule>
  </conditionalFormatting>
  <conditionalFormatting sqref="T292:U293 T310:U313 T315:U323 T332:U332">
    <cfRule type="cellIs" dxfId="0" priority="1710" operator="equal">
      <formula>"欠"</formula>
    </cfRule>
  </conditionalFormatting>
  <conditionalFormatting sqref="AE292 AE310:AE311">
    <cfRule type="cellIs" dxfId="0" priority="1745" operator="equal">
      <formula>"未完成"</formula>
    </cfRule>
  </conditionalFormatting>
  <conditionalFormatting sqref="AJ292 AJ310:AJ311">
    <cfRule type="cellIs" dxfId="1" priority="1736" operator="equal">
      <formula>"未完成"</formula>
    </cfRule>
    <cfRule type="cellIs" dxfId="0" priority="1737" operator="equal">
      <formula>"未完成"</formula>
    </cfRule>
  </conditionalFormatting>
  <conditionalFormatting sqref="AL292 AL310:AL311">
    <cfRule type="cellIs" dxfId="1" priority="1734" operator="equal">
      <formula>"未完成"</formula>
    </cfRule>
    <cfRule type="cellIs" dxfId="0" priority="1735" operator="equal">
      <formula>"未完成"</formula>
    </cfRule>
  </conditionalFormatting>
  <conditionalFormatting sqref="AE293 AE297">
    <cfRule type="cellIs" dxfId="0" priority="1723" operator="equal">
      <formula>"未完成"</formula>
    </cfRule>
  </conditionalFormatting>
  <conditionalFormatting sqref="AJ293 AJ297">
    <cfRule type="cellIs" dxfId="1" priority="1714" operator="equal">
      <formula>"未完成"</formula>
    </cfRule>
    <cfRule type="cellIs" dxfId="0" priority="1715" operator="equal">
      <formula>"未完成"</formula>
    </cfRule>
  </conditionalFormatting>
  <conditionalFormatting sqref="AL293 AL297">
    <cfRule type="cellIs" dxfId="1" priority="1712" operator="equal">
      <formula>"未完成"</formula>
    </cfRule>
    <cfRule type="cellIs" dxfId="0" priority="1713" operator="equal">
      <formula>"未完成"</formula>
    </cfRule>
  </conditionalFormatting>
  <conditionalFormatting sqref="S296 S345">
    <cfRule type="cellIs" dxfId="0" priority="891" operator="equal">
      <formula>"欠"</formula>
    </cfRule>
  </conditionalFormatting>
  <conditionalFormatting sqref="T296:U296 T345:U345">
    <cfRule type="containsText" dxfId="0" priority="890" operator="between" text="欠">
      <formula>NOT(ISERROR(SEARCH("欠",T296)))</formula>
    </cfRule>
    <cfRule type="cellIs" dxfId="0" priority="892" operator="equal">
      <formula>"欠"</formula>
    </cfRule>
  </conditionalFormatting>
  <conditionalFormatting sqref="AM296 AM345 AM372">
    <cfRule type="cellIs" dxfId="1" priority="911" operator="equal">
      <formula>"未完成"</formula>
    </cfRule>
    <cfRule type="cellIs" dxfId="0" priority="912" operator="equal">
      <formula>"未完成"</formula>
    </cfRule>
  </conditionalFormatting>
  <conditionalFormatting sqref="AS296 AS314 AS345 AS372">
    <cfRule type="cellIs" dxfId="1" priority="907" operator="equal">
      <formula>"未完成"</formula>
    </cfRule>
    <cfRule type="cellIs" dxfId="0" priority="908" operator="equal">
      <formula>"未完成"</formula>
    </cfRule>
  </conditionalFormatting>
  <conditionalFormatting sqref="R309 R328">
    <cfRule type="cellIs" dxfId="0" priority="506" operator="equal">
      <formula>"欠"</formula>
    </cfRule>
  </conditionalFormatting>
  <conditionalFormatting sqref="T309:U309 T328:U328">
    <cfRule type="containsText" dxfId="0" priority="503" operator="between" text="欠">
      <formula>NOT(ISERROR(SEARCH("欠",T309)))</formula>
    </cfRule>
    <cfRule type="cellIs" dxfId="0" priority="507" operator="equal">
      <formula>"欠"</formula>
    </cfRule>
  </conditionalFormatting>
  <conditionalFormatting sqref="AE313 AE315:AE325">
    <cfRule type="cellIs" dxfId="0" priority="584" operator="equal">
      <formula>"未完成"</formula>
    </cfRule>
  </conditionalFormatting>
  <conditionalFormatting sqref="AJ313 AJ315:AJ325">
    <cfRule type="cellIs" dxfId="1" priority="576" operator="equal">
      <formula>"未完成"</formula>
    </cfRule>
    <cfRule type="cellIs" dxfId="0" priority="577" operator="equal">
      <formula>"未完成"</formula>
    </cfRule>
  </conditionalFormatting>
  <conditionalFormatting sqref="AL313 AL315:AL325">
    <cfRule type="cellIs" dxfId="1" priority="574" operator="equal">
      <formula>"未完成"</formula>
    </cfRule>
    <cfRule type="cellIs" dxfId="0" priority="575" operator="equal">
      <formula>"未完成"</formula>
    </cfRule>
  </conditionalFormatting>
  <conditionalFormatting sqref="AI315 AI324:AI325">
    <cfRule type="cellIs" dxfId="1" priority="582" operator="equal">
      <formula>"未完成"</formula>
    </cfRule>
    <cfRule type="cellIs" dxfId="0" priority="583" operator="equal">
      <formula>"未完成"</formula>
    </cfRule>
  </conditionalFormatting>
  <conditionalFormatting sqref="AE326:AE327 AE332 AE336:AE337">
    <cfRule type="cellIs" dxfId="0" priority="1701" operator="equal">
      <formula>"未完成"</formula>
    </cfRule>
  </conditionalFormatting>
  <conditionalFormatting sqref="AI326:AI327 AI332 AI336:AI337">
    <cfRule type="cellIs" dxfId="1" priority="1699" operator="equal">
      <formula>"未完成"</formula>
    </cfRule>
    <cfRule type="cellIs" dxfId="0" priority="1700" operator="equal">
      <formula>"未完成"</formula>
    </cfRule>
  </conditionalFormatting>
  <conditionalFormatting sqref="AJ326:AJ327 AJ332 AJ336:AJ337">
    <cfRule type="cellIs" dxfId="1" priority="1692" operator="equal">
      <formula>"未完成"</formula>
    </cfRule>
    <cfRule type="cellIs" dxfId="0" priority="1693" operator="equal">
      <formula>"未完成"</formula>
    </cfRule>
  </conditionalFormatting>
  <conditionalFormatting sqref="AL326:AL327 AL332 AL336:AL337">
    <cfRule type="cellIs" dxfId="1" priority="1690" operator="equal">
      <formula>"未完成"</formula>
    </cfRule>
    <cfRule type="cellIs" dxfId="0" priority="1691" operator="equal">
      <formula>"未完成"</formula>
    </cfRule>
  </conditionalFormatting>
  <conditionalFormatting sqref="AP326:AP327 AP332 AP336:AP337">
    <cfRule type="cellIs" dxfId="1" priority="1702" operator="equal">
      <formula>"未完成"</formula>
    </cfRule>
    <cfRule type="cellIs" dxfId="0" priority="1703" operator="equal">
      <formula>"未完成"</formula>
    </cfRule>
  </conditionalFormatting>
  <conditionalFormatting sqref="AQ326:AQ327 AQ332 AQ336:AQ337">
    <cfRule type="cellIs" dxfId="1" priority="1695" operator="equal">
      <formula>"未完成"</formula>
    </cfRule>
    <cfRule type="cellIs" dxfId="0" priority="1696" operator="equal">
      <formula>"未完成"</formula>
    </cfRule>
  </conditionalFormatting>
  <conditionalFormatting sqref="AT326:AV327 AT332:AV332 AT336:AV337">
    <cfRule type="cellIs" dxfId="1" priority="1697" operator="equal">
      <formula>"未完成"</formula>
    </cfRule>
    <cfRule type="cellIs" dxfId="0" priority="1698" operator="equal">
      <formula>"未完成"</formula>
    </cfRule>
  </conditionalFormatting>
  <conditionalFormatting sqref="R330:R331 R333:R334">
    <cfRule type="cellIs" dxfId="0" priority="363" operator="equal">
      <formula>"欠"</formula>
    </cfRule>
  </conditionalFormatting>
  <conditionalFormatting sqref="S330:S331 S333:S334">
    <cfRule type="cellIs" dxfId="0" priority="344" operator="equal">
      <formula>"欠"</formula>
    </cfRule>
  </conditionalFormatting>
  <conditionalFormatting sqref="T330:U331 T333:U334">
    <cfRule type="containsText" dxfId="0" priority="343" operator="between" text="欠">
      <formula>NOT(ISERROR(SEARCH("欠",T330)))</formula>
    </cfRule>
    <cfRule type="cellIs" dxfId="0" priority="345" operator="equal">
      <formula>"欠"</formula>
    </cfRule>
  </conditionalFormatting>
  <conditionalFormatting sqref="T338:U344 T358:T366">
    <cfRule type="containsText" dxfId="0" priority="127" operator="between" text="欠">
      <formula>NOT(ISERROR(SEARCH("欠",T338)))</formula>
    </cfRule>
    <cfRule type="cellIs" dxfId="0" priority="139" operator="equal">
      <formula>"欠"</formula>
    </cfRule>
  </conditionalFormatting>
  <conditionalFormatting sqref="AK344 AK358:AK366">
    <cfRule type="cellIs" dxfId="1" priority="120" operator="equal">
      <formula>"未完成"</formula>
    </cfRule>
    <cfRule type="cellIs" dxfId="0" priority="121" operator="equal">
      <formula>"未完成"</formula>
    </cfRule>
  </conditionalFormatting>
  <conditionalFormatting sqref="AM348:AM349 AM367">
    <cfRule type="cellIs" dxfId="1" priority="26" operator="equal">
      <formula>"未完成"</formula>
    </cfRule>
    <cfRule type="cellIs" dxfId="0" priority="27" operator="equal">
      <formula>"未完成"</formula>
    </cfRule>
  </conditionalFormatting>
  <conditionalFormatting sqref="T349:U356 U357:U359 U368:U372">
    <cfRule type="containsText" dxfId="0" priority="14" operator="between" text="欠">
      <formula>NOT(ISERROR(SEARCH("欠",T349)))</formula>
    </cfRule>
    <cfRule type="cellIs" dxfId="0" priority="15" operator="equal">
      <formula>"欠"</formula>
    </cfRule>
  </conditionalFormatting>
  <conditionalFormatting sqref="AE349:AE355 AE358:AF361">
    <cfRule type="cellIs" dxfId="0" priority="13" operator="equal">
      <formula>"未完成"</formula>
    </cfRule>
  </conditionalFormatting>
  <conditionalFormatting sqref="AT349:AV359">
    <cfRule type="cellIs" dxfId="1" priority="9" operator="equal">
      <formula>"未完成"</formula>
    </cfRule>
    <cfRule type="cellIs" dxfId="0" priority="10" operator="equal">
      <formula>"未完成"</formula>
    </cfRule>
  </conditionalFormatting>
  <conditionalFormatting sqref="AL357 R384 T384:U384">
    <cfRule type="cellIs" dxfId="0" priority="15075" operator="equal">
      <formula>"欠"</formula>
    </cfRule>
  </conditionalFormatting>
  <conditionalFormatting sqref="AI357 AE375:AF375 AK376:AK377 AE378:AF382 AE384:AF384">
    <cfRule type="cellIs" dxfId="0" priority="15078" operator="equal">
      <formula>"未完成"</formula>
    </cfRule>
    <cfRule type="cellIs" dxfId="1" priority="15079" operator="equal">
      <formula>"未完成"</formula>
    </cfRule>
  </conditionalFormatting>
  <conditionalFormatting sqref="R374 T374:U374">
    <cfRule type="cellIs" dxfId="0" priority="15092" operator="equal">
      <formula>"欠"</formula>
    </cfRule>
  </conditionalFormatting>
  <conditionalFormatting sqref="AI374:AJ374 AG385:AJ385 AI386:AJ386 AG387:AJ388">
    <cfRule type="cellIs" dxfId="1" priority="15117" operator="equal">
      <formula>"未完成"</formula>
    </cfRule>
    <cfRule type="cellIs" dxfId="0" priority="15118" operator="equal">
      <formula>"未完成"</formula>
    </cfRule>
  </conditionalFormatting>
  <conditionalFormatting sqref="AG375:AH375 AM376:AN377 AG378:AH382 AG384:AH384">
    <cfRule type="cellIs" dxfId="1" priority="15085" operator="equal">
      <formula>"未完成"</formula>
    </cfRule>
    <cfRule type="cellIs" dxfId="0" priority="15086" operator="equal">
      <formula>"未完成"</formula>
    </cfRule>
  </conditionalFormatting>
  <conditionalFormatting sqref="AI375:AJ375 AO376:AP376 AT376 AI378:AJ382 AI384:AJ384">
    <cfRule type="cellIs" dxfId="1" priority="15083" operator="equal">
      <formula>"未完成"</formula>
    </cfRule>
    <cfRule type="cellIs" dxfId="0" priority="15084" operator="equal">
      <formula>"未完成"</formula>
    </cfRule>
  </conditionalFormatting>
  <conditionalFormatting sqref="Y376:Z376 AB376 R378 T378:U378">
    <cfRule type="cellIs" dxfId="0" priority="15073" operator="equal">
      <formula>"欠"</formula>
    </cfRule>
  </conditionalFormatting>
  <conditionalFormatting sqref="AA376 S378">
    <cfRule type="cellIs" dxfId="0" priority="15072" operator="equal">
      <formula>"欠"</formula>
    </cfRule>
  </conditionalFormatting>
  <conditionalFormatting sqref="Y377:Z377 AB377 R381 T381:U381">
    <cfRule type="cellIs" dxfId="0" priority="15036" operator="equal">
      <formula>"欠"</formula>
    </cfRule>
  </conditionalFormatting>
  <conditionalFormatting sqref="AA377 S381">
    <cfRule type="cellIs" dxfId="0" priority="15035" operator="equal">
      <formula>"欠"</formula>
    </cfRule>
  </conditionalFormatting>
  <conditionalFormatting sqref="R379 T379:U379">
    <cfRule type="cellIs" dxfId="0" priority="15034" operator="equal">
      <formula>"欠"</formula>
    </cfRule>
  </conditionalFormatting>
  <conditionalFormatting sqref="R380 T380:U380 R382 T382:U382">
    <cfRule type="cellIs" dxfId="0" priority="15032" operator="equal">
      <formula>"欠"</formula>
    </cfRule>
  </conditionalFormatting>
  <conditionalFormatting sqref="S380 S382">
    <cfRule type="cellIs" dxfId="0" priority="15031" operator="equal">
      <formula>"欠"</formula>
    </cfRule>
  </conditionalFormatting>
  <conditionalFormatting sqref="R385:R387 T385:U387">
    <cfRule type="cellIs" dxfId="0" priority="15115" operator="equal">
      <formula>"欠"</formula>
    </cfRule>
  </conditionalFormatting>
  <conditionalFormatting sqref="R388 T388:U388">
    <cfRule type="cellIs" dxfId="0" priority="15116" operator="equal">
      <formula>"欠"</formula>
    </cfRule>
  </conditionalFormatting>
  <dataValidations count="2">
    <dataValidation type="list" allowBlank="1" showInputMessage="1" showErrorMessage="1" sqref="S73">
      <formula1>"有,无"</formula1>
    </dataValidation>
    <dataValidation type="list" allowBlank="1" showInputMessage="1" showErrorMessage="1" sqref="F445 AE2:AE33 AE43:AE46 AE50:AE72 AE74:AE356 AE358:AE375 AE378:AE391 AE416:AE446 AE457:AE1048576 AF396:AF415 AK376:AK377">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C835"/>
  <sheetViews>
    <sheetView tabSelected="1" zoomScale="60" zoomScaleNormal="60" workbookViewId="0">
      <pane xSplit="14" ySplit="1" topLeftCell="AK379" activePane="bottomRight" state="frozen"/>
      <selection/>
      <selection pane="topRight"/>
      <selection pane="bottomLeft"/>
      <selection pane="bottomRight" activeCell="A379" sqref="$A379:$XFD379"/>
    </sheetView>
  </sheetViews>
  <sheetFormatPr defaultColWidth="9" defaultRowHeight="14.25"/>
  <cols>
    <col min="1" max="1" width="19.625" style="861" customWidth="1"/>
    <col min="2" max="2" width="14.325" style="860" customWidth="1"/>
    <col min="3" max="3" width="11.0583333333333" style="860" customWidth="1"/>
    <col min="4" max="4" width="14.7583333333333" style="860" customWidth="1"/>
    <col min="5" max="5" width="15.175" style="862" customWidth="1"/>
    <col min="6" max="6" width="16.8916666666667" style="860" customWidth="1"/>
    <col min="7" max="7" width="14.6833333333333" style="860" customWidth="1"/>
    <col min="8" max="8" width="19.4666666666667" style="860" customWidth="1"/>
    <col min="9" max="9" width="13.5583333333333" style="860" customWidth="1"/>
    <col min="10" max="10" width="10.1416666666667" style="860" customWidth="1"/>
    <col min="11" max="11" width="9.2" style="860" customWidth="1"/>
    <col min="12" max="12" width="8.75833333333333" style="860" customWidth="1"/>
    <col min="13" max="14" width="18.1083333333333" style="860" customWidth="1"/>
    <col min="15" max="15" width="14.6083333333333" style="860" customWidth="1"/>
    <col min="16" max="16" width="10.7166666666667" style="860" customWidth="1"/>
    <col min="17" max="17" width="14.6083333333333" style="860" customWidth="1"/>
    <col min="18" max="18" width="13.1833333333333" style="860" customWidth="1"/>
    <col min="19" max="19" width="9.55833333333333" style="860" customWidth="1"/>
    <col min="20" max="21" width="11.5916666666667" style="860" customWidth="1"/>
    <col min="22" max="22" width="37.1166666666667" style="863" customWidth="1"/>
    <col min="23" max="23" width="12.2583333333333" style="860" customWidth="1"/>
    <col min="24" max="24" width="12.675" style="864" customWidth="1"/>
    <col min="25" max="26" width="10.525" style="865" customWidth="1"/>
    <col min="27" max="27" width="16.425" style="866" customWidth="1"/>
    <col min="28" max="28" width="17.5916666666667" style="867" customWidth="1"/>
    <col min="29" max="29" width="9.99166666666667" style="868" customWidth="1"/>
    <col min="30" max="30" width="12.225" style="866" customWidth="1"/>
    <col min="31" max="31" width="9.28333333333333" style="860" customWidth="1"/>
    <col min="32" max="32" width="10.35" style="869" customWidth="1"/>
    <col min="33" max="33" width="8.96666666666667" style="869" customWidth="1"/>
    <col min="34" max="34" width="10.35" style="870" customWidth="1"/>
    <col min="35" max="35" width="7.85833333333333" style="871" customWidth="1"/>
    <col min="36" max="36" width="6.6" style="870" customWidth="1"/>
    <col min="37" max="37" width="9.86666666666667" style="870" customWidth="1"/>
    <col min="38" max="43" width="9" style="860" customWidth="1"/>
    <col min="44" max="44" width="14.4666666666667" style="860" customWidth="1"/>
    <col min="45" max="45" width="9" style="860"/>
    <col min="46" max="47" width="11.5916666666667" style="860" customWidth="1"/>
    <col min="48" max="54" width="10.9416666666667" style="860" customWidth="1"/>
    <col min="55" max="57" width="9" style="860" customWidth="1"/>
    <col min="58" max="60" width="9" style="860"/>
    <col min="61" max="65" width="11.8916666666667" style="860"/>
    <col min="66" max="66" width="11.8916666666667" style="872"/>
    <col min="67" max="67" width="14.3333333333333" style="872"/>
    <col min="68" max="68" width="11.2666666666667" style="872" customWidth="1"/>
    <col min="69" max="71" width="10.65" style="872" customWidth="1"/>
    <col min="72" max="73" width="10.65" style="860" customWidth="1"/>
    <col min="74" max="75" width="13.55" style="860"/>
    <col min="76" max="76" width="10.6666666666667" style="872"/>
    <col min="77" max="77" width="9.38333333333333" style="872"/>
    <col min="78" max="80" width="10.65" style="872" customWidth="1"/>
    <col min="81" max="81" width="9" style="872"/>
    <col min="82" max="16384" width="9" style="860"/>
  </cols>
  <sheetData>
    <row r="1" s="855" customFormat="1" ht="63" customHeight="1" spans="1:107">
      <c r="A1" s="873" t="s">
        <v>42</v>
      </c>
      <c r="B1" s="874" t="s">
        <v>43</v>
      </c>
      <c r="C1" s="874" t="s">
        <v>44</v>
      </c>
      <c r="D1" s="874" t="s">
        <v>45</v>
      </c>
      <c r="E1" s="875" t="s">
        <v>46</v>
      </c>
      <c r="F1" s="875" t="s">
        <v>47</v>
      </c>
      <c r="G1" s="874" t="s">
        <v>48</v>
      </c>
      <c r="H1" s="874" t="s">
        <v>49</v>
      </c>
      <c r="I1" s="874" t="s">
        <v>50</v>
      </c>
      <c r="J1" s="874" t="s">
        <v>51</v>
      </c>
      <c r="K1" s="874" t="s">
        <v>52</v>
      </c>
      <c r="L1" s="874" t="s">
        <v>53</v>
      </c>
      <c r="M1" s="876" t="s">
        <v>54</v>
      </c>
      <c r="N1" s="876" t="s">
        <v>55</v>
      </c>
      <c r="O1" s="874" t="s">
        <v>56</v>
      </c>
      <c r="P1" s="877" t="s">
        <v>57</v>
      </c>
      <c r="Q1" s="874" t="s">
        <v>58</v>
      </c>
      <c r="R1" s="878" t="s">
        <v>59</v>
      </c>
      <c r="S1" s="878" t="s">
        <v>60</v>
      </c>
      <c r="T1" s="878" t="s">
        <v>61</v>
      </c>
      <c r="U1" s="879" t="s">
        <v>143</v>
      </c>
      <c r="V1" s="880" t="s">
        <v>12</v>
      </c>
      <c r="W1" s="874" t="s">
        <v>62</v>
      </c>
      <c r="X1" s="881" t="s">
        <v>63</v>
      </c>
      <c r="Y1" s="882" t="s">
        <v>64</v>
      </c>
      <c r="Z1" s="883" t="s">
        <v>144</v>
      </c>
      <c r="AA1" s="884" t="s">
        <v>65</v>
      </c>
      <c r="AB1" s="884" t="s">
        <v>66</v>
      </c>
      <c r="AC1" s="877" t="s">
        <v>67</v>
      </c>
      <c r="AD1" s="877" t="s">
        <v>68</v>
      </c>
      <c r="AE1" s="877" t="s">
        <v>69</v>
      </c>
      <c r="AF1" s="885" t="s">
        <v>70</v>
      </c>
      <c r="AG1" s="885" t="s">
        <v>40</v>
      </c>
      <c r="AH1" s="886" t="s">
        <v>71</v>
      </c>
      <c r="AI1" s="887" t="s">
        <v>72</v>
      </c>
      <c r="AJ1" s="886" t="s">
        <v>73</v>
      </c>
      <c r="AK1" s="886" t="s">
        <v>1505</v>
      </c>
      <c r="AL1" s="888" t="s">
        <v>1506</v>
      </c>
      <c r="AM1" s="889" t="s">
        <v>149</v>
      </c>
      <c r="AN1" s="890" t="s">
        <v>150</v>
      </c>
      <c r="AO1" s="888" t="s">
        <v>152</v>
      </c>
      <c r="AP1" s="890" t="s">
        <v>155</v>
      </c>
      <c r="AQ1" s="888" t="s">
        <v>1507</v>
      </c>
      <c r="AR1" s="888" t="s">
        <v>1508</v>
      </c>
      <c r="AS1" s="890" t="s">
        <v>1509</v>
      </c>
      <c r="AT1" s="888" t="s">
        <v>1510</v>
      </c>
      <c r="AU1" s="890" t="s">
        <v>1511</v>
      </c>
      <c r="AV1" s="888" t="s">
        <v>159</v>
      </c>
      <c r="AW1" s="888" t="s">
        <v>160</v>
      </c>
      <c r="AX1" s="890" t="s">
        <v>161</v>
      </c>
      <c r="AY1" s="893" t="s">
        <v>1512</v>
      </c>
      <c r="AZ1" s="888" t="s">
        <v>163</v>
      </c>
      <c r="BA1" s="890" t="s">
        <v>164</v>
      </c>
      <c r="BB1" s="893" t="s">
        <v>1513</v>
      </c>
      <c r="BC1" s="890" t="s">
        <v>166</v>
      </c>
      <c r="BD1" s="888" t="s">
        <v>167</v>
      </c>
      <c r="BE1" s="890" t="s">
        <v>168</v>
      </c>
      <c r="BF1" s="894" t="s">
        <v>169</v>
      </c>
      <c r="BG1" s="890" t="s">
        <v>1514</v>
      </c>
      <c r="BH1" s="890" t="s">
        <v>1515</v>
      </c>
      <c r="BI1" s="890" t="s">
        <v>1516</v>
      </c>
      <c r="BJ1" s="895" t="s">
        <v>1517</v>
      </c>
      <c r="BK1" s="888" t="s">
        <v>1518</v>
      </c>
      <c r="BL1" s="890" t="s">
        <v>1519</v>
      </c>
      <c r="BM1" s="888"/>
      <c r="BN1" s="896" t="s">
        <v>181</v>
      </c>
      <c r="BO1" s="896" t="s">
        <v>182</v>
      </c>
      <c r="BP1" s="896" t="s">
        <v>183</v>
      </c>
      <c r="BQ1" s="896">
        <v>820000</v>
      </c>
      <c r="BR1" s="896">
        <v>300000</v>
      </c>
      <c r="BS1" s="896">
        <v>300000</v>
      </c>
      <c r="BT1" s="888">
        <v>200000</v>
      </c>
      <c r="BU1" s="888">
        <f>400000+500000</f>
        <v>900000</v>
      </c>
      <c r="BV1" s="895" t="s">
        <v>1520</v>
      </c>
      <c r="BW1" s="895" t="s">
        <v>1521</v>
      </c>
      <c r="BX1" s="897" t="s">
        <v>182</v>
      </c>
      <c r="BY1" s="896" t="s">
        <v>183</v>
      </c>
      <c r="BZ1" s="896">
        <v>420000</v>
      </c>
      <c r="CA1" s="896">
        <v>440000</v>
      </c>
      <c r="CB1" s="896">
        <v>440000</v>
      </c>
      <c r="CC1" s="898"/>
    </row>
    <row r="2" s="857" customFormat="1" ht="31" customHeight="1" spans="1:107">
      <c r="A2" s="923">
        <v>45828</v>
      </c>
      <c r="B2" s="924"/>
      <c r="C2" s="925"/>
      <c r="D2" s="924" t="s">
        <v>1522</v>
      </c>
      <c r="E2" s="926"/>
      <c r="G2" s="927" t="s">
        <v>1523</v>
      </c>
      <c r="H2" s="928" t="s">
        <v>1524</v>
      </c>
      <c r="I2" s="928">
        <v>530</v>
      </c>
      <c r="J2" s="928">
        <v>0</v>
      </c>
      <c r="K2" s="928">
        <v>24</v>
      </c>
      <c r="L2" s="929">
        <f>I2/K2</f>
        <v>22.0833333333333</v>
      </c>
      <c r="M2" s="930">
        <v>45841</v>
      </c>
      <c r="N2" s="930">
        <f>M2-3</f>
        <v>45838</v>
      </c>
      <c r="O2" s="874" t="s">
        <v>56</v>
      </c>
      <c r="P2" s="931"/>
      <c r="Q2" s="926"/>
      <c r="R2" s="932" t="s">
        <v>98</v>
      </c>
      <c r="S2" s="932" t="s">
        <v>98</v>
      </c>
      <c r="T2" s="932" t="s">
        <v>98</v>
      </c>
      <c r="U2" s="932"/>
      <c r="V2" s="933" t="s">
        <v>1525</v>
      </c>
      <c r="W2" s="934" t="s">
        <v>1526</v>
      </c>
      <c r="X2" s="935"/>
      <c r="Y2" s="936"/>
      <c r="Z2" s="936"/>
      <c r="AA2" s="926"/>
      <c r="AB2" s="926" t="s">
        <v>1527</v>
      </c>
      <c r="AC2" s="926" t="s">
        <v>1527</v>
      </c>
      <c r="AD2" s="928"/>
      <c r="AE2" s="926"/>
      <c r="AF2" s="937"/>
      <c r="AG2" s="937">
        <f>AF2-I2</f>
        <v>-530</v>
      </c>
      <c r="AH2" s="938"/>
      <c r="AI2" s="926"/>
      <c r="AJ2" s="926"/>
      <c r="AK2" s="926">
        <f t="shared" ref="AK2:AK7" si="0">I2</f>
        <v>530</v>
      </c>
      <c r="AL2" s="858"/>
      <c r="AM2" s="858"/>
      <c r="AN2" s="858"/>
      <c r="BE2" s="925"/>
      <c r="BF2" s="925"/>
      <c r="BG2" s="925"/>
      <c r="BH2" s="925"/>
      <c r="BI2" s="925"/>
      <c r="BN2" s="939"/>
      <c r="BO2" s="939"/>
      <c r="BP2" s="939"/>
      <c r="BQ2" s="939"/>
      <c r="BR2" s="939"/>
      <c r="BS2" s="939"/>
      <c r="BV2" s="857">
        <f>AT2+AU2+AY2</f>
        <v>0</v>
      </c>
      <c r="BW2" s="857">
        <f>BF2+BG2+BI2</f>
        <v>0</v>
      </c>
      <c r="BX2" s="939">
        <f>AK2</f>
        <v>530</v>
      </c>
      <c r="BY2" s="939"/>
      <c r="BZ2" s="939">
        <f>$BZ$1-BX2</f>
        <v>419470</v>
      </c>
      <c r="CA2" s="939"/>
      <c r="CB2" s="939"/>
      <c r="CC2" s="939"/>
      <c r="CH2" s="940"/>
      <c r="CI2" s="940"/>
      <c r="CJ2" s="940"/>
      <c r="CK2" s="940"/>
      <c r="CL2" s="940"/>
      <c r="CM2" s="940"/>
      <c r="CN2" s="940"/>
      <c r="CO2" s="940"/>
      <c r="CP2" s="940"/>
      <c r="CQ2" s="940"/>
      <c r="CR2" s="940"/>
      <c r="CS2" s="940"/>
      <c r="CT2" s="940"/>
      <c r="CU2" s="940"/>
      <c r="CV2" s="940"/>
      <c r="CW2" s="940"/>
      <c r="CX2" s="940"/>
      <c r="CY2" s="940"/>
      <c r="CZ2" s="940"/>
      <c r="DA2" s="940"/>
      <c r="DB2" s="940"/>
      <c r="DC2" s="940"/>
    </row>
    <row r="3" s="857" customFormat="1" ht="31" customHeight="1" spans="1:107">
      <c r="A3" s="923">
        <v>45828</v>
      </c>
      <c r="B3" s="924"/>
      <c r="C3" s="925"/>
      <c r="D3" s="924" t="s">
        <v>1528</v>
      </c>
      <c r="E3" s="926"/>
      <c r="G3" s="927" t="s">
        <v>1529</v>
      </c>
      <c r="H3" s="928" t="s">
        <v>1524</v>
      </c>
      <c r="I3" s="928">
        <v>504</v>
      </c>
      <c r="J3" s="928">
        <v>0</v>
      </c>
      <c r="K3" s="928">
        <v>24</v>
      </c>
      <c r="L3" s="929">
        <f>I3/K3</f>
        <v>21</v>
      </c>
      <c r="M3" s="930">
        <v>45845</v>
      </c>
      <c r="N3" s="930">
        <v>45841</v>
      </c>
      <c r="O3" s="926"/>
      <c r="P3" s="931"/>
      <c r="Q3" s="926"/>
      <c r="R3" s="932" t="s">
        <v>98</v>
      </c>
      <c r="S3" s="932" t="s">
        <v>98</v>
      </c>
      <c r="T3" s="932" t="s">
        <v>98</v>
      </c>
      <c r="U3" s="932"/>
      <c r="V3" s="933" t="s">
        <v>1525</v>
      </c>
      <c r="W3" s="934" t="s">
        <v>100</v>
      </c>
      <c r="X3" s="935"/>
      <c r="Y3" s="936"/>
      <c r="Z3" s="936"/>
      <c r="AA3" s="926"/>
      <c r="AB3" s="926" t="s">
        <v>1527</v>
      </c>
      <c r="AC3" s="926" t="s">
        <v>1527</v>
      </c>
      <c r="AD3" s="928"/>
      <c r="AE3" s="926"/>
      <c r="AF3" s="937"/>
      <c r="AG3" s="937">
        <f>AF3-I3</f>
        <v>-504</v>
      </c>
      <c r="AH3" s="938"/>
      <c r="AI3" s="926"/>
      <c r="AJ3" s="926"/>
      <c r="AK3" s="926">
        <f t="shared" si="0"/>
        <v>504</v>
      </c>
      <c r="AL3" s="858">
        <f>I3</f>
        <v>504</v>
      </c>
      <c r="AM3" s="858"/>
      <c r="AN3" s="858"/>
      <c r="AO3" s="857">
        <f>I3</f>
        <v>504</v>
      </c>
      <c r="BE3" s="925"/>
      <c r="BF3" s="925"/>
      <c r="BG3" s="925"/>
      <c r="BH3" s="925"/>
      <c r="BI3" s="925"/>
      <c r="BN3" s="939"/>
      <c r="BO3" s="939"/>
      <c r="BP3" s="939"/>
      <c r="BQ3" s="939"/>
      <c r="BR3" s="939"/>
      <c r="BS3" s="939"/>
      <c r="BV3" s="857">
        <f t="shared" ref="BV3:BV34" si="1">AT3+AU3+AY3</f>
        <v>0</v>
      </c>
      <c r="BW3" s="857">
        <f t="shared" ref="BW3:BW34" si="2">BF3+BG3+BI3</f>
        <v>0</v>
      </c>
      <c r="BX3" s="939">
        <f>AK3+BX2</f>
        <v>1034</v>
      </c>
      <c r="BY3" s="939"/>
      <c r="BZ3" s="939">
        <f>$BZ$1-BX3</f>
        <v>418966</v>
      </c>
      <c r="CA3" s="939"/>
      <c r="CB3" s="939"/>
      <c r="CC3" s="939"/>
      <c r="CH3" s="940"/>
      <c r="CI3" s="940"/>
      <c r="CJ3" s="940"/>
      <c r="CK3" s="940"/>
      <c r="CL3" s="940"/>
      <c r="CM3" s="940"/>
      <c r="CN3" s="940"/>
      <c r="CO3" s="940"/>
      <c r="CP3" s="940"/>
      <c r="CQ3" s="940"/>
      <c r="CR3" s="940"/>
      <c r="CS3" s="940"/>
      <c r="CT3" s="940"/>
      <c r="CU3" s="940"/>
      <c r="CV3" s="940"/>
      <c r="CW3" s="940"/>
      <c r="CX3" s="940"/>
      <c r="CY3" s="940"/>
      <c r="CZ3" s="940"/>
      <c r="DA3" s="940"/>
      <c r="DB3" s="940"/>
      <c r="DC3" s="940"/>
    </row>
    <row r="4" s="857" customFormat="1" ht="31" customHeight="1" spans="1:107">
      <c r="A4" s="923">
        <v>45828</v>
      </c>
      <c r="B4" s="924"/>
      <c r="C4" s="925"/>
      <c r="D4" s="924" t="s">
        <v>1528</v>
      </c>
      <c r="E4" s="926"/>
      <c r="G4" s="927" t="s">
        <v>1529</v>
      </c>
      <c r="H4" s="928" t="s">
        <v>1530</v>
      </c>
      <c r="I4" s="928">
        <v>5</v>
      </c>
      <c r="J4" s="928">
        <v>0</v>
      </c>
      <c r="K4" s="928">
        <v>24</v>
      </c>
      <c r="L4" s="929">
        <f>I4/K4</f>
        <v>0.208333333333333</v>
      </c>
      <c r="M4" s="930">
        <v>45845</v>
      </c>
      <c r="N4" s="930">
        <v>45841</v>
      </c>
      <c r="O4" s="926"/>
      <c r="P4" s="931"/>
      <c r="Q4" s="926"/>
      <c r="R4" s="932" t="s">
        <v>98</v>
      </c>
      <c r="S4" s="932" t="s">
        <v>98</v>
      </c>
      <c r="T4" s="932" t="s">
        <v>98</v>
      </c>
      <c r="U4" s="932"/>
      <c r="V4" s="933" t="s">
        <v>1531</v>
      </c>
      <c r="W4" s="934" t="s">
        <v>100</v>
      </c>
      <c r="X4" s="935"/>
      <c r="Y4" s="936"/>
      <c r="Z4" s="936"/>
      <c r="AA4" s="926"/>
      <c r="AB4" s="926" t="s">
        <v>1527</v>
      </c>
      <c r="AC4" s="926" t="s">
        <v>1527</v>
      </c>
      <c r="AD4" s="928"/>
      <c r="AE4" s="926"/>
      <c r="AF4" s="937"/>
      <c r="AG4" s="937">
        <f>AF4-I4</f>
        <v>-5</v>
      </c>
      <c r="AH4" s="938"/>
      <c r="AI4" s="926"/>
      <c r="AJ4" s="926"/>
      <c r="AK4" s="926">
        <f t="shared" si="0"/>
        <v>5</v>
      </c>
      <c r="AL4" s="858"/>
      <c r="AM4" s="858"/>
      <c r="AN4" s="858"/>
      <c r="BE4" s="925"/>
      <c r="BF4" s="925"/>
      <c r="BG4" s="925"/>
      <c r="BH4" s="925"/>
      <c r="BI4" s="925"/>
      <c r="BN4" s="939"/>
      <c r="BO4" s="939"/>
      <c r="BP4" s="939"/>
      <c r="BQ4" s="939"/>
      <c r="BR4" s="939"/>
      <c r="BS4" s="939"/>
      <c r="BV4" s="857">
        <f t="shared" si="1"/>
        <v>0</v>
      </c>
      <c r="BW4" s="857">
        <f t="shared" si="2"/>
        <v>0</v>
      </c>
      <c r="BX4" s="939">
        <f t="shared" ref="BX4:BX67" si="3">AK4+BX3</f>
        <v>1039</v>
      </c>
      <c r="BY4" s="939"/>
      <c r="BZ4" s="939">
        <f t="shared" ref="BZ4:BZ67" si="4">$BZ$1-BX4</f>
        <v>418961</v>
      </c>
      <c r="CA4" s="939"/>
      <c r="CB4" s="939"/>
      <c r="CC4" s="939"/>
      <c r="CH4" s="940"/>
      <c r="CI4" s="940"/>
      <c r="CJ4" s="940"/>
      <c r="CK4" s="940"/>
      <c r="CL4" s="940"/>
      <c r="CM4" s="940"/>
      <c r="CN4" s="940"/>
      <c r="CO4" s="940"/>
      <c r="CP4" s="940"/>
      <c r="CQ4" s="940"/>
      <c r="CR4" s="940"/>
      <c r="CS4" s="940"/>
      <c r="CT4" s="940"/>
      <c r="CU4" s="940"/>
      <c r="CV4" s="940"/>
      <c r="CW4" s="940"/>
      <c r="CX4" s="940"/>
      <c r="CY4" s="940"/>
      <c r="CZ4" s="940"/>
      <c r="DA4" s="940"/>
      <c r="DB4" s="940"/>
      <c r="DC4" s="940"/>
    </row>
    <row r="5" s="858" customFormat="1" ht="31" customHeight="1" spans="1:107">
      <c r="A5" s="923">
        <v>45828</v>
      </c>
      <c r="B5" s="924"/>
      <c r="C5" s="941"/>
      <c r="D5" s="924" t="s">
        <v>1528</v>
      </c>
      <c r="E5" s="928"/>
      <c r="F5" s="857"/>
      <c r="G5" s="927" t="s">
        <v>1532</v>
      </c>
      <c r="H5" s="928" t="s">
        <v>1533</v>
      </c>
      <c r="I5" s="928">
        <v>20</v>
      </c>
      <c r="J5" s="928">
        <v>0</v>
      </c>
      <c r="K5" s="928">
        <v>24</v>
      </c>
      <c r="L5" s="929">
        <f>I5/K5</f>
        <v>0.833333333333333</v>
      </c>
      <c r="M5" s="930">
        <v>45845</v>
      </c>
      <c r="N5" s="930">
        <v>45841</v>
      </c>
      <c r="O5" s="928"/>
      <c r="P5" s="931"/>
      <c r="Q5" s="928"/>
      <c r="R5" s="932" t="s">
        <v>98</v>
      </c>
      <c r="S5" s="932" t="s">
        <v>98</v>
      </c>
      <c r="T5" s="932" t="s">
        <v>98</v>
      </c>
      <c r="U5" s="932"/>
      <c r="V5" s="942" t="s">
        <v>1534</v>
      </c>
      <c r="W5" s="934" t="s">
        <v>100</v>
      </c>
      <c r="X5" s="935"/>
      <c r="Y5" s="936"/>
      <c r="Z5" s="936"/>
      <c r="AA5" s="928"/>
      <c r="AB5" s="926" t="s">
        <v>1527</v>
      </c>
      <c r="AC5" s="926" t="s">
        <v>1527</v>
      </c>
      <c r="AD5" s="928"/>
      <c r="AE5" s="928"/>
      <c r="AF5" s="943"/>
      <c r="AG5" s="937"/>
      <c r="AH5" s="944"/>
      <c r="AI5" s="928"/>
      <c r="AJ5" s="928"/>
      <c r="AK5" s="926">
        <f t="shared" si="0"/>
        <v>20</v>
      </c>
      <c r="AR5" s="858">
        <v>20</v>
      </c>
      <c r="BN5" s="945"/>
      <c r="BO5" s="945"/>
      <c r="BP5" s="945"/>
      <c r="BQ5" s="945"/>
      <c r="BR5" s="945"/>
      <c r="BS5" s="945"/>
      <c r="BV5" s="857">
        <f t="shared" si="1"/>
        <v>0</v>
      </c>
      <c r="BW5" s="857">
        <f t="shared" si="2"/>
        <v>0</v>
      </c>
      <c r="BX5" s="939">
        <f t="shared" si="3"/>
        <v>1059</v>
      </c>
      <c r="BY5" s="945"/>
      <c r="BZ5" s="939">
        <f t="shared" si="4"/>
        <v>418941</v>
      </c>
      <c r="CA5" s="945"/>
      <c r="CB5" s="945"/>
      <c r="CC5" s="945"/>
    </row>
    <row r="6" s="857" customFormat="1" ht="31" customHeight="1" spans="1:107">
      <c r="A6" s="923">
        <v>45828</v>
      </c>
      <c r="B6" s="924"/>
      <c r="C6" s="925"/>
      <c r="D6" s="924" t="s">
        <v>1528</v>
      </c>
      <c r="E6" s="926"/>
      <c r="F6" s="933"/>
      <c r="G6" s="927" t="s">
        <v>1523</v>
      </c>
      <c r="H6" s="928" t="s">
        <v>1533</v>
      </c>
      <c r="I6" s="928">
        <v>20</v>
      </c>
      <c r="J6" s="928">
        <v>0</v>
      </c>
      <c r="K6" s="928">
        <v>24</v>
      </c>
      <c r="L6" s="929">
        <f>I6/K6</f>
        <v>0.833333333333333</v>
      </c>
      <c r="M6" s="930">
        <v>45845</v>
      </c>
      <c r="N6" s="930">
        <v>45841</v>
      </c>
      <c r="O6" s="926"/>
      <c r="P6" s="931"/>
      <c r="Q6" s="926"/>
      <c r="R6" s="932" t="s">
        <v>98</v>
      </c>
      <c r="S6" s="932" t="s">
        <v>98</v>
      </c>
      <c r="T6" s="932" t="s">
        <v>98</v>
      </c>
      <c r="U6" s="932"/>
      <c r="V6" s="933" t="s">
        <v>1534</v>
      </c>
      <c r="W6" s="934" t="s">
        <v>100</v>
      </c>
      <c r="X6" s="935"/>
      <c r="Y6" s="936"/>
      <c r="Z6" s="936"/>
      <c r="AA6" s="926"/>
      <c r="AB6" s="926" t="s">
        <v>1527</v>
      </c>
      <c r="AC6" s="926" t="s">
        <v>1527</v>
      </c>
      <c r="AD6" s="928"/>
      <c r="AE6" s="926"/>
      <c r="AF6" s="946"/>
      <c r="AG6" s="937"/>
      <c r="AH6" s="947"/>
      <c r="AI6" s="926"/>
      <c r="AJ6" s="926"/>
      <c r="AK6" s="926">
        <f t="shared" si="0"/>
        <v>20</v>
      </c>
      <c r="AL6" s="858"/>
      <c r="AM6" s="858"/>
      <c r="AN6" s="858"/>
      <c r="AT6" s="857">
        <v>20</v>
      </c>
      <c r="BE6" s="925"/>
      <c r="BF6" s="925"/>
      <c r="BG6" s="925"/>
      <c r="BH6" s="925"/>
      <c r="BI6" s="925"/>
      <c r="BN6" s="939"/>
      <c r="BO6" s="939"/>
      <c r="BP6" s="939"/>
      <c r="BQ6" s="939"/>
      <c r="BR6" s="939"/>
      <c r="BS6" s="939"/>
      <c r="BV6" s="857">
        <f t="shared" si="1"/>
        <v>20</v>
      </c>
      <c r="BW6" s="857">
        <f t="shared" si="2"/>
        <v>0</v>
      </c>
      <c r="BX6" s="939">
        <f t="shared" si="3"/>
        <v>1079</v>
      </c>
      <c r="BY6" s="939"/>
      <c r="BZ6" s="939">
        <f t="shared" si="4"/>
        <v>418921</v>
      </c>
      <c r="CA6" s="939"/>
      <c r="CB6" s="939"/>
      <c r="CC6" s="939"/>
      <c r="CH6" s="940"/>
      <c r="CI6" s="940"/>
      <c r="CJ6" s="940"/>
      <c r="CK6" s="940"/>
      <c r="CL6" s="940"/>
      <c r="CM6" s="940"/>
      <c r="CN6" s="940"/>
      <c r="CO6" s="940"/>
      <c r="CP6" s="940"/>
      <c r="CQ6" s="940"/>
      <c r="CR6" s="940"/>
      <c r="CS6" s="940"/>
      <c r="CT6" s="940"/>
      <c r="CU6" s="940"/>
      <c r="CV6" s="940"/>
      <c r="CW6" s="940"/>
      <c r="CX6" s="940"/>
      <c r="CY6" s="940"/>
      <c r="CZ6" s="940"/>
      <c r="DA6" s="940"/>
      <c r="DB6" s="940"/>
      <c r="DC6" s="940"/>
    </row>
    <row r="7" s="859" customFormat="1" ht="31" customHeight="1" spans="1:107">
      <c r="A7" s="948">
        <v>45866</v>
      </c>
      <c r="B7" s="949" t="s">
        <v>1535</v>
      </c>
      <c r="C7" s="950" t="s">
        <v>377</v>
      </c>
      <c r="D7" s="949">
        <v>4500173688</v>
      </c>
      <c r="E7" s="951">
        <v>21056035</v>
      </c>
      <c r="F7" s="952" t="s">
        <v>1536</v>
      </c>
      <c r="G7" s="953" t="s">
        <v>1537</v>
      </c>
      <c r="H7" s="954" t="s">
        <v>1538</v>
      </c>
      <c r="I7" s="954">
        <v>6370</v>
      </c>
      <c r="J7" s="954">
        <v>0</v>
      </c>
      <c r="K7" s="954">
        <v>13</v>
      </c>
      <c r="L7" s="955">
        <f t="shared" ref="L7:L21" si="5">I7/K7</f>
        <v>490</v>
      </c>
      <c r="M7" s="956">
        <v>45898</v>
      </c>
      <c r="N7" s="956">
        <v>45894</v>
      </c>
      <c r="O7" s="951"/>
      <c r="P7" s="957" t="s">
        <v>86</v>
      </c>
      <c r="Q7" s="951"/>
      <c r="R7" s="958">
        <v>45866</v>
      </c>
      <c r="S7" s="958" t="s">
        <v>88</v>
      </c>
      <c r="T7" s="958">
        <v>45876</v>
      </c>
      <c r="U7" s="958"/>
      <c r="V7" s="952" t="s">
        <v>1539</v>
      </c>
      <c r="W7" s="959" t="s">
        <v>1540</v>
      </c>
      <c r="X7" s="960">
        <v>2.4275</v>
      </c>
      <c r="Y7" s="961">
        <f>I7*X7</f>
        <v>15463.175</v>
      </c>
      <c r="Z7" s="961"/>
      <c r="AA7" s="951" t="s">
        <v>1541</v>
      </c>
      <c r="AB7" s="953" t="s">
        <v>1537</v>
      </c>
      <c r="AC7" s="954" t="s">
        <v>93</v>
      </c>
      <c r="AD7" s="954" t="s">
        <v>1542</v>
      </c>
      <c r="AE7" s="951"/>
      <c r="AF7" s="979">
        <f>4852+107+1411</f>
        <v>6370</v>
      </c>
      <c r="AG7" s="980">
        <f t="shared" ref="AG7:AG70" si="6">AF7-I7</f>
        <v>0</v>
      </c>
      <c r="AH7" s="981"/>
      <c r="AI7" s="951" t="s">
        <v>95</v>
      </c>
      <c r="AJ7" s="951"/>
      <c r="AK7" s="926">
        <f t="shared" si="0"/>
        <v>6370</v>
      </c>
      <c r="AL7" s="962">
        <f t="shared" ref="AL7:AL22" si="7">I7</f>
        <v>6370</v>
      </c>
      <c r="AM7" s="962"/>
      <c r="AN7" s="962"/>
      <c r="AO7" s="859">
        <f t="shared" ref="AO7:AO57" si="8">I7</f>
        <v>6370</v>
      </c>
      <c r="AR7" s="859">
        <f>I7/13</f>
        <v>490</v>
      </c>
      <c r="BE7" s="950"/>
      <c r="BF7" s="950"/>
      <c r="BG7" s="950"/>
      <c r="BH7" s="950"/>
      <c r="BI7" s="950"/>
      <c r="BN7" s="963"/>
      <c r="BO7" s="963"/>
      <c r="BP7" s="963"/>
      <c r="BQ7" s="963"/>
      <c r="BR7" s="963"/>
      <c r="BS7" s="963"/>
      <c r="BV7" s="964">
        <f t="shared" si="1"/>
        <v>0</v>
      </c>
      <c r="BW7" s="964">
        <f t="shared" si="2"/>
        <v>0</v>
      </c>
      <c r="BX7" s="308">
        <f t="shared" si="3"/>
        <v>7449</v>
      </c>
      <c r="BY7" s="963"/>
      <c r="BZ7" s="308">
        <f t="shared" si="4"/>
        <v>412551</v>
      </c>
      <c r="CA7" s="963"/>
      <c r="CB7" s="963"/>
      <c r="CC7" s="963"/>
      <c r="CH7" s="965"/>
      <c r="CI7" s="965"/>
      <c r="CJ7" s="965"/>
      <c r="CK7" s="965"/>
      <c r="CL7" s="965"/>
      <c r="CM7" s="965"/>
      <c r="CN7" s="965"/>
      <c r="CO7" s="965"/>
      <c r="CP7" s="965"/>
      <c r="CQ7" s="965"/>
      <c r="CR7" s="965"/>
      <c r="CS7" s="965"/>
      <c r="CT7" s="965"/>
      <c r="CU7" s="965"/>
      <c r="CV7" s="965"/>
      <c r="CW7" s="965"/>
      <c r="CX7" s="965"/>
      <c r="CY7" s="965"/>
      <c r="CZ7" s="965"/>
      <c r="DA7" s="965"/>
      <c r="DB7" s="965"/>
      <c r="DC7" s="965"/>
    </row>
    <row r="8" s="859" customFormat="1" ht="31" customHeight="1" spans="1:107">
      <c r="A8" s="948">
        <v>45866</v>
      </c>
      <c r="B8" s="949" t="s">
        <v>1543</v>
      </c>
      <c r="C8" s="950" t="s">
        <v>1544</v>
      </c>
      <c r="D8" s="949">
        <v>4500173689</v>
      </c>
      <c r="E8" s="951">
        <v>21056038</v>
      </c>
      <c r="F8" s="952" t="s">
        <v>1545</v>
      </c>
      <c r="G8" s="953" t="s">
        <v>1537</v>
      </c>
      <c r="H8" s="954" t="s">
        <v>1538</v>
      </c>
      <c r="I8" s="954">
        <v>702</v>
      </c>
      <c r="J8" s="954">
        <v>0</v>
      </c>
      <c r="K8" s="954">
        <v>13</v>
      </c>
      <c r="L8" s="955">
        <f t="shared" si="5"/>
        <v>54</v>
      </c>
      <c r="M8" s="956">
        <v>45898</v>
      </c>
      <c r="N8" s="956">
        <v>45894</v>
      </c>
      <c r="O8" s="951"/>
      <c r="P8" s="957" t="s">
        <v>86</v>
      </c>
      <c r="Q8" s="951"/>
      <c r="R8" s="958">
        <v>45866</v>
      </c>
      <c r="S8" s="958" t="s">
        <v>88</v>
      </c>
      <c r="T8" s="958">
        <v>45876</v>
      </c>
      <c r="U8" s="958"/>
      <c r="V8" s="952" t="s">
        <v>1546</v>
      </c>
      <c r="W8" s="959" t="s">
        <v>1540</v>
      </c>
      <c r="X8" s="960">
        <v>2.4275</v>
      </c>
      <c r="Y8" s="961">
        <f>I8*X8</f>
        <v>1704.105</v>
      </c>
      <c r="Z8" s="961"/>
      <c r="AA8" s="951" t="s">
        <v>1547</v>
      </c>
      <c r="AB8" s="953" t="s">
        <v>1537</v>
      </c>
      <c r="AC8" s="954" t="s">
        <v>93</v>
      </c>
      <c r="AD8" s="954" t="s">
        <v>1542</v>
      </c>
      <c r="AE8" s="951"/>
      <c r="AF8" s="979">
        <f>300+402</f>
        <v>702</v>
      </c>
      <c r="AG8" s="980">
        <f t="shared" si="6"/>
        <v>0</v>
      </c>
      <c r="AH8" s="981"/>
      <c r="AI8" s="951" t="s">
        <v>95</v>
      </c>
      <c r="AJ8" s="951"/>
      <c r="AK8" s="926">
        <f t="shared" ref="AK6:AK37" si="9">I8</f>
        <v>702</v>
      </c>
      <c r="AL8" s="962">
        <f t="shared" si="7"/>
        <v>702</v>
      </c>
      <c r="AM8" s="962"/>
      <c r="AN8" s="962"/>
      <c r="AO8" s="859">
        <f t="shared" si="8"/>
        <v>702</v>
      </c>
      <c r="AR8" s="859">
        <f>I8/13</f>
        <v>54</v>
      </c>
      <c r="BE8" s="950"/>
      <c r="BF8" s="950"/>
      <c r="BG8" s="950"/>
      <c r="BH8" s="950"/>
      <c r="BI8" s="950"/>
      <c r="BN8" s="963"/>
      <c r="BO8" s="963"/>
      <c r="BP8" s="963"/>
      <c r="BQ8" s="963"/>
      <c r="BR8" s="963"/>
      <c r="BS8" s="963"/>
      <c r="BV8" s="964">
        <f t="shared" si="1"/>
        <v>0</v>
      </c>
      <c r="BW8" s="964">
        <f t="shared" si="2"/>
        <v>0</v>
      </c>
      <c r="BX8" s="308">
        <f t="shared" si="3"/>
        <v>8151</v>
      </c>
      <c r="BY8" s="963"/>
      <c r="BZ8" s="308">
        <f t="shared" si="4"/>
        <v>411849</v>
      </c>
      <c r="CA8" s="963"/>
      <c r="CB8" s="963"/>
      <c r="CC8" s="963"/>
      <c r="CH8" s="965"/>
      <c r="CI8" s="965"/>
      <c r="CJ8" s="965"/>
      <c r="CK8" s="965"/>
      <c r="CL8" s="965"/>
      <c r="CM8" s="965"/>
      <c r="CN8" s="965"/>
      <c r="CO8" s="965"/>
      <c r="CP8" s="965"/>
      <c r="CQ8" s="965"/>
      <c r="CR8" s="965"/>
      <c r="CS8" s="965"/>
      <c r="CT8" s="965"/>
      <c r="CU8" s="965"/>
      <c r="CV8" s="965"/>
      <c r="CW8" s="965"/>
      <c r="CX8" s="965"/>
      <c r="CY8" s="965"/>
      <c r="CZ8" s="965"/>
      <c r="DA8" s="965"/>
      <c r="DB8" s="965"/>
      <c r="DC8" s="965"/>
    </row>
    <row r="9" s="859" customFormat="1" ht="31" customHeight="1" spans="1:107">
      <c r="A9" s="948">
        <v>45853</v>
      </c>
      <c r="B9" s="949" t="s">
        <v>1548</v>
      </c>
      <c r="C9" s="950" t="s">
        <v>125</v>
      </c>
      <c r="D9" s="949">
        <v>4500173932</v>
      </c>
      <c r="E9" s="951" t="s">
        <v>1549</v>
      </c>
      <c r="F9" s="952" t="s">
        <v>1550</v>
      </c>
      <c r="G9" s="953" t="s">
        <v>1551</v>
      </c>
      <c r="H9" s="954" t="s">
        <v>1552</v>
      </c>
      <c r="I9" s="954">
        <v>108004</v>
      </c>
      <c r="J9" s="954">
        <v>0</v>
      </c>
      <c r="K9" s="954">
        <v>26</v>
      </c>
      <c r="L9" s="955">
        <f t="shared" si="5"/>
        <v>4154</v>
      </c>
      <c r="M9" s="956">
        <v>45908</v>
      </c>
      <c r="N9" s="956">
        <v>45904</v>
      </c>
      <c r="O9" s="951"/>
      <c r="P9" s="957" t="s">
        <v>86</v>
      </c>
      <c r="Q9" s="951"/>
      <c r="R9" s="958">
        <v>45875</v>
      </c>
      <c r="S9" s="958" t="s">
        <v>88</v>
      </c>
      <c r="T9" s="958">
        <v>45875</v>
      </c>
      <c r="U9" s="958"/>
      <c r="V9" s="952" t="s">
        <v>1553</v>
      </c>
      <c r="W9" s="959" t="s">
        <v>1554</v>
      </c>
      <c r="X9" s="960">
        <v>1.5191</v>
      </c>
      <c r="Y9" s="961">
        <f>I9*X9</f>
        <v>164068.8764</v>
      </c>
      <c r="Z9" s="961"/>
      <c r="AA9" s="966" t="s">
        <v>1555</v>
      </c>
      <c r="AB9" s="951" t="s">
        <v>1551</v>
      </c>
      <c r="AC9" s="954" t="s">
        <v>93</v>
      </c>
      <c r="AD9" s="954" t="s">
        <v>94</v>
      </c>
      <c r="AE9" s="951"/>
      <c r="AF9" s="979">
        <f>22464+11232+56160+18148</f>
        <v>108004</v>
      </c>
      <c r="AG9" s="980">
        <f t="shared" si="6"/>
        <v>0</v>
      </c>
      <c r="AH9" s="981"/>
      <c r="AI9" s="951" t="s">
        <v>95</v>
      </c>
      <c r="AJ9" s="951"/>
      <c r="AK9" s="926">
        <f t="shared" si="9"/>
        <v>108004</v>
      </c>
      <c r="AL9" s="962">
        <f t="shared" si="7"/>
        <v>108004</v>
      </c>
      <c r="AM9" s="962"/>
      <c r="AN9" s="962"/>
      <c r="AO9" s="859">
        <f t="shared" si="8"/>
        <v>108004</v>
      </c>
      <c r="BB9" s="859">
        <f>I9/26</f>
        <v>4154</v>
      </c>
      <c r="BE9" s="950"/>
      <c r="BF9" s="950"/>
      <c r="BG9" s="950"/>
      <c r="BH9" s="950"/>
      <c r="BI9" s="950"/>
      <c r="BN9" s="963"/>
      <c r="BO9" s="963"/>
      <c r="BP9" s="963"/>
      <c r="BQ9" s="963"/>
      <c r="BR9" s="963"/>
      <c r="BS9" s="963"/>
      <c r="BV9" s="964">
        <f t="shared" si="1"/>
        <v>0</v>
      </c>
      <c r="BW9" s="964">
        <f t="shared" si="2"/>
        <v>0</v>
      </c>
      <c r="BX9" s="308">
        <f t="shared" si="3"/>
        <v>116155</v>
      </c>
      <c r="BY9" s="963"/>
      <c r="BZ9" s="308">
        <f t="shared" si="4"/>
        <v>303845</v>
      </c>
      <c r="CA9" s="963"/>
      <c r="CB9" s="963"/>
      <c r="CC9" s="963"/>
      <c r="CH9" s="965"/>
      <c r="CI9" s="965"/>
      <c r="CJ9" s="965"/>
      <c r="CK9" s="965"/>
      <c r="CL9" s="965"/>
      <c r="CM9" s="965"/>
      <c r="CN9" s="965"/>
      <c r="CO9" s="965"/>
      <c r="CP9" s="965"/>
      <c r="CQ9" s="965"/>
      <c r="CR9" s="965"/>
      <c r="CS9" s="965"/>
      <c r="CT9" s="965"/>
      <c r="CU9" s="965"/>
      <c r="CV9" s="965"/>
      <c r="CW9" s="965"/>
      <c r="CX9" s="965"/>
      <c r="CY9" s="965"/>
      <c r="CZ9" s="965"/>
      <c r="DA9" s="965"/>
      <c r="DB9" s="965"/>
      <c r="DC9" s="965"/>
    </row>
    <row r="10" s="859" customFormat="1" ht="31" customHeight="1" spans="1:107">
      <c r="A10" s="948">
        <v>45873</v>
      </c>
      <c r="B10" s="949" t="s">
        <v>1535</v>
      </c>
      <c r="C10" s="950" t="s">
        <v>377</v>
      </c>
      <c r="D10" s="949">
        <v>4500175924</v>
      </c>
      <c r="E10" s="951">
        <v>21012356</v>
      </c>
      <c r="F10" s="952" t="s">
        <v>1556</v>
      </c>
      <c r="G10" s="953" t="s">
        <v>1537</v>
      </c>
      <c r="H10" s="954" t="s">
        <v>1538</v>
      </c>
      <c r="I10" s="954">
        <v>1508</v>
      </c>
      <c r="J10" s="954">
        <v>0</v>
      </c>
      <c r="K10" s="954">
        <v>13</v>
      </c>
      <c r="L10" s="955">
        <f t="shared" si="5"/>
        <v>116</v>
      </c>
      <c r="M10" s="956">
        <v>45915</v>
      </c>
      <c r="N10" s="956">
        <v>45911</v>
      </c>
      <c r="O10" s="967"/>
      <c r="P10" s="968" t="s">
        <v>86</v>
      </c>
      <c r="Q10" s="967">
        <v>45917</v>
      </c>
      <c r="R10" s="958">
        <v>45883</v>
      </c>
      <c r="S10" s="958" t="s">
        <v>88</v>
      </c>
      <c r="T10" s="958">
        <v>45877</v>
      </c>
      <c r="U10" s="958"/>
      <c r="V10" s="952" t="s">
        <v>1557</v>
      </c>
      <c r="W10" s="959" t="s">
        <v>1540</v>
      </c>
      <c r="X10" s="960">
        <v>2.4275</v>
      </c>
      <c r="Y10" s="961">
        <f>X10*I10</f>
        <v>3660.67</v>
      </c>
      <c r="Z10" s="961"/>
      <c r="AA10" s="951" t="s">
        <v>1558</v>
      </c>
      <c r="AB10" s="953" t="s">
        <v>1537</v>
      </c>
      <c r="AC10" s="954" t="s">
        <v>93</v>
      </c>
      <c r="AD10" s="954" t="s">
        <v>94</v>
      </c>
      <c r="AE10" s="951"/>
      <c r="AF10" s="979">
        <v>1508</v>
      </c>
      <c r="AG10" s="980">
        <f t="shared" si="6"/>
        <v>0</v>
      </c>
      <c r="AH10" s="981"/>
      <c r="AI10" s="951" t="s">
        <v>95</v>
      </c>
      <c r="AJ10" s="951"/>
      <c r="AK10" s="926">
        <f t="shared" si="9"/>
        <v>1508</v>
      </c>
      <c r="AL10" s="962">
        <f t="shared" si="7"/>
        <v>1508</v>
      </c>
      <c r="AM10" s="962"/>
      <c r="AN10" s="962"/>
      <c r="AO10" s="859">
        <f t="shared" si="8"/>
        <v>1508</v>
      </c>
      <c r="AR10" s="859">
        <f>I10/13</f>
        <v>116</v>
      </c>
      <c r="BE10" s="950"/>
      <c r="BF10" s="950"/>
      <c r="BG10" s="950"/>
      <c r="BH10" s="950"/>
      <c r="BI10" s="950"/>
      <c r="BN10" s="963"/>
      <c r="BO10" s="963"/>
      <c r="BP10" s="963"/>
      <c r="BQ10" s="963"/>
      <c r="BR10" s="963"/>
      <c r="BS10" s="963"/>
      <c r="BV10" s="964">
        <f t="shared" si="1"/>
        <v>0</v>
      </c>
      <c r="BW10" s="964">
        <f t="shared" si="2"/>
        <v>0</v>
      </c>
      <c r="BX10" s="308">
        <f t="shared" si="3"/>
        <v>117663</v>
      </c>
      <c r="BY10" s="963"/>
      <c r="BZ10" s="308">
        <f t="shared" si="4"/>
        <v>302337</v>
      </c>
      <c r="CA10" s="963"/>
      <c r="CB10" s="963"/>
      <c r="CC10" s="963"/>
      <c r="CH10" s="965"/>
      <c r="CI10" s="965"/>
      <c r="CJ10" s="965"/>
      <c r="CK10" s="965"/>
      <c r="CL10" s="965"/>
      <c r="CM10" s="965"/>
      <c r="CN10" s="965"/>
      <c r="CO10" s="965"/>
      <c r="CP10" s="965"/>
      <c r="CQ10" s="965"/>
      <c r="CR10" s="965"/>
      <c r="CS10" s="965"/>
      <c r="CT10" s="965"/>
      <c r="CU10" s="965"/>
      <c r="CV10" s="965"/>
      <c r="CW10" s="965"/>
      <c r="CX10" s="965"/>
      <c r="CY10" s="965"/>
      <c r="CZ10" s="965"/>
      <c r="DA10" s="965"/>
      <c r="DB10" s="965"/>
      <c r="DC10" s="965"/>
    </row>
    <row r="11" s="859" customFormat="1" ht="31" customHeight="1" spans="1:107">
      <c r="A11" s="948">
        <v>45880</v>
      </c>
      <c r="B11" s="949" t="s">
        <v>1535</v>
      </c>
      <c r="C11" s="950" t="s">
        <v>377</v>
      </c>
      <c r="D11" s="949">
        <v>4500175924</v>
      </c>
      <c r="E11" s="951">
        <v>21089022</v>
      </c>
      <c r="F11" s="952" t="s">
        <v>1559</v>
      </c>
      <c r="G11" s="953" t="s">
        <v>1537</v>
      </c>
      <c r="H11" s="954" t="s">
        <v>1538</v>
      </c>
      <c r="I11" s="954">
        <v>3094</v>
      </c>
      <c r="J11" s="954">
        <v>0</v>
      </c>
      <c r="K11" s="954">
        <v>13</v>
      </c>
      <c r="L11" s="955">
        <f t="shared" si="5"/>
        <v>238</v>
      </c>
      <c r="M11" s="956">
        <v>45915</v>
      </c>
      <c r="N11" s="956">
        <v>45911</v>
      </c>
      <c r="O11" s="967"/>
      <c r="P11" s="968" t="s">
        <v>86</v>
      </c>
      <c r="Q11" s="967">
        <v>45917</v>
      </c>
      <c r="R11" s="958">
        <v>45883</v>
      </c>
      <c r="S11" s="958" t="s">
        <v>88</v>
      </c>
      <c r="T11" s="958">
        <v>45877</v>
      </c>
      <c r="U11" s="958"/>
      <c r="V11" s="952" t="s">
        <v>1557</v>
      </c>
      <c r="W11" s="959" t="s">
        <v>1540</v>
      </c>
      <c r="X11" s="960">
        <v>2.4275</v>
      </c>
      <c r="Y11" s="961">
        <f>X11*I11</f>
        <v>7510.685</v>
      </c>
      <c r="Z11" s="961"/>
      <c r="AA11" s="951" t="s">
        <v>1560</v>
      </c>
      <c r="AB11" s="953" t="s">
        <v>1537</v>
      </c>
      <c r="AC11" s="954" t="s">
        <v>93</v>
      </c>
      <c r="AD11" s="954" t="s">
        <v>94</v>
      </c>
      <c r="AE11" s="951"/>
      <c r="AF11" s="979">
        <v>3094</v>
      </c>
      <c r="AG11" s="980">
        <f t="shared" si="6"/>
        <v>0</v>
      </c>
      <c r="AH11" s="981"/>
      <c r="AI11" s="951" t="s">
        <v>95</v>
      </c>
      <c r="AJ11" s="951"/>
      <c r="AK11" s="926">
        <f t="shared" si="9"/>
        <v>3094</v>
      </c>
      <c r="AL11" s="962">
        <f t="shared" si="7"/>
        <v>3094</v>
      </c>
      <c r="AM11" s="962"/>
      <c r="AN11" s="962"/>
      <c r="AO11" s="859">
        <f t="shared" si="8"/>
        <v>3094</v>
      </c>
      <c r="AR11" s="859">
        <f>I11/13</f>
        <v>238</v>
      </c>
      <c r="BE11" s="950"/>
      <c r="BF11" s="950"/>
      <c r="BG11" s="950"/>
      <c r="BH11" s="950"/>
      <c r="BI11" s="950"/>
      <c r="BN11" s="963"/>
      <c r="BO11" s="963"/>
      <c r="BP11" s="963"/>
      <c r="BQ11" s="963"/>
      <c r="BR11" s="963"/>
      <c r="BS11" s="963"/>
      <c r="BV11" s="964">
        <f t="shared" si="1"/>
        <v>0</v>
      </c>
      <c r="BW11" s="964">
        <f t="shared" si="2"/>
        <v>0</v>
      </c>
      <c r="BX11" s="308">
        <f t="shared" si="3"/>
        <v>120757</v>
      </c>
      <c r="BY11" s="963"/>
      <c r="BZ11" s="308">
        <f t="shared" si="4"/>
        <v>299243</v>
      </c>
      <c r="CA11" s="963"/>
      <c r="CB11" s="963"/>
      <c r="CC11" s="963"/>
      <c r="CH11" s="965"/>
      <c r="CI11" s="965"/>
      <c r="CJ11" s="965"/>
      <c r="CK11" s="965"/>
      <c r="CL11" s="965"/>
      <c r="CM11" s="965"/>
      <c r="CN11" s="965"/>
      <c r="CO11" s="965"/>
      <c r="CP11" s="965"/>
      <c r="CQ11" s="965"/>
      <c r="CR11" s="965"/>
      <c r="CS11" s="965"/>
      <c r="CT11" s="965"/>
      <c r="CU11" s="965"/>
      <c r="CV11" s="965"/>
      <c r="CW11" s="965"/>
      <c r="CX11" s="965"/>
      <c r="CY11" s="965"/>
      <c r="CZ11" s="965"/>
      <c r="DA11" s="965"/>
      <c r="DB11" s="965"/>
      <c r="DC11" s="965"/>
    </row>
    <row r="12" s="859" customFormat="1" ht="31" customHeight="1" spans="1:107">
      <c r="A12" s="948">
        <v>45880</v>
      </c>
      <c r="B12" s="949" t="s">
        <v>1543</v>
      </c>
      <c r="C12" s="950" t="s">
        <v>1544</v>
      </c>
      <c r="D12" s="949">
        <v>4500175925</v>
      </c>
      <c r="E12" s="951">
        <v>21089023</v>
      </c>
      <c r="F12" s="952" t="s">
        <v>1561</v>
      </c>
      <c r="G12" s="953" t="s">
        <v>1537</v>
      </c>
      <c r="H12" s="954" t="s">
        <v>1538</v>
      </c>
      <c r="I12" s="954">
        <v>130</v>
      </c>
      <c r="J12" s="954">
        <v>0</v>
      </c>
      <c r="K12" s="954">
        <v>13</v>
      </c>
      <c r="L12" s="955">
        <f t="shared" si="5"/>
        <v>10</v>
      </c>
      <c r="M12" s="956">
        <v>45915</v>
      </c>
      <c r="N12" s="956">
        <v>45911</v>
      </c>
      <c r="O12" s="967"/>
      <c r="P12" s="968" t="s">
        <v>86</v>
      </c>
      <c r="Q12" s="967">
        <v>45917</v>
      </c>
      <c r="R12" s="958">
        <v>45883</v>
      </c>
      <c r="S12" s="958" t="s">
        <v>88</v>
      </c>
      <c r="T12" s="958">
        <v>45877</v>
      </c>
      <c r="U12" s="958"/>
      <c r="V12" s="952" t="s">
        <v>1562</v>
      </c>
      <c r="W12" s="959" t="s">
        <v>1540</v>
      </c>
      <c r="X12" s="960">
        <v>2.4275</v>
      </c>
      <c r="Y12" s="961">
        <f>X12*I12</f>
        <v>315.575</v>
      </c>
      <c r="Z12" s="961"/>
      <c r="AA12" s="951" t="s">
        <v>1563</v>
      </c>
      <c r="AB12" s="953" t="s">
        <v>1537</v>
      </c>
      <c r="AC12" s="954" t="s">
        <v>93</v>
      </c>
      <c r="AD12" s="954" t="s">
        <v>94</v>
      </c>
      <c r="AE12" s="951"/>
      <c r="AF12" s="979">
        <v>130</v>
      </c>
      <c r="AG12" s="980">
        <f t="shared" si="6"/>
        <v>0</v>
      </c>
      <c r="AH12" s="981"/>
      <c r="AI12" s="951" t="s">
        <v>95</v>
      </c>
      <c r="AJ12" s="951"/>
      <c r="AK12" s="926">
        <f t="shared" si="9"/>
        <v>130</v>
      </c>
      <c r="AL12" s="962">
        <f t="shared" si="7"/>
        <v>130</v>
      </c>
      <c r="AM12" s="962"/>
      <c r="AN12" s="962"/>
      <c r="AO12" s="859">
        <f t="shared" si="8"/>
        <v>130</v>
      </c>
      <c r="AR12" s="859">
        <f>I12/13</f>
        <v>10</v>
      </c>
      <c r="BE12" s="950"/>
      <c r="BF12" s="950"/>
      <c r="BG12" s="950"/>
      <c r="BH12" s="950"/>
      <c r="BI12" s="950"/>
      <c r="BN12" s="963"/>
      <c r="BO12" s="963"/>
      <c r="BP12" s="963"/>
      <c r="BQ12" s="963"/>
      <c r="BR12" s="963"/>
      <c r="BS12" s="963"/>
      <c r="BV12" s="964">
        <f t="shared" si="1"/>
        <v>0</v>
      </c>
      <c r="BW12" s="964">
        <f t="shared" si="2"/>
        <v>0</v>
      </c>
      <c r="BX12" s="308">
        <f t="shared" si="3"/>
        <v>120887</v>
      </c>
      <c r="BY12" s="963"/>
      <c r="BZ12" s="308">
        <f t="shared" si="4"/>
        <v>299113</v>
      </c>
      <c r="CA12" s="963"/>
      <c r="CB12" s="963"/>
      <c r="CC12" s="963"/>
      <c r="CH12" s="965"/>
      <c r="CI12" s="965"/>
      <c r="CJ12" s="965"/>
      <c r="CK12" s="965"/>
      <c r="CL12" s="965"/>
      <c r="CM12" s="965"/>
      <c r="CN12" s="965"/>
      <c r="CO12" s="965"/>
      <c r="CP12" s="965"/>
      <c r="CQ12" s="965"/>
      <c r="CR12" s="965"/>
      <c r="CS12" s="965"/>
      <c r="CT12" s="965"/>
      <c r="CU12" s="965"/>
      <c r="CV12" s="965"/>
      <c r="CW12" s="965"/>
      <c r="CX12" s="965"/>
      <c r="CY12" s="965"/>
      <c r="CZ12" s="965"/>
      <c r="DA12" s="965"/>
      <c r="DB12" s="965"/>
      <c r="DC12" s="965"/>
    </row>
    <row r="13" s="859" customFormat="1" ht="31" customHeight="1" spans="1:107">
      <c r="A13" s="948">
        <v>45877</v>
      </c>
      <c r="B13" s="949" t="s">
        <v>446</v>
      </c>
      <c r="C13" s="950" t="s">
        <v>447</v>
      </c>
      <c r="D13" s="949">
        <v>4500176402</v>
      </c>
      <c r="E13" s="951" t="s">
        <v>1564</v>
      </c>
      <c r="F13" s="952" t="s">
        <v>1565</v>
      </c>
      <c r="G13" s="953" t="s">
        <v>1523</v>
      </c>
      <c r="H13" s="954" t="s">
        <v>1524</v>
      </c>
      <c r="I13" s="954">
        <v>3750</v>
      </c>
      <c r="J13" s="954">
        <v>0</v>
      </c>
      <c r="K13" s="954">
        <v>50</v>
      </c>
      <c r="L13" s="955">
        <f t="shared" si="5"/>
        <v>75</v>
      </c>
      <c r="M13" s="956">
        <v>45915</v>
      </c>
      <c r="N13" s="956">
        <v>45911</v>
      </c>
      <c r="O13" s="951"/>
      <c r="P13" s="968" t="s">
        <v>86</v>
      </c>
      <c r="Q13" s="951"/>
      <c r="R13" s="958">
        <v>45880</v>
      </c>
      <c r="S13" s="958" t="s">
        <v>98</v>
      </c>
      <c r="T13" s="958">
        <v>45896</v>
      </c>
      <c r="U13" s="958"/>
      <c r="V13" s="952" t="s">
        <v>1566</v>
      </c>
      <c r="W13" s="959" t="s">
        <v>444</v>
      </c>
      <c r="X13" s="960">
        <v>2.35</v>
      </c>
      <c r="Y13" s="961">
        <f>X13*I13</f>
        <v>8812.5</v>
      </c>
      <c r="Z13" s="961"/>
      <c r="AA13" s="951" t="s">
        <v>1567</v>
      </c>
      <c r="AB13" s="951" t="s">
        <v>1523</v>
      </c>
      <c r="AC13" s="954" t="s">
        <v>93</v>
      </c>
      <c r="AD13" s="954" t="s">
        <v>94</v>
      </c>
      <c r="AE13" s="951"/>
      <c r="AF13" s="979">
        <v>3750</v>
      </c>
      <c r="AG13" s="980">
        <f t="shared" si="6"/>
        <v>0</v>
      </c>
      <c r="AH13" s="981"/>
      <c r="AI13" s="951" t="s">
        <v>95</v>
      </c>
      <c r="AJ13" s="951"/>
      <c r="AK13" s="926">
        <f t="shared" si="9"/>
        <v>3750</v>
      </c>
      <c r="AL13" s="962">
        <f t="shared" si="7"/>
        <v>3750</v>
      </c>
      <c r="AM13" s="962"/>
      <c r="AN13" s="962"/>
      <c r="AO13" s="962">
        <f t="shared" si="8"/>
        <v>3750</v>
      </c>
      <c r="AQ13" s="962"/>
      <c r="AT13" s="859">
        <f>L13*2</f>
        <v>150</v>
      </c>
      <c r="BE13" s="950"/>
      <c r="BF13" s="950"/>
      <c r="BG13" s="950"/>
      <c r="BH13" s="950"/>
      <c r="BI13" s="950"/>
      <c r="BN13" s="963"/>
      <c r="BO13" s="963"/>
      <c r="BP13" s="963"/>
      <c r="BQ13" s="963"/>
      <c r="BR13" s="963"/>
      <c r="BS13" s="963"/>
      <c r="BV13" s="964">
        <f t="shared" si="1"/>
        <v>150</v>
      </c>
      <c r="BW13" s="964">
        <f t="shared" si="2"/>
        <v>0</v>
      </c>
      <c r="BX13" s="308">
        <f t="shared" si="3"/>
        <v>124637</v>
      </c>
      <c r="BY13" s="963"/>
      <c r="BZ13" s="308">
        <f t="shared" si="4"/>
        <v>295363</v>
      </c>
      <c r="CA13" s="963"/>
      <c r="CB13" s="963"/>
      <c r="CC13" s="963"/>
      <c r="CH13" s="965"/>
      <c r="CI13" s="965"/>
      <c r="CJ13" s="965"/>
      <c r="CK13" s="965"/>
      <c r="CL13" s="965"/>
      <c r="CM13" s="965"/>
      <c r="CN13" s="965"/>
      <c r="CO13" s="965"/>
      <c r="CP13" s="965"/>
      <c r="CQ13" s="965"/>
      <c r="CR13" s="965"/>
      <c r="CS13" s="965"/>
      <c r="CT13" s="965"/>
      <c r="CU13" s="965"/>
      <c r="CV13" s="965"/>
      <c r="CW13" s="965"/>
      <c r="CX13" s="965"/>
      <c r="CY13" s="965"/>
      <c r="CZ13" s="965"/>
      <c r="DA13" s="965"/>
      <c r="DB13" s="965"/>
      <c r="DC13" s="965"/>
    </row>
    <row r="14" s="859" customFormat="1" ht="31" customHeight="1" spans="1:107">
      <c r="A14" s="948">
        <v>45869</v>
      </c>
      <c r="B14" s="949" t="s">
        <v>1568</v>
      </c>
      <c r="C14" s="950" t="s">
        <v>377</v>
      </c>
      <c r="D14" s="949">
        <v>4500175512</v>
      </c>
      <c r="E14" s="951">
        <v>84457</v>
      </c>
      <c r="F14" s="952" t="s">
        <v>1569</v>
      </c>
      <c r="G14" s="953" t="s">
        <v>1570</v>
      </c>
      <c r="H14" s="954" t="s">
        <v>1571</v>
      </c>
      <c r="I14" s="954">
        <v>1250</v>
      </c>
      <c r="J14" s="954">
        <v>0</v>
      </c>
      <c r="K14" s="954">
        <v>25</v>
      </c>
      <c r="L14" s="955">
        <f t="shared" si="5"/>
        <v>50</v>
      </c>
      <c r="M14" s="956">
        <v>45918</v>
      </c>
      <c r="N14" s="956">
        <v>45915</v>
      </c>
      <c r="O14" s="951"/>
      <c r="P14" s="968" t="s">
        <v>86</v>
      </c>
      <c r="Q14" s="951"/>
      <c r="R14" s="958">
        <v>45869</v>
      </c>
      <c r="S14" s="958" t="s">
        <v>98</v>
      </c>
      <c r="T14" s="958">
        <v>45869</v>
      </c>
      <c r="U14" s="958"/>
      <c r="V14" s="952" t="s">
        <v>1572</v>
      </c>
      <c r="W14" s="959" t="s">
        <v>444</v>
      </c>
      <c r="X14" s="960">
        <v>2.61</v>
      </c>
      <c r="Y14" s="961">
        <f>I14*X14</f>
        <v>3262.5</v>
      </c>
      <c r="Z14" s="961"/>
      <c r="AA14" s="951" t="s">
        <v>1573</v>
      </c>
      <c r="AB14" s="953" t="s">
        <v>1570</v>
      </c>
      <c r="AC14" s="954" t="s">
        <v>93</v>
      </c>
      <c r="AD14" s="954" t="s">
        <v>94</v>
      </c>
      <c r="AE14" s="951"/>
      <c r="AF14" s="979">
        <v>1250</v>
      </c>
      <c r="AG14" s="980">
        <f t="shared" si="6"/>
        <v>0</v>
      </c>
      <c r="AH14" s="981"/>
      <c r="AI14" s="951" t="s">
        <v>95</v>
      </c>
      <c r="AJ14" s="951"/>
      <c r="AK14" s="926">
        <f t="shared" si="9"/>
        <v>1250</v>
      </c>
      <c r="AL14" s="962">
        <f t="shared" si="7"/>
        <v>1250</v>
      </c>
      <c r="AM14" s="962"/>
      <c r="AN14" s="962"/>
      <c r="AO14" s="859">
        <f t="shared" si="8"/>
        <v>1250</v>
      </c>
      <c r="AT14" s="859">
        <f>I14/25</f>
        <v>50</v>
      </c>
      <c r="BE14" s="950"/>
      <c r="BF14" s="950"/>
      <c r="BG14" s="950"/>
      <c r="BH14" s="950"/>
      <c r="BI14" s="950"/>
      <c r="BN14" s="963"/>
      <c r="BO14" s="963"/>
      <c r="BP14" s="963"/>
      <c r="BQ14" s="963"/>
      <c r="BR14" s="963"/>
      <c r="BS14" s="963"/>
      <c r="BV14" s="964">
        <f t="shared" si="1"/>
        <v>50</v>
      </c>
      <c r="BW14" s="964">
        <f t="shared" si="2"/>
        <v>0</v>
      </c>
      <c r="BX14" s="308">
        <f t="shared" si="3"/>
        <v>125887</v>
      </c>
      <c r="BY14" s="963"/>
      <c r="BZ14" s="308">
        <f t="shared" si="4"/>
        <v>294113</v>
      </c>
      <c r="CA14" s="963"/>
      <c r="CB14" s="963"/>
      <c r="CC14" s="963"/>
      <c r="CH14" s="965"/>
      <c r="CI14" s="965"/>
      <c r="CJ14" s="965"/>
      <c r="CK14" s="965"/>
      <c r="CL14" s="965"/>
      <c r="CM14" s="965"/>
      <c r="CN14" s="965"/>
      <c r="CO14" s="965"/>
      <c r="CP14" s="965"/>
      <c r="CQ14" s="965"/>
      <c r="CR14" s="965"/>
      <c r="CS14" s="965"/>
      <c r="CT14" s="965"/>
      <c r="CU14" s="965"/>
      <c r="CV14" s="965"/>
      <c r="CW14" s="965"/>
      <c r="CX14" s="965"/>
      <c r="CY14" s="965"/>
      <c r="CZ14" s="965"/>
      <c r="DA14" s="965"/>
      <c r="DB14" s="965"/>
      <c r="DC14" s="965"/>
    </row>
    <row r="15" s="859" customFormat="1" ht="31" customHeight="1" spans="1:107">
      <c r="A15" s="948">
        <v>45877</v>
      </c>
      <c r="B15" s="949" t="s">
        <v>1574</v>
      </c>
      <c r="C15" s="950" t="s">
        <v>125</v>
      </c>
      <c r="D15" s="949">
        <v>4500176410</v>
      </c>
      <c r="E15" s="951">
        <v>217985641</v>
      </c>
      <c r="F15" s="952" t="s">
        <v>1575</v>
      </c>
      <c r="G15" s="953" t="s">
        <v>1537</v>
      </c>
      <c r="H15" s="954" t="s">
        <v>1538</v>
      </c>
      <c r="I15" s="954">
        <v>2691</v>
      </c>
      <c r="J15" s="954">
        <v>0</v>
      </c>
      <c r="K15" s="954">
        <v>13</v>
      </c>
      <c r="L15" s="955">
        <f t="shared" si="5"/>
        <v>207</v>
      </c>
      <c r="M15" s="956">
        <v>45920</v>
      </c>
      <c r="N15" s="956">
        <v>45916</v>
      </c>
      <c r="O15" s="967"/>
      <c r="P15" s="968" t="s">
        <v>86</v>
      </c>
      <c r="Q15" s="967" t="s">
        <v>1576</v>
      </c>
      <c r="R15" s="958">
        <v>45887</v>
      </c>
      <c r="S15" s="958" t="s">
        <v>98</v>
      </c>
      <c r="T15" s="958" t="s">
        <v>98</v>
      </c>
      <c r="U15" s="958"/>
      <c r="V15" s="952" t="s">
        <v>1577</v>
      </c>
      <c r="W15" s="959" t="s">
        <v>1578</v>
      </c>
      <c r="X15" s="960">
        <v>1.4565</v>
      </c>
      <c r="Y15" s="961">
        <f>X15*I15</f>
        <v>3919.4415</v>
      </c>
      <c r="Z15" s="961"/>
      <c r="AA15" s="951" t="s">
        <v>1579</v>
      </c>
      <c r="AB15" s="953" t="s">
        <v>1537</v>
      </c>
      <c r="AC15" s="954" t="s">
        <v>93</v>
      </c>
      <c r="AD15" s="954" t="s">
        <v>94</v>
      </c>
      <c r="AE15" s="951"/>
      <c r="AF15" s="979">
        <v>2691</v>
      </c>
      <c r="AG15" s="980">
        <f t="shared" si="6"/>
        <v>0</v>
      </c>
      <c r="AH15" s="981"/>
      <c r="AI15" s="951" t="s">
        <v>98</v>
      </c>
      <c r="AJ15" s="951"/>
      <c r="AK15" s="926">
        <f t="shared" si="9"/>
        <v>2691</v>
      </c>
      <c r="AL15" s="962">
        <f t="shared" si="7"/>
        <v>2691</v>
      </c>
      <c r="AN15" s="962"/>
      <c r="AO15" s="859">
        <f t="shared" si="8"/>
        <v>2691</v>
      </c>
      <c r="AR15" s="859">
        <f>I15/13</f>
        <v>207</v>
      </c>
      <c r="BE15" s="950"/>
      <c r="BF15" s="950"/>
      <c r="BG15" s="950"/>
      <c r="BH15" s="950"/>
      <c r="BI15" s="950"/>
      <c r="BN15" s="963"/>
      <c r="BO15" s="963"/>
      <c r="BP15" s="963"/>
      <c r="BQ15" s="963"/>
      <c r="BR15" s="963"/>
      <c r="BS15" s="963"/>
      <c r="BV15" s="964">
        <f t="shared" si="1"/>
        <v>0</v>
      </c>
      <c r="BW15" s="964">
        <f t="shared" si="2"/>
        <v>0</v>
      </c>
      <c r="BX15" s="308">
        <f t="shared" si="3"/>
        <v>128578</v>
      </c>
      <c r="BY15" s="963"/>
      <c r="BZ15" s="308">
        <f t="shared" si="4"/>
        <v>291422</v>
      </c>
      <c r="CA15" s="963"/>
      <c r="CB15" s="963"/>
      <c r="CC15" s="963"/>
      <c r="CH15" s="965"/>
      <c r="CI15" s="965"/>
      <c r="CJ15" s="965"/>
      <c r="CK15" s="965"/>
      <c r="CL15" s="965"/>
      <c r="CM15" s="965"/>
      <c r="CN15" s="965"/>
      <c r="CO15" s="965"/>
      <c r="CP15" s="965"/>
      <c r="CQ15" s="965"/>
      <c r="CR15" s="965"/>
      <c r="CS15" s="965"/>
      <c r="CT15" s="965"/>
      <c r="CU15" s="965"/>
      <c r="CV15" s="965"/>
      <c r="CW15" s="965"/>
      <c r="CX15" s="965"/>
      <c r="CY15" s="965"/>
      <c r="CZ15" s="965"/>
      <c r="DA15" s="965"/>
      <c r="DB15" s="965"/>
      <c r="DC15" s="965"/>
    </row>
    <row r="16" s="859" customFormat="1" ht="31" customHeight="1" spans="1:107">
      <c r="A16" s="948">
        <v>45877</v>
      </c>
      <c r="B16" s="949" t="s">
        <v>1574</v>
      </c>
      <c r="C16" s="950" t="s">
        <v>125</v>
      </c>
      <c r="D16" s="949">
        <v>4500176411</v>
      </c>
      <c r="E16" s="951">
        <v>217985572</v>
      </c>
      <c r="F16" s="952" t="s">
        <v>1580</v>
      </c>
      <c r="G16" s="953" t="s">
        <v>1537</v>
      </c>
      <c r="H16" s="954" t="s">
        <v>1538</v>
      </c>
      <c r="I16" s="954">
        <v>4784</v>
      </c>
      <c r="J16" s="954">
        <v>0</v>
      </c>
      <c r="K16" s="954">
        <v>13</v>
      </c>
      <c r="L16" s="955">
        <f t="shared" si="5"/>
        <v>368</v>
      </c>
      <c r="M16" s="956">
        <v>45920</v>
      </c>
      <c r="N16" s="956">
        <v>45916</v>
      </c>
      <c r="O16" s="967"/>
      <c r="P16" s="968" t="s">
        <v>86</v>
      </c>
      <c r="Q16" s="967" t="s">
        <v>1576</v>
      </c>
      <c r="R16" s="958">
        <v>45887</v>
      </c>
      <c r="S16" s="958" t="s">
        <v>98</v>
      </c>
      <c r="T16" s="958" t="s">
        <v>98</v>
      </c>
      <c r="U16" s="958"/>
      <c r="V16" s="952" t="s">
        <v>1577</v>
      </c>
      <c r="W16" s="959" t="s">
        <v>1578</v>
      </c>
      <c r="X16" s="960">
        <v>1.4565</v>
      </c>
      <c r="Y16" s="961">
        <f>X16*I16</f>
        <v>6967.896</v>
      </c>
      <c r="Z16" s="961"/>
      <c r="AA16" s="951" t="s">
        <v>1581</v>
      </c>
      <c r="AB16" s="953" t="s">
        <v>1537</v>
      </c>
      <c r="AC16" s="954" t="s">
        <v>93</v>
      </c>
      <c r="AD16" s="954" t="s">
        <v>94</v>
      </c>
      <c r="AE16" s="951"/>
      <c r="AF16" s="979">
        <v>4784</v>
      </c>
      <c r="AG16" s="980">
        <f t="shared" si="6"/>
        <v>0</v>
      </c>
      <c r="AH16" s="981"/>
      <c r="AI16" s="951" t="s">
        <v>98</v>
      </c>
      <c r="AJ16" s="951"/>
      <c r="AK16" s="926">
        <f t="shared" si="9"/>
        <v>4784</v>
      </c>
      <c r="AL16" s="962">
        <f t="shared" si="7"/>
        <v>4784</v>
      </c>
      <c r="AN16" s="962"/>
      <c r="AO16" s="859">
        <f t="shared" si="8"/>
        <v>4784</v>
      </c>
      <c r="AR16" s="859">
        <f>I16/13</f>
        <v>368</v>
      </c>
      <c r="BE16" s="950"/>
      <c r="BF16" s="950"/>
      <c r="BG16" s="950"/>
      <c r="BH16" s="950"/>
      <c r="BI16" s="950"/>
      <c r="BN16" s="963"/>
      <c r="BO16" s="963"/>
      <c r="BP16" s="963"/>
      <c r="BQ16" s="963"/>
      <c r="BR16" s="963"/>
      <c r="BS16" s="963"/>
      <c r="BV16" s="964">
        <f t="shared" si="1"/>
        <v>0</v>
      </c>
      <c r="BW16" s="964">
        <f t="shared" si="2"/>
        <v>0</v>
      </c>
      <c r="BX16" s="308">
        <f t="shared" si="3"/>
        <v>133362</v>
      </c>
      <c r="BY16" s="963"/>
      <c r="BZ16" s="308">
        <f t="shared" si="4"/>
        <v>286638</v>
      </c>
      <c r="CA16" s="963"/>
      <c r="CB16" s="963"/>
      <c r="CC16" s="963"/>
      <c r="CH16" s="965"/>
      <c r="CI16" s="965"/>
      <c r="CJ16" s="965"/>
      <c r="CK16" s="965"/>
      <c r="CL16" s="965"/>
      <c r="CM16" s="965"/>
      <c r="CN16" s="965"/>
      <c r="CO16" s="965"/>
      <c r="CP16" s="965"/>
      <c r="CQ16" s="965"/>
      <c r="CR16" s="965"/>
      <c r="CS16" s="965"/>
      <c r="CT16" s="965"/>
      <c r="CU16" s="965"/>
      <c r="CV16" s="965"/>
      <c r="CW16" s="965"/>
      <c r="CX16" s="965"/>
      <c r="CY16" s="965"/>
      <c r="CZ16" s="965"/>
      <c r="DA16" s="965"/>
      <c r="DB16" s="965"/>
      <c r="DC16" s="965"/>
    </row>
    <row r="17" s="859" customFormat="1" ht="31" customHeight="1" spans="1:107">
      <c r="A17" s="948">
        <v>45884</v>
      </c>
      <c r="B17" s="949" t="s">
        <v>578</v>
      </c>
      <c r="C17" s="950" t="s">
        <v>125</v>
      </c>
      <c r="D17" s="949">
        <v>4500177086</v>
      </c>
      <c r="E17" s="1422" t="s">
        <v>1582</v>
      </c>
      <c r="F17" s="952" t="s">
        <v>1583</v>
      </c>
      <c r="G17" s="953" t="s">
        <v>1584</v>
      </c>
      <c r="H17" s="954" t="s">
        <v>1585</v>
      </c>
      <c r="I17" s="954">
        <v>960</v>
      </c>
      <c r="J17" s="954">
        <v>0</v>
      </c>
      <c r="K17" s="954">
        <v>16</v>
      </c>
      <c r="L17" s="955">
        <f t="shared" si="5"/>
        <v>60</v>
      </c>
      <c r="M17" s="956">
        <v>45922</v>
      </c>
      <c r="N17" s="956">
        <v>45918</v>
      </c>
      <c r="O17" s="951" t="s">
        <v>1586</v>
      </c>
      <c r="P17" s="968" t="s">
        <v>86</v>
      </c>
      <c r="Q17" s="951" t="s">
        <v>1587</v>
      </c>
      <c r="R17" s="958">
        <v>45884</v>
      </c>
      <c r="S17" s="958" t="s">
        <v>98</v>
      </c>
      <c r="T17" s="958">
        <v>45902</v>
      </c>
      <c r="U17" s="958"/>
      <c r="V17" s="952" t="s">
        <v>1588</v>
      </c>
      <c r="W17" s="959" t="s">
        <v>247</v>
      </c>
      <c r="X17" s="960">
        <v>1.596</v>
      </c>
      <c r="Y17" s="961">
        <f>X17*I17</f>
        <v>1532.16</v>
      </c>
      <c r="Z17" s="961"/>
      <c r="AA17" s="951" t="s">
        <v>1589</v>
      </c>
      <c r="AB17" s="953" t="s">
        <v>1584</v>
      </c>
      <c r="AC17" s="954" t="s">
        <v>93</v>
      </c>
      <c r="AD17" s="954" t="s">
        <v>94</v>
      </c>
      <c r="AE17" s="951"/>
      <c r="AF17" s="979">
        <v>960</v>
      </c>
      <c r="AG17" s="979">
        <f t="shared" si="6"/>
        <v>0</v>
      </c>
      <c r="AH17" s="981"/>
      <c r="AI17" s="951" t="s">
        <v>95</v>
      </c>
      <c r="AJ17" s="951"/>
      <c r="AK17" s="926">
        <f t="shared" si="9"/>
        <v>960</v>
      </c>
      <c r="AL17" s="962">
        <f t="shared" si="7"/>
        <v>960</v>
      </c>
      <c r="AN17" s="962"/>
      <c r="AO17" s="859">
        <f t="shared" si="8"/>
        <v>960</v>
      </c>
      <c r="AY17" s="859">
        <f>I17/16</f>
        <v>60</v>
      </c>
      <c r="BE17" s="950"/>
      <c r="BF17" s="950"/>
      <c r="BG17" s="950"/>
      <c r="BH17" s="950"/>
      <c r="BI17" s="950"/>
      <c r="BN17" s="963"/>
      <c r="BO17" s="963"/>
      <c r="BP17" s="963"/>
      <c r="BQ17" s="963"/>
      <c r="BR17" s="963"/>
      <c r="BS17" s="963"/>
      <c r="BV17" s="964">
        <f t="shared" si="1"/>
        <v>60</v>
      </c>
      <c r="BW17" s="964">
        <f t="shared" si="2"/>
        <v>0</v>
      </c>
      <c r="BX17" s="308">
        <f t="shared" si="3"/>
        <v>134322</v>
      </c>
      <c r="BY17" s="963"/>
      <c r="BZ17" s="308">
        <f t="shared" si="4"/>
        <v>285678</v>
      </c>
      <c r="CA17" s="963"/>
      <c r="CB17" s="963"/>
      <c r="CC17" s="963"/>
      <c r="CH17" s="965"/>
      <c r="CI17" s="965"/>
      <c r="CJ17" s="965"/>
      <c r="CK17" s="965"/>
      <c r="CL17" s="965"/>
      <c r="CM17" s="965"/>
      <c r="CN17" s="965"/>
      <c r="CO17" s="965"/>
      <c r="CP17" s="965"/>
      <c r="CQ17" s="965"/>
      <c r="CR17" s="965"/>
      <c r="CS17" s="965"/>
      <c r="CT17" s="965"/>
      <c r="CU17" s="965"/>
      <c r="CV17" s="965"/>
      <c r="CW17" s="965"/>
      <c r="CX17" s="965"/>
      <c r="CY17" s="965"/>
      <c r="CZ17" s="965"/>
      <c r="DA17" s="965"/>
      <c r="DB17" s="965"/>
      <c r="DC17" s="965"/>
    </row>
    <row r="18" s="859" customFormat="1" ht="31" customHeight="1" spans="1:107">
      <c r="A18" s="948">
        <v>45889</v>
      </c>
      <c r="B18" s="949" t="s">
        <v>1590</v>
      </c>
      <c r="C18" s="950" t="s">
        <v>1591</v>
      </c>
      <c r="D18" s="949">
        <v>4500177281</v>
      </c>
      <c r="E18" s="951" t="s">
        <v>1592</v>
      </c>
      <c r="F18" s="982" t="s">
        <v>1593</v>
      </c>
      <c r="G18" s="953" t="s">
        <v>1532</v>
      </c>
      <c r="H18" s="954" t="s">
        <v>1524</v>
      </c>
      <c r="I18" s="954">
        <v>520</v>
      </c>
      <c r="J18" s="954">
        <v>0</v>
      </c>
      <c r="K18" s="954">
        <v>52</v>
      </c>
      <c r="L18" s="955">
        <f t="shared" si="5"/>
        <v>10</v>
      </c>
      <c r="M18" s="956">
        <v>45923</v>
      </c>
      <c r="N18" s="956">
        <v>45919</v>
      </c>
      <c r="O18" s="951"/>
      <c r="P18" s="968" t="s">
        <v>86</v>
      </c>
      <c r="Q18" s="951"/>
      <c r="R18" s="958">
        <v>45891</v>
      </c>
      <c r="S18" s="958" t="s">
        <v>98</v>
      </c>
      <c r="T18" s="958">
        <v>45895</v>
      </c>
      <c r="U18" s="958"/>
      <c r="V18" s="952" t="s">
        <v>1594</v>
      </c>
      <c r="W18" s="959" t="s">
        <v>481</v>
      </c>
      <c r="X18" s="960">
        <v>2.15</v>
      </c>
      <c r="Y18" s="961">
        <f>X18*I18</f>
        <v>1118</v>
      </c>
      <c r="Z18" s="961"/>
      <c r="AA18" s="951" t="s">
        <v>1595</v>
      </c>
      <c r="AB18" s="953" t="s">
        <v>1532</v>
      </c>
      <c r="AC18" s="954" t="s">
        <v>93</v>
      </c>
      <c r="AD18" s="954" t="s">
        <v>94</v>
      </c>
      <c r="AE18" s="951"/>
      <c r="AF18" s="979">
        <v>520</v>
      </c>
      <c r="AG18" s="979">
        <f t="shared" si="6"/>
        <v>0</v>
      </c>
      <c r="AH18" s="981"/>
      <c r="AI18" s="951" t="s">
        <v>95</v>
      </c>
      <c r="AJ18" s="951"/>
      <c r="AK18" s="926">
        <f t="shared" si="9"/>
        <v>520</v>
      </c>
      <c r="AL18" s="962">
        <f t="shared" si="7"/>
        <v>520</v>
      </c>
      <c r="AN18" s="962"/>
      <c r="AO18" s="859">
        <f t="shared" si="8"/>
        <v>520</v>
      </c>
      <c r="AR18" s="965">
        <f>I18/13</f>
        <v>40</v>
      </c>
      <c r="BE18" s="950"/>
      <c r="BF18" s="950"/>
      <c r="BG18" s="950"/>
      <c r="BH18" s="950"/>
      <c r="BI18" s="950"/>
      <c r="BN18" s="963"/>
      <c r="BO18" s="963"/>
      <c r="BP18" s="963"/>
      <c r="BQ18" s="963"/>
      <c r="BR18" s="963"/>
      <c r="BS18" s="963"/>
      <c r="BV18" s="964">
        <f t="shared" si="1"/>
        <v>0</v>
      </c>
      <c r="BW18" s="964">
        <f t="shared" si="2"/>
        <v>0</v>
      </c>
      <c r="BX18" s="308">
        <f t="shared" si="3"/>
        <v>134842</v>
      </c>
      <c r="BY18" s="963"/>
      <c r="BZ18" s="308">
        <f t="shared" si="4"/>
        <v>285158</v>
      </c>
      <c r="CA18" s="963"/>
      <c r="CB18" s="963"/>
      <c r="CC18" s="963"/>
      <c r="CH18" s="965"/>
      <c r="CI18" s="965"/>
      <c r="CJ18" s="965"/>
      <c r="CK18" s="965"/>
      <c r="CL18" s="965"/>
      <c r="CM18" s="965"/>
      <c r="CN18" s="965"/>
      <c r="CO18" s="965"/>
      <c r="CP18" s="965"/>
      <c r="CQ18" s="965"/>
      <c r="CR18" s="965"/>
      <c r="CS18" s="965"/>
      <c r="CT18" s="965"/>
      <c r="CU18" s="965"/>
      <c r="CV18" s="965"/>
      <c r="CW18" s="965"/>
      <c r="CX18" s="965"/>
      <c r="CY18" s="965"/>
      <c r="CZ18" s="965"/>
      <c r="DA18" s="965"/>
      <c r="DB18" s="965"/>
      <c r="DC18" s="965"/>
    </row>
    <row r="19" s="859" customFormat="1" ht="31" customHeight="1" spans="1:107">
      <c r="A19" s="948">
        <v>45889</v>
      </c>
      <c r="B19" s="949" t="s">
        <v>1259</v>
      </c>
      <c r="C19" s="950" t="s">
        <v>1260</v>
      </c>
      <c r="D19" s="949">
        <v>4500177396</v>
      </c>
      <c r="E19" s="951" t="s">
        <v>1596</v>
      </c>
      <c r="F19" s="982" t="s">
        <v>1597</v>
      </c>
      <c r="G19" s="953" t="s">
        <v>1532</v>
      </c>
      <c r="H19" s="954" t="s">
        <v>1524</v>
      </c>
      <c r="I19" s="954">
        <v>520</v>
      </c>
      <c r="J19" s="954">
        <v>0</v>
      </c>
      <c r="K19" s="954">
        <v>52</v>
      </c>
      <c r="L19" s="955">
        <f t="shared" si="5"/>
        <v>10</v>
      </c>
      <c r="M19" s="956">
        <v>45923</v>
      </c>
      <c r="N19" s="956">
        <v>45919</v>
      </c>
      <c r="O19" s="951" t="s">
        <v>1598</v>
      </c>
      <c r="P19" s="968" t="s">
        <v>86</v>
      </c>
      <c r="Q19" s="951"/>
      <c r="R19" s="958">
        <v>45895</v>
      </c>
      <c r="S19" s="958" t="s">
        <v>98</v>
      </c>
      <c r="T19" s="958" t="s">
        <v>98</v>
      </c>
      <c r="U19" s="958"/>
      <c r="V19" s="952" t="s">
        <v>1599</v>
      </c>
      <c r="W19" s="959" t="s">
        <v>481</v>
      </c>
      <c r="X19" s="960">
        <v>2.15</v>
      </c>
      <c r="Y19" s="961">
        <f>X19*I19</f>
        <v>1118</v>
      </c>
      <c r="Z19" s="961"/>
      <c r="AA19" s="951" t="s">
        <v>1600</v>
      </c>
      <c r="AB19" s="953" t="s">
        <v>1532</v>
      </c>
      <c r="AC19" s="954" t="s">
        <v>93</v>
      </c>
      <c r="AD19" s="954" t="s">
        <v>94</v>
      </c>
      <c r="AE19" s="951"/>
      <c r="AF19" s="979">
        <v>520</v>
      </c>
      <c r="AG19" s="979">
        <f t="shared" si="6"/>
        <v>0</v>
      </c>
      <c r="AH19" s="981"/>
      <c r="AI19" s="951" t="s">
        <v>98</v>
      </c>
      <c r="AJ19" s="951"/>
      <c r="AK19" s="926">
        <f t="shared" si="9"/>
        <v>520</v>
      </c>
      <c r="AL19" s="962">
        <f t="shared" si="7"/>
        <v>520</v>
      </c>
      <c r="AN19" s="962"/>
      <c r="AO19" s="859">
        <f t="shared" si="8"/>
        <v>520</v>
      </c>
      <c r="AR19" s="859">
        <f>I19/13</f>
        <v>40</v>
      </c>
      <c r="BE19" s="950"/>
      <c r="BF19" s="950"/>
      <c r="BG19" s="950"/>
      <c r="BH19" s="950"/>
      <c r="BI19" s="950"/>
      <c r="BN19" s="963"/>
      <c r="BO19" s="963"/>
      <c r="BP19" s="963"/>
      <c r="BQ19" s="963"/>
      <c r="BR19" s="963"/>
      <c r="BS19" s="963"/>
      <c r="BV19" s="964">
        <f t="shared" si="1"/>
        <v>0</v>
      </c>
      <c r="BW19" s="964">
        <f t="shared" si="2"/>
        <v>0</v>
      </c>
      <c r="BX19" s="308">
        <f t="shared" si="3"/>
        <v>135362</v>
      </c>
      <c r="BY19" s="963"/>
      <c r="BZ19" s="308">
        <f t="shared" si="4"/>
        <v>284638</v>
      </c>
      <c r="CA19" s="963"/>
      <c r="CB19" s="963"/>
      <c r="CC19" s="963"/>
      <c r="CH19" s="965"/>
      <c r="CI19" s="965"/>
      <c r="CJ19" s="965"/>
      <c r="CK19" s="965"/>
      <c r="CL19" s="965"/>
      <c r="CM19" s="965"/>
      <c r="CN19" s="965"/>
      <c r="CO19" s="965"/>
      <c r="CP19" s="965"/>
      <c r="CQ19" s="965"/>
      <c r="CR19" s="965"/>
      <c r="CS19" s="965"/>
      <c r="CT19" s="965"/>
      <c r="CU19" s="965"/>
      <c r="CV19" s="965"/>
      <c r="CW19" s="965"/>
      <c r="CX19" s="965"/>
      <c r="CY19" s="965"/>
      <c r="CZ19" s="965"/>
      <c r="DA19" s="965"/>
      <c r="DB19" s="965"/>
      <c r="DC19" s="965"/>
    </row>
    <row r="20" s="859" customFormat="1" ht="31" customHeight="1" spans="1:107">
      <c r="A20" s="948">
        <v>45884</v>
      </c>
      <c r="B20" s="949"/>
      <c r="C20" s="950"/>
      <c r="D20" s="949" t="s">
        <v>1601</v>
      </c>
      <c r="E20" s="951"/>
      <c r="F20" s="952"/>
      <c r="G20" s="953" t="s">
        <v>1532</v>
      </c>
      <c r="H20" s="954" t="s">
        <v>1524</v>
      </c>
      <c r="I20" s="954">
        <v>390</v>
      </c>
      <c r="J20" s="954">
        <v>0</v>
      </c>
      <c r="K20" s="954">
        <v>52</v>
      </c>
      <c r="L20" s="955">
        <f t="shared" si="5"/>
        <v>7.5</v>
      </c>
      <c r="M20" s="956">
        <v>45909</v>
      </c>
      <c r="N20" s="956">
        <v>45905</v>
      </c>
      <c r="O20" s="951"/>
      <c r="P20" s="968" t="s">
        <v>86</v>
      </c>
      <c r="Q20" s="951"/>
      <c r="R20" s="958" t="s">
        <v>97</v>
      </c>
      <c r="S20" s="958" t="s">
        <v>98</v>
      </c>
      <c r="T20" s="958" t="s">
        <v>98</v>
      </c>
      <c r="U20" s="958"/>
      <c r="V20" s="952" t="s">
        <v>1602</v>
      </c>
      <c r="W20" s="959" t="s">
        <v>100</v>
      </c>
      <c r="X20" s="960"/>
      <c r="Y20" s="961"/>
      <c r="Z20" s="961"/>
      <c r="AA20" s="951" t="s">
        <v>1603</v>
      </c>
      <c r="AB20" s="953" t="s">
        <v>1532</v>
      </c>
      <c r="AC20" s="954" t="s">
        <v>93</v>
      </c>
      <c r="AD20" s="954" t="s">
        <v>94</v>
      </c>
      <c r="AE20" s="951"/>
      <c r="AF20" s="979">
        <v>390</v>
      </c>
      <c r="AG20" s="980">
        <f t="shared" si="6"/>
        <v>0</v>
      </c>
      <c r="AH20" s="981"/>
      <c r="AI20" s="951"/>
      <c r="AJ20" s="951"/>
      <c r="AK20" s="926">
        <f t="shared" si="9"/>
        <v>390</v>
      </c>
      <c r="AL20" s="962">
        <f t="shared" si="7"/>
        <v>390</v>
      </c>
      <c r="AM20" s="962"/>
      <c r="AN20" s="962"/>
      <c r="AO20" s="859">
        <f t="shared" si="8"/>
        <v>390</v>
      </c>
      <c r="AR20" s="859">
        <f>I20/13</f>
        <v>30</v>
      </c>
      <c r="BE20" s="950"/>
      <c r="BF20" s="950"/>
      <c r="BG20" s="950"/>
      <c r="BH20" s="950"/>
      <c r="BI20" s="950"/>
      <c r="BN20" s="963"/>
      <c r="BO20" s="963"/>
      <c r="BP20" s="963"/>
      <c r="BQ20" s="963"/>
      <c r="BR20" s="963"/>
      <c r="BS20" s="963"/>
      <c r="BV20" s="964">
        <f t="shared" si="1"/>
        <v>0</v>
      </c>
      <c r="BW20" s="964">
        <f t="shared" si="2"/>
        <v>0</v>
      </c>
      <c r="BX20" s="308">
        <f t="shared" si="3"/>
        <v>135752</v>
      </c>
      <c r="BY20" s="963"/>
      <c r="BZ20" s="308">
        <f t="shared" si="4"/>
        <v>284248</v>
      </c>
      <c r="CA20" s="963"/>
      <c r="CB20" s="963"/>
      <c r="CC20" s="963"/>
      <c r="CH20" s="965"/>
      <c r="CI20" s="965"/>
      <c r="CJ20" s="965"/>
      <c r="CK20" s="965"/>
      <c r="CL20" s="965"/>
      <c r="CM20" s="965"/>
      <c r="CN20" s="965"/>
      <c r="CO20" s="965"/>
      <c r="CP20" s="965"/>
      <c r="CQ20" s="965"/>
      <c r="CR20" s="965"/>
      <c r="CS20" s="965"/>
      <c r="CT20" s="965"/>
      <c r="CU20" s="965"/>
      <c r="CV20" s="965"/>
      <c r="CW20" s="965"/>
      <c r="CX20" s="965"/>
      <c r="CY20" s="965"/>
      <c r="CZ20" s="965"/>
      <c r="DA20" s="965"/>
      <c r="DB20" s="965"/>
      <c r="DC20" s="965"/>
    </row>
    <row r="21" s="859" customFormat="1" ht="31" customHeight="1" spans="1:107">
      <c r="A21" s="948">
        <v>45884</v>
      </c>
      <c r="B21" s="949"/>
      <c r="C21" s="950"/>
      <c r="D21" s="949" t="s">
        <v>1601</v>
      </c>
      <c r="E21" s="951"/>
      <c r="F21" s="952"/>
      <c r="G21" s="953" t="s">
        <v>1523</v>
      </c>
      <c r="H21" s="954" t="s">
        <v>1524</v>
      </c>
      <c r="I21" s="954">
        <v>1500</v>
      </c>
      <c r="J21" s="954">
        <v>0</v>
      </c>
      <c r="K21" s="954">
        <v>25</v>
      </c>
      <c r="L21" s="955">
        <f t="shared" si="5"/>
        <v>60</v>
      </c>
      <c r="M21" s="956">
        <v>45909</v>
      </c>
      <c r="N21" s="956">
        <v>45905</v>
      </c>
      <c r="O21" s="951"/>
      <c r="P21" s="968" t="s">
        <v>86</v>
      </c>
      <c r="Q21" s="951"/>
      <c r="R21" s="958" t="s">
        <v>97</v>
      </c>
      <c r="S21" s="958" t="s">
        <v>98</v>
      </c>
      <c r="T21" s="958" t="s">
        <v>98</v>
      </c>
      <c r="U21" s="958"/>
      <c r="V21" s="952" t="s">
        <v>1602</v>
      </c>
      <c r="W21" s="959" t="s">
        <v>100</v>
      </c>
      <c r="X21" s="960"/>
      <c r="Y21" s="961"/>
      <c r="Z21" s="961"/>
      <c r="AA21" s="951" t="s">
        <v>1603</v>
      </c>
      <c r="AB21" s="951" t="s">
        <v>1523</v>
      </c>
      <c r="AC21" s="954" t="s">
        <v>93</v>
      </c>
      <c r="AD21" s="954" t="s">
        <v>94</v>
      </c>
      <c r="AE21" s="951"/>
      <c r="AF21" s="979">
        <v>1500</v>
      </c>
      <c r="AG21" s="980">
        <f t="shared" si="6"/>
        <v>0</v>
      </c>
      <c r="AH21" s="981"/>
      <c r="AI21" s="951"/>
      <c r="AJ21" s="951"/>
      <c r="AK21" s="926">
        <f t="shared" si="9"/>
        <v>1500</v>
      </c>
      <c r="AL21" s="962">
        <f t="shared" si="7"/>
        <v>1500</v>
      </c>
      <c r="AM21" s="962"/>
      <c r="AN21" s="962"/>
      <c r="AO21" s="962">
        <f t="shared" si="8"/>
        <v>1500</v>
      </c>
      <c r="AQ21" s="962"/>
      <c r="AT21" s="859">
        <f>I21/K21</f>
        <v>60</v>
      </c>
      <c r="BE21" s="950"/>
      <c r="BF21" s="950"/>
      <c r="BG21" s="950"/>
      <c r="BH21" s="950"/>
      <c r="BI21" s="950"/>
      <c r="BN21" s="963"/>
      <c r="BO21" s="963"/>
      <c r="BP21" s="963"/>
      <c r="BQ21" s="963"/>
      <c r="BR21" s="963"/>
      <c r="BS21" s="963"/>
      <c r="BV21" s="964">
        <f t="shared" si="1"/>
        <v>60</v>
      </c>
      <c r="BW21" s="964">
        <f t="shared" si="2"/>
        <v>0</v>
      </c>
      <c r="BX21" s="308">
        <f t="shared" si="3"/>
        <v>137252</v>
      </c>
      <c r="BY21" s="963"/>
      <c r="BZ21" s="308">
        <f t="shared" si="4"/>
        <v>282748</v>
      </c>
      <c r="CA21" s="963"/>
      <c r="CB21" s="963"/>
      <c r="CC21" s="963"/>
      <c r="CH21" s="965"/>
      <c r="CI21" s="965"/>
      <c r="CJ21" s="965"/>
      <c r="CK21" s="965"/>
      <c r="CL21" s="965"/>
      <c r="CM21" s="965"/>
      <c r="CN21" s="965"/>
      <c r="CO21" s="965"/>
      <c r="CP21" s="965"/>
      <c r="CQ21" s="965"/>
      <c r="CR21" s="965"/>
      <c r="CS21" s="965"/>
      <c r="CT21" s="965"/>
      <c r="CU21" s="965"/>
      <c r="CV21" s="965"/>
      <c r="CW21" s="965"/>
      <c r="CX21" s="965"/>
      <c r="CY21" s="965"/>
      <c r="CZ21" s="965"/>
      <c r="DA21" s="965"/>
      <c r="DB21" s="965"/>
      <c r="DC21" s="965"/>
    </row>
    <row r="22" s="859" customFormat="1" ht="31" customHeight="1" spans="1:107">
      <c r="A22" s="948">
        <v>45894</v>
      </c>
      <c r="B22" s="949" t="s">
        <v>1604</v>
      </c>
      <c r="C22" s="950" t="s">
        <v>1544</v>
      </c>
      <c r="D22" s="949">
        <v>4500179435</v>
      </c>
      <c r="E22" s="951">
        <v>5200007745</v>
      </c>
      <c r="F22" s="952" t="s">
        <v>1605</v>
      </c>
      <c r="G22" s="953" t="s">
        <v>1532</v>
      </c>
      <c r="H22" s="954" t="s">
        <v>1524</v>
      </c>
      <c r="I22" s="954">
        <v>208</v>
      </c>
      <c r="J22" s="954">
        <v>0</v>
      </c>
      <c r="K22" s="954">
        <v>52</v>
      </c>
      <c r="L22" s="955">
        <f t="shared" ref="L22:L80" si="10">I22/K22</f>
        <v>4</v>
      </c>
      <c r="M22" s="956">
        <v>45915</v>
      </c>
      <c r="N22" s="956">
        <v>45911</v>
      </c>
      <c r="O22" s="951"/>
      <c r="P22" s="968" t="s">
        <v>86</v>
      </c>
      <c r="Q22" s="951"/>
      <c r="R22" s="983" t="s">
        <v>1606</v>
      </c>
      <c r="S22" s="958" t="s">
        <v>88</v>
      </c>
      <c r="T22" s="983" t="s">
        <v>1607</v>
      </c>
      <c r="U22" s="983"/>
      <c r="V22" s="952" t="s">
        <v>1608</v>
      </c>
      <c r="W22" s="959" t="s">
        <v>1609</v>
      </c>
      <c r="X22" s="960"/>
      <c r="Y22" s="961"/>
      <c r="Z22" s="961"/>
      <c r="AA22" s="951" t="s">
        <v>1610</v>
      </c>
      <c r="AB22" s="953" t="s">
        <v>1532</v>
      </c>
      <c r="AC22" s="954" t="s">
        <v>93</v>
      </c>
      <c r="AD22" s="954" t="s">
        <v>94</v>
      </c>
      <c r="AE22" s="951"/>
      <c r="AF22" s="979">
        <v>208</v>
      </c>
      <c r="AG22" s="980">
        <f t="shared" si="6"/>
        <v>0</v>
      </c>
      <c r="AH22" s="981"/>
      <c r="AI22" s="951" t="s">
        <v>95</v>
      </c>
      <c r="AJ22" s="951"/>
      <c r="AK22" s="926">
        <f t="shared" si="9"/>
        <v>208</v>
      </c>
      <c r="AL22" s="962">
        <f t="shared" si="7"/>
        <v>208</v>
      </c>
      <c r="AM22" s="962"/>
      <c r="AN22" s="962"/>
      <c r="AO22" s="859">
        <f t="shared" si="8"/>
        <v>208</v>
      </c>
      <c r="AR22" s="859">
        <f>I22/13</f>
        <v>16</v>
      </c>
      <c r="BE22" s="950"/>
      <c r="BF22" s="950"/>
      <c r="BG22" s="950"/>
      <c r="BH22" s="950"/>
      <c r="BI22" s="950"/>
      <c r="BN22" s="963"/>
      <c r="BO22" s="963"/>
      <c r="BP22" s="963"/>
      <c r="BQ22" s="963"/>
      <c r="BR22" s="963"/>
      <c r="BS22" s="963"/>
      <c r="BV22" s="964">
        <f t="shared" si="1"/>
        <v>0</v>
      </c>
      <c r="BW22" s="964">
        <f t="shared" si="2"/>
        <v>0</v>
      </c>
      <c r="BX22" s="308">
        <f t="shared" si="3"/>
        <v>137460</v>
      </c>
      <c r="BY22" s="963"/>
      <c r="BZ22" s="308">
        <f t="shared" si="4"/>
        <v>282540</v>
      </c>
      <c r="CA22" s="963"/>
      <c r="CB22" s="963"/>
      <c r="CC22" s="963"/>
      <c r="CH22" s="965"/>
      <c r="CI22" s="965"/>
      <c r="CJ22" s="965"/>
      <c r="CK22" s="965"/>
      <c r="CL22" s="965"/>
      <c r="CM22" s="965"/>
      <c r="CN22" s="965"/>
      <c r="CO22" s="965"/>
      <c r="CP22" s="965"/>
      <c r="CQ22" s="965"/>
      <c r="CR22" s="965"/>
      <c r="CS22" s="965"/>
      <c r="CT22" s="965"/>
      <c r="CU22" s="965"/>
      <c r="CV22" s="965"/>
      <c r="CW22" s="965"/>
      <c r="CX22" s="965"/>
      <c r="CY22" s="965"/>
      <c r="CZ22" s="965"/>
      <c r="DA22" s="965"/>
      <c r="DB22" s="965"/>
      <c r="DC22" s="965"/>
    </row>
    <row r="23" s="859" customFormat="1" ht="31" customHeight="1" spans="1:107">
      <c r="A23" s="948">
        <v>45868</v>
      </c>
      <c r="B23" s="949" t="s">
        <v>1611</v>
      </c>
      <c r="C23" s="950" t="s">
        <v>110</v>
      </c>
      <c r="D23" s="949">
        <v>4500175551</v>
      </c>
      <c r="E23" s="951">
        <v>5200007337</v>
      </c>
      <c r="F23" s="952" t="s">
        <v>1612</v>
      </c>
      <c r="G23" s="953" t="s">
        <v>1613</v>
      </c>
      <c r="H23" s="954" t="s">
        <v>1614</v>
      </c>
      <c r="I23" s="954">
        <v>3601</v>
      </c>
      <c r="J23" s="954">
        <v>0</v>
      </c>
      <c r="K23" s="954">
        <v>13</v>
      </c>
      <c r="L23" s="955">
        <f t="shared" si="10"/>
        <v>277</v>
      </c>
      <c r="M23" s="956">
        <v>45919</v>
      </c>
      <c r="N23" s="956">
        <v>45915</v>
      </c>
      <c r="O23" s="951"/>
      <c r="P23" s="968" t="s">
        <v>86</v>
      </c>
      <c r="Q23" s="951"/>
      <c r="R23" s="958">
        <v>45868</v>
      </c>
      <c r="S23" s="958" t="s">
        <v>98</v>
      </c>
      <c r="T23" s="958">
        <v>45869</v>
      </c>
      <c r="U23" s="958"/>
      <c r="V23" s="952" t="s">
        <v>1615</v>
      </c>
      <c r="W23" s="959" t="s">
        <v>717</v>
      </c>
      <c r="X23" s="960">
        <v>2.39</v>
      </c>
      <c r="Y23" s="961">
        <f>I23*X23</f>
        <v>8606.39</v>
      </c>
      <c r="Z23" s="961"/>
      <c r="AA23" s="951" t="s">
        <v>1616</v>
      </c>
      <c r="AB23" s="953" t="s">
        <v>1613</v>
      </c>
      <c r="AC23" s="954" t="s">
        <v>93</v>
      </c>
      <c r="AD23" s="954" t="s">
        <v>94</v>
      </c>
      <c r="AE23" s="951"/>
      <c r="AF23" s="979">
        <v>3601</v>
      </c>
      <c r="AG23" s="980">
        <f t="shared" si="6"/>
        <v>0</v>
      </c>
      <c r="AH23" s="981"/>
      <c r="AI23" s="951" t="s">
        <v>95</v>
      </c>
      <c r="AJ23" s="951"/>
      <c r="AK23" s="926">
        <f t="shared" si="9"/>
        <v>3601</v>
      </c>
      <c r="AL23" s="962"/>
      <c r="AN23" s="962">
        <f>I23</f>
        <v>3601</v>
      </c>
      <c r="AO23" s="859">
        <f t="shared" si="8"/>
        <v>3601</v>
      </c>
      <c r="AS23" s="859">
        <f>I23/13</f>
        <v>277</v>
      </c>
      <c r="BE23" s="950"/>
      <c r="BF23" s="950"/>
      <c r="BG23" s="950"/>
      <c r="BH23" s="950"/>
      <c r="BI23" s="950"/>
      <c r="BN23" s="963"/>
      <c r="BO23" s="963"/>
      <c r="BP23" s="963"/>
      <c r="BQ23" s="963"/>
      <c r="BR23" s="963"/>
      <c r="BS23" s="963"/>
      <c r="BV23" s="964">
        <f t="shared" si="1"/>
        <v>0</v>
      </c>
      <c r="BW23" s="964">
        <f t="shared" si="2"/>
        <v>0</v>
      </c>
      <c r="BX23" s="308">
        <f t="shared" si="3"/>
        <v>141061</v>
      </c>
      <c r="BY23" s="963"/>
      <c r="BZ23" s="308">
        <f t="shared" si="4"/>
        <v>278939</v>
      </c>
      <c r="CA23" s="963"/>
      <c r="CB23" s="963"/>
      <c r="CC23" s="963"/>
      <c r="CH23" s="965"/>
      <c r="CI23" s="965"/>
      <c r="CJ23" s="965"/>
      <c r="CK23" s="965"/>
      <c r="CL23" s="965"/>
      <c r="CM23" s="965"/>
      <c r="CN23" s="965"/>
      <c r="CO23" s="965"/>
      <c r="CP23" s="965"/>
      <c r="CQ23" s="965"/>
      <c r="CR23" s="965"/>
      <c r="CS23" s="965"/>
      <c r="CT23" s="965"/>
      <c r="CU23" s="965"/>
      <c r="CV23" s="965"/>
      <c r="CW23" s="965"/>
      <c r="CX23" s="965"/>
      <c r="CY23" s="965"/>
      <c r="CZ23" s="965"/>
      <c r="DA23" s="965"/>
      <c r="DB23" s="965"/>
      <c r="DC23" s="965"/>
    </row>
    <row r="24" s="859" customFormat="1" ht="31" customHeight="1" spans="1:107">
      <c r="A24" s="948">
        <v>45894</v>
      </c>
      <c r="B24" s="949" t="s">
        <v>1267</v>
      </c>
      <c r="C24" s="950" t="s">
        <v>125</v>
      </c>
      <c r="D24" s="949">
        <v>4500177726</v>
      </c>
      <c r="E24" s="951">
        <v>4758</v>
      </c>
      <c r="F24" s="982" t="s">
        <v>1617</v>
      </c>
      <c r="G24" s="953" t="s">
        <v>1523</v>
      </c>
      <c r="H24" s="954" t="s">
        <v>1524</v>
      </c>
      <c r="I24" s="954">
        <v>700</v>
      </c>
      <c r="J24" s="954">
        <v>0</v>
      </c>
      <c r="K24" s="954">
        <v>50</v>
      </c>
      <c r="L24" s="955">
        <f t="shared" si="10"/>
        <v>14</v>
      </c>
      <c r="M24" s="956">
        <v>45930</v>
      </c>
      <c r="N24" s="956">
        <v>45926</v>
      </c>
      <c r="O24" s="951"/>
      <c r="P24" s="968" t="s">
        <v>86</v>
      </c>
      <c r="Q24" s="951"/>
      <c r="R24" s="958">
        <v>45896</v>
      </c>
      <c r="S24" s="958" t="s">
        <v>98</v>
      </c>
      <c r="T24" s="958" t="s">
        <v>98</v>
      </c>
      <c r="U24" s="958"/>
      <c r="V24" s="952" t="s">
        <v>1618</v>
      </c>
      <c r="W24" s="959" t="s">
        <v>1270</v>
      </c>
      <c r="X24" s="960">
        <v>1.41</v>
      </c>
      <c r="Y24" s="961">
        <f>X24*I24</f>
        <v>987</v>
      </c>
      <c r="Z24" s="961"/>
      <c r="AA24" s="951" t="s">
        <v>1619</v>
      </c>
      <c r="AB24" s="951" t="s">
        <v>1523</v>
      </c>
      <c r="AC24" s="954" t="s">
        <v>93</v>
      </c>
      <c r="AD24" s="954" t="s">
        <v>94</v>
      </c>
      <c r="AE24" s="951"/>
      <c r="AF24" s="979">
        <v>700</v>
      </c>
      <c r="AG24" s="980">
        <f t="shared" si="6"/>
        <v>0</v>
      </c>
      <c r="AH24" s="981"/>
      <c r="AI24" s="951" t="s">
        <v>98</v>
      </c>
      <c r="AJ24" s="951"/>
      <c r="AK24" s="926">
        <f t="shared" si="9"/>
        <v>700</v>
      </c>
      <c r="AL24" s="962">
        <f t="shared" ref="AL24:AL52" si="11">I24</f>
        <v>700</v>
      </c>
      <c r="AN24" s="962"/>
      <c r="AO24" s="962">
        <f t="shared" si="8"/>
        <v>700</v>
      </c>
      <c r="AQ24" s="962"/>
      <c r="AT24" s="859">
        <f>L24*2</f>
        <v>28</v>
      </c>
      <c r="BE24" s="950"/>
      <c r="BF24" s="950"/>
      <c r="BG24" s="950"/>
      <c r="BH24" s="950"/>
      <c r="BI24" s="950"/>
      <c r="BN24" s="963"/>
      <c r="BO24" s="963"/>
      <c r="BP24" s="963"/>
      <c r="BQ24" s="963"/>
      <c r="BR24" s="963"/>
      <c r="BS24" s="963"/>
      <c r="BV24" s="964">
        <f t="shared" si="1"/>
        <v>28</v>
      </c>
      <c r="BW24" s="964">
        <f t="shared" si="2"/>
        <v>0</v>
      </c>
      <c r="BX24" s="308">
        <f t="shared" si="3"/>
        <v>141761</v>
      </c>
      <c r="BY24" s="963"/>
      <c r="BZ24" s="308">
        <f t="shared" si="4"/>
        <v>278239</v>
      </c>
      <c r="CA24" s="963"/>
      <c r="CB24" s="963"/>
      <c r="CC24" s="963"/>
      <c r="CH24" s="965"/>
      <c r="CI24" s="965"/>
      <c r="CJ24" s="965"/>
      <c r="CK24" s="965"/>
      <c r="CL24" s="965"/>
      <c r="CM24" s="965"/>
      <c r="CN24" s="965"/>
      <c r="CO24" s="965"/>
      <c r="CP24" s="965"/>
      <c r="CQ24" s="965"/>
      <c r="CR24" s="965"/>
      <c r="CS24" s="965"/>
      <c r="CT24" s="965"/>
      <c r="CU24" s="965"/>
      <c r="CV24" s="965"/>
      <c r="CW24" s="965"/>
      <c r="CX24" s="965"/>
      <c r="CY24" s="965"/>
      <c r="CZ24" s="965"/>
      <c r="DA24" s="965"/>
      <c r="DB24" s="965"/>
      <c r="DC24" s="965"/>
    </row>
    <row r="25" s="859" customFormat="1" ht="31" customHeight="1" spans="1:107">
      <c r="A25" s="948">
        <v>45888</v>
      </c>
      <c r="B25" s="949" t="s">
        <v>1548</v>
      </c>
      <c r="C25" s="950" t="s">
        <v>125</v>
      </c>
      <c r="D25" s="949">
        <v>4500177334</v>
      </c>
      <c r="E25" s="951" t="s">
        <v>1620</v>
      </c>
      <c r="F25" s="982" t="s">
        <v>1621</v>
      </c>
      <c r="G25" s="953" t="s">
        <v>1570</v>
      </c>
      <c r="H25" s="954" t="s">
        <v>1571</v>
      </c>
      <c r="I25" s="954">
        <v>21975</v>
      </c>
      <c r="J25" s="954">
        <v>0</v>
      </c>
      <c r="K25" s="954">
        <v>25</v>
      </c>
      <c r="L25" s="955">
        <f t="shared" si="10"/>
        <v>879</v>
      </c>
      <c r="M25" s="956">
        <v>45930</v>
      </c>
      <c r="N25" s="956">
        <v>45926</v>
      </c>
      <c r="O25" s="951"/>
      <c r="P25" s="968" t="s">
        <v>86</v>
      </c>
      <c r="Q25" s="951"/>
      <c r="R25" s="958">
        <v>45891</v>
      </c>
      <c r="S25" s="958" t="s">
        <v>88</v>
      </c>
      <c r="T25" s="958">
        <v>45891</v>
      </c>
      <c r="U25" s="958"/>
      <c r="V25" s="952" t="s">
        <v>1622</v>
      </c>
      <c r="W25" s="959" t="s">
        <v>1554</v>
      </c>
      <c r="X25" s="960">
        <v>1.5848</v>
      </c>
      <c r="Y25" s="961">
        <f>I25*X25</f>
        <v>34825.98</v>
      </c>
      <c r="Z25" s="961"/>
      <c r="AA25" s="951" t="s">
        <v>1623</v>
      </c>
      <c r="AB25" s="953" t="s">
        <v>1570</v>
      </c>
      <c r="AC25" s="954" t="s">
        <v>93</v>
      </c>
      <c r="AD25" s="954" t="s">
        <v>94</v>
      </c>
      <c r="AE25" s="951"/>
      <c r="AF25" s="979">
        <v>21975</v>
      </c>
      <c r="AG25" s="979">
        <f t="shared" si="6"/>
        <v>0</v>
      </c>
      <c r="AH25" s="981"/>
      <c r="AI25" s="951" t="s">
        <v>95</v>
      </c>
      <c r="AJ25" s="951"/>
      <c r="AK25" s="926">
        <f t="shared" si="9"/>
        <v>21975</v>
      </c>
      <c r="AL25" s="962">
        <f t="shared" si="11"/>
        <v>21975</v>
      </c>
      <c r="AN25" s="962"/>
      <c r="AO25" s="859">
        <f t="shared" si="8"/>
        <v>21975</v>
      </c>
      <c r="AT25" s="859">
        <f>I25/25</f>
        <v>879</v>
      </c>
      <c r="BE25" s="950"/>
      <c r="BF25" s="950"/>
      <c r="BG25" s="950"/>
      <c r="BH25" s="950"/>
      <c r="BI25" s="950"/>
      <c r="BN25" s="963"/>
      <c r="BO25" s="963"/>
      <c r="BP25" s="963"/>
      <c r="BQ25" s="963"/>
      <c r="BR25" s="963"/>
      <c r="BS25" s="963"/>
      <c r="BV25" s="964">
        <f t="shared" si="1"/>
        <v>879</v>
      </c>
      <c r="BW25" s="964">
        <f t="shared" si="2"/>
        <v>0</v>
      </c>
      <c r="BX25" s="308">
        <f t="shared" si="3"/>
        <v>163736</v>
      </c>
      <c r="BY25" s="963"/>
      <c r="BZ25" s="308">
        <f t="shared" si="4"/>
        <v>256264</v>
      </c>
      <c r="CA25" s="963"/>
      <c r="CB25" s="963"/>
      <c r="CC25" s="963"/>
      <c r="CH25" s="965"/>
      <c r="CI25" s="965"/>
      <c r="CJ25" s="965"/>
      <c r="CK25" s="965"/>
      <c r="CL25" s="965"/>
      <c r="CM25" s="965"/>
      <c r="CN25" s="965"/>
      <c r="CO25" s="965"/>
      <c r="CP25" s="965"/>
      <c r="CQ25" s="965"/>
      <c r="CR25" s="965"/>
      <c r="CS25" s="965"/>
      <c r="CT25" s="965"/>
      <c r="CU25" s="965"/>
      <c r="CV25" s="965"/>
      <c r="CW25" s="965"/>
      <c r="CX25" s="965"/>
      <c r="CY25" s="965"/>
      <c r="CZ25" s="965"/>
      <c r="DA25" s="965"/>
      <c r="DB25" s="965"/>
      <c r="DC25" s="965"/>
    </row>
    <row r="26" s="859" customFormat="1" ht="31" customHeight="1" spans="1:107">
      <c r="A26" s="948">
        <v>45891</v>
      </c>
      <c r="B26" s="949" t="s">
        <v>578</v>
      </c>
      <c r="C26" s="950" t="s">
        <v>125</v>
      </c>
      <c r="D26" s="949">
        <v>4500177643</v>
      </c>
      <c r="E26" s="1422" t="s">
        <v>1624</v>
      </c>
      <c r="F26" s="949" t="s">
        <v>1625</v>
      </c>
      <c r="G26" s="953" t="s">
        <v>1584</v>
      </c>
      <c r="H26" s="954" t="s">
        <v>1585</v>
      </c>
      <c r="I26" s="954">
        <v>960</v>
      </c>
      <c r="J26" s="954">
        <v>0</v>
      </c>
      <c r="K26" s="954">
        <v>16</v>
      </c>
      <c r="L26" s="955">
        <f t="shared" si="10"/>
        <v>60</v>
      </c>
      <c r="M26" s="956">
        <v>45938</v>
      </c>
      <c r="N26" s="956">
        <v>45934</v>
      </c>
      <c r="O26" s="951">
        <v>45943</v>
      </c>
      <c r="P26" s="968" t="s">
        <v>86</v>
      </c>
      <c r="Q26" s="951"/>
      <c r="R26" s="958" t="s">
        <v>296</v>
      </c>
      <c r="S26" s="958" t="s">
        <v>98</v>
      </c>
      <c r="T26" s="958">
        <v>45902</v>
      </c>
      <c r="U26" s="958"/>
      <c r="V26" s="952" t="s">
        <v>1626</v>
      </c>
      <c r="W26" s="959" t="s">
        <v>247</v>
      </c>
      <c r="X26" s="960">
        <v>1.596</v>
      </c>
      <c r="Y26" s="961">
        <f t="shared" ref="Y26:Y36" si="12">X26*I26</f>
        <v>1532.16</v>
      </c>
      <c r="Z26" s="961"/>
      <c r="AA26" s="951" t="s">
        <v>1627</v>
      </c>
      <c r="AB26" s="953" t="s">
        <v>1584</v>
      </c>
      <c r="AC26" s="954" t="s">
        <v>93</v>
      </c>
      <c r="AD26" s="954" t="s">
        <v>94</v>
      </c>
      <c r="AE26" s="951"/>
      <c r="AF26" s="979">
        <v>960</v>
      </c>
      <c r="AG26" s="979">
        <f t="shared" si="6"/>
        <v>0</v>
      </c>
      <c r="AH26" s="981"/>
      <c r="AI26" s="951"/>
      <c r="AJ26" s="951"/>
      <c r="AK26" s="926">
        <f t="shared" si="9"/>
        <v>960</v>
      </c>
      <c r="AL26" s="962">
        <f t="shared" si="11"/>
        <v>960</v>
      </c>
      <c r="AN26" s="962"/>
      <c r="AO26" s="859">
        <f t="shared" si="8"/>
        <v>960</v>
      </c>
      <c r="AY26" s="859">
        <f>I26/16</f>
        <v>60</v>
      </c>
      <c r="BE26" s="950"/>
      <c r="BF26" s="950"/>
      <c r="BG26" s="950"/>
      <c r="BH26" s="950"/>
      <c r="BI26" s="950"/>
      <c r="BN26" s="963"/>
      <c r="BO26" s="963"/>
      <c r="BP26" s="963"/>
      <c r="BQ26" s="963"/>
      <c r="BR26" s="963"/>
      <c r="BS26" s="963"/>
      <c r="BV26" s="964">
        <f t="shared" si="1"/>
        <v>60</v>
      </c>
      <c r="BW26" s="964">
        <f t="shared" si="2"/>
        <v>0</v>
      </c>
      <c r="BX26" s="308">
        <f t="shared" si="3"/>
        <v>164696</v>
      </c>
      <c r="BY26" s="963"/>
      <c r="BZ26" s="308">
        <f t="shared" si="4"/>
        <v>255304</v>
      </c>
      <c r="CA26" s="963"/>
      <c r="CB26" s="963"/>
      <c r="CC26" s="963"/>
      <c r="CH26" s="965"/>
      <c r="CI26" s="965"/>
      <c r="CJ26" s="965"/>
      <c r="CK26" s="965"/>
      <c r="CL26" s="965"/>
      <c r="CM26" s="965"/>
      <c r="CN26" s="965"/>
      <c r="CO26" s="965"/>
      <c r="CP26" s="965"/>
      <c r="CQ26" s="965"/>
      <c r="CR26" s="965"/>
      <c r="CS26" s="965"/>
      <c r="CT26" s="965"/>
      <c r="CU26" s="965"/>
      <c r="CV26" s="965"/>
      <c r="CW26" s="965"/>
      <c r="CX26" s="965"/>
      <c r="CY26" s="965"/>
      <c r="CZ26" s="965"/>
      <c r="DA26" s="965"/>
      <c r="DB26" s="965"/>
      <c r="DC26" s="965"/>
    </row>
    <row r="27" s="859" customFormat="1" ht="31" customHeight="1" spans="1:107">
      <c r="A27" s="948">
        <v>45891</v>
      </c>
      <c r="B27" s="949" t="s">
        <v>578</v>
      </c>
      <c r="C27" s="950" t="s">
        <v>125</v>
      </c>
      <c r="D27" s="949">
        <v>4500177643</v>
      </c>
      <c r="E27" s="1422" t="s">
        <v>1628</v>
      </c>
      <c r="F27" s="949" t="s">
        <v>1629</v>
      </c>
      <c r="G27" s="953" t="s">
        <v>1584</v>
      </c>
      <c r="H27" s="954" t="s">
        <v>1585</v>
      </c>
      <c r="I27" s="954">
        <v>960</v>
      </c>
      <c r="J27" s="954">
        <v>0</v>
      </c>
      <c r="K27" s="954">
        <v>16</v>
      </c>
      <c r="L27" s="955">
        <f t="shared" si="10"/>
        <v>60</v>
      </c>
      <c r="M27" s="956">
        <v>45938</v>
      </c>
      <c r="N27" s="956">
        <v>45934</v>
      </c>
      <c r="O27" s="951">
        <v>45943</v>
      </c>
      <c r="P27" s="968" t="s">
        <v>86</v>
      </c>
      <c r="Q27" s="951"/>
      <c r="R27" s="958" t="s">
        <v>296</v>
      </c>
      <c r="S27" s="958" t="s">
        <v>98</v>
      </c>
      <c r="T27" s="958">
        <v>45902</v>
      </c>
      <c r="U27" s="958"/>
      <c r="V27" s="952" t="s">
        <v>1626</v>
      </c>
      <c r="W27" s="959" t="s">
        <v>247</v>
      </c>
      <c r="X27" s="960">
        <v>1.596</v>
      </c>
      <c r="Y27" s="961">
        <f t="shared" si="12"/>
        <v>1532.16</v>
      </c>
      <c r="Z27" s="961"/>
      <c r="AA27" s="951" t="s">
        <v>1630</v>
      </c>
      <c r="AB27" s="953" t="s">
        <v>1584</v>
      </c>
      <c r="AC27" s="954" t="s">
        <v>93</v>
      </c>
      <c r="AD27" s="954" t="s">
        <v>94</v>
      </c>
      <c r="AE27" s="951"/>
      <c r="AF27" s="979">
        <v>960</v>
      </c>
      <c r="AG27" s="979">
        <f t="shared" si="6"/>
        <v>0</v>
      </c>
      <c r="AH27" s="981"/>
      <c r="AI27" s="951"/>
      <c r="AJ27" s="951"/>
      <c r="AK27" s="926">
        <f t="shared" si="9"/>
        <v>960</v>
      </c>
      <c r="AL27" s="962">
        <f t="shared" si="11"/>
        <v>960</v>
      </c>
      <c r="AN27" s="962"/>
      <c r="AO27" s="859">
        <f t="shared" si="8"/>
        <v>960</v>
      </c>
      <c r="AY27" s="859">
        <f>I27/16</f>
        <v>60</v>
      </c>
      <c r="BE27" s="950"/>
      <c r="BF27" s="950"/>
      <c r="BG27" s="950"/>
      <c r="BH27" s="950"/>
      <c r="BI27" s="950"/>
      <c r="BN27" s="963"/>
      <c r="BO27" s="963"/>
      <c r="BP27" s="963"/>
      <c r="BQ27" s="963"/>
      <c r="BR27" s="963"/>
      <c r="BS27" s="963"/>
      <c r="BV27" s="964">
        <f t="shared" si="1"/>
        <v>60</v>
      </c>
      <c r="BW27" s="964">
        <f t="shared" si="2"/>
        <v>0</v>
      </c>
      <c r="BX27" s="308">
        <f t="shared" si="3"/>
        <v>165656</v>
      </c>
      <c r="BY27" s="963"/>
      <c r="BZ27" s="308">
        <f t="shared" si="4"/>
        <v>254344</v>
      </c>
      <c r="CA27" s="963"/>
      <c r="CB27" s="963"/>
      <c r="CC27" s="963"/>
      <c r="CH27" s="965"/>
      <c r="CI27" s="965"/>
      <c r="CJ27" s="965"/>
      <c r="CK27" s="965"/>
      <c r="CL27" s="965"/>
      <c r="CM27" s="965"/>
      <c r="CN27" s="965"/>
      <c r="CO27" s="965"/>
      <c r="CP27" s="965"/>
      <c r="CQ27" s="965"/>
      <c r="CR27" s="965"/>
      <c r="CS27" s="965"/>
      <c r="CT27" s="965"/>
      <c r="CU27" s="965"/>
      <c r="CV27" s="965"/>
      <c r="CW27" s="965"/>
      <c r="CX27" s="965"/>
      <c r="CY27" s="965"/>
      <c r="CZ27" s="965"/>
      <c r="DA27" s="965"/>
      <c r="DB27" s="965"/>
      <c r="DC27" s="965"/>
    </row>
    <row r="28" s="859" customFormat="1" ht="31" customHeight="1" spans="1:107">
      <c r="A28" s="948">
        <v>45891</v>
      </c>
      <c r="B28" s="949" t="s">
        <v>578</v>
      </c>
      <c r="C28" s="950" t="s">
        <v>125</v>
      </c>
      <c r="D28" s="949">
        <v>4500177643</v>
      </c>
      <c r="E28" s="1422" t="s">
        <v>1631</v>
      </c>
      <c r="F28" s="949" t="s">
        <v>1632</v>
      </c>
      <c r="G28" s="953" t="s">
        <v>1584</v>
      </c>
      <c r="H28" s="954" t="s">
        <v>1585</v>
      </c>
      <c r="I28" s="954">
        <v>960</v>
      </c>
      <c r="J28" s="954">
        <v>0</v>
      </c>
      <c r="K28" s="954">
        <v>16</v>
      </c>
      <c r="L28" s="955">
        <f t="shared" si="10"/>
        <v>60</v>
      </c>
      <c r="M28" s="956">
        <v>45938</v>
      </c>
      <c r="N28" s="956">
        <v>45934</v>
      </c>
      <c r="O28" s="951">
        <v>45943</v>
      </c>
      <c r="P28" s="968" t="s">
        <v>86</v>
      </c>
      <c r="Q28" s="951"/>
      <c r="R28" s="958" t="s">
        <v>296</v>
      </c>
      <c r="S28" s="958" t="s">
        <v>98</v>
      </c>
      <c r="T28" s="958">
        <v>45902</v>
      </c>
      <c r="U28" s="958"/>
      <c r="V28" s="952" t="s">
        <v>1626</v>
      </c>
      <c r="W28" s="959" t="s">
        <v>247</v>
      </c>
      <c r="X28" s="960">
        <v>1.596</v>
      </c>
      <c r="Y28" s="961">
        <f t="shared" si="12"/>
        <v>1532.16</v>
      </c>
      <c r="Z28" s="961"/>
      <c r="AA28" s="951" t="s">
        <v>1633</v>
      </c>
      <c r="AB28" s="953" t="s">
        <v>1584</v>
      </c>
      <c r="AC28" s="954" t="s">
        <v>93</v>
      </c>
      <c r="AD28" s="954" t="s">
        <v>94</v>
      </c>
      <c r="AE28" s="951"/>
      <c r="AF28" s="979">
        <v>960</v>
      </c>
      <c r="AG28" s="979">
        <f t="shared" si="6"/>
        <v>0</v>
      </c>
      <c r="AH28" s="981"/>
      <c r="AI28" s="951"/>
      <c r="AJ28" s="951"/>
      <c r="AK28" s="926">
        <f t="shared" si="9"/>
        <v>960</v>
      </c>
      <c r="AL28" s="962">
        <f t="shared" si="11"/>
        <v>960</v>
      </c>
      <c r="AN28" s="962"/>
      <c r="AO28" s="859">
        <f t="shared" si="8"/>
        <v>960</v>
      </c>
      <c r="AY28" s="859">
        <f>I28/16</f>
        <v>60</v>
      </c>
      <c r="BE28" s="950"/>
      <c r="BF28" s="950"/>
      <c r="BG28" s="950"/>
      <c r="BH28" s="950"/>
      <c r="BI28" s="950"/>
      <c r="BN28" s="963"/>
      <c r="BO28" s="963"/>
      <c r="BP28" s="963"/>
      <c r="BQ28" s="963"/>
      <c r="BR28" s="963"/>
      <c r="BS28" s="963"/>
      <c r="BV28" s="964">
        <f t="shared" si="1"/>
        <v>60</v>
      </c>
      <c r="BW28" s="964">
        <f t="shared" si="2"/>
        <v>0</v>
      </c>
      <c r="BX28" s="308">
        <f t="shared" si="3"/>
        <v>166616</v>
      </c>
      <c r="BY28" s="963"/>
      <c r="BZ28" s="308">
        <f t="shared" si="4"/>
        <v>253384</v>
      </c>
      <c r="CA28" s="963"/>
      <c r="CB28" s="963"/>
      <c r="CC28" s="963"/>
      <c r="CH28" s="965"/>
      <c r="CI28" s="965"/>
      <c r="CJ28" s="965"/>
      <c r="CK28" s="965"/>
      <c r="CL28" s="965"/>
      <c r="CM28" s="965"/>
      <c r="CN28" s="965"/>
      <c r="CO28" s="965"/>
      <c r="CP28" s="965"/>
      <c r="CQ28" s="965"/>
      <c r="CR28" s="965"/>
      <c r="CS28" s="965"/>
      <c r="CT28" s="965"/>
      <c r="CU28" s="965"/>
      <c r="CV28" s="965"/>
      <c r="CW28" s="965"/>
      <c r="CX28" s="965"/>
      <c r="CY28" s="965"/>
      <c r="CZ28" s="965"/>
      <c r="DA28" s="965"/>
      <c r="DB28" s="965"/>
      <c r="DC28" s="965"/>
    </row>
    <row r="29" s="859" customFormat="1" ht="31" customHeight="1" spans="1:107">
      <c r="A29" s="948">
        <v>45884</v>
      </c>
      <c r="B29" s="949" t="s">
        <v>578</v>
      </c>
      <c r="C29" s="950" t="s">
        <v>125</v>
      </c>
      <c r="D29" s="949">
        <v>4500177088</v>
      </c>
      <c r="E29" s="1422" t="s">
        <v>1634</v>
      </c>
      <c r="F29" s="982" t="s">
        <v>1635</v>
      </c>
      <c r="G29" s="953" t="s">
        <v>1584</v>
      </c>
      <c r="H29" s="954" t="s">
        <v>1585</v>
      </c>
      <c r="I29" s="954">
        <v>11296</v>
      </c>
      <c r="J29" s="954">
        <v>0</v>
      </c>
      <c r="K29" s="954">
        <v>16</v>
      </c>
      <c r="L29" s="955">
        <f t="shared" si="10"/>
        <v>706</v>
      </c>
      <c r="M29" s="956">
        <v>45938</v>
      </c>
      <c r="N29" s="956">
        <v>45934</v>
      </c>
      <c r="O29" s="951">
        <v>45943</v>
      </c>
      <c r="P29" s="968" t="s">
        <v>86</v>
      </c>
      <c r="Q29" s="951"/>
      <c r="R29" s="958">
        <v>45884</v>
      </c>
      <c r="S29" s="958" t="s">
        <v>98</v>
      </c>
      <c r="T29" s="958">
        <v>45902</v>
      </c>
      <c r="U29" s="958"/>
      <c r="V29" s="952" t="s">
        <v>1636</v>
      </c>
      <c r="W29" s="959" t="s">
        <v>247</v>
      </c>
      <c r="X29" s="960">
        <v>1.596</v>
      </c>
      <c r="Y29" s="961">
        <f t="shared" si="12"/>
        <v>18028.416</v>
      </c>
      <c r="Z29" s="961"/>
      <c r="AA29" s="951" t="s">
        <v>1637</v>
      </c>
      <c r="AB29" s="953" t="s">
        <v>1584</v>
      </c>
      <c r="AC29" s="954" t="s">
        <v>93</v>
      </c>
      <c r="AD29" s="954" t="s">
        <v>94</v>
      </c>
      <c r="AE29" s="951"/>
      <c r="AF29" s="979">
        <v>11296</v>
      </c>
      <c r="AG29" s="979">
        <f t="shared" si="6"/>
        <v>0</v>
      </c>
      <c r="AH29" s="981"/>
      <c r="AI29" s="951"/>
      <c r="AJ29" s="951"/>
      <c r="AK29" s="926">
        <f t="shared" si="9"/>
        <v>11296</v>
      </c>
      <c r="AL29" s="962">
        <f t="shared" si="11"/>
        <v>11296</v>
      </c>
      <c r="AN29" s="962"/>
      <c r="AO29" s="859">
        <f t="shared" si="8"/>
        <v>11296</v>
      </c>
      <c r="AY29" s="859">
        <f>I29/16</f>
        <v>706</v>
      </c>
      <c r="BE29" s="950"/>
      <c r="BF29" s="950"/>
      <c r="BG29" s="950"/>
      <c r="BH29" s="950"/>
      <c r="BI29" s="950"/>
      <c r="BN29" s="963"/>
      <c r="BO29" s="963"/>
      <c r="BP29" s="963"/>
      <c r="BQ29" s="963"/>
      <c r="BR29" s="963"/>
      <c r="BS29" s="963"/>
      <c r="BV29" s="964">
        <f t="shared" si="1"/>
        <v>706</v>
      </c>
      <c r="BW29" s="964">
        <f t="shared" si="2"/>
        <v>0</v>
      </c>
      <c r="BX29" s="308">
        <f t="shared" si="3"/>
        <v>177912</v>
      </c>
      <c r="BY29" s="963"/>
      <c r="BZ29" s="308">
        <f t="shared" si="4"/>
        <v>242088</v>
      </c>
      <c r="CA29" s="963"/>
      <c r="CB29" s="963"/>
      <c r="CC29" s="963"/>
      <c r="CH29" s="965"/>
      <c r="CI29" s="965"/>
      <c r="CJ29" s="965"/>
      <c r="CK29" s="965"/>
      <c r="CL29" s="965"/>
      <c r="CM29" s="965"/>
      <c r="CN29" s="965"/>
      <c r="CO29" s="965"/>
      <c r="CP29" s="965"/>
      <c r="CQ29" s="965"/>
      <c r="CR29" s="965"/>
      <c r="CS29" s="965"/>
      <c r="CT29" s="965"/>
      <c r="CU29" s="965"/>
      <c r="CV29" s="965"/>
      <c r="CW29" s="965"/>
      <c r="CX29" s="965"/>
      <c r="CY29" s="965"/>
      <c r="CZ29" s="965"/>
      <c r="DA29" s="965"/>
      <c r="DB29" s="965"/>
      <c r="DC29" s="965"/>
    </row>
    <row r="30" s="859" customFormat="1" ht="31" customHeight="1" spans="1:107">
      <c r="A30" s="948">
        <v>45887</v>
      </c>
      <c r="B30" s="949" t="s">
        <v>1543</v>
      </c>
      <c r="C30" s="950" t="s">
        <v>1544</v>
      </c>
      <c r="D30" s="949">
        <v>4500177240</v>
      </c>
      <c r="E30" s="951">
        <v>21105444</v>
      </c>
      <c r="F30" s="982" t="s">
        <v>1638</v>
      </c>
      <c r="G30" s="953" t="s">
        <v>1537</v>
      </c>
      <c r="H30" s="954" t="s">
        <v>1538</v>
      </c>
      <c r="I30" s="954">
        <v>117</v>
      </c>
      <c r="J30" s="954">
        <v>0</v>
      </c>
      <c r="K30" s="954">
        <v>13</v>
      </c>
      <c r="L30" s="955">
        <f t="shared" si="10"/>
        <v>9</v>
      </c>
      <c r="M30" s="956">
        <v>45939</v>
      </c>
      <c r="N30" s="956">
        <v>45936</v>
      </c>
      <c r="O30" s="951"/>
      <c r="P30" s="968" t="s">
        <v>86</v>
      </c>
      <c r="Q30" s="951"/>
      <c r="R30" s="958">
        <v>45898</v>
      </c>
      <c r="S30" s="958" t="s">
        <v>88</v>
      </c>
      <c r="T30" s="958" t="s">
        <v>1639</v>
      </c>
      <c r="U30" s="958"/>
      <c r="V30" s="952" t="s">
        <v>1546</v>
      </c>
      <c r="W30" s="959" t="s">
        <v>1540</v>
      </c>
      <c r="X30" s="960">
        <v>2.4275</v>
      </c>
      <c r="Y30" s="961">
        <f t="shared" si="12"/>
        <v>284.0175</v>
      </c>
      <c r="Z30" s="961"/>
      <c r="AA30" s="951" t="s">
        <v>1640</v>
      </c>
      <c r="AB30" s="953" t="s">
        <v>1537</v>
      </c>
      <c r="AC30" s="954" t="s">
        <v>93</v>
      </c>
      <c r="AD30" s="954" t="s">
        <v>94</v>
      </c>
      <c r="AE30" s="951"/>
      <c r="AF30" s="979">
        <v>117</v>
      </c>
      <c r="AG30" s="979">
        <f t="shared" si="6"/>
        <v>0</v>
      </c>
      <c r="AH30" s="981"/>
      <c r="AI30" s="951"/>
      <c r="AJ30" s="951"/>
      <c r="AK30" s="926">
        <f t="shared" si="9"/>
        <v>117</v>
      </c>
      <c r="AL30" s="962">
        <f t="shared" si="11"/>
        <v>117</v>
      </c>
      <c r="AN30" s="962"/>
      <c r="AO30" s="859">
        <f t="shared" si="8"/>
        <v>117</v>
      </c>
      <c r="AR30" s="859">
        <f>I30/13</f>
        <v>9</v>
      </c>
      <c r="BE30" s="950"/>
      <c r="BF30" s="950"/>
      <c r="BG30" s="950"/>
      <c r="BH30" s="950"/>
      <c r="BI30" s="950"/>
      <c r="BN30" s="963"/>
      <c r="BO30" s="963"/>
      <c r="BP30" s="963"/>
      <c r="BQ30" s="963"/>
      <c r="BR30" s="963"/>
      <c r="BS30" s="963"/>
      <c r="BV30" s="964">
        <f t="shared" si="1"/>
        <v>0</v>
      </c>
      <c r="BW30" s="964">
        <f t="shared" si="2"/>
        <v>0</v>
      </c>
      <c r="BX30" s="308">
        <f t="shared" si="3"/>
        <v>178029</v>
      </c>
      <c r="BY30" s="963"/>
      <c r="BZ30" s="308">
        <f t="shared" si="4"/>
        <v>241971</v>
      </c>
      <c r="CA30" s="963"/>
      <c r="CB30" s="963"/>
      <c r="CC30" s="963"/>
      <c r="CH30" s="965"/>
      <c r="CI30" s="965"/>
      <c r="CJ30" s="965"/>
      <c r="CK30" s="965"/>
      <c r="CL30" s="965"/>
      <c r="CM30" s="965"/>
      <c r="CN30" s="965"/>
      <c r="CO30" s="965"/>
      <c r="CP30" s="965"/>
      <c r="CQ30" s="965"/>
      <c r="CR30" s="965"/>
      <c r="CS30" s="965"/>
      <c r="CT30" s="965"/>
      <c r="CU30" s="965"/>
      <c r="CV30" s="965"/>
      <c r="CW30" s="965"/>
      <c r="CX30" s="965"/>
      <c r="CY30" s="965"/>
      <c r="CZ30" s="965"/>
      <c r="DA30" s="965"/>
      <c r="DB30" s="965"/>
      <c r="DC30" s="965"/>
    </row>
    <row r="31" s="859" customFormat="1" ht="31" customHeight="1" spans="1:107">
      <c r="A31" s="948">
        <v>45887</v>
      </c>
      <c r="B31" s="949" t="s">
        <v>1535</v>
      </c>
      <c r="C31" s="950" t="s">
        <v>377</v>
      </c>
      <c r="D31" s="949">
        <v>4500177236</v>
      </c>
      <c r="E31" s="951">
        <v>21105443</v>
      </c>
      <c r="F31" s="982" t="s">
        <v>1641</v>
      </c>
      <c r="G31" s="953" t="s">
        <v>1537</v>
      </c>
      <c r="H31" s="954" t="s">
        <v>1538</v>
      </c>
      <c r="I31" s="954">
        <v>3900</v>
      </c>
      <c r="J31" s="954">
        <v>0</v>
      </c>
      <c r="K31" s="954">
        <v>13</v>
      </c>
      <c r="L31" s="955">
        <f t="shared" si="10"/>
        <v>300</v>
      </c>
      <c r="M31" s="956">
        <v>45939</v>
      </c>
      <c r="N31" s="956">
        <v>45936</v>
      </c>
      <c r="O31" s="951"/>
      <c r="P31" s="968" t="s">
        <v>86</v>
      </c>
      <c r="Q31" s="951"/>
      <c r="R31" s="958">
        <v>45898</v>
      </c>
      <c r="S31" s="958" t="s">
        <v>88</v>
      </c>
      <c r="T31" s="958" t="s">
        <v>1639</v>
      </c>
      <c r="U31" s="958"/>
      <c r="V31" s="952" t="s">
        <v>1557</v>
      </c>
      <c r="W31" s="959" t="s">
        <v>1540</v>
      </c>
      <c r="X31" s="960">
        <v>2.4275</v>
      </c>
      <c r="Y31" s="961">
        <f t="shared" si="12"/>
        <v>9467.25</v>
      </c>
      <c r="Z31" s="961"/>
      <c r="AA31" s="951" t="s">
        <v>1642</v>
      </c>
      <c r="AB31" s="953" t="s">
        <v>1537</v>
      </c>
      <c r="AC31" s="954" t="s">
        <v>93</v>
      </c>
      <c r="AD31" s="954" t="s">
        <v>94</v>
      </c>
      <c r="AE31" s="951"/>
      <c r="AF31" s="979">
        <v>3900</v>
      </c>
      <c r="AG31" s="979">
        <f t="shared" si="6"/>
        <v>0</v>
      </c>
      <c r="AH31" s="981"/>
      <c r="AI31" s="951"/>
      <c r="AJ31" s="951"/>
      <c r="AK31" s="926">
        <f t="shared" si="9"/>
        <v>3900</v>
      </c>
      <c r="AL31" s="962">
        <f t="shared" si="11"/>
        <v>3900</v>
      </c>
      <c r="AN31" s="962"/>
      <c r="AO31" s="859">
        <f t="shared" si="8"/>
        <v>3900</v>
      </c>
      <c r="AR31" s="859">
        <f>I31/13</f>
        <v>300</v>
      </c>
      <c r="BE31" s="950"/>
      <c r="BF31" s="950"/>
      <c r="BG31" s="950"/>
      <c r="BH31" s="950"/>
      <c r="BI31" s="950"/>
      <c r="BN31" s="963"/>
      <c r="BO31" s="963"/>
      <c r="BP31" s="963"/>
      <c r="BQ31" s="963"/>
      <c r="BR31" s="963"/>
      <c r="BS31" s="963"/>
      <c r="BV31" s="964">
        <f t="shared" si="1"/>
        <v>0</v>
      </c>
      <c r="BW31" s="964">
        <f t="shared" si="2"/>
        <v>0</v>
      </c>
      <c r="BX31" s="308">
        <f t="shared" si="3"/>
        <v>181929</v>
      </c>
      <c r="BY31" s="963"/>
      <c r="BZ31" s="308">
        <f t="shared" si="4"/>
        <v>238071</v>
      </c>
      <c r="CA31" s="963"/>
      <c r="CB31" s="963"/>
      <c r="CC31" s="963"/>
      <c r="CH31" s="965"/>
      <c r="CI31" s="965"/>
      <c r="CJ31" s="965"/>
      <c r="CK31" s="965"/>
      <c r="CL31" s="965"/>
      <c r="CM31" s="965"/>
      <c r="CN31" s="965"/>
      <c r="CO31" s="965"/>
      <c r="CP31" s="965"/>
      <c r="CQ31" s="965"/>
      <c r="CR31" s="965"/>
      <c r="CS31" s="965"/>
      <c r="CT31" s="965"/>
      <c r="CU31" s="965"/>
      <c r="CV31" s="965"/>
      <c r="CW31" s="965"/>
      <c r="CX31" s="965"/>
      <c r="CY31" s="965"/>
      <c r="CZ31" s="965"/>
      <c r="DA31" s="965"/>
      <c r="DB31" s="965"/>
      <c r="DC31" s="965"/>
    </row>
    <row r="32" s="859" customFormat="1" ht="31" customHeight="1" spans="1:107">
      <c r="A32" s="948">
        <v>45896</v>
      </c>
      <c r="B32" s="949" t="s">
        <v>1543</v>
      </c>
      <c r="C32" s="950" t="s">
        <v>1544</v>
      </c>
      <c r="D32" s="949">
        <v>4500177974</v>
      </c>
      <c r="E32" s="951">
        <v>21105440</v>
      </c>
      <c r="F32" s="949" t="s">
        <v>1643</v>
      </c>
      <c r="G32" s="953" t="s">
        <v>1537</v>
      </c>
      <c r="H32" s="954" t="s">
        <v>1538</v>
      </c>
      <c r="I32" s="954">
        <v>143</v>
      </c>
      <c r="J32" s="954">
        <v>0</v>
      </c>
      <c r="K32" s="954">
        <v>13</v>
      </c>
      <c r="L32" s="955">
        <f t="shared" si="10"/>
        <v>11</v>
      </c>
      <c r="M32" s="956">
        <v>45943</v>
      </c>
      <c r="N32" s="956">
        <v>45939</v>
      </c>
      <c r="O32" s="951"/>
      <c r="P32" s="968" t="s">
        <v>86</v>
      </c>
      <c r="Q32" s="951"/>
      <c r="R32" s="958">
        <v>45911</v>
      </c>
      <c r="S32" s="958" t="s">
        <v>88</v>
      </c>
      <c r="T32" s="958">
        <v>45923</v>
      </c>
      <c r="U32" s="958"/>
      <c r="V32" s="952" t="s">
        <v>1562</v>
      </c>
      <c r="W32" s="959" t="s">
        <v>1540</v>
      </c>
      <c r="X32" s="960">
        <v>2.4275</v>
      </c>
      <c r="Y32" s="961">
        <f t="shared" si="12"/>
        <v>347.1325</v>
      </c>
      <c r="Z32" s="961"/>
      <c r="AA32" s="951" t="s">
        <v>1644</v>
      </c>
      <c r="AB32" s="953" t="s">
        <v>1537</v>
      </c>
      <c r="AC32" s="954" t="s">
        <v>93</v>
      </c>
      <c r="AD32" s="954" t="s">
        <v>94</v>
      </c>
      <c r="AE32" s="951"/>
      <c r="AF32" s="979">
        <v>143</v>
      </c>
      <c r="AG32" s="979">
        <f t="shared" si="6"/>
        <v>0</v>
      </c>
      <c r="AI32" s="951"/>
      <c r="AJ32" s="951"/>
      <c r="AK32" s="926">
        <f t="shared" si="9"/>
        <v>143</v>
      </c>
      <c r="AL32" s="962">
        <f t="shared" si="11"/>
        <v>143</v>
      </c>
      <c r="AN32" s="962"/>
      <c r="AO32" s="859">
        <f t="shared" si="8"/>
        <v>143</v>
      </c>
      <c r="AR32" s="859">
        <f>I32/13</f>
        <v>11</v>
      </c>
      <c r="BE32" s="950"/>
      <c r="BF32" s="950"/>
      <c r="BG32" s="950"/>
      <c r="BH32" s="950"/>
      <c r="BI32" s="950"/>
      <c r="BN32" s="963"/>
      <c r="BO32" s="963"/>
      <c r="BP32" s="963"/>
      <c r="BQ32" s="963"/>
      <c r="BR32" s="963"/>
      <c r="BS32" s="963"/>
      <c r="BV32" s="964">
        <f t="shared" si="1"/>
        <v>0</v>
      </c>
      <c r="BW32" s="964">
        <f t="shared" si="2"/>
        <v>0</v>
      </c>
      <c r="BX32" s="308">
        <f t="shared" si="3"/>
        <v>182072</v>
      </c>
      <c r="BY32" s="963"/>
      <c r="BZ32" s="308">
        <f t="shared" si="4"/>
        <v>237928</v>
      </c>
      <c r="CA32" s="963"/>
      <c r="CB32" s="963"/>
      <c r="CC32" s="963"/>
      <c r="CH32" s="965"/>
      <c r="CI32" s="965"/>
      <c r="CJ32" s="965"/>
      <c r="CK32" s="965"/>
      <c r="CL32" s="965"/>
      <c r="CM32" s="965"/>
      <c r="CN32" s="965"/>
      <c r="CO32" s="965"/>
      <c r="CP32" s="965"/>
      <c r="CQ32" s="965"/>
      <c r="CR32" s="965"/>
      <c r="CS32" s="965"/>
      <c r="CT32" s="965"/>
      <c r="CU32" s="965"/>
      <c r="CV32" s="965"/>
      <c r="CW32" s="965"/>
      <c r="CX32" s="965"/>
      <c r="CY32" s="965"/>
      <c r="CZ32" s="965"/>
      <c r="DA32" s="965"/>
      <c r="DB32" s="965"/>
      <c r="DC32" s="965"/>
    </row>
    <row r="33" s="859" customFormat="1" ht="31" customHeight="1" spans="1:107">
      <c r="A33" s="948">
        <v>45896</v>
      </c>
      <c r="B33" s="949" t="s">
        <v>1535</v>
      </c>
      <c r="C33" s="950" t="s">
        <v>377</v>
      </c>
      <c r="D33" s="949">
        <v>4500177972</v>
      </c>
      <c r="E33" s="951" t="s">
        <v>1645</v>
      </c>
      <c r="F33" s="949" t="s">
        <v>1646</v>
      </c>
      <c r="G33" s="953" t="s">
        <v>1537</v>
      </c>
      <c r="H33" s="954" t="s">
        <v>1538</v>
      </c>
      <c r="I33" s="954">
        <v>2223</v>
      </c>
      <c r="J33" s="954">
        <v>0</v>
      </c>
      <c r="K33" s="954">
        <v>13</v>
      </c>
      <c r="L33" s="955">
        <f t="shared" si="10"/>
        <v>171</v>
      </c>
      <c r="M33" s="956">
        <v>45943</v>
      </c>
      <c r="N33" s="956">
        <v>45939</v>
      </c>
      <c r="O33" s="951"/>
      <c r="P33" s="968" t="s">
        <v>86</v>
      </c>
      <c r="Q33" s="951"/>
      <c r="R33" s="958">
        <v>45896</v>
      </c>
      <c r="S33" s="958" t="s">
        <v>88</v>
      </c>
      <c r="T33" s="958">
        <v>45912</v>
      </c>
      <c r="U33" s="958"/>
      <c r="V33" s="952" t="s">
        <v>1557</v>
      </c>
      <c r="W33" s="959" t="s">
        <v>1540</v>
      </c>
      <c r="X33" s="960">
        <v>2.4275</v>
      </c>
      <c r="Y33" s="961">
        <f t="shared" si="12"/>
        <v>5396.3325</v>
      </c>
      <c r="Z33" s="961"/>
      <c r="AA33" s="951" t="s">
        <v>1647</v>
      </c>
      <c r="AB33" s="953" t="s">
        <v>1537</v>
      </c>
      <c r="AC33" s="954" t="s">
        <v>93</v>
      </c>
      <c r="AD33" s="954" t="s">
        <v>94</v>
      </c>
      <c r="AE33" s="951"/>
      <c r="AF33" s="979">
        <v>2223</v>
      </c>
      <c r="AG33" s="979">
        <f t="shared" si="6"/>
        <v>0</v>
      </c>
      <c r="AH33" s="984">
        <v>45938</v>
      </c>
      <c r="AI33" s="951"/>
      <c r="AJ33" s="951"/>
      <c r="AK33" s="926">
        <f t="shared" si="9"/>
        <v>2223</v>
      </c>
      <c r="AL33" s="962">
        <f t="shared" si="11"/>
        <v>2223</v>
      </c>
      <c r="AN33" s="962"/>
      <c r="AO33" s="859">
        <f t="shared" si="8"/>
        <v>2223</v>
      </c>
      <c r="AR33" s="859">
        <f>I33/13</f>
        <v>171</v>
      </c>
      <c r="BE33" s="950"/>
      <c r="BF33" s="950"/>
      <c r="BG33" s="950"/>
      <c r="BH33" s="950"/>
      <c r="BI33" s="950"/>
      <c r="BN33" s="963"/>
      <c r="BO33" s="963"/>
      <c r="BP33" s="963"/>
      <c r="BQ33" s="963"/>
      <c r="BR33" s="963"/>
      <c r="BS33" s="963"/>
      <c r="BV33" s="964">
        <f t="shared" si="1"/>
        <v>0</v>
      </c>
      <c r="BW33" s="964">
        <f t="shared" si="2"/>
        <v>0</v>
      </c>
      <c r="BX33" s="308">
        <f t="shared" si="3"/>
        <v>184295</v>
      </c>
      <c r="BY33" s="963"/>
      <c r="BZ33" s="963">
        <f t="shared" si="4"/>
        <v>235705</v>
      </c>
      <c r="CA33" s="963"/>
      <c r="CB33" s="963"/>
      <c r="CC33" s="963"/>
      <c r="CH33" s="965"/>
      <c r="CI33" s="965"/>
      <c r="CJ33" s="965"/>
      <c r="CK33" s="965"/>
      <c r="CL33" s="965"/>
      <c r="CM33" s="965"/>
      <c r="CN33" s="965"/>
      <c r="CO33" s="965"/>
      <c r="CP33" s="965"/>
      <c r="CQ33" s="965"/>
      <c r="CR33" s="965"/>
      <c r="CS33" s="965"/>
      <c r="CT33" s="965"/>
      <c r="CU33" s="965"/>
      <c r="CV33" s="965"/>
      <c r="CW33" s="965"/>
      <c r="CX33" s="965"/>
      <c r="CY33" s="965"/>
      <c r="CZ33" s="965"/>
      <c r="DA33" s="965"/>
      <c r="DB33" s="965"/>
      <c r="DC33" s="965"/>
    </row>
    <row r="34" s="859" customFormat="1" ht="31" customHeight="1" spans="1:107">
      <c r="A34" s="948">
        <v>45884</v>
      </c>
      <c r="B34" s="949" t="s">
        <v>578</v>
      </c>
      <c r="C34" s="950" t="s">
        <v>125</v>
      </c>
      <c r="D34" s="949">
        <v>4500177091</v>
      </c>
      <c r="E34" s="1422" t="s">
        <v>1648</v>
      </c>
      <c r="F34" s="949" t="s">
        <v>1649</v>
      </c>
      <c r="G34" s="953" t="s">
        <v>1584</v>
      </c>
      <c r="H34" s="954" t="s">
        <v>1585</v>
      </c>
      <c r="I34" s="954">
        <v>13728</v>
      </c>
      <c r="J34" s="954">
        <v>0</v>
      </c>
      <c r="K34" s="954">
        <v>16</v>
      </c>
      <c r="L34" s="955">
        <f t="shared" si="10"/>
        <v>858</v>
      </c>
      <c r="M34" s="956">
        <v>45943</v>
      </c>
      <c r="N34" s="956">
        <v>45939</v>
      </c>
      <c r="O34" s="951">
        <v>45946</v>
      </c>
      <c r="P34" s="968" t="s">
        <v>86</v>
      </c>
      <c r="Q34" s="951"/>
      <c r="R34" s="958">
        <v>45884</v>
      </c>
      <c r="S34" s="958" t="s">
        <v>98</v>
      </c>
      <c r="T34" s="958">
        <v>45902</v>
      </c>
      <c r="U34" s="958"/>
      <c r="V34" s="952" t="s">
        <v>1636</v>
      </c>
      <c r="W34" s="959" t="s">
        <v>247</v>
      </c>
      <c r="X34" s="960">
        <v>1.596</v>
      </c>
      <c r="Y34" s="961">
        <f t="shared" si="12"/>
        <v>21909.888</v>
      </c>
      <c r="Z34" s="961"/>
      <c r="AA34" s="951" t="s">
        <v>1650</v>
      </c>
      <c r="AB34" s="953" t="s">
        <v>1584</v>
      </c>
      <c r="AC34" s="954" t="s">
        <v>93</v>
      </c>
      <c r="AD34" s="954" t="s">
        <v>94</v>
      </c>
      <c r="AE34" s="951"/>
      <c r="AF34" s="979">
        <f>13056+672</f>
        <v>13728</v>
      </c>
      <c r="AG34" s="979">
        <f t="shared" si="6"/>
        <v>0</v>
      </c>
      <c r="AH34" s="984">
        <v>45944</v>
      </c>
      <c r="AI34" s="951"/>
      <c r="AJ34" s="951"/>
      <c r="AK34" s="926">
        <f t="shared" si="9"/>
        <v>13728</v>
      </c>
      <c r="AL34" s="962">
        <f t="shared" si="11"/>
        <v>13728</v>
      </c>
      <c r="AN34" s="962"/>
      <c r="AO34" s="859">
        <f t="shared" si="8"/>
        <v>13728</v>
      </c>
      <c r="AY34" s="859">
        <f>I34/16</f>
        <v>858</v>
      </c>
      <c r="BE34" s="950"/>
      <c r="BF34" s="950"/>
      <c r="BG34" s="950"/>
      <c r="BH34" s="950"/>
      <c r="BI34" s="950"/>
      <c r="BN34" s="963"/>
      <c r="BO34" s="963"/>
      <c r="BP34" s="963"/>
      <c r="BQ34" s="963"/>
      <c r="BR34" s="963"/>
      <c r="BS34" s="963"/>
      <c r="BV34" s="964">
        <f t="shared" si="1"/>
        <v>858</v>
      </c>
      <c r="BW34" s="964">
        <f t="shared" si="2"/>
        <v>0</v>
      </c>
      <c r="BX34" s="308">
        <f t="shared" si="3"/>
        <v>198023</v>
      </c>
      <c r="BY34" s="963"/>
      <c r="BZ34" s="963">
        <f t="shared" si="4"/>
        <v>221977</v>
      </c>
      <c r="CA34" s="963"/>
      <c r="CB34" s="963"/>
      <c r="CC34" s="963"/>
      <c r="CH34" s="965"/>
      <c r="CI34" s="965"/>
      <c r="CJ34" s="965"/>
      <c r="CK34" s="965"/>
      <c r="CL34" s="965"/>
      <c r="CM34" s="965"/>
      <c r="CN34" s="965"/>
      <c r="CO34" s="965"/>
      <c r="CP34" s="965"/>
      <c r="CQ34" s="965"/>
      <c r="CR34" s="965"/>
      <c r="CS34" s="965"/>
      <c r="CT34" s="965"/>
      <c r="CU34" s="965"/>
      <c r="CV34" s="965"/>
      <c r="CW34" s="965"/>
      <c r="CX34" s="965"/>
      <c r="CY34" s="965"/>
      <c r="CZ34" s="965"/>
      <c r="DA34" s="965"/>
      <c r="DB34" s="965"/>
      <c r="DC34" s="965"/>
    </row>
    <row r="35" s="859" customFormat="1" ht="31" customHeight="1" spans="1:107">
      <c r="A35" s="948">
        <v>45884</v>
      </c>
      <c r="B35" s="949" t="s">
        <v>578</v>
      </c>
      <c r="C35" s="950" t="s">
        <v>125</v>
      </c>
      <c r="D35" s="949">
        <v>4500177091</v>
      </c>
      <c r="E35" s="1422" t="s">
        <v>1651</v>
      </c>
      <c r="F35" s="949" t="s">
        <v>1652</v>
      </c>
      <c r="G35" s="953" t="s">
        <v>1584</v>
      </c>
      <c r="H35" s="954" t="s">
        <v>1585</v>
      </c>
      <c r="I35" s="954">
        <v>14368</v>
      </c>
      <c r="J35" s="954">
        <v>0</v>
      </c>
      <c r="K35" s="954">
        <v>16</v>
      </c>
      <c r="L35" s="955">
        <f t="shared" si="10"/>
        <v>898</v>
      </c>
      <c r="M35" s="956">
        <v>45943</v>
      </c>
      <c r="N35" s="956">
        <v>45939</v>
      </c>
      <c r="O35" s="951">
        <v>45946</v>
      </c>
      <c r="P35" s="968" t="s">
        <v>86</v>
      </c>
      <c r="Q35" s="951"/>
      <c r="R35" s="958">
        <v>45884</v>
      </c>
      <c r="S35" s="958" t="s">
        <v>98</v>
      </c>
      <c r="T35" s="958">
        <v>45902</v>
      </c>
      <c r="U35" s="958"/>
      <c r="V35" s="952" t="s">
        <v>1636</v>
      </c>
      <c r="W35" s="959" t="s">
        <v>247</v>
      </c>
      <c r="X35" s="960">
        <v>1.596</v>
      </c>
      <c r="Y35" s="961">
        <f t="shared" si="12"/>
        <v>22931.328</v>
      </c>
      <c r="Z35" s="961"/>
      <c r="AA35" s="951" t="s">
        <v>1653</v>
      </c>
      <c r="AB35" s="953" t="s">
        <v>1584</v>
      </c>
      <c r="AC35" s="954" t="s">
        <v>93</v>
      </c>
      <c r="AD35" s="954" t="s">
        <v>94</v>
      </c>
      <c r="AE35" s="951"/>
      <c r="AF35" s="979">
        <f>8160+6208</f>
        <v>14368</v>
      </c>
      <c r="AG35" s="979">
        <f t="shared" si="6"/>
        <v>0</v>
      </c>
      <c r="AH35" s="984">
        <v>45944</v>
      </c>
      <c r="AI35" s="951"/>
      <c r="AJ35" s="951"/>
      <c r="AK35" s="926">
        <f t="shared" si="9"/>
        <v>14368</v>
      </c>
      <c r="AL35" s="962">
        <f t="shared" si="11"/>
        <v>14368</v>
      </c>
      <c r="AN35" s="962"/>
      <c r="AO35" s="859">
        <f t="shared" si="8"/>
        <v>14368</v>
      </c>
      <c r="AY35" s="859">
        <f>I35/16</f>
        <v>898</v>
      </c>
      <c r="BE35" s="950"/>
      <c r="BF35" s="950"/>
      <c r="BG35" s="950"/>
      <c r="BH35" s="950"/>
      <c r="BI35" s="950"/>
      <c r="BN35" s="963"/>
      <c r="BO35" s="963"/>
      <c r="BP35" s="963"/>
      <c r="BQ35" s="963"/>
      <c r="BR35" s="963"/>
      <c r="BS35" s="963"/>
      <c r="BV35" s="964">
        <f t="shared" ref="BV35:BV66" si="13">AT35+AU35+AY35</f>
        <v>898</v>
      </c>
      <c r="BW35" s="964">
        <f t="shared" ref="BW35:BW66" si="14">BF35+BG35+BI35</f>
        <v>0</v>
      </c>
      <c r="BX35" s="308">
        <f t="shared" si="3"/>
        <v>212391</v>
      </c>
      <c r="BY35" s="963"/>
      <c r="BZ35" s="963">
        <f t="shared" si="4"/>
        <v>207609</v>
      </c>
      <c r="CA35" s="963"/>
      <c r="CB35" s="963"/>
      <c r="CC35" s="963"/>
      <c r="CH35" s="965"/>
      <c r="CI35" s="965"/>
      <c r="CJ35" s="965"/>
      <c r="CK35" s="965"/>
      <c r="CL35" s="965"/>
      <c r="CM35" s="965"/>
      <c r="CN35" s="965"/>
      <c r="CO35" s="965"/>
      <c r="CP35" s="965"/>
      <c r="CQ35" s="965"/>
      <c r="CR35" s="965"/>
      <c r="CS35" s="965"/>
      <c r="CT35" s="965"/>
      <c r="CU35" s="965"/>
      <c r="CV35" s="965"/>
      <c r="CW35" s="965"/>
      <c r="CX35" s="965"/>
      <c r="CY35" s="965"/>
      <c r="CZ35" s="965"/>
      <c r="DA35" s="965"/>
      <c r="DB35" s="965"/>
      <c r="DC35" s="965"/>
    </row>
    <row r="36" s="859" customFormat="1" ht="31" customHeight="1" spans="1:107">
      <c r="A36" s="948">
        <v>45891</v>
      </c>
      <c r="B36" s="949" t="s">
        <v>578</v>
      </c>
      <c r="C36" s="950" t="s">
        <v>125</v>
      </c>
      <c r="D36" s="949">
        <v>4500177644</v>
      </c>
      <c r="E36" s="1422" t="s">
        <v>1654</v>
      </c>
      <c r="F36" s="949" t="s">
        <v>1655</v>
      </c>
      <c r="G36" s="953" t="s">
        <v>1584</v>
      </c>
      <c r="H36" s="954" t="s">
        <v>1585</v>
      </c>
      <c r="I36" s="954">
        <v>960</v>
      </c>
      <c r="J36" s="954">
        <v>0</v>
      </c>
      <c r="K36" s="954">
        <v>16</v>
      </c>
      <c r="L36" s="955">
        <f t="shared" si="10"/>
        <v>60</v>
      </c>
      <c r="M36" s="956">
        <v>45943</v>
      </c>
      <c r="N36" s="956">
        <v>45939</v>
      </c>
      <c r="O36" s="951">
        <v>45946</v>
      </c>
      <c r="P36" s="968" t="s">
        <v>86</v>
      </c>
      <c r="Q36" s="951"/>
      <c r="R36" s="958" t="s">
        <v>296</v>
      </c>
      <c r="S36" s="958" t="s">
        <v>98</v>
      </c>
      <c r="T36" s="958">
        <v>45902</v>
      </c>
      <c r="U36" s="958"/>
      <c r="V36" s="952" t="s">
        <v>1626</v>
      </c>
      <c r="W36" s="959" t="s">
        <v>247</v>
      </c>
      <c r="X36" s="960">
        <v>1.596</v>
      </c>
      <c r="Y36" s="961">
        <f t="shared" si="12"/>
        <v>1532.16</v>
      </c>
      <c r="Z36" s="961"/>
      <c r="AA36" s="951" t="s">
        <v>1656</v>
      </c>
      <c r="AB36" s="953" t="s">
        <v>1584</v>
      </c>
      <c r="AC36" s="954" t="s">
        <v>93</v>
      </c>
      <c r="AD36" s="954" t="s">
        <v>94</v>
      </c>
      <c r="AE36" s="951"/>
      <c r="AF36" s="979">
        <v>960</v>
      </c>
      <c r="AG36" s="979">
        <f t="shared" si="6"/>
        <v>0</v>
      </c>
      <c r="AH36" s="984">
        <v>45944</v>
      </c>
      <c r="AI36" s="951"/>
      <c r="AJ36" s="951"/>
      <c r="AK36" s="926">
        <f t="shared" si="9"/>
        <v>960</v>
      </c>
      <c r="AL36" s="962">
        <f t="shared" si="11"/>
        <v>960</v>
      </c>
      <c r="AN36" s="962"/>
      <c r="AO36" s="859">
        <f t="shared" si="8"/>
        <v>960</v>
      </c>
      <c r="AY36" s="859">
        <f>I36/16</f>
        <v>60</v>
      </c>
      <c r="BE36" s="950"/>
      <c r="BF36" s="950"/>
      <c r="BG36" s="950"/>
      <c r="BH36" s="950"/>
      <c r="BI36" s="950"/>
      <c r="BN36" s="963"/>
      <c r="BO36" s="963"/>
      <c r="BP36" s="963"/>
      <c r="BQ36" s="963"/>
      <c r="BR36" s="963"/>
      <c r="BS36" s="963"/>
      <c r="BV36" s="964">
        <f t="shared" si="13"/>
        <v>60</v>
      </c>
      <c r="BW36" s="964">
        <f t="shared" si="14"/>
        <v>0</v>
      </c>
      <c r="BX36" s="308">
        <f t="shared" si="3"/>
        <v>213351</v>
      </c>
      <c r="BY36" s="963"/>
      <c r="BZ36" s="963">
        <f t="shared" si="4"/>
        <v>206649</v>
      </c>
      <c r="CA36" s="963"/>
      <c r="CB36" s="963"/>
      <c r="CC36" s="963"/>
      <c r="CH36" s="965"/>
      <c r="CI36" s="965"/>
      <c r="CJ36" s="965"/>
      <c r="CK36" s="965"/>
      <c r="CL36" s="965"/>
      <c r="CM36" s="965"/>
      <c r="CN36" s="965"/>
      <c r="CO36" s="965"/>
      <c r="CP36" s="965"/>
      <c r="CQ36" s="965"/>
      <c r="CR36" s="965"/>
      <c r="CS36" s="965"/>
      <c r="CT36" s="965"/>
      <c r="CU36" s="965"/>
      <c r="CV36" s="965"/>
      <c r="CW36" s="965"/>
      <c r="CX36" s="965"/>
      <c r="CY36" s="965"/>
      <c r="CZ36" s="965"/>
      <c r="DA36" s="965"/>
      <c r="DB36" s="965"/>
      <c r="DC36" s="965"/>
    </row>
    <row r="37" s="859" customFormat="1" ht="31" customHeight="1" spans="1:107">
      <c r="A37" s="948">
        <v>45898</v>
      </c>
      <c r="B37" s="949" t="s">
        <v>1568</v>
      </c>
      <c r="C37" s="950" t="s">
        <v>377</v>
      </c>
      <c r="D37" s="949">
        <v>4500178243</v>
      </c>
      <c r="E37" s="951">
        <v>84521</v>
      </c>
      <c r="F37" s="949" t="s">
        <v>1657</v>
      </c>
      <c r="G37" s="953" t="s">
        <v>1570</v>
      </c>
      <c r="H37" s="954" t="s">
        <v>1571</v>
      </c>
      <c r="I37" s="954">
        <v>2500</v>
      </c>
      <c r="J37" s="954">
        <v>0</v>
      </c>
      <c r="K37" s="954">
        <v>25</v>
      </c>
      <c r="L37" s="955">
        <f t="shared" si="10"/>
        <v>100</v>
      </c>
      <c r="M37" s="956">
        <v>45944</v>
      </c>
      <c r="N37" s="956">
        <v>45940</v>
      </c>
      <c r="O37" s="951"/>
      <c r="P37" s="968" t="s">
        <v>86</v>
      </c>
      <c r="Q37" s="951" t="s">
        <v>1658</v>
      </c>
      <c r="R37" s="958">
        <v>45898</v>
      </c>
      <c r="S37" s="958" t="s">
        <v>98</v>
      </c>
      <c r="T37" s="958" t="s">
        <v>1659</v>
      </c>
      <c r="U37" s="958"/>
      <c r="V37" s="952" t="s">
        <v>1660</v>
      </c>
      <c r="W37" s="959" t="s">
        <v>444</v>
      </c>
      <c r="X37" s="960">
        <v>2.66</v>
      </c>
      <c r="Y37" s="961">
        <f>I37*X37</f>
        <v>6650</v>
      </c>
      <c r="Z37" s="961"/>
      <c r="AA37" s="951" t="s">
        <v>1661</v>
      </c>
      <c r="AB37" s="953" t="s">
        <v>1570</v>
      </c>
      <c r="AC37" s="954" t="s">
        <v>93</v>
      </c>
      <c r="AD37" s="954" t="s">
        <v>94</v>
      </c>
      <c r="AE37" s="951"/>
      <c r="AF37" s="979">
        <v>2500</v>
      </c>
      <c r="AG37" s="979">
        <f t="shared" si="6"/>
        <v>0</v>
      </c>
      <c r="AH37" s="984">
        <v>45947</v>
      </c>
      <c r="AI37" s="951" t="s">
        <v>95</v>
      </c>
      <c r="AJ37" s="951"/>
      <c r="AK37" s="926">
        <f t="shared" si="9"/>
        <v>2500</v>
      </c>
      <c r="AL37" s="962">
        <f t="shared" si="11"/>
        <v>2500</v>
      </c>
      <c r="AN37" s="962"/>
      <c r="AO37" s="859">
        <f t="shared" si="8"/>
        <v>2500</v>
      </c>
      <c r="AT37" s="859">
        <f>I37/25</f>
        <v>100</v>
      </c>
      <c r="BE37" s="950"/>
      <c r="BF37" s="950"/>
      <c r="BG37" s="950"/>
      <c r="BH37" s="950"/>
      <c r="BI37" s="950"/>
      <c r="BN37" s="963"/>
      <c r="BO37" s="963"/>
      <c r="BP37" s="963"/>
      <c r="BQ37" s="963"/>
      <c r="BR37" s="963"/>
      <c r="BS37" s="963"/>
      <c r="BV37" s="964">
        <f t="shared" si="13"/>
        <v>100</v>
      </c>
      <c r="BW37" s="964">
        <f t="shared" si="14"/>
        <v>0</v>
      </c>
      <c r="BX37" s="308">
        <f t="shared" si="3"/>
        <v>215851</v>
      </c>
      <c r="BY37" s="963"/>
      <c r="BZ37" s="963">
        <f t="shared" si="4"/>
        <v>204149</v>
      </c>
      <c r="CA37" s="963"/>
      <c r="CB37" s="963"/>
      <c r="CC37" s="963"/>
      <c r="CH37" s="965"/>
      <c r="CI37" s="965"/>
      <c r="CJ37" s="965"/>
      <c r="CK37" s="965"/>
      <c r="CL37" s="965"/>
      <c r="CM37" s="965"/>
      <c r="CN37" s="965"/>
      <c r="CO37" s="965"/>
      <c r="CP37" s="965"/>
      <c r="CQ37" s="965"/>
      <c r="CR37" s="965"/>
      <c r="CS37" s="965"/>
      <c r="CT37" s="965"/>
      <c r="CU37" s="965"/>
      <c r="CV37" s="965"/>
      <c r="CW37" s="965"/>
      <c r="CX37" s="965"/>
      <c r="CY37" s="965"/>
      <c r="CZ37" s="965"/>
      <c r="DA37" s="965"/>
      <c r="DB37" s="965"/>
      <c r="DC37" s="965"/>
    </row>
    <row r="38" s="859" customFormat="1" ht="31" customHeight="1" spans="1:107">
      <c r="A38" s="948">
        <v>45888</v>
      </c>
      <c r="B38" s="949" t="s">
        <v>1548</v>
      </c>
      <c r="C38" s="950" t="s">
        <v>125</v>
      </c>
      <c r="D38" s="949">
        <v>4500177333</v>
      </c>
      <c r="E38" s="951" t="s">
        <v>1662</v>
      </c>
      <c r="F38" s="982" t="s">
        <v>1663</v>
      </c>
      <c r="G38" s="953" t="s">
        <v>1570</v>
      </c>
      <c r="H38" s="954" t="s">
        <v>1571</v>
      </c>
      <c r="I38" s="954">
        <v>30275</v>
      </c>
      <c r="J38" s="954">
        <v>0</v>
      </c>
      <c r="K38" s="954">
        <v>25</v>
      </c>
      <c r="L38" s="955">
        <f t="shared" si="10"/>
        <v>1211</v>
      </c>
      <c r="M38" s="956">
        <v>45940</v>
      </c>
      <c r="N38" s="956">
        <v>45938</v>
      </c>
      <c r="O38" s="951"/>
      <c r="P38" s="968" t="s">
        <v>86</v>
      </c>
      <c r="Q38" s="951" t="s">
        <v>1664</v>
      </c>
      <c r="R38" s="958">
        <v>45891</v>
      </c>
      <c r="S38" s="958" t="s">
        <v>88</v>
      </c>
      <c r="T38" s="958">
        <v>45891</v>
      </c>
      <c r="U38" s="958"/>
      <c r="V38" s="952" t="s">
        <v>1622</v>
      </c>
      <c r="W38" s="959" t="s">
        <v>1554</v>
      </c>
      <c r="X38" s="960">
        <v>1.5848</v>
      </c>
      <c r="Y38" s="961">
        <f>I38*X38</f>
        <v>47979.82</v>
      </c>
      <c r="Z38" s="961"/>
      <c r="AA38" s="951" t="s">
        <v>1665</v>
      </c>
      <c r="AB38" s="953" t="s">
        <v>1570</v>
      </c>
      <c r="AC38" s="954" t="s">
        <v>93</v>
      </c>
      <c r="AD38" s="954" t="s">
        <v>94</v>
      </c>
      <c r="AE38" s="951"/>
      <c r="AF38" s="979">
        <f>22500+7775</f>
        <v>30275</v>
      </c>
      <c r="AG38" s="979">
        <f t="shared" si="6"/>
        <v>0</v>
      </c>
      <c r="AH38" s="984">
        <v>45943</v>
      </c>
      <c r="AI38" s="951"/>
      <c r="AJ38" s="951"/>
      <c r="AK38" s="926">
        <f t="shared" ref="AK38:AK57" si="15">I38</f>
        <v>30275</v>
      </c>
      <c r="AL38" s="962">
        <f t="shared" si="11"/>
        <v>30275</v>
      </c>
      <c r="AN38" s="962"/>
      <c r="AO38" s="859">
        <f t="shared" si="8"/>
        <v>30275</v>
      </c>
      <c r="AT38" s="859">
        <f>I38/25</f>
        <v>1211</v>
      </c>
      <c r="BE38" s="950"/>
      <c r="BF38" s="950"/>
      <c r="BG38" s="950"/>
      <c r="BH38" s="950"/>
      <c r="BI38" s="950"/>
      <c r="BN38" s="963"/>
      <c r="BO38" s="963"/>
      <c r="BP38" s="963"/>
      <c r="BQ38" s="963"/>
      <c r="BR38" s="963"/>
      <c r="BS38" s="963"/>
      <c r="BV38" s="964">
        <f t="shared" si="13"/>
        <v>1211</v>
      </c>
      <c r="BW38" s="964">
        <f t="shared" si="14"/>
        <v>0</v>
      </c>
      <c r="BX38" s="308">
        <f t="shared" si="3"/>
        <v>246126</v>
      </c>
      <c r="BY38" s="963"/>
      <c r="BZ38" s="963">
        <f t="shared" si="4"/>
        <v>173874</v>
      </c>
      <c r="CA38" s="963"/>
      <c r="CB38" s="963"/>
      <c r="CC38" s="963"/>
      <c r="CH38" s="965"/>
      <c r="CI38" s="965"/>
      <c r="CJ38" s="965"/>
      <c r="CK38" s="965"/>
      <c r="CL38" s="965"/>
      <c r="CM38" s="965"/>
      <c r="CN38" s="965"/>
      <c r="CO38" s="965"/>
      <c r="CP38" s="965"/>
      <c r="CQ38" s="965"/>
      <c r="CR38" s="965"/>
      <c r="CS38" s="965"/>
      <c r="CT38" s="965"/>
      <c r="CU38" s="965"/>
      <c r="CV38" s="965"/>
      <c r="CW38" s="965"/>
      <c r="CX38" s="965"/>
      <c r="CY38" s="965"/>
      <c r="CZ38" s="965"/>
      <c r="DA38" s="965"/>
      <c r="DB38" s="965"/>
      <c r="DC38" s="965"/>
    </row>
    <row r="39" s="859" customFormat="1" ht="31" customHeight="1" spans="1:107">
      <c r="A39" s="948">
        <v>45896</v>
      </c>
      <c r="B39" s="949" t="s">
        <v>1548</v>
      </c>
      <c r="C39" s="950" t="s">
        <v>125</v>
      </c>
      <c r="D39" s="949">
        <v>4500177938</v>
      </c>
      <c r="E39" s="951" t="s">
        <v>1666</v>
      </c>
      <c r="F39" s="949" t="s">
        <v>1667</v>
      </c>
      <c r="G39" s="953" t="s">
        <v>1570</v>
      </c>
      <c r="H39" s="954" t="s">
        <v>1571</v>
      </c>
      <c r="I39" s="954">
        <v>21600</v>
      </c>
      <c r="J39" s="954">
        <v>0</v>
      </c>
      <c r="K39" s="954">
        <v>25</v>
      </c>
      <c r="L39" s="955">
        <f t="shared" si="10"/>
        <v>864</v>
      </c>
      <c r="M39" s="956">
        <v>45943</v>
      </c>
      <c r="N39" s="956">
        <v>45939</v>
      </c>
      <c r="O39" s="951"/>
      <c r="P39" s="968" t="s">
        <v>86</v>
      </c>
      <c r="Q39" s="951" t="s">
        <v>1668</v>
      </c>
      <c r="R39" s="958">
        <v>45904</v>
      </c>
      <c r="S39" s="958" t="s">
        <v>88</v>
      </c>
      <c r="T39" s="958">
        <v>45916</v>
      </c>
      <c r="U39" s="958"/>
      <c r="V39" s="952" t="s">
        <v>1669</v>
      </c>
      <c r="W39" s="959" t="s">
        <v>1554</v>
      </c>
      <c r="X39" s="960">
        <v>1.5848</v>
      </c>
      <c r="Y39" s="961">
        <f>I39*X39</f>
        <v>34231.68</v>
      </c>
      <c r="Z39" s="961"/>
      <c r="AA39" s="951" t="s">
        <v>1670</v>
      </c>
      <c r="AB39" s="953" t="s">
        <v>1570</v>
      </c>
      <c r="AC39" s="954" t="s">
        <v>93</v>
      </c>
      <c r="AD39" s="954" t="s">
        <v>94</v>
      </c>
      <c r="AE39" s="951"/>
      <c r="AF39" s="979">
        <f>6750+14850</f>
        <v>21600</v>
      </c>
      <c r="AG39" s="979">
        <f t="shared" si="6"/>
        <v>0</v>
      </c>
      <c r="AH39" s="984">
        <v>45945</v>
      </c>
      <c r="AI39" s="951" t="s">
        <v>95</v>
      </c>
      <c r="AJ39" s="951"/>
      <c r="AK39" s="926">
        <f t="shared" si="15"/>
        <v>21600</v>
      </c>
      <c r="AL39" s="962">
        <f t="shared" si="11"/>
        <v>21600</v>
      </c>
      <c r="AN39" s="962"/>
      <c r="AO39" s="859">
        <f t="shared" si="8"/>
        <v>21600</v>
      </c>
      <c r="AT39" s="859">
        <f>I39/25</f>
        <v>864</v>
      </c>
      <c r="BE39" s="950"/>
      <c r="BF39" s="950"/>
      <c r="BG39" s="950"/>
      <c r="BH39" s="950"/>
      <c r="BI39" s="950"/>
      <c r="BN39" s="963"/>
      <c r="BO39" s="963"/>
      <c r="BP39" s="963"/>
      <c r="BQ39" s="963"/>
      <c r="BR39" s="963"/>
      <c r="BS39" s="963"/>
      <c r="BV39" s="964">
        <f t="shared" si="13"/>
        <v>864</v>
      </c>
      <c r="BW39" s="964">
        <f t="shared" si="14"/>
        <v>0</v>
      </c>
      <c r="BX39" s="308">
        <f t="shared" si="3"/>
        <v>267726</v>
      </c>
      <c r="BY39" s="963"/>
      <c r="BZ39" s="963">
        <f t="shared" si="4"/>
        <v>152274</v>
      </c>
      <c r="CA39" s="963"/>
      <c r="CB39" s="963"/>
      <c r="CC39" s="963"/>
      <c r="CH39" s="965"/>
      <c r="CI39" s="965"/>
      <c r="CJ39" s="965"/>
      <c r="CK39" s="965"/>
      <c r="CL39" s="965"/>
      <c r="CM39" s="965"/>
      <c r="CN39" s="965"/>
      <c r="CO39" s="965"/>
      <c r="CP39" s="965"/>
      <c r="CQ39" s="965"/>
      <c r="CR39" s="965"/>
      <c r="CS39" s="965"/>
      <c r="CT39" s="965"/>
      <c r="CU39" s="965"/>
      <c r="CV39" s="965"/>
      <c r="CW39" s="965"/>
      <c r="CX39" s="965"/>
      <c r="CY39" s="965"/>
      <c r="CZ39" s="965"/>
      <c r="DA39" s="965"/>
      <c r="DB39" s="965"/>
      <c r="DC39" s="965"/>
    </row>
    <row r="40" s="859" customFormat="1" ht="32" customHeight="1" spans="1:107">
      <c r="A40" s="985">
        <v>45905</v>
      </c>
      <c r="B40" s="986" t="s">
        <v>1543</v>
      </c>
      <c r="C40" s="954" t="s">
        <v>1544</v>
      </c>
      <c r="D40" s="987">
        <v>4500178926</v>
      </c>
      <c r="E40" s="988">
        <v>21105441</v>
      </c>
      <c r="F40" s="989" t="s">
        <v>1671</v>
      </c>
      <c r="G40" s="951" t="s">
        <v>1537</v>
      </c>
      <c r="H40" s="954" t="s">
        <v>1538</v>
      </c>
      <c r="I40" s="954">
        <v>169</v>
      </c>
      <c r="J40" s="954">
        <v>0</v>
      </c>
      <c r="K40" s="954">
        <v>13</v>
      </c>
      <c r="L40" s="955">
        <f t="shared" si="10"/>
        <v>13</v>
      </c>
      <c r="M40" s="956">
        <v>45946</v>
      </c>
      <c r="N40" s="956">
        <v>45943</v>
      </c>
      <c r="O40" s="951"/>
      <c r="P40" s="968" t="s">
        <v>86</v>
      </c>
      <c r="Q40" s="951" t="s">
        <v>1672</v>
      </c>
      <c r="R40" s="958">
        <v>45905</v>
      </c>
      <c r="S40" s="958" t="s">
        <v>88</v>
      </c>
      <c r="T40" s="958" t="s">
        <v>1639</v>
      </c>
      <c r="U40" s="958"/>
      <c r="V40" s="952" t="s">
        <v>1562</v>
      </c>
      <c r="W40" s="956" t="s">
        <v>1540</v>
      </c>
      <c r="X40" s="960">
        <v>2.4275</v>
      </c>
      <c r="Y40" s="961">
        <f>X40*I40</f>
        <v>410.2475</v>
      </c>
      <c r="Z40" s="961"/>
      <c r="AA40" s="951" t="s">
        <v>1673</v>
      </c>
      <c r="AB40" s="953" t="s">
        <v>1537</v>
      </c>
      <c r="AC40" s="951" t="s">
        <v>93</v>
      </c>
      <c r="AD40" s="954" t="s">
        <v>94</v>
      </c>
      <c r="AE40" s="951"/>
      <c r="AF40" s="990">
        <v>169</v>
      </c>
      <c r="AG40" s="979">
        <f t="shared" si="6"/>
        <v>0</v>
      </c>
      <c r="AH40" s="984" t="s">
        <v>1674</v>
      </c>
      <c r="AI40" s="951"/>
      <c r="AJ40" s="951"/>
      <c r="AK40" s="926">
        <f t="shared" si="15"/>
        <v>169</v>
      </c>
      <c r="AL40" s="962">
        <f t="shared" si="11"/>
        <v>169</v>
      </c>
      <c r="AM40" s="962"/>
      <c r="AO40" s="859">
        <f t="shared" si="8"/>
        <v>169</v>
      </c>
      <c r="AP40" s="951"/>
      <c r="AR40" s="859">
        <f>I40/13</f>
        <v>13</v>
      </c>
      <c r="AT40" s="951"/>
      <c r="AU40" s="951"/>
      <c r="AV40" s="951"/>
      <c r="AW40" s="951"/>
      <c r="BE40" s="950"/>
      <c r="BF40" s="991"/>
      <c r="BG40" s="950"/>
      <c r="BH40" s="950"/>
      <c r="BI40" s="950"/>
      <c r="BV40" s="964">
        <f t="shared" si="13"/>
        <v>0</v>
      </c>
      <c r="BW40" s="964">
        <f t="shared" si="14"/>
        <v>0</v>
      </c>
      <c r="BX40" s="308">
        <f t="shared" si="3"/>
        <v>267895</v>
      </c>
      <c r="BY40" s="963"/>
      <c r="BZ40" s="963">
        <f t="shared" si="4"/>
        <v>152105</v>
      </c>
      <c r="CC40" s="963"/>
      <c r="CG40" s="963"/>
      <c r="CH40" s="963"/>
      <c r="CI40" s="963"/>
      <c r="CJ40" s="963"/>
      <c r="CK40" s="963"/>
      <c r="CL40" s="963"/>
    </row>
    <row r="41" s="859" customFormat="1" ht="31" customHeight="1" spans="1:107">
      <c r="A41" s="948">
        <v>45902</v>
      </c>
      <c r="B41" s="949" t="s">
        <v>1548</v>
      </c>
      <c r="C41" s="950" t="s">
        <v>125</v>
      </c>
      <c r="D41" s="949">
        <v>4500178501</v>
      </c>
      <c r="E41" s="951" t="s">
        <v>1675</v>
      </c>
      <c r="F41" s="949" t="s">
        <v>1676</v>
      </c>
      <c r="G41" s="953" t="s">
        <v>1570</v>
      </c>
      <c r="H41" s="954" t="s">
        <v>1571</v>
      </c>
      <c r="I41" s="954">
        <v>59150</v>
      </c>
      <c r="J41" s="954">
        <v>0</v>
      </c>
      <c r="K41" s="954">
        <v>25</v>
      </c>
      <c r="L41" s="955">
        <f t="shared" si="10"/>
        <v>2366</v>
      </c>
      <c r="M41" s="956">
        <v>45947</v>
      </c>
      <c r="N41" s="956">
        <v>45945</v>
      </c>
      <c r="O41" s="951"/>
      <c r="P41" s="968" t="s">
        <v>86</v>
      </c>
      <c r="Q41" s="951" t="s">
        <v>1677</v>
      </c>
      <c r="R41" s="958">
        <v>45909</v>
      </c>
      <c r="S41" s="958" t="s">
        <v>1678</v>
      </c>
      <c r="T41" s="958">
        <v>45919</v>
      </c>
      <c r="U41" s="958"/>
      <c r="V41" s="952" t="s">
        <v>1679</v>
      </c>
      <c r="W41" s="959" t="s">
        <v>1554</v>
      </c>
      <c r="X41" s="960">
        <v>1.5848</v>
      </c>
      <c r="Y41" s="961">
        <f>I41*X41</f>
        <v>93740.92</v>
      </c>
      <c r="Z41" s="961"/>
      <c r="AA41" s="951" t="s">
        <v>1680</v>
      </c>
      <c r="AB41" s="953" t="s">
        <v>1570</v>
      </c>
      <c r="AC41" s="954" t="s">
        <v>93</v>
      </c>
      <c r="AD41" s="954" t="s">
        <v>94</v>
      </c>
      <c r="AE41" s="951"/>
      <c r="AF41" s="979">
        <f>13500+45650</f>
        <v>59150</v>
      </c>
      <c r="AG41" s="979">
        <f t="shared" si="6"/>
        <v>0</v>
      </c>
      <c r="AH41" s="981"/>
      <c r="AI41" s="951" t="s">
        <v>95</v>
      </c>
      <c r="AJ41" s="951"/>
      <c r="AK41" s="926">
        <f t="shared" si="15"/>
        <v>59150</v>
      </c>
      <c r="AL41" s="962">
        <f t="shared" si="11"/>
        <v>59150</v>
      </c>
      <c r="AN41" s="962"/>
      <c r="AO41" s="859">
        <f t="shared" si="8"/>
        <v>59150</v>
      </c>
      <c r="AT41" s="859">
        <f>I41/25</f>
        <v>2366</v>
      </c>
      <c r="BE41" s="950"/>
      <c r="BF41" s="950"/>
      <c r="BG41" s="950"/>
      <c r="BH41" s="950"/>
      <c r="BI41" s="950"/>
      <c r="BN41" s="963"/>
      <c r="BO41" s="963"/>
      <c r="BP41" s="963"/>
      <c r="BQ41" s="963"/>
      <c r="BR41" s="963"/>
      <c r="BS41" s="963"/>
      <c r="BV41" s="964">
        <f t="shared" si="13"/>
        <v>2366</v>
      </c>
      <c r="BW41" s="964">
        <f t="shared" si="14"/>
        <v>0</v>
      </c>
      <c r="BX41" s="308">
        <f t="shared" si="3"/>
        <v>327045</v>
      </c>
      <c r="BY41" s="963"/>
      <c r="BZ41" s="963">
        <f t="shared" si="4"/>
        <v>92955</v>
      </c>
      <c r="CA41" s="963"/>
      <c r="CB41" s="963"/>
      <c r="CC41" s="963"/>
      <c r="CH41" s="965"/>
      <c r="CI41" s="965"/>
      <c r="CJ41" s="965"/>
      <c r="CK41" s="965"/>
      <c r="CL41" s="965"/>
      <c r="CM41" s="965"/>
      <c r="CN41" s="965"/>
      <c r="CO41" s="965"/>
      <c r="CP41" s="965"/>
      <c r="CQ41" s="965"/>
      <c r="CR41" s="965"/>
      <c r="CS41" s="965"/>
      <c r="CT41" s="965"/>
      <c r="CU41" s="965"/>
      <c r="CV41" s="965"/>
      <c r="CW41" s="965"/>
      <c r="CX41" s="965"/>
      <c r="CY41" s="965"/>
      <c r="CZ41" s="965"/>
      <c r="DA41" s="965"/>
      <c r="DB41" s="965"/>
      <c r="DC41" s="965"/>
    </row>
    <row r="42" s="859" customFormat="1" ht="32" customHeight="1" spans="1:107">
      <c r="A42" s="985">
        <v>45905</v>
      </c>
      <c r="B42" s="986" t="s">
        <v>1535</v>
      </c>
      <c r="C42" s="954" t="s">
        <v>377</v>
      </c>
      <c r="D42" s="987">
        <v>4500178925</v>
      </c>
      <c r="E42" s="988">
        <v>21105438</v>
      </c>
      <c r="F42" s="989" t="s">
        <v>1681</v>
      </c>
      <c r="G42" s="951" t="s">
        <v>1537</v>
      </c>
      <c r="H42" s="954" t="s">
        <v>1538</v>
      </c>
      <c r="I42" s="954">
        <v>4550</v>
      </c>
      <c r="J42" s="954">
        <v>0</v>
      </c>
      <c r="K42" s="954">
        <v>13</v>
      </c>
      <c r="L42" s="955">
        <f t="shared" si="10"/>
        <v>350</v>
      </c>
      <c r="M42" s="956">
        <v>45946</v>
      </c>
      <c r="N42" s="956">
        <v>45943</v>
      </c>
      <c r="O42" s="951"/>
      <c r="P42" s="968" t="s">
        <v>86</v>
      </c>
      <c r="Q42" s="951" t="s">
        <v>1672</v>
      </c>
      <c r="R42" s="958">
        <v>45905</v>
      </c>
      <c r="S42" s="958" t="s">
        <v>88</v>
      </c>
      <c r="T42" s="958" t="s">
        <v>1639</v>
      </c>
      <c r="U42" s="958"/>
      <c r="V42" s="952" t="s">
        <v>1557</v>
      </c>
      <c r="W42" s="956" t="s">
        <v>1540</v>
      </c>
      <c r="X42" s="960">
        <v>2.4275</v>
      </c>
      <c r="Y42" s="961">
        <f>X42*I42</f>
        <v>11045.125</v>
      </c>
      <c r="Z42" s="961"/>
      <c r="AA42" s="951" t="s">
        <v>1682</v>
      </c>
      <c r="AB42" s="953" t="s">
        <v>1537</v>
      </c>
      <c r="AC42" s="951" t="s">
        <v>93</v>
      </c>
      <c r="AD42" s="954" t="s">
        <v>94</v>
      </c>
      <c r="AE42" s="951"/>
      <c r="AF42" s="990">
        <v>4550</v>
      </c>
      <c r="AG42" s="979">
        <f t="shared" si="6"/>
        <v>0</v>
      </c>
      <c r="AH42" s="984" t="s">
        <v>1674</v>
      </c>
      <c r="AI42" s="951"/>
      <c r="AJ42" s="951"/>
      <c r="AK42" s="926">
        <f t="shared" si="15"/>
        <v>4550</v>
      </c>
      <c r="AL42" s="962">
        <f t="shared" si="11"/>
        <v>4550</v>
      </c>
      <c r="AM42" s="962"/>
      <c r="AO42" s="859">
        <f t="shared" si="8"/>
        <v>4550</v>
      </c>
      <c r="AP42" s="951"/>
      <c r="AR42" s="859">
        <f>I42/13</f>
        <v>350</v>
      </c>
      <c r="AT42" s="951"/>
      <c r="AU42" s="951"/>
      <c r="AV42" s="951"/>
      <c r="AW42" s="951"/>
      <c r="BE42" s="950"/>
      <c r="BF42" s="991"/>
      <c r="BG42" s="950"/>
      <c r="BH42" s="950"/>
      <c r="BI42" s="950"/>
      <c r="BV42" s="964">
        <f t="shared" si="13"/>
        <v>0</v>
      </c>
      <c r="BW42" s="964">
        <f t="shared" si="14"/>
        <v>0</v>
      </c>
      <c r="BX42" s="308">
        <f t="shared" si="3"/>
        <v>331595</v>
      </c>
      <c r="BY42" s="963"/>
      <c r="BZ42" s="963">
        <f t="shared" si="4"/>
        <v>88405</v>
      </c>
      <c r="CC42" s="963"/>
      <c r="CG42" s="963"/>
      <c r="CH42" s="963"/>
      <c r="CI42" s="963"/>
      <c r="CJ42" s="963"/>
      <c r="CK42" s="963"/>
      <c r="CL42" s="963"/>
    </row>
    <row r="43" s="859" customFormat="1" ht="31" customHeight="1" spans="1:107">
      <c r="A43" s="948">
        <v>45884</v>
      </c>
      <c r="B43" s="949" t="s">
        <v>578</v>
      </c>
      <c r="C43" s="950" t="s">
        <v>125</v>
      </c>
      <c r="D43" s="949">
        <v>4500177093</v>
      </c>
      <c r="E43" s="1422" t="s">
        <v>1683</v>
      </c>
      <c r="F43" s="949" t="s">
        <v>1684</v>
      </c>
      <c r="G43" s="953" t="s">
        <v>1584</v>
      </c>
      <c r="H43" s="954" t="s">
        <v>1585</v>
      </c>
      <c r="I43" s="954">
        <v>16544</v>
      </c>
      <c r="J43" s="954">
        <v>0</v>
      </c>
      <c r="K43" s="954">
        <v>16</v>
      </c>
      <c r="L43" s="955">
        <f t="shared" si="10"/>
        <v>1034</v>
      </c>
      <c r="M43" s="956">
        <v>45946</v>
      </c>
      <c r="N43" s="956">
        <v>45943</v>
      </c>
      <c r="O43" s="951" t="s">
        <v>1685</v>
      </c>
      <c r="P43" s="968" t="s">
        <v>86</v>
      </c>
      <c r="Q43" s="951"/>
      <c r="R43" s="958">
        <v>45884</v>
      </c>
      <c r="S43" s="958" t="s">
        <v>98</v>
      </c>
      <c r="T43" s="958">
        <v>45902</v>
      </c>
      <c r="U43" s="958"/>
      <c r="V43" s="952" t="s">
        <v>1636</v>
      </c>
      <c r="W43" s="959" t="s">
        <v>247</v>
      </c>
      <c r="X43" s="960">
        <v>1.596</v>
      </c>
      <c r="Y43" s="961">
        <f>X43*I43</f>
        <v>26404.224</v>
      </c>
      <c r="Z43" s="961"/>
      <c r="AA43" s="951" t="s">
        <v>1686</v>
      </c>
      <c r="AB43" s="953" t="s">
        <v>1584</v>
      </c>
      <c r="AC43" s="954" t="s">
        <v>93</v>
      </c>
      <c r="AD43" s="954" t="s">
        <v>94</v>
      </c>
      <c r="AE43" s="951"/>
      <c r="AF43" s="979">
        <v>16544</v>
      </c>
      <c r="AG43" s="979">
        <f t="shared" si="6"/>
        <v>0</v>
      </c>
      <c r="AH43" s="984">
        <v>45947</v>
      </c>
      <c r="AI43" s="951"/>
      <c r="AJ43" s="951"/>
      <c r="AK43" s="926">
        <f t="shared" si="15"/>
        <v>16544</v>
      </c>
      <c r="AL43" s="962">
        <f t="shared" si="11"/>
        <v>16544</v>
      </c>
      <c r="AN43" s="962"/>
      <c r="AO43" s="859">
        <f t="shared" si="8"/>
        <v>16544</v>
      </c>
      <c r="AY43" s="859">
        <f>I43/16</f>
        <v>1034</v>
      </c>
      <c r="BE43" s="950"/>
      <c r="BF43" s="950"/>
      <c r="BG43" s="950"/>
      <c r="BH43" s="950"/>
      <c r="BI43" s="950"/>
      <c r="BN43" s="963"/>
      <c r="BO43" s="963"/>
      <c r="BP43" s="963"/>
      <c r="BQ43" s="963"/>
      <c r="BR43" s="963"/>
      <c r="BS43" s="963"/>
      <c r="BV43" s="964">
        <f t="shared" si="13"/>
        <v>1034</v>
      </c>
      <c r="BW43" s="964">
        <f t="shared" si="14"/>
        <v>0</v>
      </c>
      <c r="BX43" s="308">
        <f t="shared" si="3"/>
        <v>348139</v>
      </c>
      <c r="BY43" s="963"/>
      <c r="BZ43" s="963">
        <f t="shared" si="4"/>
        <v>71861</v>
      </c>
      <c r="CA43" s="963"/>
      <c r="CB43" s="963"/>
      <c r="CC43" s="963"/>
      <c r="CH43" s="965"/>
      <c r="CI43" s="965"/>
      <c r="CJ43" s="965"/>
      <c r="CK43" s="965"/>
      <c r="CL43" s="965"/>
      <c r="CM43" s="965"/>
      <c r="CN43" s="965"/>
      <c r="CO43" s="965"/>
      <c r="CP43" s="965"/>
      <c r="CQ43" s="965"/>
      <c r="CR43" s="965"/>
      <c r="CS43" s="965"/>
      <c r="CT43" s="965"/>
      <c r="CU43" s="965"/>
      <c r="CV43" s="965"/>
      <c r="CW43" s="965"/>
      <c r="CX43" s="965"/>
      <c r="CY43" s="965"/>
      <c r="CZ43" s="965"/>
      <c r="DA43" s="965"/>
      <c r="DB43" s="965"/>
      <c r="DC43" s="965"/>
    </row>
    <row r="44" s="859" customFormat="1" ht="31" customHeight="1" spans="1:107">
      <c r="A44" s="948">
        <v>45884</v>
      </c>
      <c r="B44" s="949" t="s">
        <v>578</v>
      </c>
      <c r="C44" s="950" t="s">
        <v>125</v>
      </c>
      <c r="D44" s="949">
        <v>4500177093</v>
      </c>
      <c r="E44" s="1422" t="s">
        <v>1687</v>
      </c>
      <c r="F44" s="949" t="s">
        <v>1688</v>
      </c>
      <c r="G44" s="953" t="s">
        <v>1584</v>
      </c>
      <c r="H44" s="954" t="s">
        <v>1585</v>
      </c>
      <c r="I44" s="954">
        <v>20480</v>
      </c>
      <c r="J44" s="954">
        <v>0</v>
      </c>
      <c r="K44" s="954">
        <v>16</v>
      </c>
      <c r="L44" s="955">
        <f t="shared" si="10"/>
        <v>1280</v>
      </c>
      <c r="M44" s="956">
        <v>45946</v>
      </c>
      <c r="N44" s="956">
        <v>45943</v>
      </c>
      <c r="O44" s="951" t="s">
        <v>1685</v>
      </c>
      <c r="P44" s="968" t="s">
        <v>86</v>
      </c>
      <c r="Q44" s="951"/>
      <c r="R44" s="958">
        <v>45884</v>
      </c>
      <c r="S44" s="958" t="s">
        <v>98</v>
      </c>
      <c r="T44" s="958">
        <v>45902</v>
      </c>
      <c r="U44" s="958"/>
      <c r="V44" s="952" t="s">
        <v>1636</v>
      </c>
      <c r="W44" s="959" t="s">
        <v>247</v>
      </c>
      <c r="X44" s="960">
        <v>1.596</v>
      </c>
      <c r="Y44" s="961">
        <f>X44*I44</f>
        <v>32686.08</v>
      </c>
      <c r="Z44" s="961"/>
      <c r="AA44" s="951" t="s">
        <v>1689</v>
      </c>
      <c r="AB44" s="953" t="s">
        <v>1584</v>
      </c>
      <c r="AC44" s="954" t="s">
        <v>93</v>
      </c>
      <c r="AD44" s="954" t="s">
        <v>94</v>
      </c>
      <c r="AE44" s="951"/>
      <c r="AF44" s="979">
        <f>16640+3840</f>
        <v>20480</v>
      </c>
      <c r="AG44" s="979">
        <f t="shared" si="6"/>
        <v>0</v>
      </c>
      <c r="AH44" s="984" t="s">
        <v>1674</v>
      </c>
      <c r="AI44" s="951"/>
      <c r="AJ44" s="951"/>
      <c r="AK44" s="926">
        <f t="shared" si="15"/>
        <v>20480</v>
      </c>
      <c r="AL44" s="962">
        <f t="shared" si="11"/>
        <v>20480</v>
      </c>
      <c r="AN44" s="962"/>
      <c r="AO44" s="859">
        <f t="shared" si="8"/>
        <v>20480</v>
      </c>
      <c r="AY44" s="859">
        <f>I44/16</f>
        <v>1280</v>
      </c>
      <c r="BE44" s="950"/>
      <c r="BF44" s="950"/>
      <c r="BG44" s="950"/>
      <c r="BH44" s="950"/>
      <c r="BI44" s="950"/>
      <c r="BN44" s="963"/>
      <c r="BO44" s="963"/>
      <c r="BP44" s="963"/>
      <c r="BQ44" s="963"/>
      <c r="BR44" s="963"/>
      <c r="BS44" s="963"/>
      <c r="BV44" s="964">
        <f t="shared" si="13"/>
        <v>1280</v>
      </c>
      <c r="BW44" s="964">
        <f t="shared" si="14"/>
        <v>0</v>
      </c>
      <c r="BX44" s="308">
        <f t="shared" si="3"/>
        <v>368619</v>
      </c>
      <c r="BY44" s="963"/>
      <c r="BZ44" s="963">
        <f t="shared" si="4"/>
        <v>51381</v>
      </c>
      <c r="CA44" s="963"/>
      <c r="CB44" s="963"/>
      <c r="CC44" s="963"/>
      <c r="CH44" s="965"/>
      <c r="CI44" s="965"/>
      <c r="CJ44" s="965"/>
      <c r="CK44" s="965"/>
      <c r="CL44" s="965"/>
      <c r="CM44" s="965"/>
      <c r="CN44" s="965"/>
      <c r="CO44" s="965"/>
      <c r="CP44" s="965"/>
      <c r="CQ44" s="965"/>
      <c r="CR44" s="965"/>
      <c r="CS44" s="965"/>
      <c r="CT44" s="965"/>
      <c r="CU44" s="965"/>
      <c r="CV44" s="965"/>
      <c r="CW44" s="965"/>
      <c r="CX44" s="965"/>
      <c r="CY44" s="965"/>
      <c r="CZ44" s="965"/>
      <c r="DA44" s="965"/>
      <c r="DB44" s="965"/>
      <c r="DC44" s="965"/>
    </row>
    <row r="45" s="859" customFormat="1" ht="32" customHeight="1" spans="1:107">
      <c r="A45" s="985">
        <v>45897</v>
      </c>
      <c r="B45" s="986" t="s">
        <v>578</v>
      </c>
      <c r="C45" s="954" t="s">
        <v>125</v>
      </c>
      <c r="D45" s="987">
        <v>4500178134</v>
      </c>
      <c r="E45" s="1420" t="s">
        <v>1690</v>
      </c>
      <c r="F45" s="987" t="s">
        <v>1691</v>
      </c>
      <c r="G45" s="951" t="s">
        <v>1584</v>
      </c>
      <c r="H45" s="954" t="s">
        <v>1585</v>
      </c>
      <c r="I45" s="954">
        <v>960</v>
      </c>
      <c r="J45" s="954">
        <v>0</v>
      </c>
      <c r="K45" s="954">
        <v>16</v>
      </c>
      <c r="L45" s="955">
        <f t="shared" si="10"/>
        <v>60</v>
      </c>
      <c r="M45" s="956">
        <v>45951</v>
      </c>
      <c r="N45" s="956">
        <v>45947</v>
      </c>
      <c r="O45" s="951" t="s">
        <v>1692</v>
      </c>
      <c r="P45" s="968" t="s">
        <v>86</v>
      </c>
      <c r="Q45" s="951"/>
      <c r="R45" s="958" t="s">
        <v>296</v>
      </c>
      <c r="S45" s="958" t="s">
        <v>98</v>
      </c>
      <c r="T45" s="958">
        <v>45908</v>
      </c>
      <c r="U45" s="958"/>
      <c r="V45" s="952" t="s">
        <v>1626</v>
      </c>
      <c r="W45" s="956" t="s">
        <v>247</v>
      </c>
      <c r="X45" s="960">
        <v>1.596</v>
      </c>
      <c r="Y45" s="961">
        <f>X45*I45</f>
        <v>1532.16</v>
      </c>
      <c r="Z45" s="961"/>
      <c r="AA45" s="951" t="s">
        <v>1693</v>
      </c>
      <c r="AB45" s="953" t="s">
        <v>1584</v>
      </c>
      <c r="AC45" s="954" t="s">
        <v>93</v>
      </c>
      <c r="AD45" s="954" t="s">
        <v>94</v>
      </c>
      <c r="AE45" s="951"/>
      <c r="AF45" s="990">
        <v>960</v>
      </c>
      <c r="AG45" s="979">
        <f t="shared" si="6"/>
        <v>0</v>
      </c>
      <c r="AH45" s="981"/>
      <c r="AI45" s="951"/>
      <c r="AJ45" s="951"/>
      <c r="AK45" s="926">
        <f t="shared" si="15"/>
        <v>960</v>
      </c>
      <c r="AL45" s="962">
        <f t="shared" si="11"/>
        <v>960</v>
      </c>
      <c r="AM45" s="962"/>
      <c r="AO45" s="859">
        <f t="shared" si="8"/>
        <v>960</v>
      </c>
      <c r="AP45" s="951"/>
      <c r="AT45" s="951"/>
      <c r="AU45" s="951"/>
      <c r="AV45" s="951"/>
      <c r="AW45" s="951"/>
      <c r="AY45" s="859">
        <f>I45/16</f>
        <v>60</v>
      </c>
      <c r="BE45" s="950"/>
      <c r="BF45" s="991"/>
      <c r="BG45" s="950"/>
      <c r="BH45" s="950"/>
      <c r="BI45" s="950"/>
      <c r="BV45" s="964">
        <f t="shared" si="13"/>
        <v>60</v>
      </c>
      <c r="BW45" s="964">
        <f t="shared" si="14"/>
        <v>0</v>
      </c>
      <c r="BX45" s="308">
        <f t="shared" si="3"/>
        <v>369579</v>
      </c>
      <c r="BY45" s="963"/>
      <c r="BZ45" s="963">
        <f t="shared" si="4"/>
        <v>50421</v>
      </c>
      <c r="CC45" s="963"/>
      <c r="CG45" s="963"/>
      <c r="CH45" s="963"/>
      <c r="CI45" s="963"/>
      <c r="CJ45" s="963"/>
      <c r="CK45" s="963"/>
      <c r="CL45" s="963"/>
    </row>
    <row r="46" s="859" customFormat="1" ht="32" customHeight="1" spans="1:107">
      <c r="A46" s="985">
        <v>45897</v>
      </c>
      <c r="B46" s="986" t="s">
        <v>578</v>
      </c>
      <c r="C46" s="954" t="s">
        <v>125</v>
      </c>
      <c r="D46" s="987">
        <v>4500178134</v>
      </c>
      <c r="E46" s="1420" t="s">
        <v>1694</v>
      </c>
      <c r="F46" s="987" t="s">
        <v>1695</v>
      </c>
      <c r="G46" s="951" t="s">
        <v>1584</v>
      </c>
      <c r="H46" s="954" t="s">
        <v>1585</v>
      </c>
      <c r="I46" s="954">
        <v>960</v>
      </c>
      <c r="J46" s="954">
        <v>0</v>
      </c>
      <c r="K46" s="954">
        <v>16</v>
      </c>
      <c r="L46" s="955">
        <f t="shared" si="10"/>
        <v>60</v>
      </c>
      <c r="M46" s="956">
        <v>45951</v>
      </c>
      <c r="N46" s="956">
        <v>45947</v>
      </c>
      <c r="O46" s="951" t="s">
        <v>1692</v>
      </c>
      <c r="P46" s="968" t="s">
        <v>86</v>
      </c>
      <c r="Q46" s="951"/>
      <c r="R46" s="958" t="s">
        <v>296</v>
      </c>
      <c r="S46" s="958" t="s">
        <v>98</v>
      </c>
      <c r="T46" s="958">
        <v>45908</v>
      </c>
      <c r="U46" s="958"/>
      <c r="V46" s="952" t="s">
        <v>1626</v>
      </c>
      <c r="W46" s="956" t="s">
        <v>247</v>
      </c>
      <c r="X46" s="960">
        <v>1.596</v>
      </c>
      <c r="Y46" s="961">
        <f>X46*I46</f>
        <v>1532.16</v>
      </c>
      <c r="Z46" s="961"/>
      <c r="AA46" s="951" t="s">
        <v>1696</v>
      </c>
      <c r="AB46" s="953" t="s">
        <v>1584</v>
      </c>
      <c r="AC46" s="954" t="s">
        <v>93</v>
      </c>
      <c r="AD46" s="954" t="s">
        <v>94</v>
      </c>
      <c r="AE46" s="951"/>
      <c r="AF46" s="990">
        <v>960</v>
      </c>
      <c r="AG46" s="979">
        <f t="shared" si="6"/>
        <v>0</v>
      </c>
      <c r="AH46" s="981"/>
      <c r="AI46" s="951"/>
      <c r="AJ46" s="951"/>
      <c r="AK46" s="926">
        <f t="shared" si="15"/>
        <v>960</v>
      </c>
      <c r="AL46" s="962">
        <f t="shared" si="11"/>
        <v>960</v>
      </c>
      <c r="AM46" s="962"/>
      <c r="AO46" s="859">
        <f t="shared" si="8"/>
        <v>960</v>
      </c>
      <c r="AP46" s="951"/>
      <c r="AT46" s="951"/>
      <c r="AU46" s="951"/>
      <c r="AV46" s="951"/>
      <c r="AW46" s="951"/>
      <c r="AY46" s="859">
        <f>I46/16</f>
        <v>60</v>
      </c>
      <c r="BE46" s="950"/>
      <c r="BF46" s="991"/>
      <c r="BG46" s="950"/>
      <c r="BH46" s="950"/>
      <c r="BI46" s="950"/>
      <c r="BV46" s="964">
        <f t="shared" si="13"/>
        <v>60</v>
      </c>
      <c r="BW46" s="964">
        <f t="shared" si="14"/>
        <v>0</v>
      </c>
      <c r="BX46" s="308">
        <f t="shared" si="3"/>
        <v>370539</v>
      </c>
      <c r="BY46" s="963"/>
      <c r="BZ46" s="963">
        <f t="shared" si="4"/>
        <v>49461</v>
      </c>
      <c r="CC46" s="963"/>
      <c r="CG46" s="963"/>
      <c r="CH46" s="963"/>
      <c r="CI46" s="963"/>
      <c r="CJ46" s="963"/>
      <c r="CK46" s="963"/>
      <c r="CL46" s="963"/>
    </row>
    <row r="47" s="859" customFormat="1" ht="31" customHeight="1" spans="1:107">
      <c r="A47" s="948">
        <v>45905</v>
      </c>
      <c r="B47" s="949" t="s">
        <v>1697</v>
      </c>
      <c r="C47" s="950" t="s">
        <v>1698</v>
      </c>
      <c r="D47" s="949">
        <v>4500178971</v>
      </c>
      <c r="E47" s="951" t="s">
        <v>1699</v>
      </c>
      <c r="F47" s="949" t="s">
        <v>1700</v>
      </c>
      <c r="G47" s="953" t="s">
        <v>1532</v>
      </c>
      <c r="H47" s="954" t="s">
        <v>1524</v>
      </c>
      <c r="I47" s="954">
        <v>364</v>
      </c>
      <c r="J47" s="954">
        <v>0</v>
      </c>
      <c r="K47" s="954">
        <v>52</v>
      </c>
      <c r="L47" s="955">
        <f t="shared" si="10"/>
        <v>7</v>
      </c>
      <c r="M47" s="956">
        <v>45957</v>
      </c>
      <c r="N47" s="956">
        <v>45958</v>
      </c>
      <c r="O47" s="951"/>
      <c r="P47" s="968" t="s">
        <v>86</v>
      </c>
      <c r="Q47" s="967">
        <v>45959</v>
      </c>
      <c r="R47" s="958">
        <v>45905</v>
      </c>
      <c r="S47" s="958" t="s">
        <v>98</v>
      </c>
      <c r="T47" s="958">
        <v>45925</v>
      </c>
      <c r="U47" s="958"/>
      <c r="V47" s="952" t="s">
        <v>1701</v>
      </c>
      <c r="W47" s="959" t="s">
        <v>1059</v>
      </c>
      <c r="X47" s="960">
        <v>2.15</v>
      </c>
      <c r="Y47" s="961">
        <f t="shared" ref="Y47:Y53" si="16">X47*I47</f>
        <v>782.6</v>
      </c>
      <c r="Z47" s="961"/>
      <c r="AA47" s="951" t="s">
        <v>1702</v>
      </c>
      <c r="AB47" s="953" t="s">
        <v>1532</v>
      </c>
      <c r="AC47" s="954" t="s">
        <v>93</v>
      </c>
      <c r="AD47" s="954" t="s">
        <v>94</v>
      </c>
      <c r="AE47" s="951"/>
      <c r="AF47" s="979">
        <v>364</v>
      </c>
      <c r="AG47" s="979">
        <f t="shared" si="6"/>
        <v>0</v>
      </c>
      <c r="AH47" s="981"/>
      <c r="AI47" s="951" t="s">
        <v>95</v>
      </c>
      <c r="AJ47" s="951"/>
      <c r="AK47" s="926">
        <f t="shared" si="15"/>
        <v>364</v>
      </c>
      <c r="AL47" s="962">
        <f t="shared" si="11"/>
        <v>364</v>
      </c>
      <c r="AN47" s="962"/>
      <c r="AO47" s="859">
        <f t="shared" si="8"/>
        <v>364</v>
      </c>
      <c r="AR47" s="859">
        <f>I47/13</f>
        <v>28</v>
      </c>
      <c r="BE47" s="950"/>
      <c r="BF47" s="950"/>
      <c r="BG47" s="950"/>
      <c r="BH47" s="950"/>
      <c r="BI47" s="950"/>
      <c r="BN47" s="963"/>
      <c r="BO47" s="963"/>
      <c r="BP47" s="963"/>
      <c r="BQ47" s="963"/>
      <c r="BR47" s="963"/>
      <c r="BS47" s="963"/>
      <c r="BV47" s="964">
        <f t="shared" si="13"/>
        <v>0</v>
      </c>
      <c r="BW47" s="964">
        <f t="shared" si="14"/>
        <v>0</v>
      </c>
      <c r="BX47" s="308">
        <f t="shared" si="3"/>
        <v>370903</v>
      </c>
      <c r="BY47" s="963"/>
      <c r="BZ47" s="963">
        <f t="shared" si="4"/>
        <v>49097</v>
      </c>
      <c r="CA47" s="963">
        <v>414825</v>
      </c>
      <c r="CB47" s="963"/>
      <c r="CC47" s="963"/>
      <c r="CH47" s="965"/>
      <c r="CI47" s="965"/>
      <c r="CJ47" s="965"/>
      <c r="CK47" s="965"/>
      <c r="CL47" s="965"/>
      <c r="CM47" s="965"/>
      <c r="CN47" s="965"/>
      <c r="CO47" s="965"/>
      <c r="CP47" s="965"/>
      <c r="CQ47" s="965"/>
      <c r="CR47" s="965"/>
      <c r="CS47" s="965"/>
      <c r="CT47" s="965"/>
      <c r="CU47" s="965"/>
      <c r="CV47" s="965"/>
      <c r="CW47" s="965"/>
      <c r="CX47" s="965"/>
      <c r="CY47" s="965"/>
      <c r="CZ47" s="965"/>
      <c r="DA47" s="965"/>
      <c r="DB47" s="965"/>
      <c r="DC47" s="965"/>
    </row>
    <row r="48" s="859" customFormat="1" ht="31" customHeight="1" spans="1:107">
      <c r="A48" s="948">
        <v>45912</v>
      </c>
      <c r="B48" s="949" t="s">
        <v>1543</v>
      </c>
      <c r="C48" s="950" t="s">
        <v>1544</v>
      </c>
      <c r="D48" s="949">
        <v>4500179341</v>
      </c>
      <c r="E48" s="951" t="s">
        <v>1703</v>
      </c>
      <c r="F48" s="952" t="s">
        <v>1704</v>
      </c>
      <c r="G48" s="953" t="s">
        <v>1537</v>
      </c>
      <c r="H48" s="954" t="s">
        <v>1538</v>
      </c>
      <c r="I48" s="954">
        <v>78</v>
      </c>
      <c r="J48" s="954">
        <v>0</v>
      </c>
      <c r="K48" s="954">
        <v>13</v>
      </c>
      <c r="L48" s="955">
        <f t="shared" si="10"/>
        <v>6</v>
      </c>
      <c r="M48" s="956">
        <v>45957</v>
      </c>
      <c r="N48" s="956">
        <v>45958</v>
      </c>
      <c r="O48" s="951"/>
      <c r="P48" s="968" t="s">
        <v>86</v>
      </c>
      <c r="Q48" s="951" t="s">
        <v>1705</v>
      </c>
      <c r="R48" s="958">
        <v>45925</v>
      </c>
      <c r="S48" s="958" t="s">
        <v>88</v>
      </c>
      <c r="T48" s="958" t="s">
        <v>1706</v>
      </c>
      <c r="U48" s="958"/>
      <c r="V48" s="952" t="s">
        <v>1546</v>
      </c>
      <c r="W48" s="959" t="s">
        <v>1540</v>
      </c>
      <c r="X48" s="960">
        <v>2.4275</v>
      </c>
      <c r="Y48" s="961">
        <f t="shared" si="16"/>
        <v>189.345</v>
      </c>
      <c r="Z48" s="961"/>
      <c r="AA48" s="951" t="s">
        <v>1707</v>
      </c>
      <c r="AB48" s="953" t="s">
        <v>1537</v>
      </c>
      <c r="AC48" s="951" t="s">
        <v>93</v>
      </c>
      <c r="AD48" s="954" t="s">
        <v>94</v>
      </c>
      <c r="AE48" s="951"/>
      <c r="AF48" s="979">
        <v>78</v>
      </c>
      <c r="AG48" s="979">
        <f t="shared" si="6"/>
        <v>0</v>
      </c>
      <c r="AH48" s="981"/>
      <c r="AI48" s="951" t="s">
        <v>95</v>
      </c>
      <c r="AJ48" s="951"/>
      <c r="AK48" s="926">
        <f t="shared" si="15"/>
        <v>78</v>
      </c>
      <c r="AL48" s="962">
        <f t="shared" si="11"/>
        <v>78</v>
      </c>
      <c r="AN48" s="962"/>
      <c r="AO48" s="859">
        <f t="shared" si="8"/>
        <v>78</v>
      </c>
      <c r="AR48" s="859">
        <f>I48/13</f>
        <v>6</v>
      </c>
      <c r="BE48" s="950"/>
      <c r="BF48" s="950"/>
      <c r="BG48" s="950"/>
      <c r="BH48" s="950"/>
      <c r="BI48" s="950"/>
      <c r="BN48" s="963"/>
      <c r="BO48" s="963"/>
      <c r="BP48" s="963"/>
      <c r="BQ48" s="963"/>
      <c r="BR48" s="963"/>
      <c r="BS48" s="963"/>
      <c r="BV48" s="964">
        <f t="shared" si="13"/>
        <v>0</v>
      </c>
      <c r="BW48" s="964">
        <f t="shared" si="14"/>
        <v>0</v>
      </c>
      <c r="BX48" s="308">
        <f t="shared" si="3"/>
        <v>370981</v>
      </c>
      <c r="BY48" s="963"/>
      <c r="BZ48" s="963">
        <f t="shared" si="4"/>
        <v>49019</v>
      </c>
      <c r="CA48" s="963">
        <v>413967</v>
      </c>
      <c r="CB48" s="963"/>
      <c r="CC48" s="963"/>
      <c r="CH48" s="965"/>
      <c r="CI48" s="965"/>
      <c r="CJ48" s="965"/>
      <c r="CK48" s="965"/>
      <c r="CL48" s="965"/>
      <c r="CM48" s="965"/>
      <c r="CN48" s="965"/>
      <c r="CO48" s="965"/>
      <c r="CP48" s="965"/>
      <c r="CQ48" s="965"/>
      <c r="CR48" s="965"/>
      <c r="CS48" s="965"/>
      <c r="CT48" s="965"/>
      <c r="CU48" s="965"/>
      <c r="CV48" s="965"/>
      <c r="CW48" s="965"/>
      <c r="CX48" s="965"/>
      <c r="CY48" s="965"/>
      <c r="CZ48" s="965"/>
      <c r="DA48" s="965"/>
      <c r="DB48" s="965"/>
      <c r="DC48" s="965"/>
    </row>
    <row r="49" s="859" customFormat="1" ht="31" customHeight="1" spans="1:107">
      <c r="A49" s="948">
        <v>45912</v>
      </c>
      <c r="B49" s="949" t="s">
        <v>1535</v>
      </c>
      <c r="C49" s="950" t="s">
        <v>377</v>
      </c>
      <c r="D49" s="949">
        <v>4500179340</v>
      </c>
      <c r="E49" s="951">
        <v>21105439</v>
      </c>
      <c r="F49" s="952" t="s">
        <v>1708</v>
      </c>
      <c r="G49" s="953" t="s">
        <v>1537</v>
      </c>
      <c r="H49" s="954" t="s">
        <v>1538</v>
      </c>
      <c r="I49" s="954">
        <v>1482</v>
      </c>
      <c r="J49" s="954">
        <v>0</v>
      </c>
      <c r="K49" s="954">
        <v>13</v>
      </c>
      <c r="L49" s="955">
        <f t="shared" si="10"/>
        <v>114</v>
      </c>
      <c r="M49" s="956">
        <v>45957</v>
      </c>
      <c r="N49" s="956">
        <v>45958</v>
      </c>
      <c r="O49" s="951"/>
      <c r="P49" s="968" t="s">
        <v>86</v>
      </c>
      <c r="Q49" s="951" t="s">
        <v>1709</v>
      </c>
      <c r="R49" s="958">
        <v>45925</v>
      </c>
      <c r="S49" s="958" t="s">
        <v>88</v>
      </c>
      <c r="T49" s="958" t="s">
        <v>1706</v>
      </c>
      <c r="U49" s="958"/>
      <c r="V49" s="952" t="s">
        <v>1557</v>
      </c>
      <c r="W49" s="959" t="s">
        <v>1540</v>
      </c>
      <c r="X49" s="960">
        <v>2.4275</v>
      </c>
      <c r="Y49" s="961">
        <f t="shared" si="16"/>
        <v>3597.555</v>
      </c>
      <c r="Z49" s="961"/>
      <c r="AA49" s="951" t="s">
        <v>1710</v>
      </c>
      <c r="AB49" s="953" t="s">
        <v>1537</v>
      </c>
      <c r="AC49" s="951" t="s">
        <v>93</v>
      </c>
      <c r="AD49" s="954" t="s">
        <v>94</v>
      </c>
      <c r="AE49" s="951"/>
      <c r="AF49" s="979">
        <v>1482</v>
      </c>
      <c r="AG49" s="979">
        <f t="shared" si="6"/>
        <v>0</v>
      </c>
      <c r="AH49" s="981"/>
      <c r="AI49" s="951" t="s">
        <v>95</v>
      </c>
      <c r="AJ49" s="951"/>
      <c r="AK49" s="926">
        <f t="shared" si="15"/>
        <v>1482</v>
      </c>
      <c r="AL49" s="962">
        <f t="shared" si="11"/>
        <v>1482</v>
      </c>
      <c r="AN49" s="962"/>
      <c r="AO49" s="859">
        <f t="shared" si="8"/>
        <v>1482</v>
      </c>
      <c r="AR49" s="859">
        <f>I49/13</f>
        <v>114</v>
      </c>
      <c r="BE49" s="950"/>
      <c r="BF49" s="950"/>
      <c r="BG49" s="950"/>
      <c r="BH49" s="950"/>
      <c r="BI49" s="950"/>
      <c r="BN49" s="963"/>
      <c r="BO49" s="963"/>
      <c r="BP49" s="963"/>
      <c r="BQ49" s="963"/>
      <c r="BR49" s="963"/>
      <c r="BS49" s="963"/>
      <c r="BV49" s="964">
        <f t="shared" si="13"/>
        <v>0</v>
      </c>
      <c r="BW49" s="964">
        <f t="shared" si="14"/>
        <v>0</v>
      </c>
      <c r="BX49" s="308">
        <f t="shared" si="3"/>
        <v>372463</v>
      </c>
      <c r="BY49" s="963"/>
      <c r="BZ49" s="963">
        <f t="shared" si="4"/>
        <v>47537</v>
      </c>
      <c r="CA49" s="963">
        <v>412485</v>
      </c>
      <c r="CB49" s="963"/>
      <c r="CC49" s="963"/>
      <c r="CH49" s="965"/>
      <c r="CI49" s="965"/>
      <c r="CJ49" s="965"/>
      <c r="CK49" s="965"/>
      <c r="CL49" s="965"/>
      <c r="CM49" s="965"/>
      <c r="CN49" s="965"/>
      <c r="CO49" s="965"/>
      <c r="CP49" s="965"/>
      <c r="CQ49" s="965"/>
      <c r="CR49" s="965"/>
      <c r="CS49" s="965"/>
      <c r="CT49" s="965"/>
      <c r="CU49" s="965"/>
      <c r="CV49" s="965"/>
      <c r="CW49" s="965"/>
      <c r="CX49" s="965"/>
      <c r="CY49" s="965"/>
      <c r="CZ49" s="965"/>
      <c r="DA49" s="965"/>
      <c r="DB49" s="965"/>
      <c r="DC49" s="965"/>
    </row>
    <row r="50" s="859" customFormat="1" ht="31" customHeight="1" spans="1:107">
      <c r="A50" s="948">
        <v>45884</v>
      </c>
      <c r="B50" s="949" t="s">
        <v>578</v>
      </c>
      <c r="C50" s="950" t="s">
        <v>125</v>
      </c>
      <c r="D50" s="949">
        <v>4500177094</v>
      </c>
      <c r="E50" s="1422" t="s">
        <v>1711</v>
      </c>
      <c r="F50" s="949" t="s">
        <v>1712</v>
      </c>
      <c r="G50" s="953" t="s">
        <v>1584</v>
      </c>
      <c r="H50" s="954" t="s">
        <v>1585</v>
      </c>
      <c r="I50" s="954">
        <v>13536</v>
      </c>
      <c r="J50" s="954">
        <v>0</v>
      </c>
      <c r="K50" s="954">
        <v>16</v>
      </c>
      <c r="L50" s="955">
        <f t="shared" si="10"/>
        <v>846</v>
      </c>
      <c r="M50" s="956">
        <v>45957</v>
      </c>
      <c r="N50" s="956">
        <v>45960</v>
      </c>
      <c r="O50" s="951" t="s">
        <v>1713</v>
      </c>
      <c r="P50" s="968" t="s">
        <v>86</v>
      </c>
      <c r="Q50" s="967">
        <v>45960</v>
      </c>
      <c r="R50" s="958">
        <v>45884</v>
      </c>
      <c r="S50" s="958" t="s">
        <v>98</v>
      </c>
      <c r="T50" s="958">
        <v>45902</v>
      </c>
      <c r="U50" s="958"/>
      <c r="V50" s="952" t="s">
        <v>1636</v>
      </c>
      <c r="W50" s="959" t="s">
        <v>247</v>
      </c>
      <c r="X50" s="960">
        <v>1.596</v>
      </c>
      <c r="Y50" s="961">
        <f t="shared" si="16"/>
        <v>21603.456</v>
      </c>
      <c r="Z50" s="961"/>
      <c r="AA50" s="951" t="s">
        <v>1714</v>
      </c>
      <c r="AB50" s="953" t="s">
        <v>1584</v>
      </c>
      <c r="AC50" s="954" t="s">
        <v>93</v>
      </c>
      <c r="AD50" s="954" t="s">
        <v>94</v>
      </c>
      <c r="AE50" s="951"/>
      <c r="AF50" s="979">
        <f>7776+5760</f>
        <v>13536</v>
      </c>
      <c r="AG50" s="979">
        <f t="shared" si="6"/>
        <v>0</v>
      </c>
      <c r="AH50" s="981"/>
      <c r="AI50" s="951"/>
      <c r="AJ50" s="951"/>
      <c r="AK50" s="926">
        <f t="shared" si="15"/>
        <v>13536</v>
      </c>
      <c r="AL50" s="962">
        <f t="shared" si="11"/>
        <v>13536</v>
      </c>
      <c r="AN50" s="962"/>
      <c r="AO50" s="859">
        <f t="shared" si="8"/>
        <v>13536</v>
      </c>
      <c r="AY50" s="859">
        <f>I50/16</f>
        <v>846</v>
      </c>
      <c r="BE50" s="950"/>
      <c r="BF50" s="950"/>
      <c r="BG50" s="950"/>
      <c r="BH50" s="950"/>
      <c r="BI50" s="950"/>
      <c r="BN50" s="963"/>
      <c r="BO50" s="963"/>
      <c r="BP50" s="963"/>
      <c r="BQ50" s="963"/>
      <c r="BR50" s="963"/>
      <c r="BS50" s="963"/>
      <c r="BV50" s="964">
        <f t="shared" si="13"/>
        <v>846</v>
      </c>
      <c r="BW50" s="964">
        <f t="shared" si="14"/>
        <v>0</v>
      </c>
      <c r="BX50" s="308">
        <f t="shared" si="3"/>
        <v>385999</v>
      </c>
      <c r="BY50" s="963"/>
      <c r="BZ50" s="963">
        <f t="shared" si="4"/>
        <v>34001</v>
      </c>
      <c r="CA50" s="963">
        <f t="shared" ref="CA50:CA69" si="17">$BZ$1+$CA$1-BX50</f>
        <v>474001</v>
      </c>
      <c r="CB50" s="963"/>
      <c r="CC50" s="963"/>
      <c r="CH50" s="965"/>
      <c r="CI50" s="965"/>
      <c r="CJ50" s="965"/>
      <c r="CK50" s="965"/>
      <c r="CL50" s="965"/>
      <c r="CM50" s="965"/>
      <c r="CN50" s="965"/>
      <c r="CO50" s="965"/>
      <c r="CP50" s="965"/>
      <c r="CQ50" s="965"/>
      <c r="CR50" s="965"/>
      <c r="CS50" s="965"/>
      <c r="CT50" s="965"/>
      <c r="CU50" s="965"/>
      <c r="CV50" s="965"/>
      <c r="CW50" s="965"/>
      <c r="CX50" s="965"/>
      <c r="CY50" s="965"/>
      <c r="CZ50" s="965"/>
      <c r="DA50" s="965"/>
      <c r="DB50" s="965"/>
      <c r="DC50" s="965"/>
    </row>
    <row r="51" s="859" customFormat="1" ht="31" customHeight="1" spans="1:107">
      <c r="A51" s="948">
        <v>45884</v>
      </c>
      <c r="B51" s="949" t="s">
        <v>578</v>
      </c>
      <c r="C51" s="950" t="s">
        <v>125</v>
      </c>
      <c r="D51" s="949">
        <v>4500177094</v>
      </c>
      <c r="E51" s="1422" t="s">
        <v>1715</v>
      </c>
      <c r="F51" s="949" t="s">
        <v>1716</v>
      </c>
      <c r="G51" s="953" t="s">
        <v>1584</v>
      </c>
      <c r="H51" s="954" t="s">
        <v>1585</v>
      </c>
      <c r="I51" s="954">
        <v>13376</v>
      </c>
      <c r="J51" s="954">
        <v>0</v>
      </c>
      <c r="K51" s="954">
        <v>16</v>
      </c>
      <c r="L51" s="955">
        <f t="shared" si="10"/>
        <v>836</v>
      </c>
      <c r="M51" s="956">
        <v>45957</v>
      </c>
      <c r="N51" s="956">
        <v>45960</v>
      </c>
      <c r="O51" s="951" t="s">
        <v>1713</v>
      </c>
      <c r="P51" s="968" t="s">
        <v>86</v>
      </c>
      <c r="Q51" s="967">
        <v>45960</v>
      </c>
      <c r="R51" s="958">
        <v>45884</v>
      </c>
      <c r="S51" s="958" t="s">
        <v>98</v>
      </c>
      <c r="T51" s="958">
        <v>45902</v>
      </c>
      <c r="U51" s="958"/>
      <c r="V51" s="952" t="s">
        <v>1636</v>
      </c>
      <c r="W51" s="959" t="s">
        <v>247</v>
      </c>
      <c r="X51" s="960">
        <v>1.596</v>
      </c>
      <c r="Y51" s="961">
        <f t="shared" si="16"/>
        <v>21348.096</v>
      </c>
      <c r="Z51" s="961"/>
      <c r="AA51" s="951" t="s">
        <v>1717</v>
      </c>
      <c r="AB51" s="953" t="s">
        <v>1584</v>
      </c>
      <c r="AC51" s="954" t="s">
        <v>93</v>
      </c>
      <c r="AD51" s="954" t="s">
        <v>94</v>
      </c>
      <c r="AE51" s="951"/>
      <c r="AF51" s="979">
        <v>13376</v>
      </c>
      <c r="AG51" s="979">
        <f t="shared" si="6"/>
        <v>0</v>
      </c>
      <c r="AH51" s="981"/>
      <c r="AI51" s="951"/>
      <c r="AJ51" s="951"/>
      <c r="AK51" s="926">
        <f t="shared" si="15"/>
        <v>13376</v>
      </c>
      <c r="AL51" s="962">
        <f t="shared" si="11"/>
        <v>13376</v>
      </c>
      <c r="AN51" s="962"/>
      <c r="AO51" s="859">
        <f t="shared" si="8"/>
        <v>13376</v>
      </c>
      <c r="AY51" s="859">
        <f>I51/16</f>
        <v>836</v>
      </c>
      <c r="BE51" s="950"/>
      <c r="BF51" s="950"/>
      <c r="BG51" s="950"/>
      <c r="BH51" s="950"/>
      <c r="BI51" s="950"/>
      <c r="BN51" s="963"/>
      <c r="BO51" s="963"/>
      <c r="BP51" s="963"/>
      <c r="BQ51" s="963"/>
      <c r="BR51" s="963"/>
      <c r="BS51" s="963"/>
      <c r="BV51" s="964">
        <f t="shared" si="13"/>
        <v>836</v>
      </c>
      <c r="BW51" s="964">
        <f t="shared" si="14"/>
        <v>0</v>
      </c>
      <c r="BX51" s="308">
        <f t="shared" si="3"/>
        <v>399375</v>
      </c>
      <c r="BY51" s="963"/>
      <c r="BZ51" s="963">
        <f t="shared" si="4"/>
        <v>20625</v>
      </c>
      <c r="CA51" s="963">
        <f t="shared" si="17"/>
        <v>460625</v>
      </c>
      <c r="CB51" s="963"/>
      <c r="CC51" s="963"/>
      <c r="CH51" s="965"/>
      <c r="CI51" s="965"/>
      <c r="CJ51" s="965"/>
      <c r="CK51" s="965"/>
      <c r="CL51" s="965"/>
      <c r="CM51" s="965"/>
      <c r="CN51" s="965"/>
      <c r="CO51" s="965"/>
      <c r="CP51" s="965"/>
      <c r="CQ51" s="965"/>
      <c r="CR51" s="965"/>
      <c r="CS51" s="965"/>
      <c r="CT51" s="965"/>
      <c r="CU51" s="965"/>
      <c r="CV51" s="965"/>
      <c r="CW51" s="965"/>
      <c r="CX51" s="965"/>
      <c r="CY51" s="965"/>
      <c r="CZ51" s="965"/>
      <c r="DA51" s="965"/>
      <c r="DB51" s="965"/>
      <c r="DC51" s="965"/>
    </row>
    <row r="52" s="859" customFormat="1" ht="31" customHeight="1" spans="1:107">
      <c r="A52" s="948">
        <v>45897</v>
      </c>
      <c r="B52" s="949" t="s">
        <v>578</v>
      </c>
      <c r="C52" s="950" t="s">
        <v>125</v>
      </c>
      <c r="D52" s="949">
        <v>4500178135</v>
      </c>
      <c r="E52" s="1422" t="s">
        <v>1718</v>
      </c>
      <c r="F52" s="949" t="s">
        <v>1719</v>
      </c>
      <c r="G52" s="953" t="s">
        <v>1584</v>
      </c>
      <c r="H52" s="954" t="s">
        <v>1585</v>
      </c>
      <c r="I52" s="954">
        <v>960</v>
      </c>
      <c r="J52" s="954">
        <v>0</v>
      </c>
      <c r="K52" s="954">
        <v>16</v>
      </c>
      <c r="L52" s="955">
        <f t="shared" si="10"/>
        <v>60</v>
      </c>
      <c r="M52" s="956">
        <v>45957</v>
      </c>
      <c r="N52" s="956">
        <v>45960</v>
      </c>
      <c r="O52" s="951" t="s">
        <v>1720</v>
      </c>
      <c r="P52" s="968" t="s">
        <v>86</v>
      </c>
      <c r="Q52" s="951"/>
      <c r="R52" s="958" t="s">
        <v>296</v>
      </c>
      <c r="S52" s="958" t="s">
        <v>98</v>
      </c>
      <c r="T52" s="958">
        <v>45908</v>
      </c>
      <c r="U52" s="958"/>
      <c r="V52" s="952" t="s">
        <v>1626</v>
      </c>
      <c r="W52" s="959" t="s">
        <v>247</v>
      </c>
      <c r="X52" s="960">
        <v>1.596</v>
      </c>
      <c r="Y52" s="961">
        <f t="shared" si="16"/>
        <v>1532.16</v>
      </c>
      <c r="Z52" s="961"/>
      <c r="AA52" s="951" t="s">
        <v>1721</v>
      </c>
      <c r="AB52" s="953" t="s">
        <v>1584</v>
      </c>
      <c r="AC52" s="954" t="s">
        <v>93</v>
      </c>
      <c r="AD52" s="954" t="s">
        <v>94</v>
      </c>
      <c r="AE52" s="951"/>
      <c r="AF52" s="979">
        <v>960</v>
      </c>
      <c r="AG52" s="979">
        <f t="shared" si="6"/>
        <v>0</v>
      </c>
      <c r="AH52" s="981"/>
      <c r="AI52" s="951"/>
      <c r="AJ52" s="951"/>
      <c r="AK52" s="926">
        <f t="shared" si="15"/>
        <v>960</v>
      </c>
      <c r="AL52" s="962">
        <f t="shared" si="11"/>
        <v>960</v>
      </c>
      <c r="AN52" s="962"/>
      <c r="AO52" s="859">
        <f t="shared" si="8"/>
        <v>960</v>
      </c>
      <c r="AY52" s="859">
        <f>I52/16</f>
        <v>60</v>
      </c>
      <c r="BE52" s="950"/>
      <c r="BF52" s="950"/>
      <c r="BG52" s="950"/>
      <c r="BH52" s="950"/>
      <c r="BI52" s="950"/>
      <c r="BN52" s="963"/>
      <c r="BO52" s="963"/>
      <c r="BP52" s="963"/>
      <c r="BQ52" s="963"/>
      <c r="BR52" s="963"/>
      <c r="BS52" s="963"/>
      <c r="BV52" s="964">
        <f t="shared" si="13"/>
        <v>60</v>
      </c>
      <c r="BW52" s="964">
        <f t="shared" si="14"/>
        <v>0</v>
      </c>
      <c r="BX52" s="308">
        <f t="shared" si="3"/>
        <v>400335</v>
      </c>
      <c r="BY52" s="963"/>
      <c r="BZ52" s="963">
        <f t="shared" si="4"/>
        <v>19665</v>
      </c>
      <c r="CA52" s="963">
        <f t="shared" si="17"/>
        <v>459665</v>
      </c>
      <c r="CB52" s="963"/>
      <c r="CC52" s="963"/>
      <c r="CH52" s="965"/>
      <c r="CI52" s="965"/>
      <c r="CJ52" s="965"/>
      <c r="CK52" s="965"/>
      <c r="CL52" s="965"/>
      <c r="CM52" s="965"/>
      <c r="CN52" s="965"/>
      <c r="CO52" s="965"/>
      <c r="CP52" s="965"/>
      <c r="CQ52" s="965"/>
      <c r="CR52" s="965"/>
      <c r="CS52" s="965"/>
      <c r="CT52" s="965"/>
      <c r="CU52" s="965"/>
      <c r="CV52" s="965"/>
      <c r="CW52" s="965"/>
      <c r="CX52" s="965"/>
      <c r="CY52" s="965"/>
      <c r="CZ52" s="965"/>
      <c r="DA52" s="965"/>
      <c r="DB52" s="965"/>
      <c r="DC52" s="965"/>
    </row>
    <row r="53" s="859" customFormat="1" ht="32" customHeight="1" spans="1:107">
      <c r="A53" s="985">
        <v>45904</v>
      </c>
      <c r="B53" s="986" t="s">
        <v>620</v>
      </c>
      <c r="C53" s="954" t="s">
        <v>621</v>
      </c>
      <c r="D53" s="987">
        <v>4500178799</v>
      </c>
      <c r="E53" s="988"/>
      <c r="F53" s="989" t="s">
        <v>1722</v>
      </c>
      <c r="G53" s="951" t="s">
        <v>1523</v>
      </c>
      <c r="H53" s="954" t="s">
        <v>1524</v>
      </c>
      <c r="I53" s="954">
        <v>1000</v>
      </c>
      <c r="J53" s="954">
        <v>0</v>
      </c>
      <c r="K53" s="954">
        <v>50</v>
      </c>
      <c r="L53" s="955">
        <f t="shared" si="10"/>
        <v>20</v>
      </c>
      <c r="M53" s="956">
        <v>45947</v>
      </c>
      <c r="N53" s="956">
        <v>45945</v>
      </c>
      <c r="O53" s="951"/>
      <c r="P53" s="968" t="s">
        <v>86</v>
      </c>
      <c r="Q53" s="951"/>
      <c r="R53" s="958">
        <v>45910</v>
      </c>
      <c r="S53" s="992" t="s">
        <v>98</v>
      </c>
      <c r="T53" s="958" t="s">
        <v>1723</v>
      </c>
      <c r="U53" s="958"/>
      <c r="V53" s="952" t="s">
        <v>1724</v>
      </c>
      <c r="W53" s="956" t="s">
        <v>1725</v>
      </c>
      <c r="X53" s="960">
        <v>2.35</v>
      </c>
      <c r="Y53" s="961">
        <f t="shared" si="16"/>
        <v>2350</v>
      </c>
      <c r="Z53" s="961"/>
      <c r="AA53" s="993" t="s">
        <v>1726</v>
      </c>
      <c r="AB53" s="953" t="s">
        <v>1727</v>
      </c>
      <c r="AC53" s="954" t="s">
        <v>93</v>
      </c>
      <c r="AD53" s="954" t="s">
        <v>94</v>
      </c>
      <c r="AE53" s="951"/>
      <c r="AF53" s="990">
        <v>1000</v>
      </c>
      <c r="AG53" s="980">
        <f t="shared" si="6"/>
        <v>0</v>
      </c>
      <c r="AH53" s="981"/>
      <c r="AI53" s="951" t="s">
        <v>95</v>
      </c>
      <c r="AJ53" s="951"/>
      <c r="AK53" s="926">
        <f t="shared" si="15"/>
        <v>1000</v>
      </c>
      <c r="AL53" s="962"/>
      <c r="AM53" s="962"/>
      <c r="AN53" s="962">
        <f>I53</f>
        <v>1000</v>
      </c>
      <c r="AO53" s="962">
        <f t="shared" si="8"/>
        <v>1000</v>
      </c>
      <c r="AP53" s="951"/>
      <c r="AQ53" s="962"/>
      <c r="AT53" s="859">
        <f>L53*2</f>
        <v>40</v>
      </c>
      <c r="AU53" s="951"/>
      <c r="AV53" s="951"/>
      <c r="AW53" s="951"/>
      <c r="BE53" s="950"/>
      <c r="BF53" s="991"/>
      <c r="BG53" s="950"/>
      <c r="BH53" s="950"/>
      <c r="BI53" s="950"/>
      <c r="BV53" s="964">
        <f t="shared" si="13"/>
        <v>40</v>
      </c>
      <c r="BW53" s="964">
        <f t="shared" si="14"/>
        <v>0</v>
      </c>
      <c r="BX53" s="308">
        <f t="shared" si="3"/>
        <v>401335</v>
      </c>
      <c r="BY53" s="963"/>
      <c r="BZ53" s="963">
        <f t="shared" si="4"/>
        <v>18665</v>
      </c>
      <c r="CA53" s="963">
        <f t="shared" si="17"/>
        <v>458665</v>
      </c>
      <c r="CC53" s="963"/>
      <c r="CG53" s="963"/>
      <c r="CH53" s="963"/>
      <c r="CI53" s="963"/>
      <c r="CJ53" s="963"/>
      <c r="CK53" s="963"/>
      <c r="CL53" s="963"/>
    </row>
    <row r="54" s="859" customFormat="1" ht="32" customHeight="1" spans="1:107">
      <c r="A54" s="985">
        <v>45896</v>
      </c>
      <c r="B54" s="986" t="s">
        <v>1548</v>
      </c>
      <c r="C54" s="950" t="s">
        <v>125</v>
      </c>
      <c r="D54" s="987">
        <v>4500177942</v>
      </c>
      <c r="E54" s="988" t="s">
        <v>1728</v>
      </c>
      <c r="F54" s="989" t="s">
        <v>1729</v>
      </c>
      <c r="G54" s="951" t="s">
        <v>1570</v>
      </c>
      <c r="H54" s="954" t="s">
        <v>1571</v>
      </c>
      <c r="I54" s="954">
        <v>29750</v>
      </c>
      <c r="J54" s="954">
        <v>0</v>
      </c>
      <c r="K54" s="954">
        <v>25</v>
      </c>
      <c r="L54" s="955">
        <f t="shared" si="10"/>
        <v>1190</v>
      </c>
      <c r="M54" s="956">
        <v>45954</v>
      </c>
      <c r="N54" s="956">
        <v>45950</v>
      </c>
      <c r="O54" s="951"/>
      <c r="P54" s="968" t="s">
        <v>86</v>
      </c>
      <c r="Q54" s="967" t="s">
        <v>1730</v>
      </c>
      <c r="R54" s="958">
        <v>45904</v>
      </c>
      <c r="S54" s="958" t="s">
        <v>88</v>
      </c>
      <c r="T54" s="958">
        <v>45919</v>
      </c>
      <c r="U54" s="958"/>
      <c r="V54" s="952" t="s">
        <v>1731</v>
      </c>
      <c r="W54" s="956" t="s">
        <v>1554</v>
      </c>
      <c r="X54" s="960">
        <v>1.5848</v>
      </c>
      <c r="Y54" s="961">
        <f>I54*X54</f>
        <v>47147.8</v>
      </c>
      <c r="Z54" s="961"/>
      <c r="AA54" s="951" t="s">
        <v>1732</v>
      </c>
      <c r="AB54" s="953" t="s">
        <v>1570</v>
      </c>
      <c r="AC54" s="954" t="s">
        <v>93</v>
      </c>
      <c r="AD54" s="954" t="s">
        <v>94</v>
      </c>
      <c r="AE54" s="951"/>
      <c r="AF54" s="990">
        <v>29750</v>
      </c>
      <c r="AG54" s="979">
        <f t="shared" si="6"/>
        <v>0</v>
      </c>
      <c r="AH54" s="981"/>
      <c r="AI54" s="951" t="s">
        <v>95</v>
      </c>
      <c r="AJ54" s="951"/>
      <c r="AK54" s="926">
        <f t="shared" si="15"/>
        <v>29750</v>
      </c>
      <c r="AL54" s="962">
        <f>I54</f>
        <v>29750</v>
      </c>
      <c r="AM54" s="962"/>
      <c r="AO54" s="859">
        <f t="shared" si="8"/>
        <v>29750</v>
      </c>
      <c r="AP54" s="951"/>
      <c r="AT54" s="859">
        <f>I54/25</f>
        <v>1190</v>
      </c>
      <c r="AU54" s="951"/>
      <c r="AV54" s="951"/>
      <c r="AW54" s="951"/>
      <c r="BE54" s="950"/>
      <c r="BF54" s="991"/>
      <c r="BG54" s="950"/>
      <c r="BH54" s="950"/>
      <c r="BI54" s="950"/>
      <c r="BV54" s="964">
        <f t="shared" si="13"/>
        <v>1190</v>
      </c>
      <c r="BW54" s="964">
        <f t="shared" si="14"/>
        <v>0</v>
      </c>
      <c r="BX54" s="308">
        <f t="shared" si="3"/>
        <v>431085</v>
      </c>
      <c r="BY54" s="963"/>
      <c r="BZ54" s="963"/>
      <c r="CA54" s="963">
        <f t="shared" si="17"/>
        <v>428915</v>
      </c>
      <c r="CC54" s="963"/>
      <c r="CG54" s="963"/>
      <c r="CH54" s="963"/>
      <c r="CI54" s="963"/>
      <c r="CJ54" s="963"/>
      <c r="CK54" s="963"/>
      <c r="CL54" s="963"/>
    </row>
    <row r="55" s="859" customFormat="1" ht="32" customHeight="1" spans="1:107">
      <c r="A55" s="985">
        <v>45908</v>
      </c>
      <c r="B55" s="986" t="s">
        <v>1548</v>
      </c>
      <c r="C55" s="950" t="s">
        <v>125</v>
      </c>
      <c r="D55" s="987">
        <v>4500179008</v>
      </c>
      <c r="E55" s="988" t="s">
        <v>1733</v>
      </c>
      <c r="F55" s="989" t="s">
        <v>1734</v>
      </c>
      <c r="G55" s="951" t="s">
        <v>1570</v>
      </c>
      <c r="H55" s="954" t="s">
        <v>1571</v>
      </c>
      <c r="I55" s="954">
        <v>12600</v>
      </c>
      <c r="J55" s="954">
        <v>0</v>
      </c>
      <c r="K55" s="954">
        <v>25</v>
      </c>
      <c r="L55" s="955">
        <f t="shared" si="10"/>
        <v>504</v>
      </c>
      <c r="M55" s="956">
        <v>45956</v>
      </c>
      <c r="N55" s="956">
        <v>45952</v>
      </c>
      <c r="O55" s="951"/>
      <c r="P55" s="968" t="s">
        <v>86</v>
      </c>
      <c r="Q55" s="967" t="s">
        <v>1735</v>
      </c>
      <c r="R55" s="958">
        <v>45919</v>
      </c>
      <c r="S55" s="958" t="s">
        <v>88</v>
      </c>
      <c r="T55" s="958" t="s">
        <v>1736</v>
      </c>
      <c r="U55" s="958"/>
      <c r="V55" s="952" t="s">
        <v>1737</v>
      </c>
      <c r="W55" s="956" t="s">
        <v>1554</v>
      </c>
      <c r="X55" s="960">
        <v>1.5848</v>
      </c>
      <c r="Y55" s="961">
        <f>I55*X55</f>
        <v>19968.48</v>
      </c>
      <c r="Z55" s="961"/>
      <c r="AA55" s="951" t="s">
        <v>1738</v>
      </c>
      <c r="AB55" s="953" t="s">
        <v>1570</v>
      </c>
      <c r="AC55" s="954" t="s">
        <v>93</v>
      </c>
      <c r="AD55" s="954" t="s">
        <v>94</v>
      </c>
      <c r="AE55" s="951"/>
      <c r="AF55" s="990">
        <v>12600</v>
      </c>
      <c r="AG55" s="979">
        <f t="shared" si="6"/>
        <v>0</v>
      </c>
      <c r="AH55" s="981"/>
      <c r="AI55" s="951" t="s">
        <v>95</v>
      </c>
      <c r="AJ55" s="951"/>
      <c r="AK55" s="926">
        <f t="shared" si="15"/>
        <v>12600</v>
      </c>
      <c r="AL55" s="962">
        <f>I55</f>
        <v>12600</v>
      </c>
      <c r="AM55" s="962"/>
      <c r="AO55" s="859">
        <f t="shared" si="8"/>
        <v>12600</v>
      </c>
      <c r="AP55" s="951"/>
      <c r="AT55" s="859">
        <f>I55/25</f>
        <v>504</v>
      </c>
      <c r="AU55" s="951"/>
      <c r="AV55" s="951"/>
      <c r="AW55" s="951"/>
      <c r="BE55" s="950"/>
      <c r="BF55" s="991"/>
      <c r="BG55" s="950"/>
      <c r="BH55" s="950"/>
      <c r="BI55" s="950"/>
      <c r="BV55" s="964">
        <f t="shared" si="13"/>
        <v>504</v>
      </c>
      <c r="BW55" s="964">
        <f t="shared" si="14"/>
        <v>0</v>
      </c>
      <c r="BX55" s="308">
        <f t="shared" si="3"/>
        <v>443685</v>
      </c>
      <c r="BY55" s="963"/>
      <c r="BZ55" s="963"/>
      <c r="CA55" s="963">
        <f t="shared" si="17"/>
        <v>416315</v>
      </c>
      <c r="CC55" s="963"/>
      <c r="CG55" s="963"/>
      <c r="CH55" s="963"/>
      <c r="CI55" s="963"/>
      <c r="CJ55" s="963"/>
      <c r="CK55" s="963"/>
      <c r="CL55" s="963"/>
    </row>
    <row r="56" s="859" customFormat="1" ht="31" customHeight="1" spans="1:107">
      <c r="A56" s="948">
        <v>45919</v>
      </c>
      <c r="B56" s="949" t="s">
        <v>1535</v>
      </c>
      <c r="C56" s="954" t="s">
        <v>377</v>
      </c>
      <c r="D56" s="949">
        <v>4500179977</v>
      </c>
      <c r="E56" s="951">
        <v>21169559</v>
      </c>
      <c r="F56" s="949" t="s">
        <v>1739</v>
      </c>
      <c r="G56" s="953" t="s">
        <v>1537</v>
      </c>
      <c r="H56" s="954" t="s">
        <v>1538</v>
      </c>
      <c r="I56" s="954">
        <v>1638</v>
      </c>
      <c r="J56" s="954">
        <v>0</v>
      </c>
      <c r="K56" s="954">
        <v>13</v>
      </c>
      <c r="L56" s="955">
        <f t="shared" si="10"/>
        <v>126</v>
      </c>
      <c r="M56" s="956">
        <v>45964</v>
      </c>
      <c r="N56" s="956">
        <v>45965</v>
      </c>
      <c r="O56" s="951"/>
      <c r="P56" s="968" t="s">
        <v>86</v>
      </c>
      <c r="Q56" s="951" t="s">
        <v>1740</v>
      </c>
      <c r="R56" s="958">
        <v>45930</v>
      </c>
      <c r="S56" s="958" t="s">
        <v>88</v>
      </c>
      <c r="T56" s="958" t="s">
        <v>1706</v>
      </c>
      <c r="U56" s="958"/>
      <c r="V56" s="952" t="s">
        <v>1557</v>
      </c>
      <c r="W56" s="959" t="s">
        <v>1540</v>
      </c>
      <c r="X56" s="960">
        <v>2.4275</v>
      </c>
      <c r="Y56" s="961">
        <f>X56*I56</f>
        <v>3976.245</v>
      </c>
      <c r="Z56" s="994"/>
      <c r="AA56" s="995" t="s">
        <v>1741</v>
      </c>
      <c r="AB56" s="953" t="s">
        <v>1537</v>
      </c>
      <c r="AC56" s="954" t="s">
        <v>93</v>
      </c>
      <c r="AD56" s="954" t="s">
        <v>94</v>
      </c>
      <c r="AE56" s="951"/>
      <c r="AF56" s="979">
        <v>1638</v>
      </c>
      <c r="AG56" s="979">
        <f t="shared" si="6"/>
        <v>0</v>
      </c>
      <c r="AH56" s="981"/>
      <c r="AI56" s="951" t="s">
        <v>95</v>
      </c>
      <c r="AJ56" s="951"/>
      <c r="AK56" s="926">
        <f t="shared" si="15"/>
        <v>1638</v>
      </c>
      <c r="AL56" s="962">
        <f>I56</f>
        <v>1638</v>
      </c>
      <c r="AN56" s="962"/>
      <c r="AO56" s="859">
        <f t="shared" si="8"/>
        <v>1638</v>
      </c>
      <c r="AR56" s="859">
        <f>I56/13</f>
        <v>126</v>
      </c>
      <c r="BE56" s="950"/>
      <c r="BF56" s="950"/>
      <c r="BG56" s="950"/>
      <c r="BH56" s="950"/>
      <c r="BI56" s="950"/>
      <c r="BN56" s="963"/>
      <c r="BO56" s="963"/>
      <c r="BP56" s="963"/>
      <c r="BQ56" s="963"/>
      <c r="BR56" s="963"/>
      <c r="BS56" s="963"/>
      <c r="BV56" s="964">
        <f t="shared" si="13"/>
        <v>0</v>
      </c>
      <c r="BW56" s="964">
        <f t="shared" si="14"/>
        <v>0</v>
      </c>
      <c r="BX56" s="308">
        <f t="shared" si="3"/>
        <v>445323</v>
      </c>
      <c r="BY56" s="963"/>
      <c r="BZ56" s="963"/>
      <c r="CA56" s="963">
        <f t="shared" si="17"/>
        <v>414677</v>
      </c>
      <c r="CB56" s="963"/>
      <c r="CC56" s="963"/>
      <c r="CH56" s="965"/>
      <c r="CI56" s="965"/>
      <c r="CJ56" s="965"/>
      <c r="CK56" s="965"/>
      <c r="CL56" s="965"/>
      <c r="CM56" s="965"/>
      <c r="CN56" s="965"/>
      <c r="CO56" s="965"/>
      <c r="CP56" s="965"/>
      <c r="CQ56" s="965"/>
      <c r="CR56" s="965"/>
      <c r="CS56" s="965"/>
      <c r="CT56" s="965"/>
      <c r="CU56" s="965"/>
      <c r="CV56" s="965"/>
      <c r="CW56" s="965"/>
      <c r="CX56" s="965"/>
      <c r="CY56" s="965"/>
      <c r="CZ56" s="965"/>
      <c r="DA56" s="965"/>
      <c r="DB56" s="965"/>
      <c r="DC56" s="965"/>
    </row>
    <row r="57" s="859" customFormat="1" ht="31" customHeight="1" spans="1:107">
      <c r="A57" s="948">
        <v>45919</v>
      </c>
      <c r="B57" s="949" t="s">
        <v>1543</v>
      </c>
      <c r="C57" s="954" t="s">
        <v>1544</v>
      </c>
      <c r="D57" s="949">
        <v>4500179979</v>
      </c>
      <c r="E57" s="951">
        <v>21169560</v>
      </c>
      <c r="F57" s="949" t="s">
        <v>1742</v>
      </c>
      <c r="G57" s="953" t="s">
        <v>1537</v>
      </c>
      <c r="H57" s="954" t="s">
        <v>1538</v>
      </c>
      <c r="I57" s="954">
        <v>130</v>
      </c>
      <c r="J57" s="954">
        <v>0</v>
      </c>
      <c r="K57" s="954">
        <v>13</v>
      </c>
      <c r="L57" s="955">
        <f t="shared" si="10"/>
        <v>10</v>
      </c>
      <c r="M57" s="956">
        <v>45964</v>
      </c>
      <c r="N57" s="956">
        <v>45965</v>
      </c>
      <c r="O57" s="951"/>
      <c r="P57" s="968" t="s">
        <v>86</v>
      </c>
      <c r="Q57" s="951" t="s">
        <v>1740</v>
      </c>
      <c r="R57" s="958">
        <v>45930</v>
      </c>
      <c r="S57" s="958" t="s">
        <v>88</v>
      </c>
      <c r="T57" s="958" t="s">
        <v>1706</v>
      </c>
      <c r="U57" s="958"/>
      <c r="V57" s="952" t="s">
        <v>1562</v>
      </c>
      <c r="W57" s="959" t="s">
        <v>1540</v>
      </c>
      <c r="X57" s="960">
        <v>2.4275</v>
      </c>
      <c r="Y57" s="961">
        <f>X57*I57</f>
        <v>315.575</v>
      </c>
      <c r="Z57" s="961"/>
      <c r="AA57" s="951" t="s">
        <v>1743</v>
      </c>
      <c r="AB57" s="953" t="s">
        <v>1537</v>
      </c>
      <c r="AC57" s="954" t="s">
        <v>93</v>
      </c>
      <c r="AD57" s="954" t="s">
        <v>94</v>
      </c>
      <c r="AE57" s="951"/>
      <c r="AF57" s="979">
        <v>130</v>
      </c>
      <c r="AG57" s="979">
        <f t="shared" si="6"/>
        <v>0</v>
      </c>
      <c r="AH57" s="981"/>
      <c r="AI57" s="951" t="s">
        <v>95</v>
      </c>
      <c r="AJ57" s="951"/>
      <c r="AK57" s="926">
        <f t="shared" si="15"/>
        <v>130</v>
      </c>
      <c r="AL57" s="962">
        <f>I57</f>
        <v>130</v>
      </c>
      <c r="AN57" s="962"/>
      <c r="AO57" s="859">
        <f t="shared" si="8"/>
        <v>130</v>
      </c>
      <c r="AR57" s="859">
        <f>I57/13</f>
        <v>10</v>
      </c>
      <c r="BE57" s="950"/>
      <c r="BF57" s="950"/>
      <c r="BG57" s="950"/>
      <c r="BH57" s="950"/>
      <c r="BI57" s="950"/>
      <c r="BN57" s="963"/>
      <c r="BO57" s="963"/>
      <c r="BP57" s="963"/>
      <c r="BQ57" s="963"/>
      <c r="BR57" s="963"/>
      <c r="BS57" s="963"/>
      <c r="BV57" s="964">
        <f t="shared" si="13"/>
        <v>0</v>
      </c>
      <c r="BW57" s="964">
        <f t="shared" si="14"/>
        <v>0</v>
      </c>
      <c r="BX57" s="308">
        <f t="shared" si="3"/>
        <v>445453</v>
      </c>
      <c r="BY57" s="963"/>
      <c r="BZ57" s="963"/>
      <c r="CA57" s="963">
        <f t="shared" si="17"/>
        <v>414547</v>
      </c>
      <c r="CB57" s="963"/>
      <c r="CC57" s="963"/>
      <c r="CH57" s="965"/>
      <c r="CI57" s="965"/>
      <c r="CJ57" s="965"/>
      <c r="CK57" s="965"/>
      <c r="CL57" s="965"/>
      <c r="CM57" s="965"/>
      <c r="CN57" s="965"/>
      <c r="CO57" s="965"/>
      <c r="CP57" s="965"/>
      <c r="CQ57" s="965"/>
      <c r="CR57" s="965"/>
      <c r="CS57" s="965"/>
      <c r="CT57" s="965"/>
      <c r="CU57" s="965"/>
      <c r="CV57" s="965"/>
      <c r="CW57" s="965"/>
      <c r="CX57" s="965"/>
      <c r="CY57" s="965"/>
      <c r="CZ57" s="965"/>
      <c r="DA57" s="965"/>
      <c r="DB57" s="965"/>
      <c r="DC57" s="965"/>
    </row>
    <row r="58" s="859" customFormat="1" ht="32" customHeight="1" spans="1:107">
      <c r="A58" s="985">
        <v>45918</v>
      </c>
      <c r="B58" s="986" t="s">
        <v>785</v>
      </c>
      <c r="C58" s="996" t="s">
        <v>125</v>
      </c>
      <c r="D58" s="987">
        <v>4500179751</v>
      </c>
      <c r="E58" s="988" t="s">
        <v>1744</v>
      </c>
      <c r="F58" s="987" t="s">
        <v>1745</v>
      </c>
      <c r="G58" s="951" t="s">
        <v>1746</v>
      </c>
      <c r="H58" s="953" t="s">
        <v>1747</v>
      </c>
      <c r="I58" s="954">
        <v>3000</v>
      </c>
      <c r="J58" s="954">
        <v>0</v>
      </c>
      <c r="K58" s="954">
        <v>12</v>
      </c>
      <c r="L58" s="955">
        <f t="shared" si="10"/>
        <v>250</v>
      </c>
      <c r="M58" s="956">
        <v>45953</v>
      </c>
      <c r="N58" s="956">
        <v>45950</v>
      </c>
      <c r="O58" s="951" t="s">
        <v>1748</v>
      </c>
      <c r="P58" s="968" t="s">
        <v>86</v>
      </c>
      <c r="Q58" s="951" t="s">
        <v>1749</v>
      </c>
      <c r="R58" s="958">
        <v>45918</v>
      </c>
      <c r="S58" s="958" t="s">
        <v>88</v>
      </c>
      <c r="T58" s="958" t="s">
        <v>1750</v>
      </c>
      <c r="U58" s="958"/>
      <c r="V58" s="952" t="s">
        <v>1751</v>
      </c>
      <c r="W58" s="956" t="s">
        <v>130</v>
      </c>
      <c r="X58" s="960">
        <v>2.892</v>
      </c>
      <c r="Y58" s="961">
        <f>X58*I58</f>
        <v>8676</v>
      </c>
      <c r="Z58" s="961"/>
      <c r="AA58" s="951" t="s">
        <v>1752</v>
      </c>
      <c r="AB58" s="951" t="s">
        <v>1746</v>
      </c>
      <c r="AC58" s="954" t="s">
        <v>93</v>
      </c>
      <c r="AD58" s="954" t="s">
        <v>94</v>
      </c>
      <c r="AE58" s="951"/>
      <c r="AF58" s="990">
        <v>3000</v>
      </c>
      <c r="AG58" s="979">
        <f t="shared" si="6"/>
        <v>0</v>
      </c>
      <c r="AH58" s="981"/>
      <c r="AI58" s="951" t="s">
        <v>95</v>
      </c>
      <c r="AJ58" s="951"/>
      <c r="AK58" s="951">
        <f>I58*2</f>
        <v>6000</v>
      </c>
      <c r="AM58" s="962">
        <f>I58*2</f>
        <v>6000</v>
      </c>
      <c r="AO58" s="856">
        <f>I58*2</f>
        <v>6000</v>
      </c>
      <c r="AP58" s="951"/>
      <c r="AT58" s="951"/>
      <c r="AU58" s="951"/>
      <c r="AV58" s="951"/>
      <c r="AW58" s="951"/>
      <c r="BE58" s="950"/>
      <c r="BF58" s="991"/>
      <c r="BG58" s="950"/>
      <c r="BH58" s="950"/>
      <c r="BI58" s="950"/>
      <c r="BJ58" s="859">
        <f>I58</f>
        <v>3000</v>
      </c>
      <c r="BK58" s="859">
        <f>I58</f>
        <v>3000</v>
      </c>
      <c r="BL58" s="859">
        <f>I58</f>
        <v>3000</v>
      </c>
      <c r="BV58" s="964">
        <f t="shared" si="13"/>
        <v>0</v>
      </c>
      <c r="BW58" s="964">
        <f t="shared" si="14"/>
        <v>0</v>
      </c>
      <c r="BX58" s="308">
        <f t="shared" si="3"/>
        <v>451453</v>
      </c>
      <c r="BY58" s="963"/>
      <c r="BZ58" s="963"/>
      <c r="CA58" s="963">
        <f t="shared" si="17"/>
        <v>408547</v>
      </c>
      <c r="CC58" s="963"/>
      <c r="CG58" s="963"/>
      <c r="CH58" s="963"/>
      <c r="CI58" s="963"/>
      <c r="CJ58" s="963"/>
      <c r="CK58" s="963"/>
      <c r="CL58" s="963"/>
    </row>
    <row r="59" s="859" customFormat="1" ht="31" customHeight="1" spans="1:107">
      <c r="A59" s="948">
        <v>45904</v>
      </c>
      <c r="B59" s="949" t="s">
        <v>1548</v>
      </c>
      <c r="C59" s="954" t="s">
        <v>125</v>
      </c>
      <c r="D59" s="949">
        <v>4500178842</v>
      </c>
      <c r="E59" s="951" t="s">
        <v>1753</v>
      </c>
      <c r="F59" s="949" t="s">
        <v>1754</v>
      </c>
      <c r="G59" s="953" t="s">
        <v>1570</v>
      </c>
      <c r="H59" s="954" t="s">
        <v>1571</v>
      </c>
      <c r="I59" s="954">
        <v>81500</v>
      </c>
      <c r="J59" s="954">
        <v>0</v>
      </c>
      <c r="K59" s="954">
        <v>25</v>
      </c>
      <c r="L59" s="955">
        <f t="shared" si="10"/>
        <v>3260</v>
      </c>
      <c r="M59" s="956">
        <v>45960</v>
      </c>
      <c r="N59" s="956">
        <v>45961</v>
      </c>
      <c r="O59" s="951"/>
      <c r="P59" s="968" t="s">
        <v>86</v>
      </c>
      <c r="Q59" s="951" t="s">
        <v>1755</v>
      </c>
      <c r="R59" s="958">
        <v>45919</v>
      </c>
      <c r="S59" s="958" t="s">
        <v>1678</v>
      </c>
      <c r="T59" s="958">
        <v>45946</v>
      </c>
      <c r="U59" s="958"/>
      <c r="V59" s="952" t="s">
        <v>1756</v>
      </c>
      <c r="W59" s="959" t="s">
        <v>1554</v>
      </c>
      <c r="X59" s="960">
        <v>1.5848</v>
      </c>
      <c r="Y59" s="961">
        <f>I59*X59</f>
        <v>129161.2</v>
      </c>
      <c r="Z59" s="961"/>
      <c r="AA59" s="951" t="s">
        <v>1757</v>
      </c>
      <c r="AB59" s="953" t="s">
        <v>1570</v>
      </c>
      <c r="AC59" s="954" t="s">
        <v>93</v>
      </c>
      <c r="AD59" s="954" t="s">
        <v>94</v>
      </c>
      <c r="AE59" s="951"/>
      <c r="AF59" s="990">
        <f>4500+2250+4500+27000+6750+9000</f>
        <v>54000</v>
      </c>
      <c r="AG59" s="979">
        <f t="shared" si="6"/>
        <v>-27500</v>
      </c>
      <c r="AH59" s="981"/>
      <c r="AI59" s="951" t="s">
        <v>95</v>
      </c>
      <c r="AJ59" s="951"/>
      <c r="AK59" s="926">
        <f t="shared" ref="AK59:AK90" si="18">I59</f>
        <v>81500</v>
      </c>
      <c r="AL59" s="962">
        <f t="shared" ref="AL59:AL76" si="19">I59</f>
        <v>81500</v>
      </c>
      <c r="AN59" s="962"/>
      <c r="AO59" s="859">
        <f t="shared" ref="AO59:AO74" si="20">I59</f>
        <v>81500</v>
      </c>
      <c r="AT59" s="859">
        <f>I59/25</f>
        <v>3260</v>
      </c>
      <c r="BE59" s="950"/>
      <c r="BF59" s="950"/>
      <c r="BG59" s="950"/>
      <c r="BH59" s="950"/>
      <c r="BI59" s="950"/>
      <c r="BN59" s="963"/>
      <c r="BO59" s="963"/>
      <c r="BP59" s="963"/>
      <c r="BQ59" s="963"/>
      <c r="BR59" s="963"/>
      <c r="BS59" s="963"/>
      <c r="BV59" s="964">
        <f t="shared" si="13"/>
        <v>3260</v>
      </c>
      <c r="BW59" s="964">
        <f t="shared" si="14"/>
        <v>0</v>
      </c>
      <c r="BX59" s="308">
        <f t="shared" si="3"/>
        <v>532953</v>
      </c>
      <c r="BY59" s="963"/>
      <c r="BZ59" s="963"/>
      <c r="CA59" s="963">
        <f t="shared" si="17"/>
        <v>327047</v>
      </c>
      <c r="CB59" s="963"/>
      <c r="CC59" s="963"/>
      <c r="CH59" s="965"/>
      <c r="CI59" s="965"/>
      <c r="CJ59" s="965"/>
      <c r="CK59" s="965"/>
      <c r="CL59" s="965"/>
      <c r="CM59" s="965"/>
      <c r="CN59" s="965"/>
      <c r="CO59" s="965"/>
      <c r="CP59" s="965"/>
      <c r="CQ59" s="965"/>
      <c r="CR59" s="965"/>
      <c r="CS59" s="965"/>
      <c r="CT59" s="965"/>
      <c r="CU59" s="965"/>
      <c r="CV59" s="965"/>
      <c r="CW59" s="965"/>
      <c r="CX59" s="965"/>
      <c r="CY59" s="965"/>
      <c r="CZ59" s="965"/>
      <c r="DA59" s="965"/>
      <c r="DB59" s="965"/>
      <c r="DC59" s="965"/>
    </row>
    <row r="60" s="859" customFormat="1" ht="31" customHeight="1" spans="1:107">
      <c r="A60" s="948">
        <v>45926</v>
      </c>
      <c r="B60" s="949" t="s">
        <v>1758</v>
      </c>
      <c r="C60" s="954" t="s">
        <v>125</v>
      </c>
      <c r="D60" s="949">
        <v>4500180563</v>
      </c>
      <c r="E60" s="951" t="s">
        <v>1759</v>
      </c>
      <c r="F60" s="949" t="s">
        <v>1760</v>
      </c>
      <c r="G60" s="953" t="s">
        <v>1761</v>
      </c>
      <c r="H60" s="954" t="s">
        <v>1762</v>
      </c>
      <c r="I60" s="954">
        <v>3810</v>
      </c>
      <c r="J60" s="954">
        <v>0</v>
      </c>
      <c r="K60" s="954">
        <v>30</v>
      </c>
      <c r="L60" s="955">
        <f t="shared" si="10"/>
        <v>127</v>
      </c>
      <c r="M60" s="956">
        <v>45965</v>
      </c>
      <c r="N60" s="956">
        <v>45964</v>
      </c>
      <c r="O60" s="956" t="s">
        <v>1763</v>
      </c>
      <c r="P60" s="968" t="s">
        <v>86</v>
      </c>
      <c r="Q60" s="967" t="s">
        <v>1764</v>
      </c>
      <c r="R60" s="958">
        <v>45926</v>
      </c>
      <c r="S60" s="958" t="s">
        <v>98</v>
      </c>
      <c r="T60" s="958" t="s">
        <v>98</v>
      </c>
      <c r="U60" s="958"/>
      <c r="V60" s="952" t="s">
        <v>1765</v>
      </c>
      <c r="W60" s="959" t="s">
        <v>1766</v>
      </c>
      <c r="X60" s="960">
        <v>41.52</v>
      </c>
      <c r="Y60" s="961">
        <f>X60*L60</f>
        <v>5273.04</v>
      </c>
      <c r="Z60" s="961"/>
      <c r="AA60" s="951" t="s">
        <v>1767</v>
      </c>
      <c r="AB60" s="953" t="s">
        <v>1768</v>
      </c>
      <c r="AC60" s="954" t="s">
        <v>93</v>
      </c>
      <c r="AD60" s="954" t="s">
        <v>94</v>
      </c>
      <c r="AE60" s="951"/>
      <c r="AF60" s="979">
        <f>930+2880</f>
        <v>3810</v>
      </c>
      <c r="AG60" s="979">
        <f t="shared" si="6"/>
        <v>0</v>
      </c>
      <c r="AH60" s="981"/>
      <c r="AI60" s="951" t="s">
        <v>98</v>
      </c>
      <c r="AJ60" s="951"/>
      <c r="AK60" s="926">
        <f t="shared" si="18"/>
        <v>3810</v>
      </c>
      <c r="AL60" s="954">
        <f t="shared" si="19"/>
        <v>3810</v>
      </c>
      <c r="AN60" s="962"/>
      <c r="AO60" s="859">
        <f t="shared" si="20"/>
        <v>3810</v>
      </c>
      <c r="AR60" s="965"/>
      <c r="BE60" s="950"/>
      <c r="BF60" s="950"/>
      <c r="BG60" s="950"/>
      <c r="BH60" s="950"/>
      <c r="BI60" s="950">
        <f>I60/K60</f>
        <v>127</v>
      </c>
      <c r="BN60" s="963"/>
      <c r="BO60" s="963"/>
      <c r="BP60" s="963"/>
      <c r="BQ60" s="963"/>
      <c r="BR60" s="963"/>
      <c r="BS60" s="963"/>
      <c r="BV60" s="964">
        <f t="shared" si="13"/>
        <v>0</v>
      </c>
      <c r="BW60" s="964">
        <f t="shared" si="14"/>
        <v>127</v>
      </c>
      <c r="BX60" s="308">
        <f t="shared" si="3"/>
        <v>536763</v>
      </c>
      <c r="BY60" s="963"/>
      <c r="BZ60" s="963"/>
      <c r="CA60" s="963">
        <f t="shared" si="17"/>
        <v>323237</v>
      </c>
      <c r="CB60" s="963"/>
      <c r="CC60" s="963"/>
      <c r="CH60" s="965"/>
      <c r="CI60" s="965"/>
      <c r="CJ60" s="965"/>
      <c r="CK60" s="965"/>
      <c r="CL60" s="965"/>
      <c r="CM60" s="965"/>
      <c r="CN60" s="965"/>
      <c r="CO60" s="965"/>
      <c r="CP60" s="965"/>
      <c r="CQ60" s="965"/>
      <c r="CR60" s="965"/>
      <c r="CS60" s="965"/>
      <c r="CT60" s="965"/>
      <c r="CU60" s="965"/>
      <c r="CV60" s="965"/>
      <c r="CW60" s="965"/>
      <c r="CX60" s="965"/>
      <c r="CY60" s="965"/>
      <c r="CZ60" s="965"/>
      <c r="DA60" s="965"/>
      <c r="DB60" s="965"/>
      <c r="DC60" s="965"/>
    </row>
    <row r="61" s="859" customFormat="1" ht="31" customHeight="1" spans="1:107">
      <c r="A61" s="948">
        <v>45926</v>
      </c>
      <c r="B61" s="949" t="s">
        <v>1758</v>
      </c>
      <c r="C61" s="954" t="s">
        <v>125</v>
      </c>
      <c r="D61" s="949">
        <v>4500180563</v>
      </c>
      <c r="E61" s="951" t="s">
        <v>1769</v>
      </c>
      <c r="F61" s="949" t="s">
        <v>1770</v>
      </c>
      <c r="G61" s="953" t="s">
        <v>1761</v>
      </c>
      <c r="H61" s="954" t="s">
        <v>1762</v>
      </c>
      <c r="I61" s="954">
        <v>9480</v>
      </c>
      <c r="J61" s="954">
        <v>0</v>
      </c>
      <c r="K61" s="954">
        <v>30</v>
      </c>
      <c r="L61" s="955">
        <f t="shared" si="10"/>
        <v>316</v>
      </c>
      <c r="M61" s="956">
        <v>45965</v>
      </c>
      <c r="N61" s="956">
        <v>45964</v>
      </c>
      <c r="O61" s="956" t="s">
        <v>1763</v>
      </c>
      <c r="P61" s="968" t="s">
        <v>86</v>
      </c>
      <c r="Q61" s="951" t="s">
        <v>1771</v>
      </c>
      <c r="R61" s="958">
        <v>45926</v>
      </c>
      <c r="S61" s="958" t="s">
        <v>98</v>
      </c>
      <c r="T61" s="958" t="s">
        <v>98</v>
      </c>
      <c r="U61" s="958"/>
      <c r="V61" s="952" t="s">
        <v>1765</v>
      </c>
      <c r="W61" s="959" t="s">
        <v>1766</v>
      </c>
      <c r="X61" s="960">
        <v>41.52</v>
      </c>
      <c r="Y61" s="961">
        <f>X61*L61</f>
        <v>13120.32</v>
      </c>
      <c r="Z61" s="961"/>
      <c r="AA61" s="951" t="s">
        <v>1772</v>
      </c>
      <c r="AB61" s="953" t="s">
        <v>1768</v>
      </c>
      <c r="AC61" s="954" t="s">
        <v>93</v>
      </c>
      <c r="AD61" s="954" t="s">
        <v>94</v>
      </c>
      <c r="AE61" s="951"/>
      <c r="AF61" s="979">
        <v>9480</v>
      </c>
      <c r="AG61" s="979">
        <f t="shared" si="6"/>
        <v>0</v>
      </c>
      <c r="AH61" s="981"/>
      <c r="AI61" s="951" t="s">
        <v>98</v>
      </c>
      <c r="AJ61" s="951"/>
      <c r="AK61" s="926">
        <f t="shared" si="18"/>
        <v>9480</v>
      </c>
      <c r="AL61" s="954">
        <f t="shared" si="19"/>
        <v>9480</v>
      </c>
      <c r="AN61" s="962"/>
      <c r="AO61" s="859">
        <f t="shared" si="20"/>
        <v>9480</v>
      </c>
      <c r="AR61" s="965"/>
      <c r="BE61" s="950"/>
      <c r="BF61" s="950"/>
      <c r="BG61" s="950"/>
      <c r="BH61" s="950"/>
      <c r="BI61" s="950">
        <f>I61/K61</f>
        <v>316</v>
      </c>
      <c r="BN61" s="963"/>
      <c r="BO61" s="963"/>
      <c r="BP61" s="963"/>
      <c r="BQ61" s="963"/>
      <c r="BR61" s="963"/>
      <c r="BS61" s="963"/>
      <c r="BV61" s="964">
        <f t="shared" si="13"/>
        <v>0</v>
      </c>
      <c r="BW61" s="964">
        <f t="shared" si="14"/>
        <v>316</v>
      </c>
      <c r="BX61" s="308">
        <f t="shared" si="3"/>
        <v>546243</v>
      </c>
      <c r="BY61" s="963"/>
      <c r="BZ61" s="963"/>
      <c r="CA61" s="963">
        <f t="shared" si="17"/>
        <v>313757</v>
      </c>
      <c r="CB61" s="963"/>
      <c r="CC61" s="963"/>
      <c r="CH61" s="965"/>
      <c r="CI61" s="965"/>
      <c r="CJ61" s="965"/>
      <c r="CK61" s="965"/>
      <c r="CL61" s="965"/>
      <c r="CM61" s="965"/>
      <c r="CN61" s="965"/>
      <c r="CO61" s="965"/>
      <c r="CP61" s="965"/>
      <c r="CQ61" s="965"/>
      <c r="CR61" s="965"/>
      <c r="CS61" s="965"/>
      <c r="CT61" s="965"/>
      <c r="CU61" s="965"/>
      <c r="CV61" s="965"/>
      <c r="CW61" s="965"/>
      <c r="CX61" s="965"/>
      <c r="CY61" s="965"/>
      <c r="CZ61" s="965"/>
      <c r="DA61" s="965"/>
      <c r="DB61" s="965"/>
      <c r="DC61" s="965"/>
    </row>
    <row r="62" s="859" customFormat="1" ht="31" customHeight="1" spans="1:107">
      <c r="A62" s="948">
        <v>45926</v>
      </c>
      <c r="B62" s="949" t="s">
        <v>1758</v>
      </c>
      <c r="C62" s="954" t="s">
        <v>125</v>
      </c>
      <c r="D62" s="949">
        <v>4500180563</v>
      </c>
      <c r="E62" s="951" t="s">
        <v>1773</v>
      </c>
      <c r="F62" s="949" t="s">
        <v>1774</v>
      </c>
      <c r="G62" s="953" t="s">
        <v>1761</v>
      </c>
      <c r="H62" s="954" t="s">
        <v>1762</v>
      </c>
      <c r="I62" s="954">
        <v>5190</v>
      </c>
      <c r="J62" s="954">
        <v>0</v>
      </c>
      <c r="K62" s="954">
        <v>30</v>
      </c>
      <c r="L62" s="955">
        <f t="shared" si="10"/>
        <v>173</v>
      </c>
      <c r="M62" s="956">
        <v>45965</v>
      </c>
      <c r="N62" s="956">
        <v>45964</v>
      </c>
      <c r="O62" s="956" t="s">
        <v>1763</v>
      </c>
      <c r="P62" s="968" t="s">
        <v>86</v>
      </c>
      <c r="Q62" s="951" t="s">
        <v>1771</v>
      </c>
      <c r="R62" s="958">
        <v>45926</v>
      </c>
      <c r="S62" s="958" t="s">
        <v>98</v>
      </c>
      <c r="T62" s="958" t="s">
        <v>98</v>
      </c>
      <c r="U62" s="958"/>
      <c r="V62" s="952" t="s">
        <v>1765</v>
      </c>
      <c r="W62" s="959" t="s">
        <v>1766</v>
      </c>
      <c r="X62" s="960">
        <v>41.52</v>
      </c>
      <c r="Y62" s="961">
        <f>X62*L62</f>
        <v>7182.96</v>
      </c>
      <c r="Z62" s="961"/>
      <c r="AA62" s="951" t="s">
        <v>1775</v>
      </c>
      <c r="AB62" s="953" t="s">
        <v>1768</v>
      </c>
      <c r="AC62" s="954" t="s">
        <v>93</v>
      </c>
      <c r="AD62" s="954" t="s">
        <v>94</v>
      </c>
      <c r="AE62" s="951"/>
      <c r="AF62" s="979">
        <v>5190</v>
      </c>
      <c r="AG62" s="979">
        <f t="shared" si="6"/>
        <v>0</v>
      </c>
      <c r="AH62" s="981"/>
      <c r="AI62" s="951" t="s">
        <v>98</v>
      </c>
      <c r="AJ62" s="951"/>
      <c r="AK62" s="926">
        <f t="shared" si="18"/>
        <v>5190</v>
      </c>
      <c r="AL62" s="954">
        <f t="shared" si="19"/>
        <v>5190</v>
      </c>
      <c r="AN62" s="962"/>
      <c r="AO62" s="859">
        <f t="shared" si="20"/>
        <v>5190</v>
      </c>
      <c r="AR62" s="965"/>
      <c r="BE62" s="950"/>
      <c r="BF62" s="950"/>
      <c r="BG62" s="950"/>
      <c r="BH62" s="950"/>
      <c r="BI62" s="950">
        <f>I62/K62</f>
        <v>173</v>
      </c>
      <c r="BN62" s="963"/>
      <c r="BO62" s="963"/>
      <c r="BP62" s="963"/>
      <c r="BQ62" s="963"/>
      <c r="BR62" s="963"/>
      <c r="BS62" s="963"/>
      <c r="BV62" s="964">
        <f t="shared" si="13"/>
        <v>0</v>
      </c>
      <c r="BW62" s="964">
        <f t="shared" si="14"/>
        <v>173</v>
      </c>
      <c r="BX62" s="308">
        <f t="shared" si="3"/>
        <v>551433</v>
      </c>
      <c r="BY62" s="963"/>
      <c r="BZ62" s="963"/>
      <c r="CA62" s="963">
        <f t="shared" si="17"/>
        <v>308567</v>
      </c>
      <c r="CB62" s="963"/>
      <c r="CC62" s="963"/>
      <c r="CH62" s="965"/>
      <c r="CI62" s="965"/>
      <c r="CJ62" s="965"/>
      <c r="CK62" s="965"/>
      <c r="CL62" s="965"/>
      <c r="CM62" s="965"/>
      <c r="CN62" s="965"/>
      <c r="CO62" s="965"/>
      <c r="CP62" s="965"/>
      <c r="CQ62" s="965"/>
      <c r="CR62" s="965"/>
      <c r="CS62" s="965"/>
      <c r="CT62" s="965"/>
      <c r="CU62" s="965"/>
      <c r="CV62" s="965"/>
      <c r="CW62" s="965"/>
      <c r="CX62" s="965"/>
      <c r="CY62" s="965"/>
      <c r="CZ62" s="965"/>
      <c r="DA62" s="965"/>
      <c r="DB62" s="965"/>
      <c r="DC62" s="965"/>
    </row>
    <row r="63" s="859" customFormat="1" ht="31" customHeight="1" spans="1:107">
      <c r="A63" s="948">
        <v>45926</v>
      </c>
      <c r="B63" s="949" t="s">
        <v>1758</v>
      </c>
      <c r="C63" s="954" t="s">
        <v>125</v>
      </c>
      <c r="D63" s="949">
        <v>4500180563</v>
      </c>
      <c r="E63" s="951" t="s">
        <v>1776</v>
      </c>
      <c r="F63" s="949" t="s">
        <v>1777</v>
      </c>
      <c r="G63" s="953" t="s">
        <v>1761</v>
      </c>
      <c r="H63" s="954" t="s">
        <v>1762</v>
      </c>
      <c r="I63" s="954">
        <v>3030</v>
      </c>
      <c r="J63" s="954">
        <v>0</v>
      </c>
      <c r="K63" s="954">
        <v>30</v>
      </c>
      <c r="L63" s="955">
        <f t="shared" si="10"/>
        <v>101</v>
      </c>
      <c r="M63" s="956">
        <v>45967</v>
      </c>
      <c r="N63" s="956">
        <v>45966</v>
      </c>
      <c r="O63" s="956" t="s">
        <v>1763</v>
      </c>
      <c r="P63" s="968" t="s">
        <v>86</v>
      </c>
      <c r="Q63" s="951" t="s">
        <v>1778</v>
      </c>
      <c r="R63" s="958">
        <v>45926</v>
      </c>
      <c r="S63" s="958" t="s">
        <v>98</v>
      </c>
      <c r="T63" s="958" t="s">
        <v>98</v>
      </c>
      <c r="U63" s="958"/>
      <c r="V63" s="952" t="s">
        <v>1765</v>
      </c>
      <c r="W63" s="959" t="s">
        <v>1766</v>
      </c>
      <c r="X63" s="960">
        <v>41.52</v>
      </c>
      <c r="Y63" s="961">
        <f>X63*L63</f>
        <v>4193.52</v>
      </c>
      <c r="Z63" s="961"/>
      <c r="AA63" s="951" t="s">
        <v>1779</v>
      </c>
      <c r="AB63" s="953" t="s">
        <v>1768</v>
      </c>
      <c r="AC63" s="954" t="s">
        <v>93</v>
      </c>
      <c r="AD63" s="954" t="s">
        <v>94</v>
      </c>
      <c r="AE63" s="951"/>
      <c r="AF63" s="979">
        <v>3030</v>
      </c>
      <c r="AG63" s="979">
        <f t="shared" si="6"/>
        <v>0</v>
      </c>
      <c r="AH63" s="981"/>
      <c r="AI63" s="951" t="s">
        <v>98</v>
      </c>
      <c r="AJ63" s="951"/>
      <c r="AK63" s="926">
        <f t="shared" si="18"/>
        <v>3030</v>
      </c>
      <c r="AL63" s="954">
        <f t="shared" si="19"/>
        <v>3030</v>
      </c>
      <c r="AN63" s="962"/>
      <c r="AO63" s="859">
        <f t="shared" si="20"/>
        <v>3030</v>
      </c>
      <c r="AR63" s="965"/>
      <c r="BE63" s="950"/>
      <c r="BF63" s="950"/>
      <c r="BG63" s="950"/>
      <c r="BH63" s="950"/>
      <c r="BI63" s="950">
        <f>I63/K63</f>
        <v>101</v>
      </c>
      <c r="BN63" s="963"/>
      <c r="BO63" s="963"/>
      <c r="BP63" s="963"/>
      <c r="BQ63" s="963"/>
      <c r="BR63" s="963"/>
      <c r="BS63" s="963"/>
      <c r="BV63" s="964">
        <f t="shared" si="13"/>
        <v>0</v>
      </c>
      <c r="BW63" s="964">
        <f t="shared" si="14"/>
        <v>101</v>
      </c>
      <c r="BX63" s="308">
        <f t="shared" si="3"/>
        <v>554463</v>
      </c>
      <c r="BY63" s="963"/>
      <c r="BZ63" s="963"/>
      <c r="CA63" s="963">
        <f t="shared" si="17"/>
        <v>305537</v>
      </c>
      <c r="CB63" s="963"/>
      <c r="CC63" s="963"/>
      <c r="CH63" s="965"/>
      <c r="CI63" s="965"/>
      <c r="CJ63" s="965"/>
      <c r="CK63" s="965"/>
      <c r="CL63" s="965"/>
      <c r="CM63" s="965"/>
      <c r="CN63" s="965"/>
      <c r="CO63" s="965"/>
      <c r="CP63" s="965"/>
      <c r="CQ63" s="965"/>
      <c r="CR63" s="965"/>
      <c r="CS63" s="965"/>
      <c r="CT63" s="965"/>
      <c r="CU63" s="965"/>
      <c r="CV63" s="965"/>
      <c r="CW63" s="965"/>
      <c r="CX63" s="965"/>
      <c r="CY63" s="965"/>
      <c r="CZ63" s="965"/>
      <c r="DA63" s="965"/>
      <c r="DB63" s="965"/>
      <c r="DC63" s="965"/>
    </row>
    <row r="64" s="859" customFormat="1" ht="31" customHeight="1" spans="1:107">
      <c r="A64" s="948">
        <v>45905</v>
      </c>
      <c r="B64" s="949" t="s">
        <v>1780</v>
      </c>
      <c r="C64" s="950" t="s">
        <v>1781</v>
      </c>
      <c r="D64" s="949">
        <v>4500178966</v>
      </c>
      <c r="E64" s="951" t="s">
        <v>1782</v>
      </c>
      <c r="F64" s="949" t="s">
        <v>1783</v>
      </c>
      <c r="G64" s="953" t="s">
        <v>1532</v>
      </c>
      <c r="H64" s="954" t="s">
        <v>1524</v>
      </c>
      <c r="I64" s="954">
        <v>780</v>
      </c>
      <c r="J64" s="954">
        <v>0</v>
      </c>
      <c r="K64" s="954">
        <v>52</v>
      </c>
      <c r="L64" s="955">
        <f t="shared" si="10"/>
        <v>15</v>
      </c>
      <c r="M64" s="956">
        <v>45957</v>
      </c>
      <c r="N64" s="956">
        <v>45971</v>
      </c>
      <c r="O64" s="956"/>
      <c r="P64" s="968" t="s">
        <v>86</v>
      </c>
      <c r="Q64" s="956" t="s">
        <v>1784</v>
      </c>
      <c r="R64" s="958">
        <v>45905</v>
      </c>
      <c r="S64" s="958" t="s">
        <v>98</v>
      </c>
      <c r="T64" s="958">
        <v>45917</v>
      </c>
      <c r="U64" s="958"/>
      <c r="V64" s="952" t="s">
        <v>1785</v>
      </c>
      <c r="W64" s="959" t="s">
        <v>1059</v>
      </c>
      <c r="X64" s="960">
        <v>2.15</v>
      </c>
      <c r="Y64" s="961">
        <f>X64*I64</f>
        <v>1677</v>
      </c>
      <c r="Z64" s="961"/>
      <c r="AA64" s="951" t="s">
        <v>1786</v>
      </c>
      <c r="AB64" s="953" t="s">
        <v>1532</v>
      </c>
      <c r="AC64" s="954" t="s">
        <v>93</v>
      </c>
      <c r="AD64" s="954" t="s">
        <v>94</v>
      </c>
      <c r="AE64" s="951"/>
      <c r="AF64" s="979">
        <v>780</v>
      </c>
      <c r="AG64" s="979">
        <f t="shared" si="6"/>
        <v>0</v>
      </c>
      <c r="AH64" s="981"/>
      <c r="AI64" s="951" t="s">
        <v>95</v>
      </c>
      <c r="AJ64" s="951"/>
      <c r="AK64" s="926">
        <f t="shared" si="18"/>
        <v>780</v>
      </c>
      <c r="AL64" s="962">
        <f t="shared" si="19"/>
        <v>780</v>
      </c>
      <c r="AN64" s="962"/>
      <c r="AO64" s="859">
        <f t="shared" si="20"/>
        <v>780</v>
      </c>
      <c r="AR64" s="859">
        <f>I64/13</f>
        <v>60</v>
      </c>
      <c r="BE64" s="950"/>
      <c r="BF64" s="950"/>
      <c r="BG64" s="950"/>
      <c r="BH64" s="950"/>
      <c r="BI64" s="950"/>
      <c r="BN64" s="963"/>
      <c r="BO64" s="963"/>
      <c r="BP64" s="963"/>
      <c r="BQ64" s="963"/>
      <c r="BR64" s="963"/>
      <c r="BS64" s="963"/>
      <c r="BV64" s="964">
        <f t="shared" si="13"/>
        <v>0</v>
      </c>
      <c r="BW64" s="964">
        <f t="shared" si="14"/>
        <v>0</v>
      </c>
      <c r="BX64" s="308">
        <f t="shared" si="3"/>
        <v>555243</v>
      </c>
      <c r="BY64" s="963"/>
      <c r="BZ64" s="963"/>
      <c r="CA64" s="963">
        <f t="shared" si="17"/>
        <v>304757</v>
      </c>
      <c r="CB64" s="963"/>
      <c r="CC64" s="963"/>
      <c r="CH64" s="965"/>
      <c r="CI64" s="965"/>
      <c r="CJ64" s="965"/>
      <c r="CK64" s="965"/>
      <c r="CL64" s="965"/>
      <c r="CM64" s="965"/>
      <c r="CN64" s="965"/>
      <c r="CO64" s="965"/>
      <c r="CP64" s="965"/>
      <c r="CQ64" s="965"/>
      <c r="CR64" s="965"/>
      <c r="CS64" s="965"/>
      <c r="CT64" s="965"/>
      <c r="CU64" s="965"/>
      <c r="CV64" s="965"/>
      <c r="CW64" s="965"/>
      <c r="CX64" s="965"/>
      <c r="CY64" s="965"/>
      <c r="CZ64" s="965"/>
      <c r="DA64" s="965"/>
      <c r="DB64" s="965"/>
      <c r="DC64" s="965"/>
    </row>
    <row r="65" s="859" customFormat="1" ht="31" customHeight="1" spans="1:107">
      <c r="A65" s="948">
        <v>45929</v>
      </c>
      <c r="B65" s="949" t="s">
        <v>578</v>
      </c>
      <c r="C65" s="954" t="s">
        <v>125</v>
      </c>
      <c r="D65" s="949">
        <v>4500180990</v>
      </c>
      <c r="E65" s="1422" t="s">
        <v>1787</v>
      </c>
      <c r="F65" s="949" t="s">
        <v>1788</v>
      </c>
      <c r="G65" s="953" t="s">
        <v>1584</v>
      </c>
      <c r="H65" s="954" t="s">
        <v>1585</v>
      </c>
      <c r="I65" s="954">
        <v>960</v>
      </c>
      <c r="J65" s="954">
        <v>0</v>
      </c>
      <c r="K65" s="954">
        <v>16</v>
      </c>
      <c r="L65" s="955">
        <f t="shared" si="10"/>
        <v>60</v>
      </c>
      <c r="M65" s="956">
        <v>45965</v>
      </c>
      <c r="N65" s="956">
        <v>45967</v>
      </c>
      <c r="O65" s="951" t="s">
        <v>1789</v>
      </c>
      <c r="P65" s="968" t="s">
        <v>86</v>
      </c>
      <c r="Q65" s="951" t="s">
        <v>1790</v>
      </c>
      <c r="R65" s="958" t="s">
        <v>296</v>
      </c>
      <c r="S65" s="958" t="s">
        <v>98</v>
      </c>
      <c r="T65" s="958" t="s">
        <v>1791</v>
      </c>
      <c r="U65" s="958"/>
      <c r="V65" s="952" t="s">
        <v>1792</v>
      </c>
      <c r="W65" s="959" t="s">
        <v>247</v>
      </c>
      <c r="X65" s="960">
        <v>1.596</v>
      </c>
      <c r="Y65" s="961">
        <f>X65*I65</f>
        <v>1532.16</v>
      </c>
      <c r="Z65" s="961"/>
      <c r="AA65" s="951" t="s">
        <v>1793</v>
      </c>
      <c r="AB65" s="953" t="s">
        <v>1584</v>
      </c>
      <c r="AC65" s="954" t="s">
        <v>93</v>
      </c>
      <c r="AD65" s="954" t="s">
        <v>94</v>
      </c>
      <c r="AE65" s="951"/>
      <c r="AF65" s="979">
        <v>960</v>
      </c>
      <c r="AG65" s="979">
        <f t="shared" si="6"/>
        <v>0</v>
      </c>
      <c r="AH65" s="981"/>
      <c r="AI65" s="951"/>
      <c r="AJ65" s="951"/>
      <c r="AK65" s="926">
        <f t="shared" si="18"/>
        <v>960</v>
      </c>
      <c r="AL65" s="962">
        <f t="shared" si="19"/>
        <v>960</v>
      </c>
      <c r="AN65" s="962"/>
      <c r="AO65" s="859">
        <f t="shared" si="20"/>
        <v>960</v>
      </c>
      <c r="AR65" s="965"/>
      <c r="AY65" s="859">
        <f>I65/16</f>
        <v>60</v>
      </c>
      <c r="BE65" s="950"/>
      <c r="BF65" s="950"/>
      <c r="BG65" s="950"/>
      <c r="BH65" s="950"/>
      <c r="BI65" s="950"/>
      <c r="BN65" s="963"/>
      <c r="BO65" s="963"/>
      <c r="BP65" s="963"/>
      <c r="BQ65" s="963"/>
      <c r="BR65" s="963"/>
      <c r="BS65" s="963"/>
      <c r="BV65" s="964">
        <f t="shared" si="13"/>
        <v>60</v>
      </c>
      <c r="BW65" s="964">
        <f t="shared" si="14"/>
        <v>0</v>
      </c>
      <c r="BX65" s="308">
        <f t="shared" si="3"/>
        <v>556203</v>
      </c>
      <c r="BY65" s="963"/>
      <c r="BZ65" s="963"/>
      <c r="CA65" s="963">
        <f t="shared" si="17"/>
        <v>303797</v>
      </c>
      <c r="CB65" s="963"/>
      <c r="CC65" s="963"/>
      <c r="CH65" s="965"/>
      <c r="CI65" s="965"/>
      <c r="CJ65" s="965"/>
      <c r="CK65" s="965"/>
      <c r="CL65" s="965"/>
      <c r="CM65" s="965"/>
      <c r="CN65" s="965"/>
      <c r="CO65" s="965"/>
      <c r="CP65" s="965"/>
      <c r="CQ65" s="965"/>
      <c r="CR65" s="965"/>
      <c r="CS65" s="965"/>
      <c r="CT65" s="965"/>
      <c r="CU65" s="965"/>
      <c r="CV65" s="965"/>
      <c r="CW65" s="965"/>
      <c r="CX65" s="965"/>
      <c r="CY65" s="965"/>
      <c r="CZ65" s="965"/>
      <c r="DA65" s="965"/>
      <c r="DB65" s="965"/>
      <c r="DC65" s="965"/>
    </row>
    <row r="66" s="859" customFormat="1" ht="31" customHeight="1" spans="1:107">
      <c r="A66" s="948">
        <v>45929</v>
      </c>
      <c r="B66" s="949" t="s">
        <v>578</v>
      </c>
      <c r="C66" s="954" t="s">
        <v>125</v>
      </c>
      <c r="D66" s="949">
        <v>4500180990</v>
      </c>
      <c r="E66" s="1422" t="s">
        <v>1794</v>
      </c>
      <c r="F66" s="949" t="s">
        <v>1795</v>
      </c>
      <c r="G66" s="953" t="s">
        <v>1584</v>
      </c>
      <c r="H66" s="954" t="s">
        <v>1585</v>
      </c>
      <c r="I66" s="954">
        <v>960</v>
      </c>
      <c r="J66" s="954">
        <v>0</v>
      </c>
      <c r="K66" s="954">
        <v>16</v>
      </c>
      <c r="L66" s="955">
        <f t="shared" si="10"/>
        <v>60</v>
      </c>
      <c r="M66" s="956">
        <v>45965</v>
      </c>
      <c r="N66" s="956">
        <v>45969</v>
      </c>
      <c r="O66" s="951" t="s">
        <v>1796</v>
      </c>
      <c r="P66" s="968" t="s">
        <v>86</v>
      </c>
      <c r="Q66" s="951"/>
      <c r="R66" s="958" t="s">
        <v>296</v>
      </c>
      <c r="S66" s="958" t="s">
        <v>98</v>
      </c>
      <c r="T66" s="958" t="s">
        <v>1791</v>
      </c>
      <c r="U66" s="958"/>
      <c r="V66" s="952" t="s">
        <v>1792</v>
      </c>
      <c r="W66" s="959" t="s">
        <v>247</v>
      </c>
      <c r="X66" s="960">
        <v>1.596</v>
      </c>
      <c r="Y66" s="961">
        <f>X66*I66</f>
        <v>1532.16</v>
      </c>
      <c r="Z66" s="961"/>
      <c r="AA66" s="951" t="s">
        <v>1797</v>
      </c>
      <c r="AB66" s="953" t="s">
        <v>1584</v>
      </c>
      <c r="AC66" s="954" t="s">
        <v>93</v>
      </c>
      <c r="AD66" s="954" t="s">
        <v>94</v>
      </c>
      <c r="AE66" s="951"/>
      <c r="AF66" s="979">
        <v>960</v>
      </c>
      <c r="AG66" s="979">
        <f t="shared" si="6"/>
        <v>0</v>
      </c>
      <c r="AH66" s="981"/>
      <c r="AI66" s="951"/>
      <c r="AJ66" s="951"/>
      <c r="AK66" s="926">
        <f t="shared" si="18"/>
        <v>960</v>
      </c>
      <c r="AL66" s="962">
        <f t="shared" si="19"/>
        <v>960</v>
      </c>
      <c r="AN66" s="962"/>
      <c r="AO66" s="859">
        <f t="shared" si="20"/>
        <v>960</v>
      </c>
      <c r="AR66" s="965"/>
      <c r="AY66" s="859">
        <f>I66/16</f>
        <v>60</v>
      </c>
      <c r="BE66" s="950"/>
      <c r="BF66" s="950"/>
      <c r="BG66" s="950"/>
      <c r="BH66" s="950"/>
      <c r="BI66" s="950"/>
      <c r="BN66" s="963"/>
      <c r="BO66" s="963"/>
      <c r="BP66" s="963"/>
      <c r="BQ66" s="963"/>
      <c r="BR66" s="963"/>
      <c r="BS66" s="963"/>
      <c r="BV66" s="964">
        <f t="shared" si="13"/>
        <v>60</v>
      </c>
      <c r="BW66" s="964">
        <f t="shared" si="14"/>
        <v>0</v>
      </c>
      <c r="BX66" s="308">
        <f t="shared" si="3"/>
        <v>557163</v>
      </c>
      <c r="BY66" s="963"/>
      <c r="BZ66" s="963"/>
      <c r="CA66" s="963">
        <f t="shared" si="17"/>
        <v>302837</v>
      </c>
      <c r="CB66" s="963"/>
      <c r="CC66" s="963"/>
      <c r="CH66" s="965"/>
      <c r="CI66" s="965"/>
      <c r="CJ66" s="965"/>
      <c r="CK66" s="965"/>
      <c r="CL66" s="965"/>
      <c r="CM66" s="965"/>
      <c r="CN66" s="965"/>
      <c r="CO66" s="965"/>
      <c r="CP66" s="965"/>
      <c r="CQ66" s="965"/>
      <c r="CR66" s="965"/>
      <c r="CS66" s="965"/>
      <c r="CT66" s="965"/>
      <c r="CU66" s="965"/>
      <c r="CV66" s="965"/>
      <c r="CW66" s="965"/>
      <c r="CX66" s="965"/>
      <c r="CY66" s="965"/>
      <c r="CZ66" s="965"/>
      <c r="DA66" s="965"/>
      <c r="DB66" s="965"/>
      <c r="DC66" s="965"/>
    </row>
    <row r="67" s="859" customFormat="1" ht="31" customHeight="1" spans="1:107">
      <c r="A67" s="948">
        <v>45929</v>
      </c>
      <c r="B67" s="949" t="s">
        <v>578</v>
      </c>
      <c r="C67" s="954" t="s">
        <v>125</v>
      </c>
      <c r="D67" s="949">
        <v>4500180990</v>
      </c>
      <c r="E67" s="1422" t="s">
        <v>1798</v>
      </c>
      <c r="F67" s="949" t="s">
        <v>1799</v>
      </c>
      <c r="G67" s="953" t="s">
        <v>1584</v>
      </c>
      <c r="H67" s="954" t="s">
        <v>1585</v>
      </c>
      <c r="I67" s="954">
        <v>960</v>
      </c>
      <c r="J67" s="954">
        <v>0</v>
      </c>
      <c r="K67" s="954">
        <v>16</v>
      </c>
      <c r="L67" s="955">
        <f t="shared" si="10"/>
        <v>60</v>
      </c>
      <c r="M67" s="956">
        <v>45965</v>
      </c>
      <c r="N67" s="956">
        <v>45969</v>
      </c>
      <c r="O67" s="951" t="s">
        <v>1796</v>
      </c>
      <c r="P67" s="968" t="s">
        <v>86</v>
      </c>
      <c r="Q67" s="951"/>
      <c r="R67" s="958" t="s">
        <v>296</v>
      </c>
      <c r="S67" s="958" t="s">
        <v>98</v>
      </c>
      <c r="T67" s="958" t="s">
        <v>1791</v>
      </c>
      <c r="U67" s="958"/>
      <c r="V67" s="952" t="s">
        <v>1792</v>
      </c>
      <c r="W67" s="959" t="s">
        <v>247</v>
      </c>
      <c r="X67" s="960">
        <v>1.596</v>
      </c>
      <c r="Y67" s="961">
        <f>X67*I67</f>
        <v>1532.16</v>
      </c>
      <c r="Z67" s="961"/>
      <c r="AA67" s="951" t="s">
        <v>1800</v>
      </c>
      <c r="AB67" s="953" t="s">
        <v>1584</v>
      </c>
      <c r="AC67" s="954" t="s">
        <v>93</v>
      </c>
      <c r="AD67" s="954" t="s">
        <v>94</v>
      </c>
      <c r="AE67" s="951"/>
      <c r="AF67" s="979">
        <v>960</v>
      </c>
      <c r="AG67" s="979">
        <f t="shared" si="6"/>
        <v>0</v>
      </c>
      <c r="AH67" s="981"/>
      <c r="AI67" s="951"/>
      <c r="AJ67" s="951"/>
      <c r="AK67" s="926">
        <f t="shared" si="18"/>
        <v>960</v>
      </c>
      <c r="AL67" s="962">
        <f t="shared" si="19"/>
        <v>960</v>
      </c>
      <c r="AN67" s="962"/>
      <c r="AO67" s="859">
        <f t="shared" si="20"/>
        <v>960</v>
      </c>
      <c r="AR67" s="965"/>
      <c r="AY67" s="859">
        <f>I67/16</f>
        <v>60</v>
      </c>
      <c r="BE67" s="950"/>
      <c r="BF67" s="950"/>
      <c r="BG67" s="950"/>
      <c r="BH67" s="950"/>
      <c r="BI67" s="950"/>
      <c r="BN67" s="963"/>
      <c r="BO67" s="963"/>
      <c r="BP67" s="963"/>
      <c r="BQ67" s="963"/>
      <c r="BR67" s="963"/>
      <c r="BS67" s="963"/>
      <c r="BV67" s="964">
        <f t="shared" ref="BV67:BV98" si="21">AT67+AU67+AY67</f>
        <v>60</v>
      </c>
      <c r="BW67" s="964">
        <f t="shared" ref="BW67:BW98" si="22">BF67+BG67+BI67</f>
        <v>0</v>
      </c>
      <c r="BX67" s="308">
        <f t="shared" si="3"/>
        <v>558123</v>
      </c>
      <c r="BY67" s="963"/>
      <c r="BZ67" s="963"/>
      <c r="CA67" s="963">
        <f t="shared" si="17"/>
        <v>301877</v>
      </c>
      <c r="CB67" s="963"/>
      <c r="CC67" s="963"/>
      <c r="CH67" s="965"/>
      <c r="CI67" s="965"/>
      <c r="CJ67" s="965"/>
      <c r="CK67" s="965"/>
      <c r="CL67" s="965"/>
      <c r="CM67" s="965"/>
      <c r="CN67" s="965"/>
      <c r="CO67" s="965"/>
      <c r="CP67" s="965"/>
      <c r="CQ67" s="965"/>
      <c r="CR67" s="965"/>
      <c r="CS67" s="965"/>
      <c r="CT67" s="965"/>
      <c r="CU67" s="965"/>
      <c r="CV67" s="965"/>
      <c r="CW67" s="965"/>
      <c r="CX67" s="965"/>
      <c r="CY67" s="965"/>
      <c r="CZ67" s="965"/>
      <c r="DA67" s="965"/>
      <c r="DB67" s="965"/>
      <c r="DC67" s="965"/>
    </row>
    <row r="68" s="859" customFormat="1" ht="31" customHeight="1" spans="1:107">
      <c r="A68" s="948">
        <v>45938</v>
      </c>
      <c r="B68" s="949" t="s">
        <v>1801</v>
      </c>
      <c r="C68" s="954" t="s">
        <v>103</v>
      </c>
      <c r="D68" s="949">
        <v>4500181196</v>
      </c>
      <c r="E68" s="951" t="s">
        <v>1802</v>
      </c>
      <c r="F68" s="949" t="s">
        <v>1803</v>
      </c>
      <c r="G68" s="953" t="s">
        <v>1529</v>
      </c>
      <c r="H68" s="954" t="s">
        <v>1524</v>
      </c>
      <c r="I68" s="954">
        <v>504</v>
      </c>
      <c r="J68" s="954">
        <v>0</v>
      </c>
      <c r="K68" s="954">
        <v>24</v>
      </c>
      <c r="L68" s="955">
        <f t="shared" si="10"/>
        <v>21</v>
      </c>
      <c r="M68" s="956">
        <v>45971</v>
      </c>
      <c r="N68" s="956">
        <v>45970</v>
      </c>
      <c r="O68" s="956" t="s">
        <v>1804</v>
      </c>
      <c r="P68" s="968" t="s">
        <v>86</v>
      </c>
      <c r="Q68" s="951" t="s">
        <v>1805</v>
      </c>
      <c r="R68" s="958">
        <v>45938</v>
      </c>
      <c r="S68" s="958" t="s">
        <v>98</v>
      </c>
      <c r="T68" s="958" t="s">
        <v>1806</v>
      </c>
      <c r="U68" s="958"/>
      <c r="V68" s="952" t="s">
        <v>1807</v>
      </c>
      <c r="W68" s="959" t="s">
        <v>624</v>
      </c>
      <c r="X68" s="960">
        <v>1.9</v>
      </c>
      <c r="Y68" s="961">
        <f>X68*I68</f>
        <v>957.6</v>
      </c>
      <c r="Z68" s="961"/>
      <c r="AA68" s="951" t="s">
        <v>1808</v>
      </c>
      <c r="AB68" s="953" t="s">
        <v>1529</v>
      </c>
      <c r="AC68" s="954" t="s">
        <v>93</v>
      </c>
      <c r="AD68" s="954" t="s">
        <v>94</v>
      </c>
      <c r="AE68" s="951"/>
      <c r="AF68" s="979">
        <v>504</v>
      </c>
      <c r="AG68" s="980">
        <f t="shared" si="6"/>
        <v>0</v>
      </c>
      <c r="AH68" s="981"/>
      <c r="AI68" s="951" t="s">
        <v>95</v>
      </c>
      <c r="AJ68" s="951"/>
      <c r="AK68" s="926">
        <f t="shared" si="18"/>
        <v>504</v>
      </c>
      <c r="AL68" s="962">
        <f t="shared" si="19"/>
        <v>504</v>
      </c>
      <c r="AN68" s="962"/>
      <c r="AO68" s="859">
        <f t="shared" si="20"/>
        <v>504</v>
      </c>
      <c r="BE68" s="950"/>
      <c r="BF68" s="950"/>
      <c r="BG68" s="950"/>
      <c r="BH68" s="950"/>
      <c r="BI68" s="950"/>
      <c r="BN68" s="963"/>
      <c r="BO68" s="963"/>
      <c r="BP68" s="963"/>
      <c r="BQ68" s="963"/>
      <c r="BR68" s="963"/>
      <c r="BS68" s="963"/>
      <c r="BV68" s="964">
        <f t="shared" si="21"/>
        <v>0</v>
      </c>
      <c r="BW68" s="964">
        <f t="shared" si="22"/>
        <v>0</v>
      </c>
      <c r="BX68" s="308">
        <f t="shared" ref="BX68:BX131" si="23">AK68+BX67</f>
        <v>558627</v>
      </c>
      <c r="BY68" s="963"/>
      <c r="BZ68" s="963"/>
      <c r="CA68" s="963">
        <f t="shared" si="17"/>
        <v>301373</v>
      </c>
      <c r="CB68" s="963"/>
      <c r="CC68" s="963"/>
      <c r="CH68" s="965"/>
      <c r="CI68" s="965"/>
      <c r="CJ68" s="965"/>
      <c r="CK68" s="965"/>
      <c r="CL68" s="965"/>
      <c r="CM68" s="965"/>
      <c r="CN68" s="965"/>
      <c r="CO68" s="965"/>
      <c r="CP68" s="965"/>
      <c r="CQ68" s="965"/>
      <c r="CR68" s="965"/>
      <c r="CS68" s="965"/>
      <c r="CT68" s="965"/>
      <c r="CU68" s="965"/>
      <c r="CV68" s="965"/>
      <c r="CW68" s="965"/>
      <c r="CX68" s="965"/>
      <c r="CY68" s="965"/>
      <c r="CZ68" s="965"/>
      <c r="DA68" s="965"/>
      <c r="DB68" s="965"/>
      <c r="DC68" s="965"/>
    </row>
    <row r="69" s="857" customFormat="1" ht="31" customHeight="1" spans="1:107">
      <c r="A69" s="923">
        <v>45884</v>
      </c>
      <c r="B69" s="924"/>
      <c r="C69" s="925"/>
      <c r="D69" s="857" t="s">
        <v>1809</v>
      </c>
      <c r="E69" s="926"/>
      <c r="G69" s="927" t="s">
        <v>1529</v>
      </c>
      <c r="H69" s="928" t="s">
        <v>1810</v>
      </c>
      <c r="I69" s="928">
        <v>50</v>
      </c>
      <c r="J69" s="928"/>
      <c r="K69" s="928"/>
      <c r="L69" s="929"/>
      <c r="M69" s="930">
        <v>45909</v>
      </c>
      <c r="N69" s="930">
        <v>45905</v>
      </c>
      <c r="O69" s="926"/>
      <c r="P69" s="931"/>
      <c r="Q69" s="926"/>
      <c r="R69" s="932"/>
      <c r="S69" s="932"/>
      <c r="T69" s="932"/>
      <c r="U69" s="932"/>
      <c r="V69" s="933" t="s">
        <v>1811</v>
      </c>
      <c r="W69" s="934" t="s">
        <v>100</v>
      </c>
      <c r="X69" s="935"/>
      <c r="Y69" s="936"/>
      <c r="Z69" s="936"/>
      <c r="AA69" s="926"/>
      <c r="AB69" s="927"/>
      <c r="AC69" s="928" t="s">
        <v>542</v>
      </c>
      <c r="AD69" s="928"/>
      <c r="AE69" s="926"/>
      <c r="AF69" s="946">
        <v>50</v>
      </c>
      <c r="AG69" s="946"/>
      <c r="AH69" s="947"/>
      <c r="AI69" s="926"/>
      <c r="AJ69" s="926"/>
      <c r="AK69" s="926">
        <f t="shared" si="18"/>
        <v>50</v>
      </c>
      <c r="AL69" s="858"/>
      <c r="AM69" s="858"/>
      <c r="AN69" s="858"/>
      <c r="AO69" s="858"/>
      <c r="BE69" s="925"/>
      <c r="BF69" s="925"/>
      <c r="BG69" s="925"/>
      <c r="BH69" s="925"/>
      <c r="BI69" s="925"/>
      <c r="BN69" s="939"/>
      <c r="BO69" s="939"/>
      <c r="BP69" s="939"/>
      <c r="BQ69" s="939"/>
      <c r="BR69" s="939"/>
      <c r="BS69" s="939"/>
      <c r="BV69" s="964">
        <f t="shared" si="21"/>
        <v>0</v>
      </c>
      <c r="BW69" s="964">
        <f t="shared" si="22"/>
        <v>0</v>
      </c>
      <c r="BX69" s="308">
        <f t="shared" si="23"/>
        <v>558677</v>
      </c>
      <c r="BY69" s="939"/>
      <c r="BZ69" s="963"/>
      <c r="CA69" s="963">
        <f t="shared" si="17"/>
        <v>301323</v>
      </c>
      <c r="CB69" s="939"/>
      <c r="CC69" s="939"/>
      <c r="CH69" s="940"/>
      <c r="CI69" s="940"/>
      <c r="CJ69" s="940"/>
      <c r="CK69" s="940"/>
      <c r="CL69" s="940"/>
      <c r="CM69" s="940"/>
      <c r="CN69" s="940"/>
      <c r="CO69" s="940"/>
      <c r="CP69" s="940"/>
      <c r="CQ69" s="940"/>
      <c r="CR69" s="940"/>
      <c r="CS69" s="940"/>
      <c r="CT69" s="940"/>
      <c r="CU69" s="940"/>
      <c r="CV69" s="940"/>
      <c r="CW69" s="940"/>
      <c r="CX69" s="940"/>
      <c r="CY69" s="940"/>
      <c r="CZ69" s="940"/>
      <c r="DA69" s="940"/>
      <c r="DB69" s="940"/>
      <c r="DC69" s="940"/>
    </row>
    <row r="70" s="857" customFormat="1" ht="32" customHeight="1" spans="1:107">
      <c r="A70" s="923">
        <v>45922</v>
      </c>
      <c r="B70" s="924" t="s">
        <v>1548</v>
      </c>
      <c r="C70" s="928" t="s">
        <v>125</v>
      </c>
      <c r="D70" s="924">
        <v>4500180027</v>
      </c>
      <c r="E70" s="926" t="s">
        <v>1812</v>
      </c>
      <c r="F70" s="924" t="s">
        <v>1813</v>
      </c>
      <c r="G70" s="927" t="s">
        <v>1570</v>
      </c>
      <c r="H70" s="928" t="s">
        <v>1571</v>
      </c>
      <c r="I70" s="928">
        <v>17350</v>
      </c>
      <c r="J70" s="928">
        <v>0</v>
      </c>
      <c r="K70" s="928">
        <v>25</v>
      </c>
      <c r="L70" s="929">
        <f t="shared" ref="L70:L76" si="24">I70/K70</f>
        <v>694</v>
      </c>
      <c r="M70" s="930">
        <v>45968</v>
      </c>
      <c r="N70" s="930">
        <v>45967</v>
      </c>
      <c r="O70" s="930" t="s">
        <v>1814</v>
      </c>
      <c r="P70" s="931" t="s">
        <v>86</v>
      </c>
      <c r="Q70" s="926"/>
      <c r="R70" s="932">
        <v>45929</v>
      </c>
      <c r="S70" s="932" t="s">
        <v>88</v>
      </c>
      <c r="T70" s="932" t="s">
        <v>1678</v>
      </c>
      <c r="U70" s="932"/>
      <c r="V70" s="933" t="s">
        <v>1815</v>
      </c>
      <c r="W70" s="934" t="s">
        <v>1554</v>
      </c>
      <c r="X70" s="935">
        <v>1.5848</v>
      </c>
      <c r="Y70" s="936">
        <f>I70*X70</f>
        <v>27496.28</v>
      </c>
      <c r="Z70" s="936"/>
      <c r="AA70" s="926" t="s">
        <v>1816</v>
      </c>
      <c r="AB70" s="927" t="s">
        <v>1570</v>
      </c>
      <c r="AC70" s="928" t="s">
        <v>93</v>
      </c>
      <c r="AD70" s="928" t="s">
        <v>94</v>
      </c>
      <c r="AE70" s="926"/>
      <c r="AF70" s="946">
        <v>17350</v>
      </c>
      <c r="AG70" s="946">
        <f t="shared" ref="AG70:AG76" si="25">AF70-I70</f>
        <v>0</v>
      </c>
      <c r="AH70" s="947"/>
      <c r="AI70" s="926"/>
      <c r="AJ70" s="926"/>
      <c r="AK70" s="926">
        <f t="shared" si="18"/>
        <v>17350</v>
      </c>
      <c r="AL70" s="858">
        <f t="shared" ref="AL70:AL79" si="26">I70</f>
        <v>17350</v>
      </c>
      <c r="AN70" s="858"/>
      <c r="AO70" s="857">
        <f t="shared" ref="AO70:AO90" si="27">I70</f>
        <v>17350</v>
      </c>
      <c r="AT70" s="857">
        <f>I70/25</f>
        <v>694</v>
      </c>
      <c r="BE70" s="925"/>
      <c r="BF70" s="925"/>
      <c r="BG70" s="925"/>
      <c r="BH70" s="925"/>
      <c r="BI70" s="925"/>
      <c r="BN70" s="939"/>
      <c r="BO70" s="939"/>
      <c r="BP70" s="939"/>
      <c r="BQ70" s="939"/>
      <c r="BR70" s="939"/>
      <c r="BS70" s="939"/>
      <c r="BV70" s="964">
        <f t="shared" si="21"/>
        <v>694</v>
      </c>
      <c r="BW70" s="964">
        <f t="shared" si="22"/>
        <v>0</v>
      </c>
      <c r="BX70" s="308">
        <f t="shared" si="23"/>
        <v>576027</v>
      </c>
      <c r="BY70" s="939"/>
      <c r="BZ70" s="939"/>
      <c r="CA70" s="939">
        <f t="shared" ref="CA70:CA91" si="28">$BZ$1+$CA$1-BX70</f>
        <v>283973</v>
      </c>
      <c r="CB70" s="939"/>
      <c r="CC70" s="939"/>
      <c r="CH70" s="940"/>
      <c r="CI70" s="940"/>
      <c r="CJ70" s="940"/>
      <c r="CK70" s="940"/>
      <c r="CL70" s="940"/>
      <c r="CM70" s="940"/>
      <c r="CN70" s="940"/>
      <c r="CO70" s="940"/>
      <c r="CP70" s="940"/>
      <c r="CQ70" s="940"/>
      <c r="CR70" s="940"/>
      <c r="CS70" s="940"/>
      <c r="CT70" s="940"/>
      <c r="CU70" s="940"/>
      <c r="CV70" s="940"/>
      <c r="CW70" s="940"/>
      <c r="CX70" s="940"/>
      <c r="CY70" s="940"/>
      <c r="CZ70" s="940"/>
      <c r="DA70" s="940"/>
      <c r="DB70" s="940"/>
      <c r="DC70" s="940"/>
    </row>
    <row r="71" s="857" customFormat="1" ht="31" customHeight="1" spans="1:107">
      <c r="A71" s="923">
        <v>45916</v>
      </c>
      <c r="B71" s="924" t="s">
        <v>1574</v>
      </c>
      <c r="C71" s="928" t="s">
        <v>125</v>
      </c>
      <c r="D71" s="924">
        <v>4500179587</v>
      </c>
      <c r="E71" s="926" t="s">
        <v>1817</v>
      </c>
      <c r="F71" s="924" t="s">
        <v>1818</v>
      </c>
      <c r="G71" s="927" t="s">
        <v>1537</v>
      </c>
      <c r="H71" s="928" t="s">
        <v>1538</v>
      </c>
      <c r="I71" s="928">
        <v>2080</v>
      </c>
      <c r="J71" s="928">
        <v>0</v>
      </c>
      <c r="K71" s="928">
        <v>13</v>
      </c>
      <c r="L71" s="929">
        <f t="shared" si="24"/>
        <v>160</v>
      </c>
      <c r="M71" s="930">
        <v>45972</v>
      </c>
      <c r="N71" s="930">
        <v>45973</v>
      </c>
      <c r="O71" s="926"/>
      <c r="P71" s="931" t="s">
        <v>86</v>
      </c>
      <c r="Q71" s="926"/>
      <c r="R71" s="932">
        <v>45916</v>
      </c>
      <c r="S71" s="932" t="s">
        <v>98</v>
      </c>
      <c r="T71" s="932" t="s">
        <v>98</v>
      </c>
      <c r="U71" s="932"/>
      <c r="V71" s="933" t="s">
        <v>1577</v>
      </c>
      <c r="W71" s="934" t="s">
        <v>1578</v>
      </c>
      <c r="X71" s="935">
        <v>1.4565</v>
      </c>
      <c r="Y71" s="936">
        <f>X71*I71</f>
        <v>3029.52</v>
      </c>
      <c r="Z71" s="936"/>
      <c r="AA71" s="926" t="s">
        <v>1819</v>
      </c>
      <c r="AB71" s="927" t="s">
        <v>1537</v>
      </c>
      <c r="AC71" s="928" t="s">
        <v>93</v>
      </c>
      <c r="AD71" s="928" t="s">
        <v>94</v>
      </c>
      <c r="AE71" s="926"/>
      <c r="AF71" s="946">
        <v>2080</v>
      </c>
      <c r="AG71" s="946">
        <f t="shared" si="25"/>
        <v>0</v>
      </c>
      <c r="AH71" s="947"/>
      <c r="AI71" s="926" t="s">
        <v>98</v>
      </c>
      <c r="AJ71" s="926"/>
      <c r="AK71" s="926">
        <f t="shared" si="18"/>
        <v>2080</v>
      </c>
      <c r="AL71" s="858">
        <f t="shared" si="26"/>
        <v>2080</v>
      </c>
      <c r="AN71" s="858"/>
      <c r="AO71" s="857">
        <f t="shared" si="27"/>
        <v>2080</v>
      </c>
      <c r="AR71" s="857">
        <f>I71/13</f>
        <v>160</v>
      </c>
      <c r="BE71" s="925"/>
      <c r="BF71" s="925"/>
      <c r="BG71" s="925"/>
      <c r="BH71" s="925"/>
      <c r="BI71" s="925"/>
      <c r="BN71" s="939"/>
      <c r="BO71" s="939"/>
      <c r="BP71" s="939"/>
      <c r="BQ71" s="939"/>
      <c r="BR71" s="939"/>
      <c r="BS71" s="939"/>
      <c r="BV71" s="964">
        <f t="shared" si="21"/>
        <v>0</v>
      </c>
      <c r="BW71" s="964">
        <f t="shared" si="22"/>
        <v>0</v>
      </c>
      <c r="BX71" s="308">
        <f t="shared" si="23"/>
        <v>578107</v>
      </c>
      <c r="BY71" s="939"/>
      <c r="BZ71" s="939"/>
      <c r="CA71" s="939">
        <f t="shared" si="28"/>
        <v>281893</v>
      </c>
      <c r="CB71" s="939"/>
      <c r="CC71" s="939"/>
      <c r="CH71" s="940"/>
      <c r="CI71" s="940"/>
      <c r="CJ71" s="940"/>
      <c r="CK71" s="940"/>
      <c r="CL71" s="940"/>
      <c r="CM71" s="940"/>
      <c r="CN71" s="940"/>
      <c r="CO71" s="940"/>
      <c r="CP71" s="940"/>
      <c r="CQ71" s="940"/>
      <c r="CR71" s="940"/>
      <c r="CS71" s="940"/>
      <c r="CT71" s="940"/>
      <c r="CU71" s="940"/>
      <c r="CV71" s="940"/>
      <c r="CW71" s="940"/>
      <c r="CX71" s="940"/>
      <c r="CY71" s="940"/>
      <c r="CZ71" s="940"/>
      <c r="DA71" s="940"/>
      <c r="DB71" s="940"/>
      <c r="DC71" s="940"/>
    </row>
    <row r="72" s="857" customFormat="1" ht="31" customHeight="1" spans="1:107">
      <c r="A72" s="923">
        <v>45916</v>
      </c>
      <c r="B72" s="924" t="s">
        <v>1574</v>
      </c>
      <c r="C72" s="928" t="s">
        <v>125</v>
      </c>
      <c r="D72" s="924">
        <v>4500179587</v>
      </c>
      <c r="E72" s="926" t="s">
        <v>1820</v>
      </c>
      <c r="F72" s="924" t="s">
        <v>1821</v>
      </c>
      <c r="G72" s="927" t="s">
        <v>1537</v>
      </c>
      <c r="H72" s="928" t="s">
        <v>1538</v>
      </c>
      <c r="I72" s="928">
        <v>1131</v>
      </c>
      <c r="J72" s="928">
        <v>0</v>
      </c>
      <c r="K72" s="928">
        <v>13</v>
      </c>
      <c r="L72" s="929">
        <f t="shared" si="24"/>
        <v>87</v>
      </c>
      <c r="M72" s="930">
        <v>45972</v>
      </c>
      <c r="N72" s="930">
        <v>45973</v>
      </c>
      <c r="O72" s="926"/>
      <c r="P72" s="931" t="s">
        <v>86</v>
      </c>
      <c r="Q72" s="926"/>
      <c r="R72" s="932">
        <v>45916</v>
      </c>
      <c r="S72" s="932" t="s">
        <v>98</v>
      </c>
      <c r="T72" s="932" t="s">
        <v>98</v>
      </c>
      <c r="U72" s="932"/>
      <c r="V72" s="933" t="s">
        <v>1577</v>
      </c>
      <c r="W72" s="934" t="s">
        <v>1578</v>
      </c>
      <c r="X72" s="935">
        <v>1.4565</v>
      </c>
      <c r="Y72" s="936">
        <f>X72*I72</f>
        <v>1647.3015</v>
      </c>
      <c r="Z72" s="936"/>
      <c r="AA72" s="926" t="s">
        <v>1819</v>
      </c>
      <c r="AB72" s="927" t="s">
        <v>1537</v>
      </c>
      <c r="AC72" s="928" t="s">
        <v>93</v>
      </c>
      <c r="AD72" s="928" t="s">
        <v>94</v>
      </c>
      <c r="AE72" s="926"/>
      <c r="AF72" s="946">
        <v>1131</v>
      </c>
      <c r="AG72" s="946">
        <f t="shared" si="25"/>
        <v>0</v>
      </c>
      <c r="AH72" s="947"/>
      <c r="AI72" s="926" t="s">
        <v>98</v>
      </c>
      <c r="AJ72" s="926"/>
      <c r="AK72" s="926">
        <f t="shared" si="18"/>
        <v>1131</v>
      </c>
      <c r="AL72" s="858">
        <f t="shared" si="26"/>
        <v>1131</v>
      </c>
      <c r="AN72" s="858"/>
      <c r="AO72" s="857">
        <f t="shared" si="27"/>
        <v>1131</v>
      </c>
      <c r="AR72" s="857">
        <f>I72/13</f>
        <v>87</v>
      </c>
      <c r="BE72" s="925"/>
      <c r="BF72" s="925"/>
      <c r="BG72" s="925"/>
      <c r="BH72" s="925"/>
      <c r="BI72" s="925"/>
      <c r="BN72" s="939"/>
      <c r="BO72" s="939"/>
      <c r="BP72" s="939"/>
      <c r="BQ72" s="939"/>
      <c r="BR72" s="939"/>
      <c r="BS72" s="939"/>
      <c r="BV72" s="964">
        <f t="shared" si="21"/>
        <v>0</v>
      </c>
      <c r="BW72" s="964">
        <f t="shared" si="22"/>
        <v>0</v>
      </c>
      <c r="BX72" s="308">
        <f t="shared" si="23"/>
        <v>579238</v>
      </c>
      <c r="BY72" s="939"/>
      <c r="BZ72" s="939"/>
      <c r="CA72" s="939">
        <f t="shared" si="28"/>
        <v>280762</v>
      </c>
      <c r="CB72" s="939"/>
      <c r="CC72" s="939"/>
      <c r="CH72" s="940"/>
      <c r="CI72" s="940"/>
      <c r="CJ72" s="940"/>
      <c r="CK72" s="940"/>
      <c r="CL72" s="940"/>
      <c r="CM72" s="940"/>
      <c r="CN72" s="940"/>
      <c r="CO72" s="940"/>
      <c r="CP72" s="940"/>
      <c r="CQ72" s="940"/>
      <c r="CR72" s="940"/>
      <c r="CS72" s="940"/>
      <c r="CT72" s="940"/>
      <c r="CU72" s="940"/>
      <c r="CV72" s="940"/>
      <c r="CW72" s="940"/>
      <c r="CX72" s="940"/>
      <c r="CY72" s="940"/>
      <c r="CZ72" s="940"/>
      <c r="DA72" s="940"/>
      <c r="DB72" s="940"/>
      <c r="DC72" s="940"/>
    </row>
    <row r="73" s="857" customFormat="1" ht="31" customHeight="1" spans="1:107">
      <c r="A73" s="923">
        <v>45926</v>
      </c>
      <c r="B73" s="924" t="s">
        <v>1535</v>
      </c>
      <c r="C73" s="928" t="s">
        <v>377</v>
      </c>
      <c r="D73" s="924">
        <v>4500180534</v>
      </c>
      <c r="E73" s="926">
        <v>21099948</v>
      </c>
      <c r="F73" s="933" t="s">
        <v>1822</v>
      </c>
      <c r="G73" s="927" t="s">
        <v>1537</v>
      </c>
      <c r="H73" s="928" t="s">
        <v>1538</v>
      </c>
      <c r="I73" s="928">
        <v>6318</v>
      </c>
      <c r="J73" s="928">
        <v>0</v>
      </c>
      <c r="K73" s="928">
        <v>13</v>
      </c>
      <c r="L73" s="929">
        <f t="shared" si="24"/>
        <v>486</v>
      </c>
      <c r="M73" s="930">
        <v>45971</v>
      </c>
      <c r="N73" s="930">
        <v>45972</v>
      </c>
      <c r="O73" s="926"/>
      <c r="P73" s="931" t="s">
        <v>86</v>
      </c>
      <c r="Q73" s="926" t="s">
        <v>1823</v>
      </c>
      <c r="R73" s="932">
        <v>45940</v>
      </c>
      <c r="S73" s="932" t="s">
        <v>88</v>
      </c>
      <c r="T73" s="932" t="s">
        <v>1706</v>
      </c>
      <c r="U73" s="932"/>
      <c r="V73" s="933" t="s">
        <v>1824</v>
      </c>
      <c r="W73" s="934" t="s">
        <v>1540</v>
      </c>
      <c r="X73" s="935">
        <v>2.4275</v>
      </c>
      <c r="Y73" s="936">
        <f>X73*I73</f>
        <v>15336.945</v>
      </c>
      <c r="Z73" s="936"/>
      <c r="AA73" s="926" t="s">
        <v>1825</v>
      </c>
      <c r="AB73" s="927" t="s">
        <v>1537</v>
      </c>
      <c r="AC73" s="928" t="s">
        <v>93</v>
      </c>
      <c r="AD73" s="928" t="s">
        <v>94</v>
      </c>
      <c r="AE73" s="926"/>
      <c r="AF73" s="946">
        <v>6318</v>
      </c>
      <c r="AG73" s="946">
        <f t="shared" si="25"/>
        <v>0</v>
      </c>
      <c r="AH73" s="947"/>
      <c r="AI73" s="926" t="s">
        <v>95</v>
      </c>
      <c r="AJ73" s="926"/>
      <c r="AK73" s="926">
        <f t="shared" si="18"/>
        <v>6318</v>
      </c>
      <c r="AL73" s="858">
        <f t="shared" si="26"/>
        <v>6318</v>
      </c>
      <c r="AN73" s="858"/>
      <c r="AO73" s="857">
        <f t="shared" si="27"/>
        <v>6318</v>
      </c>
      <c r="AR73" s="857">
        <f>I73/13</f>
        <v>486</v>
      </c>
      <c r="BE73" s="925"/>
      <c r="BF73" s="925"/>
      <c r="BG73" s="925"/>
      <c r="BH73" s="925"/>
      <c r="BI73" s="925"/>
      <c r="BN73" s="939"/>
      <c r="BO73" s="939"/>
      <c r="BP73" s="939"/>
      <c r="BQ73" s="939"/>
      <c r="BR73" s="939"/>
      <c r="BS73" s="939"/>
      <c r="BV73" s="964">
        <f t="shared" si="21"/>
        <v>0</v>
      </c>
      <c r="BW73" s="964">
        <f t="shared" si="22"/>
        <v>0</v>
      </c>
      <c r="BX73" s="308">
        <f t="shared" si="23"/>
        <v>585556</v>
      </c>
      <c r="BY73" s="939"/>
      <c r="BZ73" s="939"/>
      <c r="CA73" s="939">
        <f t="shared" si="28"/>
        <v>274444</v>
      </c>
      <c r="CB73" s="939"/>
      <c r="CC73" s="939"/>
      <c r="CH73" s="940"/>
      <c r="CI73" s="940"/>
      <c r="CJ73" s="940"/>
      <c r="CK73" s="940"/>
      <c r="CL73" s="940"/>
      <c r="CM73" s="940"/>
      <c r="CN73" s="940"/>
      <c r="CO73" s="940"/>
      <c r="CP73" s="940"/>
      <c r="CQ73" s="940"/>
      <c r="CR73" s="940"/>
      <c r="CS73" s="940"/>
      <c r="CT73" s="940"/>
      <c r="CU73" s="940"/>
      <c r="CV73" s="940"/>
      <c r="CW73" s="940"/>
      <c r="CX73" s="940"/>
      <c r="CY73" s="940"/>
      <c r="CZ73" s="940"/>
      <c r="DA73" s="940"/>
      <c r="DB73" s="940"/>
      <c r="DC73" s="940"/>
    </row>
    <row r="74" s="857" customFormat="1" ht="31" customHeight="1" spans="1:107">
      <c r="A74" s="923">
        <v>45926</v>
      </c>
      <c r="B74" s="924" t="s">
        <v>1543</v>
      </c>
      <c r="C74" s="928" t="s">
        <v>1544</v>
      </c>
      <c r="D74" s="924">
        <v>4500180535</v>
      </c>
      <c r="E74" s="926">
        <v>21099974</v>
      </c>
      <c r="F74" s="997" t="s">
        <v>1826</v>
      </c>
      <c r="G74" s="927" t="s">
        <v>1537</v>
      </c>
      <c r="H74" s="928" t="s">
        <v>1538</v>
      </c>
      <c r="I74" s="928">
        <v>702</v>
      </c>
      <c r="J74" s="928">
        <v>0</v>
      </c>
      <c r="K74" s="928">
        <v>13</v>
      </c>
      <c r="L74" s="929">
        <f t="shared" si="24"/>
        <v>54</v>
      </c>
      <c r="M74" s="930">
        <v>45971</v>
      </c>
      <c r="N74" s="930">
        <v>45972</v>
      </c>
      <c r="O74" s="926"/>
      <c r="P74" s="931" t="s">
        <v>86</v>
      </c>
      <c r="Q74" s="926" t="s">
        <v>1823</v>
      </c>
      <c r="R74" s="932">
        <v>45940</v>
      </c>
      <c r="S74" s="932" t="s">
        <v>88</v>
      </c>
      <c r="T74" s="932" t="s">
        <v>1706</v>
      </c>
      <c r="U74" s="932"/>
      <c r="V74" s="933" t="s">
        <v>1827</v>
      </c>
      <c r="W74" s="934" t="s">
        <v>1540</v>
      </c>
      <c r="X74" s="935">
        <v>2.4275</v>
      </c>
      <c r="Y74" s="936">
        <f>X74*I74</f>
        <v>1704.105</v>
      </c>
      <c r="Z74" s="936"/>
      <c r="AA74" s="926" t="s">
        <v>1828</v>
      </c>
      <c r="AB74" s="927" t="s">
        <v>1537</v>
      </c>
      <c r="AC74" s="928" t="s">
        <v>93</v>
      </c>
      <c r="AD74" s="928" t="s">
        <v>94</v>
      </c>
      <c r="AE74" s="926"/>
      <c r="AF74" s="946">
        <v>702</v>
      </c>
      <c r="AG74" s="946">
        <f t="shared" si="25"/>
        <v>0</v>
      </c>
      <c r="AH74" s="947"/>
      <c r="AI74" s="926" t="s">
        <v>95</v>
      </c>
      <c r="AJ74" s="926"/>
      <c r="AK74" s="926">
        <f t="shared" si="18"/>
        <v>702</v>
      </c>
      <c r="AL74" s="858">
        <f t="shared" si="26"/>
        <v>702</v>
      </c>
      <c r="AN74" s="858"/>
      <c r="AO74" s="857">
        <f t="shared" si="27"/>
        <v>702</v>
      </c>
      <c r="AR74" s="857">
        <f>I74/13</f>
        <v>54</v>
      </c>
      <c r="BE74" s="925"/>
      <c r="BF74" s="925"/>
      <c r="BG74" s="925"/>
      <c r="BH74" s="925"/>
      <c r="BI74" s="925"/>
      <c r="BN74" s="939"/>
      <c r="BO74" s="939"/>
      <c r="BP74" s="939"/>
      <c r="BQ74" s="939"/>
      <c r="BR74" s="939"/>
      <c r="BS74" s="939"/>
      <c r="BV74" s="964">
        <f t="shared" si="21"/>
        <v>0</v>
      </c>
      <c r="BW74" s="964">
        <f t="shared" si="22"/>
        <v>0</v>
      </c>
      <c r="BX74" s="308">
        <f t="shared" si="23"/>
        <v>586258</v>
      </c>
      <c r="BY74" s="939"/>
      <c r="BZ74" s="939"/>
      <c r="CA74" s="939">
        <f t="shared" si="28"/>
        <v>273742</v>
      </c>
      <c r="CB74" s="939"/>
      <c r="CC74" s="939"/>
      <c r="CH74" s="940"/>
      <c r="CI74" s="940"/>
      <c r="CJ74" s="940"/>
      <c r="CK74" s="940"/>
      <c r="CL74" s="940"/>
      <c r="CM74" s="940"/>
      <c r="CN74" s="940"/>
      <c r="CO74" s="940"/>
      <c r="CP74" s="940"/>
      <c r="CQ74" s="940"/>
      <c r="CR74" s="940"/>
      <c r="CS74" s="940"/>
      <c r="CT74" s="940"/>
      <c r="CU74" s="940"/>
      <c r="CV74" s="940"/>
      <c r="CW74" s="940"/>
      <c r="CX74" s="940"/>
      <c r="CY74" s="940"/>
      <c r="CZ74" s="940"/>
      <c r="DA74" s="940"/>
      <c r="DB74" s="940"/>
      <c r="DC74" s="940"/>
    </row>
    <row r="75" s="857" customFormat="1" ht="31" customHeight="1" spans="1:107">
      <c r="A75" s="923">
        <v>45926</v>
      </c>
      <c r="B75" s="924" t="s">
        <v>1758</v>
      </c>
      <c r="C75" s="928" t="s">
        <v>125</v>
      </c>
      <c r="D75" s="924">
        <v>4500180563</v>
      </c>
      <c r="E75" s="926" t="s">
        <v>1829</v>
      </c>
      <c r="F75" s="924" t="s">
        <v>1830</v>
      </c>
      <c r="G75" s="927" t="s">
        <v>1761</v>
      </c>
      <c r="H75" s="928" t="s">
        <v>1762</v>
      </c>
      <c r="I75" s="928">
        <v>360</v>
      </c>
      <c r="J75" s="928">
        <v>0</v>
      </c>
      <c r="K75" s="928">
        <v>30</v>
      </c>
      <c r="L75" s="929">
        <f t="shared" si="24"/>
        <v>12</v>
      </c>
      <c r="M75" s="930">
        <v>45974</v>
      </c>
      <c r="N75" s="930">
        <v>45973</v>
      </c>
      <c r="O75" s="930" t="s">
        <v>1763</v>
      </c>
      <c r="P75" s="931" t="s">
        <v>86</v>
      </c>
      <c r="Q75" s="926" t="s">
        <v>1831</v>
      </c>
      <c r="R75" s="932">
        <v>45926</v>
      </c>
      <c r="S75" s="932" t="s">
        <v>98</v>
      </c>
      <c r="T75" s="932" t="s">
        <v>98</v>
      </c>
      <c r="U75" s="932"/>
      <c r="V75" s="933" t="s">
        <v>1765</v>
      </c>
      <c r="W75" s="934" t="s">
        <v>1766</v>
      </c>
      <c r="X75" s="935">
        <v>41.52</v>
      </c>
      <c r="Y75" s="936">
        <f>X75*L75</f>
        <v>498.24</v>
      </c>
      <c r="Z75" s="936"/>
      <c r="AA75" s="926" t="s">
        <v>1767</v>
      </c>
      <c r="AB75" s="927" t="s">
        <v>1768</v>
      </c>
      <c r="AC75" s="928" t="s">
        <v>93</v>
      </c>
      <c r="AD75" s="928" t="s">
        <v>94</v>
      </c>
      <c r="AE75" s="926"/>
      <c r="AF75" s="946">
        <v>360</v>
      </c>
      <c r="AG75" s="946">
        <f t="shared" si="25"/>
        <v>0</v>
      </c>
      <c r="AH75" s="947"/>
      <c r="AI75" s="926" t="s">
        <v>98</v>
      </c>
      <c r="AJ75" s="926"/>
      <c r="AK75" s="926">
        <f t="shared" si="18"/>
        <v>360</v>
      </c>
      <c r="AL75" s="928">
        <f t="shared" si="26"/>
        <v>360</v>
      </c>
      <c r="AN75" s="858"/>
      <c r="AO75" s="857">
        <f t="shared" si="27"/>
        <v>360</v>
      </c>
      <c r="AR75" s="940"/>
      <c r="BE75" s="925"/>
      <c r="BF75" s="925"/>
      <c r="BG75" s="925"/>
      <c r="BH75" s="925"/>
      <c r="BI75" s="925">
        <f>I75/K75</f>
        <v>12</v>
      </c>
      <c r="BN75" s="939"/>
      <c r="BO75" s="939"/>
      <c r="BP75" s="939"/>
      <c r="BQ75" s="939"/>
      <c r="BR75" s="939"/>
      <c r="BS75" s="939"/>
      <c r="BV75" s="964">
        <f t="shared" si="21"/>
        <v>0</v>
      </c>
      <c r="BW75" s="964">
        <f t="shared" si="22"/>
        <v>12</v>
      </c>
      <c r="BX75" s="308">
        <f t="shared" si="23"/>
        <v>586618</v>
      </c>
      <c r="BY75" s="939"/>
      <c r="BZ75" s="939"/>
      <c r="CA75" s="939">
        <f t="shared" si="28"/>
        <v>273382</v>
      </c>
      <c r="CB75" s="939"/>
      <c r="CC75" s="939"/>
      <c r="CH75" s="940"/>
      <c r="CI75" s="940"/>
      <c r="CJ75" s="940"/>
      <c r="CK75" s="940"/>
      <c r="CL75" s="940"/>
      <c r="CM75" s="940"/>
      <c r="CN75" s="940"/>
      <c r="CO75" s="940"/>
      <c r="CP75" s="940"/>
      <c r="CQ75" s="940"/>
      <c r="CR75" s="940"/>
      <c r="CS75" s="940"/>
      <c r="CT75" s="940"/>
      <c r="CU75" s="940"/>
      <c r="CV75" s="940"/>
      <c r="CW75" s="940"/>
      <c r="CX75" s="940"/>
      <c r="CY75" s="940"/>
      <c r="CZ75" s="940"/>
      <c r="DA75" s="940"/>
      <c r="DB75" s="940"/>
      <c r="DC75" s="940"/>
    </row>
    <row r="76" s="857" customFormat="1" ht="32" customHeight="1" spans="1:107">
      <c r="A76" s="923">
        <v>45947</v>
      </c>
      <c r="B76" s="924"/>
      <c r="C76" s="928"/>
      <c r="D76" s="924" t="s">
        <v>1832</v>
      </c>
      <c r="E76" s="926"/>
      <c r="F76" s="924"/>
      <c r="G76" s="927" t="s">
        <v>1529</v>
      </c>
      <c r="H76" s="928" t="s">
        <v>1524</v>
      </c>
      <c r="I76" s="928">
        <v>120</v>
      </c>
      <c r="J76" s="928">
        <v>0</v>
      </c>
      <c r="K76" s="928">
        <v>24</v>
      </c>
      <c r="L76" s="929">
        <f t="shared" si="24"/>
        <v>5</v>
      </c>
      <c r="M76" s="930">
        <v>45969</v>
      </c>
      <c r="N76" s="930">
        <v>45965</v>
      </c>
      <c r="O76" s="926"/>
      <c r="P76" s="998"/>
      <c r="Q76" s="926"/>
      <c r="R76" s="932">
        <v>45947</v>
      </c>
      <c r="S76" s="932"/>
      <c r="T76" s="932"/>
      <c r="U76" s="932"/>
      <c r="V76" s="933" t="s">
        <v>1833</v>
      </c>
      <c r="W76" s="934" t="s">
        <v>100</v>
      </c>
      <c r="X76" s="935"/>
      <c r="Y76" s="936"/>
      <c r="Z76" s="936"/>
      <c r="AA76" s="999" t="s">
        <v>1834</v>
      </c>
      <c r="AB76" s="1000" t="s">
        <v>1529</v>
      </c>
      <c r="AC76" s="928" t="s">
        <v>93</v>
      </c>
      <c r="AD76" s="928"/>
      <c r="AE76" s="926"/>
      <c r="AF76" s="946">
        <v>120</v>
      </c>
      <c r="AG76" s="946">
        <f t="shared" si="25"/>
        <v>0</v>
      </c>
      <c r="AH76" s="947"/>
      <c r="AI76" s="926"/>
      <c r="AJ76" s="926"/>
      <c r="AK76" s="926">
        <f t="shared" si="18"/>
        <v>120</v>
      </c>
      <c r="AL76" s="858">
        <f t="shared" si="26"/>
        <v>120</v>
      </c>
      <c r="AN76" s="858"/>
      <c r="AO76" s="857">
        <f t="shared" si="27"/>
        <v>120</v>
      </c>
      <c r="BE76" s="925"/>
      <c r="BF76" s="925"/>
      <c r="BG76" s="925"/>
      <c r="BH76" s="925"/>
      <c r="BI76" s="925"/>
      <c r="BN76" s="939"/>
      <c r="BO76" s="939"/>
      <c r="BP76" s="939"/>
      <c r="BQ76" s="939"/>
      <c r="BR76" s="939"/>
      <c r="BS76" s="939"/>
      <c r="BV76" s="964">
        <f t="shared" si="21"/>
        <v>0</v>
      </c>
      <c r="BW76" s="964">
        <f t="shared" si="22"/>
        <v>0</v>
      </c>
      <c r="BX76" s="308">
        <f t="shared" si="23"/>
        <v>586738</v>
      </c>
      <c r="BY76" s="939"/>
      <c r="BZ76" s="939"/>
      <c r="CA76" s="939">
        <f t="shared" si="28"/>
        <v>273262</v>
      </c>
      <c r="CB76" s="939"/>
      <c r="CC76" s="939"/>
      <c r="CH76" s="940"/>
      <c r="CI76" s="940"/>
      <c r="CJ76" s="940"/>
      <c r="CK76" s="940"/>
      <c r="CL76" s="940"/>
      <c r="CM76" s="940"/>
      <c r="CN76" s="940"/>
      <c r="CO76" s="940"/>
      <c r="CP76" s="940"/>
      <c r="CQ76" s="940"/>
      <c r="CR76" s="940"/>
      <c r="CS76" s="940"/>
      <c r="CT76" s="940"/>
      <c r="CU76" s="940"/>
      <c r="CV76" s="940"/>
      <c r="CW76" s="940"/>
      <c r="CX76" s="940"/>
      <c r="CY76" s="940"/>
      <c r="CZ76" s="940"/>
      <c r="DA76" s="940"/>
      <c r="DB76" s="940"/>
      <c r="DC76" s="940"/>
    </row>
    <row r="77" s="857" customFormat="1" ht="32" customHeight="1" spans="1:107">
      <c r="A77" s="923">
        <v>45945</v>
      </c>
      <c r="B77" s="924"/>
      <c r="C77" s="928"/>
      <c r="D77" s="924" t="s">
        <v>1835</v>
      </c>
      <c r="E77" s="926"/>
      <c r="F77" s="924"/>
      <c r="G77" s="927" t="s">
        <v>1523</v>
      </c>
      <c r="H77" s="928"/>
      <c r="I77" s="928">
        <v>5</v>
      </c>
      <c r="J77" s="928"/>
      <c r="K77" s="928"/>
      <c r="L77" s="929"/>
      <c r="M77" s="930">
        <v>45970</v>
      </c>
      <c r="N77" s="930">
        <v>45966</v>
      </c>
      <c r="O77" s="926"/>
      <c r="P77" s="998"/>
      <c r="Q77" s="926"/>
      <c r="R77" s="932"/>
      <c r="S77" s="932"/>
      <c r="T77" s="932"/>
      <c r="U77" s="932"/>
      <c r="V77" s="933" t="s">
        <v>1836</v>
      </c>
      <c r="W77" s="934" t="s">
        <v>100</v>
      </c>
      <c r="X77" s="935"/>
      <c r="Y77" s="936"/>
      <c r="Z77" s="936"/>
      <c r="AA77" s="926" t="s">
        <v>1837</v>
      </c>
      <c r="AB77" s="927" t="s">
        <v>542</v>
      </c>
      <c r="AC77" s="927" t="s">
        <v>542</v>
      </c>
      <c r="AD77" s="928"/>
      <c r="AE77" s="926"/>
      <c r="AF77" s="946">
        <v>5</v>
      </c>
      <c r="AG77" s="946">
        <v>0</v>
      </c>
      <c r="AH77" s="947"/>
      <c r="AI77" s="926"/>
      <c r="AJ77" s="926"/>
      <c r="AK77" s="926">
        <f t="shared" si="18"/>
        <v>5</v>
      </c>
      <c r="AL77" s="858"/>
      <c r="AN77" s="858"/>
      <c r="AO77" s="858"/>
      <c r="AT77" s="857">
        <v>5</v>
      </c>
      <c r="BE77" s="925"/>
      <c r="BF77" s="925"/>
      <c r="BG77" s="925"/>
      <c r="BH77" s="925"/>
      <c r="BI77" s="925"/>
      <c r="BN77" s="939"/>
      <c r="BO77" s="939"/>
      <c r="BP77" s="939"/>
      <c r="BQ77" s="939"/>
      <c r="BR77" s="939"/>
      <c r="BS77" s="939"/>
      <c r="BV77" s="964">
        <f t="shared" si="21"/>
        <v>5</v>
      </c>
      <c r="BW77" s="964">
        <f t="shared" si="22"/>
        <v>0</v>
      </c>
      <c r="BX77" s="308">
        <f t="shared" si="23"/>
        <v>586743</v>
      </c>
      <c r="BY77" s="939"/>
      <c r="BZ77" s="939"/>
      <c r="CA77" s="939">
        <f t="shared" si="28"/>
        <v>273257</v>
      </c>
      <c r="CB77" s="939"/>
      <c r="CC77" s="939"/>
      <c r="CH77" s="940"/>
      <c r="CI77" s="940"/>
      <c r="CJ77" s="940"/>
      <c r="CK77" s="940"/>
      <c r="CL77" s="940"/>
      <c r="CM77" s="940"/>
      <c r="CN77" s="940"/>
      <c r="CO77" s="940"/>
      <c r="CP77" s="940"/>
      <c r="CQ77" s="940"/>
      <c r="CR77" s="940"/>
      <c r="CS77" s="940"/>
      <c r="CT77" s="940"/>
      <c r="CU77" s="940"/>
      <c r="CV77" s="940"/>
      <c r="CW77" s="940"/>
      <c r="CX77" s="940"/>
      <c r="CY77" s="940"/>
      <c r="CZ77" s="940"/>
      <c r="DA77" s="940"/>
      <c r="DB77" s="940"/>
      <c r="DC77" s="940"/>
    </row>
    <row r="78" s="974" customFormat="1" ht="31" customHeight="1" spans="1:107">
      <c r="A78" s="1001">
        <v>45922</v>
      </c>
      <c r="B78" s="1002" t="s">
        <v>1548</v>
      </c>
      <c r="C78" s="1003" t="s">
        <v>125</v>
      </c>
      <c r="D78" s="1002">
        <v>4500180023</v>
      </c>
      <c r="E78" s="1004" t="s">
        <v>1838</v>
      </c>
      <c r="F78" s="1002" t="s">
        <v>1839</v>
      </c>
      <c r="G78" s="1005" t="s">
        <v>1570</v>
      </c>
      <c r="H78" s="1003" t="s">
        <v>1571</v>
      </c>
      <c r="I78" s="1003">
        <v>13900</v>
      </c>
      <c r="J78" s="1003">
        <v>0</v>
      </c>
      <c r="K78" s="1003">
        <v>25</v>
      </c>
      <c r="L78" s="1006">
        <f t="shared" ref="L78:L141" si="29">I78/K78</f>
        <v>556</v>
      </c>
      <c r="M78" s="1007">
        <v>45971</v>
      </c>
      <c r="N78" s="1007">
        <v>45970</v>
      </c>
      <c r="O78" s="1007" t="s">
        <v>1814</v>
      </c>
      <c r="P78" s="1008" t="s">
        <v>86</v>
      </c>
      <c r="Q78" s="1004" t="s">
        <v>1840</v>
      </c>
      <c r="R78" s="1009">
        <v>45929</v>
      </c>
      <c r="S78" s="1009" t="s">
        <v>88</v>
      </c>
      <c r="T78" s="1009" t="s">
        <v>1678</v>
      </c>
      <c r="U78" s="1009"/>
      <c r="V78" s="1010" t="s">
        <v>1737</v>
      </c>
      <c r="W78" s="1011" t="s">
        <v>1554</v>
      </c>
      <c r="X78" s="1012">
        <v>1.5848</v>
      </c>
      <c r="Y78" s="1013">
        <f>I78*X78</f>
        <v>22028.72</v>
      </c>
      <c r="Z78" s="1013"/>
      <c r="AA78" s="1004" t="s">
        <v>1841</v>
      </c>
      <c r="AB78" s="1005" t="s">
        <v>1570</v>
      </c>
      <c r="AC78" s="1005" t="s">
        <v>542</v>
      </c>
      <c r="AD78" s="1003" t="s">
        <v>94</v>
      </c>
      <c r="AE78" s="1004"/>
      <c r="AF78" s="1014">
        <v>13900</v>
      </c>
      <c r="AG78" s="1014">
        <f t="shared" ref="AG78:AG141" si="30">AF78-I78</f>
        <v>0</v>
      </c>
      <c r="AH78" s="1015"/>
      <c r="AI78" s="1004"/>
      <c r="AJ78" s="1004"/>
      <c r="AK78" s="926">
        <f t="shared" si="18"/>
        <v>13900</v>
      </c>
      <c r="AL78" s="1016">
        <f t="shared" si="26"/>
        <v>13900</v>
      </c>
      <c r="AN78" s="1016"/>
      <c r="AO78" s="974">
        <f t="shared" si="27"/>
        <v>13900</v>
      </c>
      <c r="AT78" s="974">
        <f>I78/25</f>
        <v>556</v>
      </c>
      <c r="BE78" s="1017"/>
      <c r="BF78" s="1017"/>
      <c r="BG78" s="1017"/>
      <c r="BH78" s="1017"/>
      <c r="BI78" s="1017"/>
      <c r="BN78" s="1018"/>
      <c r="BO78" s="1018"/>
      <c r="BP78" s="1018"/>
      <c r="BQ78" s="1018"/>
      <c r="BR78" s="1018"/>
      <c r="BS78" s="1018"/>
      <c r="BV78" s="964">
        <f t="shared" si="21"/>
        <v>556</v>
      </c>
      <c r="BW78" s="964">
        <f t="shared" si="22"/>
        <v>0</v>
      </c>
      <c r="BX78" s="308">
        <f t="shared" si="23"/>
        <v>600643</v>
      </c>
      <c r="BY78" s="1018"/>
      <c r="BZ78" s="1018"/>
      <c r="CA78" s="1018">
        <f t="shared" si="28"/>
        <v>259357</v>
      </c>
      <c r="CB78" s="1018"/>
      <c r="CC78" s="1018"/>
      <c r="CH78" s="1019"/>
      <c r="CI78" s="1019"/>
      <c r="CJ78" s="1019"/>
      <c r="CK78" s="1019"/>
      <c r="CL78" s="1019"/>
      <c r="CM78" s="1019"/>
      <c r="CN78" s="1019"/>
      <c r="CO78" s="1019"/>
      <c r="CP78" s="1019"/>
      <c r="CQ78" s="1019"/>
      <c r="CR78" s="1019"/>
      <c r="CS78" s="1019"/>
      <c r="CT78" s="1019"/>
      <c r="CU78" s="1019"/>
      <c r="CV78" s="1019"/>
      <c r="CW78" s="1019"/>
      <c r="CX78" s="1019"/>
      <c r="CY78" s="1019"/>
      <c r="CZ78" s="1019"/>
      <c r="DA78" s="1019"/>
      <c r="DB78" s="1019"/>
      <c r="DC78" s="1019"/>
    </row>
    <row r="79" s="974" customFormat="1" ht="31" customHeight="1" spans="1:107">
      <c r="A79" s="1001">
        <v>45875</v>
      </c>
      <c r="B79" s="1002" t="s">
        <v>1842</v>
      </c>
      <c r="C79" s="1017" t="s">
        <v>1843</v>
      </c>
      <c r="D79" s="1002">
        <v>4500175911</v>
      </c>
      <c r="E79" s="1004"/>
      <c r="F79" s="1010" t="s">
        <v>1844</v>
      </c>
      <c r="G79" s="1005" t="s">
        <v>1537</v>
      </c>
      <c r="H79" s="1003" t="s">
        <v>1538</v>
      </c>
      <c r="I79" s="1003">
        <v>611</v>
      </c>
      <c r="J79" s="1003">
        <v>0</v>
      </c>
      <c r="K79" s="1003">
        <v>13</v>
      </c>
      <c r="L79" s="1006">
        <f t="shared" si="29"/>
        <v>47</v>
      </c>
      <c r="M79" s="1007">
        <v>45973</v>
      </c>
      <c r="N79" s="1007">
        <v>45974</v>
      </c>
      <c r="O79" s="1004"/>
      <c r="P79" s="1008" t="s">
        <v>86</v>
      </c>
      <c r="Q79" s="1004"/>
      <c r="R79" s="1009">
        <v>45920</v>
      </c>
      <c r="S79" s="1009" t="s">
        <v>98</v>
      </c>
      <c r="T79" s="1009" t="s">
        <v>1845</v>
      </c>
      <c r="U79" s="1009"/>
      <c r="V79" s="1010" t="s">
        <v>1846</v>
      </c>
      <c r="W79" s="1011" t="s">
        <v>1847</v>
      </c>
      <c r="X79" s="1012">
        <v>2.39</v>
      </c>
      <c r="Y79" s="1013">
        <f>I79*X79</f>
        <v>1460.29</v>
      </c>
      <c r="Z79" s="1013"/>
      <c r="AA79" s="1004" t="s">
        <v>1848</v>
      </c>
      <c r="AB79" s="1005" t="s">
        <v>1849</v>
      </c>
      <c r="AC79" s="1005" t="s">
        <v>542</v>
      </c>
      <c r="AD79" s="1003" t="s">
        <v>94</v>
      </c>
      <c r="AE79" s="1004"/>
      <c r="AF79" s="1014">
        <v>611</v>
      </c>
      <c r="AG79" s="1014">
        <f t="shared" si="30"/>
        <v>0</v>
      </c>
      <c r="AH79" s="1015"/>
      <c r="AI79" s="1004" t="s">
        <v>95</v>
      </c>
      <c r="AJ79" s="1004"/>
      <c r="AK79" s="926">
        <f t="shared" si="18"/>
        <v>611</v>
      </c>
      <c r="AL79" s="1016"/>
      <c r="AN79" s="1016">
        <f>I79</f>
        <v>611</v>
      </c>
      <c r="AO79" s="974">
        <f t="shared" si="27"/>
        <v>611</v>
      </c>
      <c r="AS79" s="974">
        <f>I79/13</f>
        <v>47</v>
      </c>
      <c r="BE79" s="1017"/>
      <c r="BF79" s="1017"/>
      <c r="BG79" s="1017"/>
      <c r="BH79" s="1017"/>
      <c r="BI79" s="1017"/>
      <c r="BN79" s="1018"/>
      <c r="BO79" s="1018"/>
      <c r="BP79" s="1018"/>
      <c r="BQ79" s="1018"/>
      <c r="BR79" s="1018"/>
      <c r="BS79" s="1018"/>
      <c r="BV79" s="964">
        <f t="shared" si="21"/>
        <v>0</v>
      </c>
      <c r="BW79" s="964">
        <f t="shared" si="22"/>
        <v>0</v>
      </c>
      <c r="BX79" s="308">
        <f t="shared" si="23"/>
        <v>601254</v>
      </c>
      <c r="BY79" s="1018"/>
      <c r="BZ79" s="1018"/>
      <c r="CA79" s="1018">
        <f t="shared" si="28"/>
        <v>258746</v>
      </c>
      <c r="CB79" s="1018"/>
      <c r="CC79" s="1018"/>
      <c r="CH79" s="1019"/>
      <c r="CI79" s="1019"/>
      <c r="CJ79" s="1019"/>
      <c r="CK79" s="1019"/>
      <c r="CL79" s="1019"/>
      <c r="CM79" s="1019"/>
      <c r="CN79" s="1019"/>
      <c r="CO79" s="1019"/>
      <c r="CP79" s="1019"/>
      <c r="CQ79" s="1019"/>
      <c r="CR79" s="1019"/>
      <c r="CS79" s="1019"/>
      <c r="CT79" s="1019"/>
      <c r="CU79" s="1019"/>
      <c r="CV79" s="1019"/>
      <c r="CW79" s="1019"/>
      <c r="CX79" s="1019"/>
      <c r="CY79" s="1019"/>
      <c r="CZ79" s="1019"/>
      <c r="DA79" s="1019"/>
      <c r="DB79" s="1019"/>
      <c r="DC79" s="1019"/>
    </row>
    <row r="80" s="974" customFormat="1" ht="31" customHeight="1" spans="1:107">
      <c r="A80" s="1001">
        <v>45928</v>
      </c>
      <c r="B80" s="1002" t="s">
        <v>1850</v>
      </c>
      <c r="C80" s="1017" t="s">
        <v>110</v>
      </c>
      <c r="D80" s="1002">
        <v>4500180582</v>
      </c>
      <c r="E80" s="1004" t="s">
        <v>1851</v>
      </c>
      <c r="F80" s="1010" t="s">
        <v>1852</v>
      </c>
      <c r="G80" s="1005" t="s">
        <v>1570</v>
      </c>
      <c r="H80" s="1003" t="s">
        <v>1853</v>
      </c>
      <c r="I80" s="1003">
        <v>1925</v>
      </c>
      <c r="J80" s="1003">
        <v>0</v>
      </c>
      <c r="K80" s="1003">
        <v>25</v>
      </c>
      <c r="L80" s="1006">
        <f t="shared" si="29"/>
        <v>77</v>
      </c>
      <c r="M80" s="1007">
        <v>45975</v>
      </c>
      <c r="N80" s="1007">
        <v>45974</v>
      </c>
      <c r="O80" s="1004"/>
      <c r="P80" s="1008" t="s">
        <v>86</v>
      </c>
      <c r="Q80" s="1004"/>
      <c r="R80" s="1009">
        <v>45943</v>
      </c>
      <c r="S80" s="1009" t="s">
        <v>98</v>
      </c>
      <c r="T80" s="1009" t="s">
        <v>1854</v>
      </c>
      <c r="U80" s="1009"/>
      <c r="V80" s="1010" t="s">
        <v>1855</v>
      </c>
      <c r="W80" s="1011" t="s">
        <v>1856</v>
      </c>
      <c r="X80" s="1012">
        <v>2.66</v>
      </c>
      <c r="Y80" s="1013">
        <f>I80*X80</f>
        <v>5120.5</v>
      </c>
      <c r="Z80" s="1013"/>
      <c r="AA80" s="1004" t="s">
        <v>1857</v>
      </c>
      <c r="AB80" s="1005" t="s">
        <v>1858</v>
      </c>
      <c r="AC80" s="927" t="s">
        <v>542</v>
      </c>
      <c r="AD80" s="1003" t="s">
        <v>94</v>
      </c>
      <c r="AE80" s="1004"/>
      <c r="AF80" s="1014">
        <v>1925</v>
      </c>
      <c r="AG80" s="1014">
        <f t="shared" si="30"/>
        <v>0</v>
      </c>
      <c r="AH80" s="1015"/>
      <c r="AI80" s="1004" t="s">
        <v>95</v>
      </c>
      <c r="AJ80" s="1004"/>
      <c r="AK80" s="926">
        <f t="shared" si="18"/>
        <v>1925</v>
      </c>
      <c r="AL80" s="1016"/>
      <c r="AN80" s="1003">
        <f>I80</f>
        <v>1925</v>
      </c>
      <c r="AO80" s="974">
        <f t="shared" si="27"/>
        <v>1925</v>
      </c>
      <c r="AU80" s="974">
        <f>L80</f>
        <v>77</v>
      </c>
      <c r="BE80" s="1017"/>
      <c r="BF80" s="1017"/>
      <c r="BG80" s="1017"/>
      <c r="BH80" s="1017"/>
      <c r="BI80" s="1017"/>
      <c r="BN80" s="1018"/>
      <c r="BO80" s="1018"/>
      <c r="BP80" s="1018"/>
      <c r="BQ80" s="1018"/>
      <c r="BR80" s="1018"/>
      <c r="BS80" s="1018"/>
      <c r="BV80" s="964">
        <f t="shared" si="21"/>
        <v>77</v>
      </c>
      <c r="BW80" s="964">
        <f t="shared" si="22"/>
        <v>0</v>
      </c>
      <c r="BX80" s="308">
        <f t="shared" si="23"/>
        <v>603179</v>
      </c>
      <c r="BY80" s="1018"/>
      <c r="BZ80" s="1018"/>
      <c r="CA80" s="1018">
        <f t="shared" si="28"/>
        <v>256821</v>
      </c>
      <c r="CB80" s="1018"/>
      <c r="CC80" s="1018"/>
      <c r="CH80" s="1019"/>
      <c r="CI80" s="1019"/>
      <c r="CJ80" s="1019"/>
      <c r="CK80" s="1019"/>
      <c r="CL80" s="1019"/>
      <c r="CM80" s="1019"/>
      <c r="CN80" s="1019"/>
      <c r="CO80" s="1019"/>
      <c r="CP80" s="1019"/>
      <c r="CQ80" s="1019"/>
      <c r="CR80" s="1019"/>
      <c r="CS80" s="1019"/>
      <c r="CT80" s="1019"/>
      <c r="CU80" s="1019"/>
      <c r="CV80" s="1019"/>
      <c r="CW80" s="1019"/>
      <c r="CX80" s="1019"/>
      <c r="CY80" s="1019"/>
      <c r="CZ80" s="1019"/>
      <c r="DA80" s="1019"/>
      <c r="DB80" s="1019"/>
      <c r="DC80" s="1019"/>
    </row>
    <row r="81" s="974" customFormat="1" ht="31" customHeight="1" spans="1:107">
      <c r="A81" s="1001">
        <v>45925</v>
      </c>
      <c r="B81" s="1002" t="s">
        <v>1859</v>
      </c>
      <c r="C81" s="1003" t="s">
        <v>103</v>
      </c>
      <c r="D81" s="1002">
        <v>4500180232</v>
      </c>
      <c r="E81" s="1004" t="s">
        <v>1860</v>
      </c>
      <c r="F81" s="1002" t="s">
        <v>1861</v>
      </c>
      <c r="G81" s="1005" t="s">
        <v>1862</v>
      </c>
      <c r="H81" s="1003" t="s">
        <v>1863</v>
      </c>
      <c r="I81" s="1003">
        <v>750</v>
      </c>
      <c r="J81" s="1003">
        <v>25</v>
      </c>
      <c r="K81" s="1003">
        <v>50</v>
      </c>
      <c r="L81" s="1006">
        <f t="shared" si="29"/>
        <v>15</v>
      </c>
      <c r="M81" s="1007">
        <v>45977</v>
      </c>
      <c r="N81" s="1007">
        <v>45973</v>
      </c>
      <c r="O81" s="1007" t="s">
        <v>1804</v>
      </c>
      <c r="P81" s="1008" t="s">
        <v>86</v>
      </c>
      <c r="Q81" s="1020">
        <v>45954</v>
      </c>
      <c r="R81" s="1009">
        <v>45925</v>
      </c>
      <c r="S81" s="1009" t="s">
        <v>98</v>
      </c>
      <c r="T81" s="1009" t="s">
        <v>98</v>
      </c>
      <c r="U81" s="1009"/>
      <c r="V81" s="1010" t="s">
        <v>1864</v>
      </c>
      <c r="W81" s="1011" t="s">
        <v>1865</v>
      </c>
      <c r="X81" s="1012">
        <v>2.66</v>
      </c>
      <c r="Y81" s="1013">
        <f>I81*X81</f>
        <v>1995</v>
      </c>
      <c r="Z81" s="1013"/>
      <c r="AA81" s="1021" t="s">
        <v>1866</v>
      </c>
      <c r="AB81" s="1005" t="s">
        <v>1862</v>
      </c>
      <c r="AC81" s="927" t="s">
        <v>542</v>
      </c>
      <c r="AD81" s="1003" t="s">
        <v>94</v>
      </c>
      <c r="AE81" s="1004"/>
      <c r="AF81" s="1014">
        <v>750</v>
      </c>
      <c r="AG81" s="1014">
        <f t="shared" si="30"/>
        <v>0</v>
      </c>
      <c r="AH81" s="1015"/>
      <c r="AI81" s="1004" t="s">
        <v>98</v>
      </c>
      <c r="AJ81" s="1004"/>
      <c r="AK81" s="926">
        <f t="shared" si="18"/>
        <v>750</v>
      </c>
      <c r="AL81" s="1016">
        <f>I81</f>
        <v>750</v>
      </c>
      <c r="AN81" s="1016"/>
      <c r="AO81" s="974">
        <f t="shared" si="27"/>
        <v>750</v>
      </c>
      <c r="AR81" s="1019"/>
      <c r="AT81" s="974">
        <f>I81/J81</f>
        <v>30</v>
      </c>
      <c r="BE81" s="1017"/>
      <c r="BF81" s="1017"/>
      <c r="BG81" s="1017"/>
      <c r="BH81" s="1017"/>
      <c r="BI81" s="1017"/>
      <c r="BN81" s="1018"/>
      <c r="BO81" s="1018"/>
      <c r="BP81" s="1018"/>
      <c r="BQ81" s="1018"/>
      <c r="BR81" s="1018"/>
      <c r="BS81" s="1018"/>
      <c r="BV81" s="964">
        <f t="shared" si="21"/>
        <v>30</v>
      </c>
      <c r="BW81" s="964">
        <f t="shared" si="22"/>
        <v>0</v>
      </c>
      <c r="BX81" s="308">
        <f t="shared" si="23"/>
        <v>603929</v>
      </c>
      <c r="BY81" s="1018"/>
      <c r="BZ81" s="1018"/>
      <c r="CA81" s="1018">
        <f t="shared" si="28"/>
        <v>256071</v>
      </c>
      <c r="CB81" s="1018"/>
      <c r="CC81" s="1018"/>
      <c r="CH81" s="1019"/>
      <c r="CI81" s="1019"/>
      <c r="CJ81" s="1019"/>
      <c r="CK81" s="1019"/>
      <c r="CL81" s="1019"/>
      <c r="CM81" s="1019"/>
      <c r="CN81" s="1019"/>
      <c r="CO81" s="1019"/>
      <c r="CP81" s="1019"/>
      <c r="CQ81" s="1019"/>
      <c r="CR81" s="1019"/>
      <c r="CS81" s="1019"/>
      <c r="CT81" s="1019"/>
      <c r="CU81" s="1019"/>
      <c r="CV81" s="1019"/>
      <c r="CW81" s="1019"/>
      <c r="CX81" s="1019"/>
      <c r="CY81" s="1019"/>
      <c r="CZ81" s="1019"/>
      <c r="DA81" s="1019"/>
      <c r="DB81" s="1019"/>
      <c r="DC81" s="1019"/>
    </row>
    <row r="82" s="974" customFormat="1" ht="31" customHeight="1" spans="1:107">
      <c r="A82" s="1001">
        <v>45944</v>
      </c>
      <c r="B82" s="1002" t="s">
        <v>1867</v>
      </c>
      <c r="C82" s="1017" t="s">
        <v>377</v>
      </c>
      <c r="D82" s="1002">
        <v>4500181756</v>
      </c>
      <c r="E82" s="1004" t="s">
        <v>1868</v>
      </c>
      <c r="F82" s="1002" t="s">
        <v>1869</v>
      </c>
      <c r="G82" s="1005" t="s">
        <v>1532</v>
      </c>
      <c r="H82" s="1003" t="s">
        <v>1524</v>
      </c>
      <c r="I82" s="1003">
        <v>1664</v>
      </c>
      <c r="J82" s="1003">
        <v>0</v>
      </c>
      <c r="K82" s="1003">
        <v>52</v>
      </c>
      <c r="L82" s="1006">
        <f t="shared" si="29"/>
        <v>32</v>
      </c>
      <c r="M82" s="1007">
        <v>45979</v>
      </c>
      <c r="N82" s="1007">
        <v>45975</v>
      </c>
      <c r="O82" s="1004"/>
      <c r="P82" s="1008" t="s">
        <v>86</v>
      </c>
      <c r="Q82" s="1004"/>
      <c r="R82" s="1009">
        <v>45944</v>
      </c>
      <c r="S82" s="1009" t="s">
        <v>98</v>
      </c>
      <c r="T82" s="1009" t="s">
        <v>1870</v>
      </c>
      <c r="U82" s="1009"/>
      <c r="V82" s="1010" t="s">
        <v>1871</v>
      </c>
      <c r="W82" s="1011" t="s">
        <v>381</v>
      </c>
      <c r="X82" s="1012">
        <v>2.15</v>
      </c>
      <c r="Y82" s="1013">
        <f>X82*I82</f>
        <v>3577.6</v>
      </c>
      <c r="Z82" s="1013"/>
      <c r="AA82" s="1004" t="s">
        <v>1872</v>
      </c>
      <c r="AB82" s="1005" t="s">
        <v>1532</v>
      </c>
      <c r="AC82" s="927" t="s">
        <v>542</v>
      </c>
      <c r="AD82" s="1003" t="s">
        <v>94</v>
      </c>
      <c r="AE82" s="1004"/>
      <c r="AF82" s="1014">
        <v>1664</v>
      </c>
      <c r="AG82" s="1014">
        <f t="shared" si="30"/>
        <v>0</v>
      </c>
      <c r="AH82" s="1015"/>
      <c r="AI82" s="1002" t="s">
        <v>95</v>
      </c>
      <c r="AJ82" s="1004"/>
      <c r="AK82" s="926">
        <f t="shared" si="18"/>
        <v>1664</v>
      </c>
      <c r="AL82" s="1016">
        <f>I82</f>
        <v>1664</v>
      </c>
      <c r="AN82" s="1003"/>
      <c r="AO82" s="974">
        <f t="shared" si="27"/>
        <v>1664</v>
      </c>
      <c r="AR82" s="974">
        <f>I82/13</f>
        <v>128</v>
      </c>
      <c r="BE82" s="1017"/>
      <c r="BF82" s="1017"/>
      <c r="BG82" s="1017"/>
      <c r="BH82" s="1017"/>
      <c r="BI82" s="1017"/>
      <c r="BN82" s="1018"/>
      <c r="BO82" s="1018"/>
      <c r="BP82" s="1018"/>
      <c r="BQ82" s="1018"/>
      <c r="BR82" s="1018"/>
      <c r="BS82" s="1018"/>
      <c r="BV82" s="964">
        <f t="shared" si="21"/>
        <v>0</v>
      </c>
      <c r="BW82" s="964">
        <f t="shared" si="22"/>
        <v>0</v>
      </c>
      <c r="BX82" s="308">
        <f t="shared" si="23"/>
        <v>605593</v>
      </c>
      <c r="BY82" s="1018"/>
      <c r="BZ82" s="1018"/>
      <c r="CA82" s="1018">
        <f t="shared" si="28"/>
        <v>254407</v>
      </c>
      <c r="CB82" s="1018"/>
      <c r="CC82" s="1018"/>
      <c r="CH82" s="1019"/>
      <c r="CI82" s="1019"/>
      <c r="CJ82" s="1019"/>
      <c r="CK82" s="1019"/>
      <c r="CL82" s="1019"/>
      <c r="CM82" s="1019"/>
      <c r="CN82" s="1019"/>
      <c r="CO82" s="1019"/>
      <c r="CP82" s="1019"/>
      <c r="CQ82" s="1019"/>
      <c r="CR82" s="1019"/>
      <c r="CS82" s="1019"/>
      <c r="CT82" s="1019"/>
      <c r="CU82" s="1019"/>
      <c r="CV82" s="1019"/>
      <c r="CW82" s="1019"/>
      <c r="CX82" s="1019"/>
      <c r="CY82" s="1019"/>
      <c r="CZ82" s="1019"/>
      <c r="DA82" s="1019"/>
      <c r="DB82" s="1019"/>
      <c r="DC82" s="1019"/>
    </row>
    <row r="83" s="974" customFormat="1" ht="31" customHeight="1" spans="1:107">
      <c r="A83" s="1001">
        <v>45944</v>
      </c>
      <c r="B83" s="1002" t="s">
        <v>1867</v>
      </c>
      <c r="C83" s="1017" t="s">
        <v>377</v>
      </c>
      <c r="D83" s="1002">
        <v>4500181756</v>
      </c>
      <c r="E83" s="1004" t="s">
        <v>1873</v>
      </c>
      <c r="F83" s="1002" t="s">
        <v>1874</v>
      </c>
      <c r="G83" s="1005" t="s">
        <v>1532</v>
      </c>
      <c r="H83" s="1003" t="s">
        <v>1524</v>
      </c>
      <c r="I83" s="1003">
        <v>1456</v>
      </c>
      <c r="J83" s="1003">
        <v>0</v>
      </c>
      <c r="K83" s="1003">
        <v>52</v>
      </c>
      <c r="L83" s="1006">
        <f t="shared" si="29"/>
        <v>28</v>
      </c>
      <c r="M83" s="1007">
        <v>45979</v>
      </c>
      <c r="N83" s="1007">
        <v>45975</v>
      </c>
      <c r="O83" s="1004"/>
      <c r="P83" s="1008" t="s">
        <v>86</v>
      </c>
      <c r="Q83" s="1004"/>
      <c r="R83" s="1009">
        <v>45944</v>
      </c>
      <c r="S83" s="1009" t="s">
        <v>98</v>
      </c>
      <c r="T83" s="1009" t="s">
        <v>1870</v>
      </c>
      <c r="U83" s="1009"/>
      <c r="V83" s="1010" t="s">
        <v>1871</v>
      </c>
      <c r="W83" s="1011" t="s">
        <v>381</v>
      </c>
      <c r="X83" s="1012">
        <v>2.15</v>
      </c>
      <c r="Y83" s="1013">
        <f>X83*I83</f>
        <v>3130.4</v>
      </c>
      <c r="Z83" s="1013"/>
      <c r="AA83" s="1004" t="s">
        <v>1872</v>
      </c>
      <c r="AB83" s="1005" t="s">
        <v>1532</v>
      </c>
      <c r="AC83" s="1003" t="s">
        <v>93</v>
      </c>
      <c r="AD83" s="1003" t="s">
        <v>94</v>
      </c>
      <c r="AE83" s="1004"/>
      <c r="AF83" s="1014">
        <v>1456</v>
      </c>
      <c r="AG83" s="1014">
        <f t="shared" si="30"/>
        <v>0</v>
      </c>
      <c r="AH83" s="1015"/>
      <c r="AI83" s="1022"/>
      <c r="AJ83" s="1004"/>
      <c r="AK83" s="926">
        <f t="shared" si="18"/>
        <v>1456</v>
      </c>
      <c r="AL83" s="1016">
        <f>I83</f>
        <v>1456</v>
      </c>
      <c r="AN83" s="1003"/>
      <c r="AO83" s="974">
        <f t="shared" si="27"/>
        <v>1456</v>
      </c>
      <c r="AR83" s="974">
        <f>I83/13</f>
        <v>112</v>
      </c>
      <c r="BE83" s="1017"/>
      <c r="BF83" s="1017"/>
      <c r="BG83" s="1017"/>
      <c r="BH83" s="1017"/>
      <c r="BI83" s="1017"/>
      <c r="BN83" s="1018"/>
      <c r="BO83" s="1018"/>
      <c r="BP83" s="1018"/>
      <c r="BQ83" s="1018"/>
      <c r="BR83" s="1018"/>
      <c r="BS83" s="1018"/>
      <c r="BV83" s="964">
        <f t="shared" si="21"/>
        <v>0</v>
      </c>
      <c r="BW83" s="964">
        <f t="shared" si="22"/>
        <v>0</v>
      </c>
      <c r="BX83" s="308">
        <f t="shared" si="23"/>
        <v>607049</v>
      </c>
      <c r="BY83" s="1018"/>
      <c r="BZ83" s="1018"/>
      <c r="CA83" s="1018">
        <f t="shared" si="28"/>
        <v>252951</v>
      </c>
      <c r="CB83" s="1018"/>
      <c r="CC83" s="1018"/>
      <c r="CH83" s="1019"/>
      <c r="CI83" s="1019"/>
      <c r="CJ83" s="1019"/>
      <c r="CK83" s="1019"/>
      <c r="CL83" s="1019"/>
      <c r="CM83" s="1019"/>
      <c r="CN83" s="1019"/>
      <c r="CO83" s="1019"/>
      <c r="CP83" s="1019"/>
      <c r="CQ83" s="1019"/>
      <c r="CR83" s="1019"/>
      <c r="CS83" s="1019"/>
      <c r="CT83" s="1019"/>
      <c r="CU83" s="1019"/>
      <c r="CV83" s="1019"/>
      <c r="CW83" s="1019"/>
      <c r="CX83" s="1019"/>
      <c r="CY83" s="1019"/>
      <c r="CZ83" s="1019"/>
      <c r="DA83" s="1019"/>
      <c r="DB83" s="1019"/>
      <c r="DC83" s="1019"/>
    </row>
    <row r="84" s="974" customFormat="1" ht="31" customHeight="1" spans="1:107">
      <c r="A84" s="1001">
        <v>45944</v>
      </c>
      <c r="B84" s="1002" t="s">
        <v>1867</v>
      </c>
      <c r="C84" s="1017" t="s">
        <v>377</v>
      </c>
      <c r="D84" s="1002">
        <v>4500181756</v>
      </c>
      <c r="E84" s="1004" t="s">
        <v>1875</v>
      </c>
      <c r="F84" s="1002" t="s">
        <v>1876</v>
      </c>
      <c r="G84" s="1005" t="s">
        <v>1532</v>
      </c>
      <c r="H84" s="1003" t="s">
        <v>1524</v>
      </c>
      <c r="I84" s="1003">
        <v>1196</v>
      </c>
      <c r="J84" s="1003">
        <v>0</v>
      </c>
      <c r="K84" s="1003">
        <v>52</v>
      </c>
      <c r="L84" s="1006">
        <f t="shared" si="29"/>
        <v>23</v>
      </c>
      <c r="M84" s="1007">
        <v>45979</v>
      </c>
      <c r="N84" s="1007">
        <v>45975</v>
      </c>
      <c r="O84" s="1004"/>
      <c r="P84" s="1008" t="s">
        <v>86</v>
      </c>
      <c r="Q84" s="1004"/>
      <c r="R84" s="1009">
        <v>45944</v>
      </c>
      <c r="S84" s="1009" t="s">
        <v>98</v>
      </c>
      <c r="T84" s="1009" t="s">
        <v>1870</v>
      </c>
      <c r="U84" s="1009"/>
      <c r="V84" s="1010" t="s">
        <v>1871</v>
      </c>
      <c r="W84" s="1011" t="s">
        <v>381</v>
      </c>
      <c r="X84" s="1012">
        <v>2.15</v>
      </c>
      <c r="Y84" s="1013">
        <f>X84*I84</f>
        <v>2571.4</v>
      </c>
      <c r="Z84" s="1013"/>
      <c r="AA84" s="1004" t="s">
        <v>1877</v>
      </c>
      <c r="AB84" s="1005" t="s">
        <v>1532</v>
      </c>
      <c r="AC84" s="1003" t="s">
        <v>93</v>
      </c>
      <c r="AD84" s="1003" t="s">
        <v>94</v>
      </c>
      <c r="AE84" s="1004"/>
      <c r="AF84" s="1014">
        <v>1196</v>
      </c>
      <c r="AG84" s="1014">
        <f t="shared" si="30"/>
        <v>0</v>
      </c>
      <c r="AH84" s="1015"/>
      <c r="AI84" s="1022"/>
      <c r="AJ84" s="1004"/>
      <c r="AK84" s="926">
        <f t="shared" si="18"/>
        <v>1196</v>
      </c>
      <c r="AL84" s="1016">
        <f>I84</f>
        <v>1196</v>
      </c>
      <c r="AN84" s="1003"/>
      <c r="AO84" s="974">
        <f t="shared" si="27"/>
        <v>1196</v>
      </c>
      <c r="AR84" s="974">
        <f>I84/13</f>
        <v>92</v>
      </c>
      <c r="BE84" s="1017"/>
      <c r="BF84" s="1017"/>
      <c r="BG84" s="1017"/>
      <c r="BH84" s="1017"/>
      <c r="BI84" s="1017"/>
      <c r="BN84" s="1018"/>
      <c r="BO84" s="1018"/>
      <c r="BP84" s="1018"/>
      <c r="BQ84" s="1018"/>
      <c r="BR84" s="1018"/>
      <c r="BS84" s="1018"/>
      <c r="BV84" s="964">
        <f t="shared" si="21"/>
        <v>0</v>
      </c>
      <c r="BW84" s="964">
        <f t="shared" si="22"/>
        <v>0</v>
      </c>
      <c r="BX84" s="308">
        <f t="shared" si="23"/>
        <v>608245</v>
      </c>
      <c r="BY84" s="1018"/>
      <c r="BZ84" s="1018"/>
      <c r="CA84" s="1018">
        <f t="shared" si="28"/>
        <v>251755</v>
      </c>
      <c r="CB84" s="1018"/>
      <c r="CC84" s="1018"/>
      <c r="CH84" s="1019"/>
      <c r="CI84" s="1019"/>
      <c r="CJ84" s="1019"/>
      <c r="CK84" s="1019"/>
      <c r="CL84" s="1019"/>
      <c r="CM84" s="1019"/>
      <c r="CN84" s="1019"/>
      <c r="CO84" s="1019"/>
      <c r="CP84" s="1019"/>
      <c r="CQ84" s="1019"/>
      <c r="CR84" s="1019"/>
      <c r="CS84" s="1019"/>
      <c r="CT84" s="1019"/>
      <c r="CU84" s="1019"/>
      <c r="CV84" s="1019"/>
      <c r="CW84" s="1019"/>
      <c r="CX84" s="1019"/>
      <c r="CY84" s="1019"/>
      <c r="CZ84" s="1019"/>
      <c r="DA84" s="1019"/>
      <c r="DB84" s="1019"/>
      <c r="DC84" s="1019"/>
    </row>
    <row r="85" s="974" customFormat="1" ht="31" customHeight="1" spans="1:107">
      <c r="A85" s="1001">
        <v>45944</v>
      </c>
      <c r="B85" s="1002" t="s">
        <v>1867</v>
      </c>
      <c r="C85" s="1017" t="s">
        <v>377</v>
      </c>
      <c r="D85" s="1002">
        <v>4500181756</v>
      </c>
      <c r="E85" s="1004" t="s">
        <v>1878</v>
      </c>
      <c r="F85" s="1002" t="s">
        <v>1879</v>
      </c>
      <c r="G85" s="1005" t="s">
        <v>1532</v>
      </c>
      <c r="H85" s="1003" t="s">
        <v>1524</v>
      </c>
      <c r="I85" s="1003">
        <v>520</v>
      </c>
      <c r="J85" s="1003">
        <v>0</v>
      </c>
      <c r="K85" s="1003">
        <v>52</v>
      </c>
      <c r="L85" s="1006">
        <f t="shared" si="29"/>
        <v>10</v>
      </c>
      <c r="M85" s="1007">
        <v>45979</v>
      </c>
      <c r="N85" s="1007">
        <v>45975</v>
      </c>
      <c r="O85" s="1004"/>
      <c r="P85" s="1008" t="s">
        <v>86</v>
      </c>
      <c r="Q85" s="1004" t="s">
        <v>1880</v>
      </c>
      <c r="R85" s="1009">
        <v>45944</v>
      </c>
      <c r="S85" s="1009" t="s">
        <v>98</v>
      </c>
      <c r="T85" s="1009" t="s">
        <v>1870</v>
      </c>
      <c r="U85" s="1009"/>
      <c r="V85" s="1010" t="s">
        <v>1871</v>
      </c>
      <c r="W85" s="1011" t="s">
        <v>381</v>
      </c>
      <c r="X85" s="1012">
        <v>2.15</v>
      </c>
      <c r="Y85" s="1013">
        <f>X85*I85</f>
        <v>1118</v>
      </c>
      <c r="Z85" s="1013"/>
      <c r="AA85" s="1004" t="s">
        <v>1881</v>
      </c>
      <c r="AB85" s="1005" t="s">
        <v>1532</v>
      </c>
      <c r="AC85" s="1003" t="s">
        <v>93</v>
      </c>
      <c r="AD85" s="1003" t="s">
        <v>94</v>
      </c>
      <c r="AE85" s="1004"/>
      <c r="AF85" s="1014">
        <v>520</v>
      </c>
      <c r="AG85" s="1014">
        <f t="shared" si="30"/>
        <v>0</v>
      </c>
      <c r="AH85" s="1015"/>
      <c r="AI85" s="1023"/>
      <c r="AJ85" s="1004"/>
      <c r="AK85" s="926">
        <f t="shared" si="18"/>
        <v>520</v>
      </c>
      <c r="AL85" s="1016">
        <f>I85</f>
        <v>520</v>
      </c>
      <c r="AN85" s="1003"/>
      <c r="AO85" s="974">
        <f t="shared" si="27"/>
        <v>520</v>
      </c>
      <c r="AR85" s="974">
        <f>I85/13</f>
        <v>40</v>
      </c>
      <c r="BE85" s="1017"/>
      <c r="BF85" s="1017"/>
      <c r="BG85" s="1017"/>
      <c r="BH85" s="1017"/>
      <c r="BI85" s="1017"/>
      <c r="BN85" s="1018"/>
      <c r="BO85" s="1018"/>
      <c r="BP85" s="1018"/>
      <c r="BQ85" s="1018"/>
      <c r="BR85" s="1018"/>
      <c r="BS85" s="1018"/>
      <c r="BV85" s="964">
        <f t="shared" si="21"/>
        <v>0</v>
      </c>
      <c r="BW85" s="964">
        <f t="shared" si="22"/>
        <v>0</v>
      </c>
      <c r="BX85" s="308">
        <f t="shared" si="23"/>
        <v>608765</v>
      </c>
      <c r="BY85" s="1018"/>
      <c r="BZ85" s="1018"/>
      <c r="CA85" s="1018">
        <f t="shared" si="28"/>
        <v>251235</v>
      </c>
      <c r="CB85" s="1018"/>
      <c r="CC85" s="1018"/>
      <c r="CH85" s="1019"/>
      <c r="CI85" s="1019"/>
      <c r="CJ85" s="1019"/>
      <c r="CK85" s="1019"/>
      <c r="CL85" s="1019"/>
      <c r="CM85" s="1019"/>
      <c r="CN85" s="1019"/>
      <c r="CO85" s="1019"/>
      <c r="CP85" s="1019"/>
      <c r="CQ85" s="1019"/>
      <c r="CR85" s="1019"/>
      <c r="CS85" s="1019"/>
      <c r="CT85" s="1019"/>
      <c r="CU85" s="1019"/>
      <c r="CV85" s="1019"/>
      <c r="CW85" s="1019"/>
      <c r="CX85" s="1019"/>
      <c r="CY85" s="1019"/>
      <c r="CZ85" s="1019"/>
      <c r="DA85" s="1019"/>
      <c r="DB85" s="1019"/>
      <c r="DC85" s="1019"/>
    </row>
    <row r="86" s="974" customFormat="1" ht="31" customHeight="1" spans="1:107">
      <c r="A86" s="1001">
        <v>45941</v>
      </c>
      <c r="B86" s="1002" t="s">
        <v>1882</v>
      </c>
      <c r="C86" s="1017" t="s">
        <v>1883</v>
      </c>
      <c r="D86" s="1002">
        <v>4500181278</v>
      </c>
      <c r="E86" s="1004">
        <v>5200007921</v>
      </c>
      <c r="F86" s="1010" t="s">
        <v>1884</v>
      </c>
      <c r="G86" s="1005" t="s">
        <v>1613</v>
      </c>
      <c r="H86" s="1003" t="s">
        <v>1614</v>
      </c>
      <c r="I86" s="1003">
        <v>780</v>
      </c>
      <c r="J86" s="1003">
        <v>0</v>
      </c>
      <c r="K86" s="1003">
        <v>13</v>
      </c>
      <c r="L86" s="1006">
        <f t="shared" si="29"/>
        <v>60</v>
      </c>
      <c r="M86" s="1007">
        <v>45981</v>
      </c>
      <c r="N86" s="1007">
        <v>45978</v>
      </c>
      <c r="O86" s="1004"/>
      <c r="P86" s="1008" t="s">
        <v>86</v>
      </c>
      <c r="Q86" s="1004"/>
      <c r="R86" s="1009">
        <v>45947</v>
      </c>
      <c r="S86" s="1009" t="s">
        <v>98</v>
      </c>
      <c r="T86" s="1009" t="s">
        <v>1885</v>
      </c>
      <c r="U86" s="1009"/>
      <c r="V86" s="1010" t="s">
        <v>1886</v>
      </c>
      <c r="W86" s="1011" t="s">
        <v>1887</v>
      </c>
      <c r="X86" s="1012">
        <v>1.8375</v>
      </c>
      <c r="Y86" s="1013">
        <f>I86*X86</f>
        <v>1433.25</v>
      </c>
      <c r="Z86" s="1013"/>
      <c r="AA86" s="1004" t="s">
        <v>1888</v>
      </c>
      <c r="AB86" s="1005" t="s">
        <v>1613</v>
      </c>
      <c r="AC86" s="1003" t="s">
        <v>93</v>
      </c>
      <c r="AD86" s="1003" t="s">
        <v>94</v>
      </c>
      <c r="AE86" s="1004"/>
      <c r="AF86" s="1014">
        <v>780</v>
      </c>
      <c r="AG86" s="1024">
        <f t="shared" si="30"/>
        <v>0</v>
      </c>
      <c r="AH86" s="1015"/>
      <c r="AI86" s="1004" t="s">
        <v>95</v>
      </c>
      <c r="AJ86" s="1004"/>
      <c r="AK86" s="926">
        <f t="shared" si="18"/>
        <v>780</v>
      </c>
      <c r="AL86" s="1016"/>
      <c r="AN86" s="1016">
        <f>I86</f>
        <v>780</v>
      </c>
      <c r="AO86" s="974">
        <f t="shared" si="27"/>
        <v>780</v>
      </c>
      <c r="AS86" s="974">
        <f>I86/13</f>
        <v>60</v>
      </c>
      <c r="BE86" s="1017"/>
      <c r="BF86" s="1017"/>
      <c r="BG86" s="1017"/>
      <c r="BH86" s="1017"/>
      <c r="BI86" s="1017"/>
      <c r="BN86" s="1018"/>
      <c r="BO86" s="1018"/>
      <c r="BP86" s="1018"/>
      <c r="BQ86" s="1018"/>
      <c r="BR86" s="1018"/>
      <c r="BS86" s="1018"/>
      <c r="BV86" s="964">
        <f t="shared" si="21"/>
        <v>0</v>
      </c>
      <c r="BW86" s="964">
        <f t="shared" si="22"/>
        <v>0</v>
      </c>
      <c r="BX86" s="308">
        <f t="shared" si="23"/>
        <v>609545</v>
      </c>
      <c r="BY86" s="1018"/>
      <c r="BZ86" s="1018"/>
      <c r="CA86" s="1018">
        <f t="shared" si="28"/>
        <v>250455</v>
      </c>
      <c r="CB86" s="1018"/>
      <c r="CC86" s="1018"/>
      <c r="CH86" s="1019"/>
      <c r="CI86" s="1019"/>
      <c r="CJ86" s="1019"/>
      <c r="CK86" s="1019"/>
      <c r="CL86" s="1019"/>
      <c r="CM86" s="1019"/>
      <c r="CN86" s="1019"/>
      <c r="CO86" s="1019"/>
      <c r="CP86" s="1019"/>
      <c r="CQ86" s="1019"/>
      <c r="CR86" s="1019"/>
      <c r="CS86" s="1019"/>
      <c r="CT86" s="1019"/>
      <c r="CU86" s="1019"/>
      <c r="CV86" s="1019"/>
      <c r="CW86" s="1019"/>
      <c r="CX86" s="1019"/>
      <c r="CY86" s="1019"/>
      <c r="CZ86" s="1019"/>
      <c r="DA86" s="1019"/>
      <c r="DB86" s="1019"/>
      <c r="DC86" s="1019"/>
    </row>
    <row r="87" s="974" customFormat="1" ht="31" customHeight="1" spans="1:107">
      <c r="A87" s="1001">
        <v>45946</v>
      </c>
      <c r="B87" s="1002" t="s">
        <v>578</v>
      </c>
      <c r="C87" s="1017" t="s">
        <v>125</v>
      </c>
      <c r="D87" s="1002">
        <v>4500182120</v>
      </c>
      <c r="E87" s="1423" t="s">
        <v>1889</v>
      </c>
      <c r="F87" s="1002" t="s">
        <v>1890</v>
      </c>
      <c r="G87" s="1005" t="s">
        <v>1584</v>
      </c>
      <c r="H87" s="1003" t="s">
        <v>1585</v>
      </c>
      <c r="I87" s="1003">
        <v>960</v>
      </c>
      <c r="J87" s="1003">
        <v>0</v>
      </c>
      <c r="K87" s="1003">
        <v>16</v>
      </c>
      <c r="L87" s="1006">
        <f t="shared" si="29"/>
        <v>60</v>
      </c>
      <c r="M87" s="1007">
        <v>45979</v>
      </c>
      <c r="N87" s="1007">
        <v>45975</v>
      </c>
      <c r="O87" s="1020" t="s">
        <v>1891</v>
      </c>
      <c r="P87" s="1008" t="s">
        <v>86</v>
      </c>
      <c r="Q87" s="1004"/>
      <c r="R87" s="1009" t="s">
        <v>296</v>
      </c>
      <c r="S87" s="1009" t="s">
        <v>98</v>
      </c>
      <c r="T87" s="1009" t="s">
        <v>1791</v>
      </c>
      <c r="U87" s="1009"/>
      <c r="V87" s="1010" t="s">
        <v>1626</v>
      </c>
      <c r="W87" s="1011" t="s">
        <v>247</v>
      </c>
      <c r="X87" s="1012">
        <v>1.2167</v>
      </c>
      <c r="Y87" s="1013">
        <f>X87*I87</f>
        <v>1168.032</v>
      </c>
      <c r="Z87" s="1013"/>
      <c r="AA87" s="1004" t="s">
        <v>1892</v>
      </c>
      <c r="AB87" s="1005" t="s">
        <v>1584</v>
      </c>
      <c r="AC87" s="1003" t="s">
        <v>93</v>
      </c>
      <c r="AD87" s="1003" t="s">
        <v>94</v>
      </c>
      <c r="AE87" s="1004"/>
      <c r="AF87" s="1014">
        <v>960</v>
      </c>
      <c r="AG87" s="1014">
        <f t="shared" si="30"/>
        <v>0</v>
      </c>
      <c r="AH87" s="1015"/>
      <c r="AI87" s="1004"/>
      <c r="AJ87" s="1004"/>
      <c r="AK87" s="926">
        <f t="shared" si="18"/>
        <v>960</v>
      </c>
      <c r="AL87" s="1016">
        <f>I87</f>
        <v>960</v>
      </c>
      <c r="AN87" s="1003"/>
      <c r="AO87" s="974">
        <f t="shared" si="27"/>
        <v>960</v>
      </c>
      <c r="AY87" s="974">
        <f>I87/16</f>
        <v>60</v>
      </c>
      <c r="BE87" s="1017"/>
      <c r="BF87" s="1017"/>
      <c r="BG87" s="1017"/>
      <c r="BH87" s="1017"/>
      <c r="BI87" s="1017"/>
      <c r="BN87" s="1018"/>
      <c r="BO87" s="1018"/>
      <c r="BP87" s="1018"/>
      <c r="BQ87" s="1018"/>
      <c r="BR87" s="1018"/>
      <c r="BS87" s="1018"/>
      <c r="BV87" s="964">
        <f t="shared" si="21"/>
        <v>60</v>
      </c>
      <c r="BW87" s="964">
        <f t="shared" si="22"/>
        <v>0</v>
      </c>
      <c r="BX87" s="308">
        <f t="shared" si="23"/>
        <v>610505</v>
      </c>
      <c r="BY87" s="1018"/>
      <c r="BZ87" s="1018"/>
      <c r="CA87" s="1018">
        <f t="shared" si="28"/>
        <v>249495</v>
      </c>
      <c r="CB87" s="1018"/>
      <c r="CC87" s="1018"/>
      <c r="CH87" s="1019"/>
      <c r="CI87" s="1019"/>
      <c r="CJ87" s="1019"/>
      <c r="CK87" s="1019"/>
      <c r="CL87" s="1019"/>
      <c r="CM87" s="1019"/>
      <c r="CN87" s="1019"/>
      <c r="CO87" s="1019"/>
      <c r="CP87" s="1019"/>
      <c r="CQ87" s="1019"/>
      <c r="CR87" s="1019"/>
      <c r="CS87" s="1019"/>
      <c r="CT87" s="1019"/>
      <c r="CU87" s="1019"/>
      <c r="CV87" s="1019"/>
      <c r="CW87" s="1019"/>
      <c r="CX87" s="1019"/>
      <c r="CY87" s="1019"/>
      <c r="CZ87" s="1019"/>
      <c r="DA87" s="1019"/>
      <c r="DB87" s="1019"/>
      <c r="DC87" s="1019"/>
    </row>
    <row r="88" s="974" customFormat="1" ht="31" customHeight="1" spans="1:107">
      <c r="A88" s="1001">
        <v>45946</v>
      </c>
      <c r="B88" s="1002" t="s">
        <v>578</v>
      </c>
      <c r="C88" s="1017" t="s">
        <v>125</v>
      </c>
      <c r="D88" s="1002">
        <v>4500182120</v>
      </c>
      <c r="E88" s="1423" t="s">
        <v>1893</v>
      </c>
      <c r="F88" s="1002" t="s">
        <v>1894</v>
      </c>
      <c r="G88" s="1005" t="s">
        <v>1584</v>
      </c>
      <c r="H88" s="1003" t="s">
        <v>1585</v>
      </c>
      <c r="I88" s="1003">
        <v>960</v>
      </c>
      <c r="J88" s="1003">
        <v>0</v>
      </c>
      <c r="K88" s="1003">
        <v>16</v>
      </c>
      <c r="L88" s="1006">
        <f t="shared" si="29"/>
        <v>60</v>
      </c>
      <c r="M88" s="1007">
        <v>45979</v>
      </c>
      <c r="N88" s="1007">
        <v>45975</v>
      </c>
      <c r="O88" s="1020" t="s">
        <v>1891</v>
      </c>
      <c r="P88" s="1008" t="s">
        <v>86</v>
      </c>
      <c r="Q88" s="1004"/>
      <c r="R88" s="1009" t="s">
        <v>296</v>
      </c>
      <c r="S88" s="1009" t="s">
        <v>98</v>
      </c>
      <c r="T88" s="1009" t="s">
        <v>1791</v>
      </c>
      <c r="U88" s="1009"/>
      <c r="V88" s="1010" t="s">
        <v>1626</v>
      </c>
      <c r="W88" s="1011" t="s">
        <v>247</v>
      </c>
      <c r="X88" s="1012">
        <v>1.2167</v>
      </c>
      <c r="Y88" s="1013">
        <f>X88*I88</f>
        <v>1168.032</v>
      </c>
      <c r="Z88" s="1013"/>
      <c r="AA88" s="1004" t="s">
        <v>1895</v>
      </c>
      <c r="AB88" s="1005" t="s">
        <v>1584</v>
      </c>
      <c r="AC88" s="1003" t="s">
        <v>93</v>
      </c>
      <c r="AD88" s="1003" t="s">
        <v>94</v>
      </c>
      <c r="AE88" s="1004"/>
      <c r="AF88" s="1014">
        <v>960</v>
      </c>
      <c r="AG88" s="1014">
        <f t="shared" si="30"/>
        <v>0</v>
      </c>
      <c r="AH88" s="1015"/>
      <c r="AI88" s="1004"/>
      <c r="AJ88" s="1004"/>
      <c r="AK88" s="926">
        <f t="shared" si="18"/>
        <v>960</v>
      </c>
      <c r="AL88" s="1016">
        <f>I88</f>
        <v>960</v>
      </c>
      <c r="AN88" s="1003"/>
      <c r="AO88" s="974">
        <f t="shared" si="27"/>
        <v>960</v>
      </c>
      <c r="AY88" s="974">
        <f>I88/16</f>
        <v>60</v>
      </c>
      <c r="BE88" s="1017"/>
      <c r="BF88" s="1017"/>
      <c r="BG88" s="1017"/>
      <c r="BH88" s="1017"/>
      <c r="BI88" s="1017"/>
      <c r="BN88" s="1018"/>
      <c r="BO88" s="1018"/>
      <c r="BP88" s="1018"/>
      <c r="BQ88" s="1018"/>
      <c r="BR88" s="1018"/>
      <c r="BS88" s="1018"/>
      <c r="BV88" s="964">
        <f t="shared" si="21"/>
        <v>60</v>
      </c>
      <c r="BW88" s="964">
        <f t="shared" si="22"/>
        <v>0</v>
      </c>
      <c r="BX88" s="308">
        <f t="shared" si="23"/>
        <v>611465</v>
      </c>
      <c r="BY88" s="1018"/>
      <c r="BZ88" s="1018"/>
      <c r="CA88" s="1018">
        <f t="shared" si="28"/>
        <v>248535</v>
      </c>
      <c r="CB88" s="1018"/>
      <c r="CC88" s="1018"/>
      <c r="CH88" s="1019"/>
      <c r="CI88" s="1019"/>
      <c r="CJ88" s="1019"/>
      <c r="CK88" s="1019"/>
      <c r="CL88" s="1019"/>
      <c r="CM88" s="1019"/>
      <c r="CN88" s="1019"/>
      <c r="CO88" s="1019"/>
      <c r="CP88" s="1019"/>
      <c r="CQ88" s="1019"/>
      <c r="CR88" s="1019"/>
      <c r="CS88" s="1019"/>
      <c r="CT88" s="1019"/>
      <c r="CU88" s="1019"/>
      <c r="CV88" s="1019"/>
      <c r="CW88" s="1019"/>
      <c r="CX88" s="1019"/>
      <c r="CY88" s="1019"/>
      <c r="CZ88" s="1019"/>
      <c r="DA88" s="1019"/>
      <c r="DB88" s="1019"/>
      <c r="DC88" s="1019"/>
    </row>
    <row r="89" s="974" customFormat="1" ht="31" customHeight="1" spans="1:107">
      <c r="A89" s="1001">
        <v>45946</v>
      </c>
      <c r="B89" s="1002" t="s">
        <v>578</v>
      </c>
      <c r="C89" s="1017" t="s">
        <v>125</v>
      </c>
      <c r="D89" s="1002">
        <v>4500182120</v>
      </c>
      <c r="E89" s="1423" t="s">
        <v>1896</v>
      </c>
      <c r="F89" s="1002" t="s">
        <v>1897</v>
      </c>
      <c r="G89" s="1005" t="s">
        <v>1584</v>
      </c>
      <c r="H89" s="1003" t="s">
        <v>1585</v>
      </c>
      <c r="I89" s="1003">
        <v>960</v>
      </c>
      <c r="J89" s="1003">
        <v>0</v>
      </c>
      <c r="K89" s="1003">
        <v>16</v>
      </c>
      <c r="L89" s="1006">
        <f t="shared" si="29"/>
        <v>60</v>
      </c>
      <c r="M89" s="1007">
        <v>45979</v>
      </c>
      <c r="N89" s="1007">
        <v>45975</v>
      </c>
      <c r="O89" s="1020" t="s">
        <v>1891</v>
      </c>
      <c r="P89" s="1008" t="s">
        <v>86</v>
      </c>
      <c r="Q89" s="1004" t="s">
        <v>1898</v>
      </c>
      <c r="R89" s="1009" t="s">
        <v>296</v>
      </c>
      <c r="S89" s="1009" t="s">
        <v>98</v>
      </c>
      <c r="T89" s="1009" t="s">
        <v>1791</v>
      </c>
      <c r="U89" s="1009"/>
      <c r="V89" s="1010" t="s">
        <v>1626</v>
      </c>
      <c r="W89" s="1011" t="s">
        <v>247</v>
      </c>
      <c r="X89" s="1012">
        <v>1.2167</v>
      </c>
      <c r="Y89" s="1013">
        <f>X89*I89</f>
        <v>1168.032</v>
      </c>
      <c r="Z89" s="1013"/>
      <c r="AA89" s="1004" t="s">
        <v>1892</v>
      </c>
      <c r="AB89" s="1005" t="s">
        <v>1584</v>
      </c>
      <c r="AC89" s="1003" t="s">
        <v>93</v>
      </c>
      <c r="AD89" s="1003" t="s">
        <v>94</v>
      </c>
      <c r="AE89" s="1004"/>
      <c r="AF89" s="1014">
        <v>960</v>
      </c>
      <c r="AG89" s="1014">
        <f t="shared" si="30"/>
        <v>0</v>
      </c>
      <c r="AH89" s="1015"/>
      <c r="AI89" s="1004"/>
      <c r="AJ89" s="1004"/>
      <c r="AK89" s="926">
        <f t="shared" si="18"/>
        <v>960</v>
      </c>
      <c r="AL89" s="1016">
        <f>I89</f>
        <v>960</v>
      </c>
      <c r="AN89" s="1003"/>
      <c r="AO89" s="974">
        <f t="shared" si="27"/>
        <v>960</v>
      </c>
      <c r="AY89" s="974">
        <f>I89/16</f>
        <v>60</v>
      </c>
      <c r="BE89" s="1017"/>
      <c r="BF89" s="1017"/>
      <c r="BG89" s="1017"/>
      <c r="BH89" s="1017"/>
      <c r="BI89" s="1017"/>
      <c r="BN89" s="1018"/>
      <c r="BO89" s="1018"/>
      <c r="BP89" s="1018"/>
      <c r="BQ89" s="1018"/>
      <c r="BR89" s="1018"/>
      <c r="BS89" s="1018"/>
      <c r="BV89" s="964">
        <f t="shared" si="21"/>
        <v>60</v>
      </c>
      <c r="BW89" s="964">
        <f t="shared" si="22"/>
        <v>0</v>
      </c>
      <c r="BX89" s="308">
        <f t="shared" si="23"/>
        <v>612425</v>
      </c>
      <c r="BY89" s="1018"/>
      <c r="BZ89" s="1018"/>
      <c r="CA89" s="1018">
        <f t="shared" si="28"/>
        <v>247575</v>
      </c>
      <c r="CB89" s="1018"/>
      <c r="CC89" s="1018"/>
      <c r="CH89" s="1019"/>
      <c r="CI89" s="1019"/>
      <c r="CJ89" s="1019"/>
      <c r="CK89" s="1019"/>
      <c r="CL89" s="1019"/>
      <c r="CM89" s="1019"/>
      <c r="CN89" s="1019"/>
      <c r="CO89" s="1019"/>
      <c r="CP89" s="1019"/>
      <c r="CQ89" s="1019"/>
      <c r="CR89" s="1019"/>
      <c r="CS89" s="1019"/>
      <c r="CT89" s="1019"/>
      <c r="CU89" s="1019"/>
      <c r="CV89" s="1019"/>
      <c r="CW89" s="1019"/>
      <c r="CX89" s="1019"/>
      <c r="CY89" s="1019"/>
      <c r="CZ89" s="1019"/>
      <c r="DA89" s="1019"/>
      <c r="DB89" s="1019"/>
      <c r="DC89" s="1019"/>
    </row>
    <row r="90" s="974" customFormat="1" ht="31" customHeight="1" spans="1:107">
      <c r="A90" s="1001">
        <v>45941</v>
      </c>
      <c r="B90" s="1002" t="s">
        <v>1548</v>
      </c>
      <c r="C90" s="1017" t="s">
        <v>125</v>
      </c>
      <c r="D90" s="1002">
        <v>4500181503</v>
      </c>
      <c r="E90" s="1004" t="s">
        <v>1899</v>
      </c>
      <c r="F90" s="1010" t="s">
        <v>1900</v>
      </c>
      <c r="G90" s="1005" t="s">
        <v>1570</v>
      </c>
      <c r="H90" s="1003" t="s">
        <v>1853</v>
      </c>
      <c r="I90" s="1003">
        <v>19125</v>
      </c>
      <c r="J90" s="1003">
        <v>0</v>
      </c>
      <c r="K90" s="1003">
        <v>25</v>
      </c>
      <c r="L90" s="1006">
        <f t="shared" si="29"/>
        <v>765</v>
      </c>
      <c r="M90" s="1007">
        <v>45982</v>
      </c>
      <c r="N90" s="1007">
        <v>45978</v>
      </c>
      <c r="O90" s="1004"/>
      <c r="P90" s="1008" t="s">
        <v>86</v>
      </c>
      <c r="Q90" s="1004"/>
      <c r="R90" s="1009">
        <v>45944</v>
      </c>
      <c r="S90" s="1009" t="s">
        <v>88</v>
      </c>
      <c r="T90" s="1009" t="s">
        <v>1736</v>
      </c>
      <c r="U90" s="1009"/>
      <c r="V90" s="1010" t="s">
        <v>1901</v>
      </c>
      <c r="W90" s="1011" t="s">
        <v>1554</v>
      </c>
      <c r="X90" s="1012">
        <v>1.1678</v>
      </c>
      <c r="Y90" s="1013">
        <f>I90*X90</f>
        <v>22334.175</v>
      </c>
      <c r="Z90" s="1013"/>
      <c r="AA90" s="1004" t="s">
        <v>1902</v>
      </c>
      <c r="AB90" s="1005" t="s">
        <v>1570</v>
      </c>
      <c r="AC90" s="1003" t="s">
        <v>93</v>
      </c>
      <c r="AD90" s="1003" t="s">
        <v>94</v>
      </c>
      <c r="AE90" s="1004"/>
      <c r="AF90" s="1014">
        <v>19125</v>
      </c>
      <c r="AG90" s="1014">
        <f t="shared" si="30"/>
        <v>0</v>
      </c>
      <c r="AH90" s="1015"/>
      <c r="AI90" s="1004" t="s">
        <v>95</v>
      </c>
      <c r="AJ90" s="1004"/>
      <c r="AK90" s="926">
        <f t="shared" si="18"/>
        <v>19125</v>
      </c>
      <c r="AL90" s="1016">
        <f>I90</f>
        <v>19125</v>
      </c>
      <c r="AN90" s="1003"/>
      <c r="AO90" s="974">
        <f t="shared" si="27"/>
        <v>19125</v>
      </c>
      <c r="AT90" s="974">
        <f>I90/25</f>
        <v>765</v>
      </c>
      <c r="BE90" s="1017"/>
      <c r="BF90" s="1017"/>
      <c r="BG90" s="1017"/>
      <c r="BH90" s="1017"/>
      <c r="BI90" s="1017"/>
      <c r="BN90" s="1018"/>
      <c r="BO90" s="1018"/>
      <c r="BP90" s="1018"/>
      <c r="BQ90" s="1018"/>
      <c r="BR90" s="1018"/>
      <c r="BS90" s="1018"/>
      <c r="BV90" s="964">
        <f t="shared" si="21"/>
        <v>765</v>
      </c>
      <c r="BW90" s="964">
        <f t="shared" si="22"/>
        <v>0</v>
      </c>
      <c r="BX90" s="308">
        <f t="shared" si="23"/>
        <v>631550</v>
      </c>
      <c r="BY90" s="1018"/>
      <c r="BZ90" s="1018"/>
      <c r="CA90" s="1018">
        <f t="shared" si="28"/>
        <v>228450</v>
      </c>
      <c r="CB90" s="1018"/>
      <c r="CC90" s="1018"/>
      <c r="CH90" s="1019"/>
      <c r="CI90" s="1019"/>
      <c r="CJ90" s="1019"/>
      <c r="CK90" s="1019"/>
      <c r="CL90" s="1019"/>
      <c r="CM90" s="1019"/>
      <c r="CN90" s="1019"/>
      <c r="CO90" s="1019"/>
      <c r="CP90" s="1019"/>
      <c r="CQ90" s="1019"/>
      <c r="CR90" s="1019"/>
      <c r="CS90" s="1019"/>
      <c r="CT90" s="1019"/>
      <c r="CU90" s="1019"/>
      <c r="CV90" s="1019"/>
      <c r="CW90" s="1019"/>
      <c r="CX90" s="1019"/>
      <c r="CY90" s="1019"/>
      <c r="CZ90" s="1019"/>
      <c r="DA90" s="1019"/>
      <c r="DB90" s="1019"/>
      <c r="DC90" s="1019"/>
    </row>
    <row r="91" s="974" customFormat="1" ht="31" customHeight="1" spans="1:107">
      <c r="A91" s="1001">
        <v>45932</v>
      </c>
      <c r="B91" s="1002" t="s">
        <v>594</v>
      </c>
      <c r="C91" s="1017" t="s">
        <v>110</v>
      </c>
      <c r="D91" s="1002">
        <v>4500181154</v>
      </c>
      <c r="E91" s="1004" t="s">
        <v>1903</v>
      </c>
      <c r="F91" s="1010" t="s">
        <v>1904</v>
      </c>
      <c r="G91" s="1005" t="s">
        <v>1746</v>
      </c>
      <c r="H91" s="953" t="s">
        <v>1747</v>
      </c>
      <c r="I91" s="1003">
        <v>600</v>
      </c>
      <c r="J91" s="1003">
        <v>0</v>
      </c>
      <c r="K91" s="1003">
        <v>12</v>
      </c>
      <c r="L91" s="1006">
        <f t="shared" si="29"/>
        <v>50</v>
      </c>
      <c r="M91" s="1007">
        <v>45982</v>
      </c>
      <c r="N91" s="1007">
        <v>45978</v>
      </c>
      <c r="O91" s="1004"/>
      <c r="P91" s="1008" t="s">
        <v>86</v>
      </c>
      <c r="Q91" s="1004"/>
      <c r="R91" s="1009" t="s">
        <v>1905</v>
      </c>
      <c r="S91" s="1009" t="s">
        <v>88</v>
      </c>
      <c r="T91" s="1009" t="s">
        <v>1906</v>
      </c>
      <c r="U91" s="1009"/>
      <c r="V91" s="1010" t="s">
        <v>1907</v>
      </c>
      <c r="W91" s="1011" t="s">
        <v>599</v>
      </c>
      <c r="X91" s="1012">
        <v>4.82</v>
      </c>
      <c r="Y91" s="1013">
        <f>X91*I91</f>
        <v>2892</v>
      </c>
      <c r="Z91" s="1013"/>
      <c r="AA91" s="1025" t="s">
        <v>1908</v>
      </c>
      <c r="AB91" s="1004" t="s">
        <v>1746</v>
      </c>
      <c r="AC91" s="1003" t="s">
        <v>93</v>
      </c>
      <c r="AD91" s="1003" t="s">
        <v>94</v>
      </c>
      <c r="AE91" s="1004"/>
      <c r="AF91" s="1014">
        <v>600</v>
      </c>
      <c r="AG91" s="1014">
        <f t="shared" si="30"/>
        <v>0</v>
      </c>
      <c r="AH91" s="1015"/>
      <c r="AI91" s="1004" t="s">
        <v>95</v>
      </c>
      <c r="AJ91" s="1004"/>
      <c r="AK91" s="951">
        <f>I91*2</f>
        <v>1200</v>
      </c>
      <c r="AL91" s="1016"/>
      <c r="AM91" s="1016">
        <f>I91*2</f>
        <v>1200</v>
      </c>
      <c r="AN91" s="1003"/>
      <c r="AO91" s="856">
        <f>I91*2</f>
        <v>1200</v>
      </c>
      <c r="BE91" s="1017"/>
      <c r="BF91" s="1017"/>
      <c r="BG91" s="1017"/>
      <c r="BH91" s="1017"/>
      <c r="BI91" s="1017"/>
      <c r="BJ91" s="974">
        <f>I91</f>
        <v>600</v>
      </c>
      <c r="BK91" s="974">
        <f>I91</f>
        <v>600</v>
      </c>
      <c r="BL91" s="974">
        <f>I91</f>
        <v>600</v>
      </c>
      <c r="BN91" s="1018"/>
      <c r="BO91" s="1018"/>
      <c r="BP91" s="1018"/>
      <c r="BQ91" s="1018"/>
      <c r="BR91" s="1018"/>
      <c r="BS91" s="1018"/>
      <c r="BV91" s="964">
        <f t="shared" si="21"/>
        <v>0</v>
      </c>
      <c r="BW91" s="964">
        <f t="shared" si="22"/>
        <v>0</v>
      </c>
      <c r="BX91" s="308">
        <f t="shared" si="23"/>
        <v>632750</v>
      </c>
      <c r="BY91" s="1018"/>
      <c r="BZ91" s="1018"/>
      <c r="CA91" s="1018">
        <f t="shared" si="28"/>
        <v>227250</v>
      </c>
      <c r="CB91" s="1018"/>
      <c r="CC91" s="1018"/>
      <c r="CH91" s="1019"/>
      <c r="CI91" s="1019"/>
      <c r="CJ91" s="1019"/>
      <c r="CK91" s="1019"/>
      <c r="CL91" s="1019"/>
      <c r="CM91" s="1019"/>
      <c r="CN91" s="1019"/>
      <c r="CO91" s="1019"/>
      <c r="CP91" s="1019"/>
      <c r="CQ91" s="1019"/>
      <c r="CR91" s="1019"/>
      <c r="CS91" s="1019"/>
      <c r="CT91" s="1019"/>
      <c r="CU91" s="1019"/>
      <c r="CV91" s="1019"/>
      <c r="CW91" s="1019"/>
      <c r="CX91" s="1019"/>
      <c r="CY91" s="1019"/>
      <c r="CZ91" s="1019"/>
      <c r="DA91" s="1019"/>
      <c r="DB91" s="1019"/>
      <c r="DC91" s="1019"/>
    </row>
    <row r="92" s="974" customFormat="1" ht="31" customHeight="1" spans="1:107">
      <c r="A92" s="1001">
        <v>45926</v>
      </c>
      <c r="B92" s="1002" t="s">
        <v>1909</v>
      </c>
      <c r="C92" s="1003" t="s">
        <v>125</v>
      </c>
      <c r="D92" s="1002">
        <v>4500180560</v>
      </c>
      <c r="E92" s="1423" t="s">
        <v>1910</v>
      </c>
      <c r="F92" s="1010" t="s">
        <v>1911</v>
      </c>
      <c r="G92" s="1005" t="s">
        <v>1761</v>
      </c>
      <c r="H92" s="1003" t="s">
        <v>1762</v>
      </c>
      <c r="I92" s="1003">
        <v>2370</v>
      </c>
      <c r="J92" s="1003">
        <v>0</v>
      </c>
      <c r="K92" s="1003">
        <v>30</v>
      </c>
      <c r="L92" s="1006">
        <f t="shared" si="29"/>
        <v>79</v>
      </c>
      <c r="M92" s="1007">
        <v>45985</v>
      </c>
      <c r="N92" s="1007">
        <v>45981</v>
      </c>
      <c r="O92" s="1004"/>
      <c r="P92" s="1008" t="s">
        <v>86</v>
      </c>
      <c r="Q92" s="1004" t="s">
        <v>1912</v>
      </c>
      <c r="R92" s="1009">
        <v>45926</v>
      </c>
      <c r="S92" s="1009" t="s">
        <v>98</v>
      </c>
      <c r="T92" s="1009" t="s">
        <v>98</v>
      </c>
      <c r="U92" s="1009"/>
      <c r="V92" s="1010" t="s">
        <v>1765</v>
      </c>
      <c r="W92" s="1011" t="s">
        <v>1766</v>
      </c>
      <c r="X92" s="1012">
        <v>41.52</v>
      </c>
      <c r="Y92" s="1013">
        <f>X92*L92</f>
        <v>3280.08</v>
      </c>
      <c r="Z92" s="1013"/>
      <c r="AA92" s="1004" t="s">
        <v>1913</v>
      </c>
      <c r="AB92" s="1005" t="s">
        <v>1768</v>
      </c>
      <c r="AC92" s="1003" t="s">
        <v>93</v>
      </c>
      <c r="AD92" s="1003" t="s">
        <v>94</v>
      </c>
      <c r="AE92" s="1004"/>
      <c r="AF92" s="1014">
        <v>2370</v>
      </c>
      <c r="AG92" s="1014">
        <f t="shared" si="30"/>
        <v>0</v>
      </c>
      <c r="AH92" s="1015"/>
      <c r="AI92" s="1004" t="s">
        <v>98</v>
      </c>
      <c r="AJ92" s="1004"/>
      <c r="AK92" s="926">
        <f t="shared" ref="AK92:AK97" si="31">I92</f>
        <v>2370</v>
      </c>
      <c r="AL92" s="1003">
        <f>I92</f>
        <v>2370</v>
      </c>
      <c r="AN92" s="1016"/>
      <c r="AO92" s="974">
        <f t="shared" ref="AO92:AO97" si="32">I92</f>
        <v>2370</v>
      </c>
      <c r="BE92" s="1017"/>
      <c r="BF92" s="1017"/>
      <c r="BG92" s="1017"/>
      <c r="BH92" s="1017"/>
      <c r="BI92" s="1017">
        <f>I92/K92</f>
        <v>79</v>
      </c>
      <c r="BN92" s="1018"/>
      <c r="BO92" s="1018"/>
      <c r="BP92" s="1018"/>
      <c r="BQ92" s="1018"/>
      <c r="BR92" s="1018"/>
      <c r="BS92" s="1018"/>
      <c r="BV92" s="964">
        <f t="shared" si="21"/>
        <v>0</v>
      </c>
      <c r="BW92" s="964">
        <f t="shared" si="22"/>
        <v>79</v>
      </c>
      <c r="BX92" s="308">
        <f t="shared" si="23"/>
        <v>635120</v>
      </c>
      <c r="BY92" s="1018"/>
      <c r="BZ92" s="1018"/>
      <c r="CA92" s="1018">
        <f t="shared" ref="CA87:CA134" si="33">$BZ$1+$CA$1-BX92</f>
        <v>224880</v>
      </c>
      <c r="CB92" s="1026"/>
      <c r="CC92" s="1018"/>
      <c r="CH92" s="1019"/>
      <c r="CI92" s="1019"/>
      <c r="CJ92" s="1019"/>
      <c r="CK92" s="1019"/>
      <c r="CL92" s="1019"/>
      <c r="CM92" s="1019"/>
      <c r="CN92" s="1019"/>
      <c r="CO92" s="1019"/>
      <c r="CP92" s="1019"/>
      <c r="CQ92" s="1019"/>
      <c r="CR92" s="1019"/>
      <c r="CS92" s="1019"/>
      <c r="CT92" s="1019"/>
      <c r="CU92" s="1019"/>
      <c r="CV92" s="1019"/>
      <c r="CW92" s="1019"/>
      <c r="CX92" s="1019"/>
      <c r="CY92" s="1019"/>
      <c r="CZ92" s="1019"/>
      <c r="DA92" s="1019"/>
      <c r="DB92" s="1019"/>
      <c r="DC92" s="1019"/>
    </row>
    <row r="93" s="974" customFormat="1" ht="31" customHeight="1" spans="1:107">
      <c r="A93" s="1001">
        <v>45946</v>
      </c>
      <c r="B93" s="1002" t="s">
        <v>578</v>
      </c>
      <c r="C93" s="1003" t="s">
        <v>125</v>
      </c>
      <c r="D93" s="1002">
        <v>4500182123</v>
      </c>
      <c r="E93" s="1423" t="s">
        <v>1914</v>
      </c>
      <c r="F93" s="1027" t="s">
        <v>1915</v>
      </c>
      <c r="G93" s="1005" t="s">
        <v>1584</v>
      </c>
      <c r="H93" s="1003" t="s">
        <v>1585</v>
      </c>
      <c r="I93" s="1003">
        <v>960</v>
      </c>
      <c r="J93" s="1003">
        <v>0</v>
      </c>
      <c r="K93" s="1003">
        <v>16</v>
      </c>
      <c r="L93" s="1006">
        <f t="shared" si="29"/>
        <v>60</v>
      </c>
      <c r="M93" s="1007">
        <v>45985</v>
      </c>
      <c r="N93" s="1007">
        <v>45981</v>
      </c>
      <c r="O93" s="1020">
        <v>45987</v>
      </c>
      <c r="P93" s="1008" t="s">
        <v>86</v>
      </c>
      <c r="Q93" s="1004"/>
      <c r="R93" s="1009" t="s">
        <v>296</v>
      </c>
      <c r="S93" s="1009" t="s">
        <v>98</v>
      </c>
      <c r="T93" s="1009" t="s">
        <v>1791</v>
      </c>
      <c r="U93" s="1009"/>
      <c r="V93" s="1010" t="s">
        <v>1626</v>
      </c>
      <c r="W93" s="1011" t="s">
        <v>247</v>
      </c>
      <c r="X93" s="1012">
        <v>1.2167</v>
      </c>
      <c r="Y93" s="1013">
        <f>X93*I93</f>
        <v>1168.032</v>
      </c>
      <c r="Z93" s="1013"/>
      <c r="AA93" s="1004" t="s">
        <v>1916</v>
      </c>
      <c r="AB93" s="1005" t="s">
        <v>1584</v>
      </c>
      <c r="AC93" s="1003" t="s">
        <v>93</v>
      </c>
      <c r="AD93" s="1003" t="s">
        <v>94</v>
      </c>
      <c r="AE93" s="1004"/>
      <c r="AF93" s="1014">
        <v>960</v>
      </c>
      <c r="AG93" s="1014">
        <f t="shared" si="30"/>
        <v>0</v>
      </c>
      <c r="AH93" s="1015"/>
      <c r="AI93" s="1004"/>
      <c r="AJ93" s="1004"/>
      <c r="AK93" s="926">
        <f t="shared" si="31"/>
        <v>960</v>
      </c>
      <c r="AL93" s="1016">
        <f>I93</f>
        <v>960</v>
      </c>
      <c r="AN93" s="1016"/>
      <c r="AO93" s="974">
        <f t="shared" si="32"/>
        <v>960</v>
      </c>
      <c r="AY93" s="974">
        <f>I93/16</f>
        <v>60</v>
      </c>
      <c r="BE93" s="1017"/>
      <c r="BF93" s="1017"/>
      <c r="BG93" s="1017"/>
      <c r="BH93" s="1017"/>
      <c r="BI93" s="1017"/>
      <c r="BN93" s="1018"/>
      <c r="BO93" s="1018"/>
      <c r="BP93" s="1018"/>
      <c r="BQ93" s="1018"/>
      <c r="BR93" s="1018"/>
      <c r="BS93" s="1018"/>
      <c r="BV93" s="964">
        <f t="shared" si="21"/>
        <v>60</v>
      </c>
      <c r="BW93" s="964">
        <f t="shared" si="22"/>
        <v>0</v>
      </c>
      <c r="BX93" s="308">
        <f t="shared" si="23"/>
        <v>636080</v>
      </c>
      <c r="BY93" s="1018"/>
      <c r="BZ93" s="1018"/>
      <c r="CA93" s="1018">
        <f t="shared" si="33"/>
        <v>223920</v>
      </c>
      <c r="CB93" s="1018"/>
      <c r="CC93" s="1018"/>
      <c r="CH93" s="1019"/>
      <c r="CI93" s="1019"/>
      <c r="CJ93" s="1019"/>
      <c r="CK93" s="1019"/>
      <c r="CL93" s="1019"/>
      <c r="CM93" s="1019"/>
      <c r="CN93" s="1019"/>
      <c r="CO93" s="1019"/>
      <c r="CP93" s="1019"/>
      <c r="CQ93" s="1019"/>
      <c r="CR93" s="1019"/>
      <c r="CS93" s="1019"/>
      <c r="CT93" s="1019"/>
      <c r="CU93" s="1019"/>
      <c r="CV93" s="1019"/>
      <c r="CW93" s="1019"/>
      <c r="CX93" s="1019"/>
      <c r="CY93" s="1019"/>
      <c r="CZ93" s="1019"/>
      <c r="DA93" s="1019"/>
      <c r="DB93" s="1019"/>
      <c r="DC93" s="1019"/>
    </row>
    <row r="94" s="974" customFormat="1" ht="31" customHeight="1" spans="1:107">
      <c r="A94" s="1001">
        <v>45941</v>
      </c>
      <c r="B94" s="1002" t="s">
        <v>475</v>
      </c>
      <c r="C94" s="1028" t="s">
        <v>476</v>
      </c>
      <c r="D94" s="1002">
        <v>4500181542</v>
      </c>
      <c r="E94" s="1004" t="s">
        <v>1917</v>
      </c>
      <c r="F94" s="1027" t="s">
        <v>1918</v>
      </c>
      <c r="G94" s="1005" t="s">
        <v>1532</v>
      </c>
      <c r="H94" s="1003" t="s">
        <v>1524</v>
      </c>
      <c r="I94" s="1003">
        <v>624</v>
      </c>
      <c r="J94" s="1003">
        <v>0</v>
      </c>
      <c r="K94" s="1003">
        <v>52</v>
      </c>
      <c r="L94" s="1006">
        <f t="shared" si="29"/>
        <v>12</v>
      </c>
      <c r="M94" s="1007">
        <v>45987</v>
      </c>
      <c r="N94" s="1007">
        <v>45983</v>
      </c>
      <c r="O94" s="1004"/>
      <c r="P94" s="1008" t="s">
        <v>86</v>
      </c>
      <c r="Q94" s="1004"/>
      <c r="R94" s="1009">
        <v>45941</v>
      </c>
      <c r="S94" s="1009" t="s">
        <v>98</v>
      </c>
      <c r="T94" s="1009" t="s">
        <v>1919</v>
      </c>
      <c r="U94" s="1009"/>
      <c r="V94" s="1010" t="s">
        <v>1920</v>
      </c>
      <c r="W94" s="1011" t="s">
        <v>481</v>
      </c>
      <c r="X94" s="1012">
        <v>2.15</v>
      </c>
      <c r="Y94" s="1013">
        <f>X94*I94</f>
        <v>1341.6</v>
      </c>
      <c r="Z94" s="1013"/>
      <c r="AA94" s="1004" t="s">
        <v>1921</v>
      </c>
      <c r="AB94" s="1005" t="s">
        <v>1532</v>
      </c>
      <c r="AC94" s="1003" t="s">
        <v>93</v>
      </c>
      <c r="AD94" s="1003" t="s">
        <v>94</v>
      </c>
      <c r="AE94" s="1004"/>
      <c r="AF94" s="1014">
        <v>624</v>
      </c>
      <c r="AG94" s="1014">
        <f t="shared" si="30"/>
        <v>0</v>
      </c>
      <c r="AH94" s="1015"/>
      <c r="AI94" s="1004" t="s">
        <v>95</v>
      </c>
      <c r="AJ94" s="1004"/>
      <c r="AK94" s="926">
        <f t="shared" si="31"/>
        <v>624</v>
      </c>
      <c r="AL94" s="1016">
        <f>I94</f>
        <v>624</v>
      </c>
      <c r="AN94" s="1016"/>
      <c r="AO94" s="974">
        <f t="shared" si="32"/>
        <v>624</v>
      </c>
      <c r="AR94" s="974">
        <f>I94/13</f>
        <v>48</v>
      </c>
      <c r="BE94" s="1017"/>
      <c r="BF94" s="1017"/>
      <c r="BG94" s="1017"/>
      <c r="BH94" s="1017"/>
      <c r="BI94" s="1017"/>
      <c r="BN94" s="1018"/>
      <c r="BO94" s="1018"/>
      <c r="BP94" s="1018"/>
      <c r="BQ94" s="1018"/>
      <c r="BR94" s="1018"/>
      <c r="BS94" s="1018"/>
      <c r="BV94" s="964">
        <f t="shared" si="21"/>
        <v>0</v>
      </c>
      <c r="BW94" s="964">
        <f t="shared" si="22"/>
        <v>0</v>
      </c>
      <c r="BX94" s="308">
        <f t="shared" si="23"/>
        <v>636704</v>
      </c>
      <c r="BY94" s="1018"/>
      <c r="BZ94" s="1018"/>
      <c r="CA94" s="1018">
        <f t="shared" si="33"/>
        <v>223296</v>
      </c>
      <c r="CB94" s="1018"/>
      <c r="CC94" s="1018"/>
      <c r="CH94" s="1019"/>
      <c r="CI94" s="1019"/>
      <c r="CJ94" s="1019"/>
      <c r="CK94" s="1019"/>
      <c r="CL94" s="1019"/>
      <c r="CM94" s="1019"/>
      <c r="CN94" s="1019"/>
      <c r="CO94" s="1019"/>
      <c r="CP94" s="1019"/>
      <c r="CQ94" s="1019"/>
      <c r="CR94" s="1019"/>
      <c r="CS94" s="1019"/>
      <c r="CT94" s="1019"/>
      <c r="CU94" s="1019"/>
      <c r="CV94" s="1019"/>
      <c r="CW94" s="1019"/>
      <c r="CX94" s="1019"/>
      <c r="CY94" s="1019"/>
      <c r="CZ94" s="1019"/>
      <c r="DA94" s="1019"/>
      <c r="DB94" s="1019"/>
      <c r="DC94" s="1019"/>
    </row>
    <row r="95" s="974" customFormat="1" ht="31" customHeight="1" spans="1:107">
      <c r="A95" s="1001">
        <v>45952</v>
      </c>
      <c r="B95" s="1002" t="s">
        <v>1758</v>
      </c>
      <c r="C95" s="1028" t="s">
        <v>125</v>
      </c>
      <c r="D95" s="1002">
        <v>4500182662</v>
      </c>
      <c r="E95" s="1004" t="s">
        <v>1922</v>
      </c>
      <c r="F95" s="1002" t="s">
        <v>1923</v>
      </c>
      <c r="G95" s="1005" t="s">
        <v>1537</v>
      </c>
      <c r="H95" s="1003" t="s">
        <v>1538</v>
      </c>
      <c r="I95" s="1003">
        <v>1300</v>
      </c>
      <c r="J95" s="1003">
        <v>0</v>
      </c>
      <c r="K95" s="1003">
        <v>13</v>
      </c>
      <c r="L95" s="1006">
        <f t="shared" si="29"/>
        <v>100</v>
      </c>
      <c r="M95" s="1007">
        <v>45987</v>
      </c>
      <c r="N95" s="1007">
        <v>45983</v>
      </c>
      <c r="O95" s="1004"/>
      <c r="P95" s="1008" t="s">
        <v>86</v>
      </c>
      <c r="Q95" s="1004"/>
      <c r="R95" s="1009">
        <v>45952</v>
      </c>
      <c r="S95" s="1009" t="s">
        <v>98</v>
      </c>
      <c r="T95" s="1009" t="s">
        <v>98</v>
      </c>
      <c r="U95" s="1009"/>
      <c r="V95" s="1010" t="s">
        <v>1924</v>
      </c>
      <c r="W95" s="1011" t="s">
        <v>1766</v>
      </c>
      <c r="X95" s="1012">
        <v>1.0925</v>
      </c>
      <c r="Y95" s="1013">
        <f>I95*X95</f>
        <v>1420.25</v>
      </c>
      <c r="Z95" s="1013"/>
      <c r="AA95" s="1004" t="s">
        <v>1925</v>
      </c>
      <c r="AB95" s="1005" t="s">
        <v>1537</v>
      </c>
      <c r="AC95" s="1003" t="s">
        <v>93</v>
      </c>
      <c r="AD95" s="1003" t="s">
        <v>94</v>
      </c>
      <c r="AE95" s="1004"/>
      <c r="AF95" s="1014">
        <v>1300</v>
      </c>
      <c r="AG95" s="1014">
        <f t="shared" si="30"/>
        <v>0</v>
      </c>
      <c r="AH95" s="1015"/>
      <c r="AI95" s="1004" t="s">
        <v>98</v>
      </c>
      <c r="AJ95" s="1004"/>
      <c r="AK95" s="926">
        <f t="shared" si="31"/>
        <v>1300</v>
      </c>
      <c r="AL95" s="1016">
        <f>I95</f>
        <v>1300</v>
      </c>
      <c r="AN95" s="1016"/>
      <c r="AO95" s="974">
        <f t="shared" si="32"/>
        <v>1300</v>
      </c>
      <c r="AR95" s="974">
        <f>I95/13</f>
        <v>100</v>
      </c>
      <c r="BE95" s="1017"/>
      <c r="BF95" s="1017"/>
      <c r="BG95" s="1017"/>
      <c r="BH95" s="1017"/>
      <c r="BI95" s="1017"/>
      <c r="BN95" s="1018"/>
      <c r="BO95" s="1018"/>
      <c r="BP95" s="1018"/>
      <c r="BQ95" s="1018"/>
      <c r="BR95" s="1018"/>
      <c r="BS95" s="1018"/>
      <c r="BV95" s="964">
        <f t="shared" si="21"/>
        <v>0</v>
      </c>
      <c r="BW95" s="964">
        <f t="shared" si="22"/>
        <v>0</v>
      </c>
      <c r="BX95" s="308">
        <f t="shared" si="23"/>
        <v>638004</v>
      </c>
      <c r="BY95" s="1018"/>
      <c r="BZ95" s="1018"/>
      <c r="CA95" s="1018">
        <f t="shared" si="33"/>
        <v>221996</v>
      </c>
      <c r="CB95" s="1018"/>
      <c r="CC95" s="1018"/>
      <c r="CH95" s="1019"/>
      <c r="CI95" s="1019"/>
      <c r="CJ95" s="1019"/>
      <c r="CK95" s="1019"/>
      <c r="CL95" s="1019"/>
      <c r="CM95" s="1019"/>
      <c r="CN95" s="1019"/>
      <c r="CO95" s="1019"/>
      <c r="CP95" s="1019"/>
      <c r="CQ95" s="1019"/>
      <c r="CR95" s="1019"/>
      <c r="CS95" s="1019"/>
      <c r="CT95" s="1019"/>
      <c r="CU95" s="1019"/>
      <c r="CV95" s="1019"/>
      <c r="CW95" s="1019"/>
      <c r="CX95" s="1019"/>
      <c r="CY95" s="1019"/>
      <c r="CZ95" s="1019"/>
      <c r="DA95" s="1019"/>
      <c r="DB95" s="1019"/>
      <c r="DC95" s="1019"/>
    </row>
    <row r="96" s="974" customFormat="1" ht="31" customHeight="1" spans="1:107">
      <c r="A96" s="1001">
        <v>45952</v>
      </c>
      <c r="B96" s="1002" t="s">
        <v>1758</v>
      </c>
      <c r="C96" s="1028" t="s">
        <v>125</v>
      </c>
      <c r="D96" s="1002">
        <v>4500182662</v>
      </c>
      <c r="E96" s="1004" t="s">
        <v>1926</v>
      </c>
      <c r="F96" s="1002" t="s">
        <v>1927</v>
      </c>
      <c r="G96" s="1005" t="s">
        <v>1537</v>
      </c>
      <c r="H96" s="1003" t="s">
        <v>1538</v>
      </c>
      <c r="I96" s="1003">
        <v>1950</v>
      </c>
      <c r="J96" s="1003">
        <v>0</v>
      </c>
      <c r="K96" s="1003">
        <v>13</v>
      </c>
      <c r="L96" s="1006">
        <f t="shared" si="29"/>
        <v>150</v>
      </c>
      <c r="M96" s="1007">
        <v>45987</v>
      </c>
      <c r="N96" s="1007">
        <v>45983</v>
      </c>
      <c r="O96" s="1004"/>
      <c r="P96" s="1008" t="s">
        <v>86</v>
      </c>
      <c r="Q96" s="1004"/>
      <c r="R96" s="1009">
        <v>45952</v>
      </c>
      <c r="S96" s="1009" t="s">
        <v>98</v>
      </c>
      <c r="T96" s="1009" t="s">
        <v>98</v>
      </c>
      <c r="U96" s="1009"/>
      <c r="V96" s="1010" t="s">
        <v>1924</v>
      </c>
      <c r="W96" s="1011" t="s">
        <v>1766</v>
      </c>
      <c r="X96" s="1012">
        <v>1.1025</v>
      </c>
      <c r="Y96" s="1013">
        <f>I96*X96</f>
        <v>2149.875</v>
      </c>
      <c r="Z96" s="1013"/>
      <c r="AA96" s="1004" t="s">
        <v>1928</v>
      </c>
      <c r="AB96" s="1005" t="s">
        <v>1537</v>
      </c>
      <c r="AC96" s="1003" t="s">
        <v>93</v>
      </c>
      <c r="AD96" s="1003" t="s">
        <v>94</v>
      </c>
      <c r="AE96" s="1004"/>
      <c r="AF96" s="1014">
        <v>1950</v>
      </c>
      <c r="AG96" s="1014">
        <f t="shared" si="30"/>
        <v>0</v>
      </c>
      <c r="AH96" s="1015"/>
      <c r="AI96" s="1004" t="s">
        <v>98</v>
      </c>
      <c r="AJ96" s="1004"/>
      <c r="AK96" s="926">
        <f t="shared" si="31"/>
        <v>1950</v>
      </c>
      <c r="AL96" s="1016">
        <f>I96</f>
        <v>1950</v>
      </c>
      <c r="AN96" s="1016"/>
      <c r="AO96" s="974">
        <f t="shared" si="32"/>
        <v>1950</v>
      </c>
      <c r="AR96" s="974">
        <f>I96/13</f>
        <v>150</v>
      </c>
      <c r="BE96" s="1017"/>
      <c r="BF96" s="1017"/>
      <c r="BG96" s="1017"/>
      <c r="BH96" s="1017"/>
      <c r="BI96" s="1017"/>
      <c r="BN96" s="1018"/>
      <c r="BO96" s="1018"/>
      <c r="BP96" s="1018"/>
      <c r="BQ96" s="1018"/>
      <c r="BR96" s="1018"/>
      <c r="BS96" s="1018"/>
      <c r="BV96" s="964">
        <f t="shared" si="21"/>
        <v>0</v>
      </c>
      <c r="BW96" s="964">
        <f t="shared" si="22"/>
        <v>0</v>
      </c>
      <c r="BX96" s="308">
        <f t="shared" si="23"/>
        <v>639954</v>
      </c>
      <c r="BY96" s="1018"/>
      <c r="BZ96" s="1018"/>
      <c r="CA96" s="1018">
        <f t="shared" si="33"/>
        <v>220046</v>
      </c>
      <c r="CB96" s="1018"/>
      <c r="CC96" s="1018"/>
      <c r="CH96" s="1019"/>
      <c r="CI96" s="1019"/>
      <c r="CJ96" s="1019"/>
      <c r="CK96" s="1019"/>
      <c r="CL96" s="1019"/>
      <c r="CM96" s="1019"/>
      <c r="CN96" s="1019"/>
      <c r="CO96" s="1019"/>
      <c r="CP96" s="1019"/>
      <c r="CQ96" s="1019"/>
      <c r="CR96" s="1019"/>
      <c r="CS96" s="1019"/>
      <c r="CT96" s="1019"/>
      <c r="CU96" s="1019"/>
      <c r="CV96" s="1019"/>
      <c r="CW96" s="1019"/>
      <c r="CX96" s="1019"/>
      <c r="CY96" s="1019"/>
      <c r="CZ96" s="1019"/>
      <c r="DA96" s="1019"/>
      <c r="DB96" s="1019"/>
      <c r="DC96" s="1019"/>
    </row>
    <row r="97" s="974" customFormat="1" ht="31" customHeight="1" spans="1:107">
      <c r="A97" s="1001">
        <v>45930</v>
      </c>
      <c r="B97" s="1002" t="s">
        <v>1929</v>
      </c>
      <c r="C97" s="1028" t="s">
        <v>1930</v>
      </c>
      <c r="D97" s="1002">
        <v>4500181046</v>
      </c>
      <c r="E97" s="1004" t="s">
        <v>1931</v>
      </c>
      <c r="F97" s="1027" t="s">
        <v>1932</v>
      </c>
      <c r="G97" s="1005" t="s">
        <v>1537</v>
      </c>
      <c r="H97" s="1003" t="s">
        <v>1538</v>
      </c>
      <c r="I97" s="1003">
        <v>1170</v>
      </c>
      <c r="J97" s="1003">
        <v>0</v>
      </c>
      <c r="K97" s="1003">
        <v>13</v>
      </c>
      <c r="L97" s="1006">
        <f t="shared" si="29"/>
        <v>90</v>
      </c>
      <c r="M97" s="1007">
        <v>45988</v>
      </c>
      <c r="N97" s="1007">
        <v>45985</v>
      </c>
      <c r="O97" s="1004"/>
      <c r="P97" s="1008" t="s">
        <v>86</v>
      </c>
      <c r="Q97" s="1004"/>
      <c r="R97" s="1009">
        <v>45930</v>
      </c>
      <c r="S97" s="1009" t="s">
        <v>98</v>
      </c>
      <c r="T97" s="1009" t="s">
        <v>1933</v>
      </c>
      <c r="U97" s="1009"/>
      <c r="V97" s="1010" t="s">
        <v>1934</v>
      </c>
      <c r="W97" s="1011" t="s">
        <v>1847</v>
      </c>
      <c r="X97" s="1012">
        <v>2.39</v>
      </c>
      <c r="Y97" s="1013">
        <f>I97*X97</f>
        <v>2796.3</v>
      </c>
      <c r="Z97" s="1013"/>
      <c r="AA97" s="1004" t="s">
        <v>1935</v>
      </c>
      <c r="AB97" s="1005" t="s">
        <v>1849</v>
      </c>
      <c r="AC97" s="1003" t="s">
        <v>93</v>
      </c>
      <c r="AD97" s="1003" t="s">
        <v>94</v>
      </c>
      <c r="AE97" s="1004"/>
      <c r="AF97" s="1014">
        <v>1170</v>
      </c>
      <c r="AG97" s="1014">
        <f t="shared" si="30"/>
        <v>0</v>
      </c>
      <c r="AH97" s="1015"/>
      <c r="AI97" s="1004" t="s">
        <v>95</v>
      </c>
      <c r="AJ97" s="1004"/>
      <c r="AK97" s="926">
        <f t="shared" si="31"/>
        <v>1170</v>
      </c>
      <c r="AL97" s="1003"/>
      <c r="AN97" s="1016">
        <f>I97</f>
        <v>1170</v>
      </c>
      <c r="AO97" s="974">
        <f t="shared" si="32"/>
        <v>1170</v>
      </c>
      <c r="AS97" s="974">
        <f>I97/13</f>
        <v>90</v>
      </c>
      <c r="BE97" s="1017"/>
      <c r="BF97" s="1017"/>
      <c r="BG97" s="1017"/>
      <c r="BH97" s="1017"/>
      <c r="BI97" s="1017"/>
      <c r="BN97" s="1018"/>
      <c r="BO97" s="1018"/>
      <c r="BP97" s="1018"/>
      <c r="BQ97" s="1018"/>
      <c r="BR97" s="1018"/>
      <c r="BS97" s="1018"/>
      <c r="BV97" s="964">
        <f t="shared" si="21"/>
        <v>0</v>
      </c>
      <c r="BW97" s="964">
        <f t="shared" si="22"/>
        <v>0</v>
      </c>
      <c r="BX97" s="308">
        <f t="shared" si="23"/>
        <v>641124</v>
      </c>
      <c r="BY97" s="1018"/>
      <c r="BZ97" s="1018"/>
      <c r="CA97" s="1018">
        <f t="shared" si="33"/>
        <v>218876</v>
      </c>
      <c r="CB97" s="1018"/>
      <c r="CC97" s="1018"/>
      <c r="CH97" s="1019"/>
      <c r="CI97" s="1019"/>
      <c r="CJ97" s="1019"/>
      <c r="CK97" s="1019"/>
      <c r="CL97" s="1019"/>
      <c r="CM97" s="1019"/>
      <c r="CN97" s="1019"/>
      <c r="CO97" s="1019"/>
      <c r="CP97" s="1019"/>
      <c r="CQ97" s="1019"/>
      <c r="CR97" s="1019"/>
      <c r="CS97" s="1019"/>
      <c r="CT97" s="1019"/>
      <c r="CU97" s="1019"/>
      <c r="CV97" s="1019"/>
      <c r="CW97" s="1019"/>
      <c r="CX97" s="1019"/>
      <c r="CY97" s="1019"/>
      <c r="CZ97" s="1019"/>
      <c r="DA97" s="1019"/>
      <c r="DB97" s="1019"/>
      <c r="DC97" s="1019"/>
    </row>
    <row r="98" s="974" customFormat="1" ht="31" customHeight="1" spans="1:107">
      <c r="A98" s="1001">
        <v>45930</v>
      </c>
      <c r="B98" s="1002" t="s">
        <v>1936</v>
      </c>
      <c r="C98" s="1028" t="s">
        <v>329</v>
      </c>
      <c r="D98" s="1002">
        <v>4500181123</v>
      </c>
      <c r="E98" s="1004" t="s">
        <v>1937</v>
      </c>
      <c r="F98" s="1027" t="s">
        <v>1938</v>
      </c>
      <c r="G98" s="1005" t="s">
        <v>1746</v>
      </c>
      <c r="H98" s="953" t="s">
        <v>1747</v>
      </c>
      <c r="I98" s="1003">
        <v>504</v>
      </c>
      <c r="J98" s="1003">
        <v>0</v>
      </c>
      <c r="K98" s="1003">
        <v>12</v>
      </c>
      <c r="L98" s="1006">
        <f t="shared" si="29"/>
        <v>42</v>
      </c>
      <c r="M98" s="1007">
        <v>45988</v>
      </c>
      <c r="N98" s="1007">
        <v>45985</v>
      </c>
      <c r="O98" s="1004"/>
      <c r="P98" s="1008" t="s">
        <v>86</v>
      </c>
      <c r="Q98" s="1004" t="s">
        <v>1939</v>
      </c>
      <c r="R98" s="1009" t="s">
        <v>1905</v>
      </c>
      <c r="S98" s="1009" t="s">
        <v>88</v>
      </c>
      <c r="T98" s="1009" t="s">
        <v>1940</v>
      </c>
      <c r="U98" s="1009"/>
      <c r="V98" s="1010" t="s">
        <v>1941</v>
      </c>
      <c r="W98" s="1011" t="s">
        <v>1942</v>
      </c>
      <c r="X98" s="1029">
        <v>2.7354</v>
      </c>
      <c r="Y98" s="1013">
        <f>X98*I98</f>
        <v>1378.6416</v>
      </c>
      <c r="Z98" s="1013"/>
      <c r="AA98" s="1004" t="s">
        <v>1943</v>
      </c>
      <c r="AB98" s="1004" t="s">
        <v>1746</v>
      </c>
      <c r="AC98" s="1003" t="s">
        <v>93</v>
      </c>
      <c r="AD98" s="1003" t="s">
        <v>94</v>
      </c>
      <c r="AE98" s="1004"/>
      <c r="AF98" s="1014">
        <v>504</v>
      </c>
      <c r="AG98" s="1014">
        <f t="shared" si="30"/>
        <v>0</v>
      </c>
      <c r="AH98" s="1015"/>
      <c r="AI98" s="1004"/>
      <c r="AJ98" s="1004"/>
      <c r="AK98" s="951">
        <f>I98*2</f>
        <v>1008</v>
      </c>
      <c r="AL98" s="1003"/>
      <c r="AM98" s="1016">
        <f>I98*2</f>
        <v>1008</v>
      </c>
      <c r="AN98" s="1016"/>
      <c r="AO98" s="856">
        <f>I98*2</f>
        <v>1008</v>
      </c>
      <c r="BE98" s="1017"/>
      <c r="BF98" s="1017"/>
      <c r="BG98" s="1017"/>
      <c r="BH98" s="1017"/>
      <c r="BI98" s="1017"/>
      <c r="BJ98" s="974">
        <f>I98</f>
        <v>504</v>
      </c>
      <c r="BK98" s="974">
        <f>I98</f>
        <v>504</v>
      </c>
      <c r="BL98" s="974">
        <f>I98</f>
        <v>504</v>
      </c>
      <c r="BN98" s="1018"/>
      <c r="BO98" s="1018"/>
      <c r="BP98" s="1018"/>
      <c r="BQ98" s="1018"/>
      <c r="BR98" s="1018"/>
      <c r="BS98" s="1018"/>
      <c r="BV98" s="964">
        <f t="shared" si="21"/>
        <v>0</v>
      </c>
      <c r="BW98" s="964">
        <f t="shared" si="22"/>
        <v>0</v>
      </c>
      <c r="BX98" s="308">
        <f t="shared" si="23"/>
        <v>642132</v>
      </c>
      <c r="BY98" s="1018"/>
      <c r="BZ98" s="1018"/>
      <c r="CA98" s="1018">
        <f t="shared" si="33"/>
        <v>217868</v>
      </c>
      <c r="CB98" s="1018"/>
      <c r="CC98" s="1018"/>
      <c r="CH98" s="1019"/>
      <c r="CI98" s="1019"/>
      <c r="CJ98" s="1019"/>
      <c r="CK98" s="1019"/>
      <c r="CL98" s="1019"/>
      <c r="CM98" s="1019"/>
      <c r="CN98" s="1019"/>
      <c r="CO98" s="1019"/>
      <c r="CP98" s="1019"/>
      <c r="CQ98" s="1019"/>
      <c r="CR98" s="1019"/>
      <c r="CS98" s="1019"/>
      <c r="CT98" s="1019"/>
      <c r="CU98" s="1019"/>
      <c r="CV98" s="1019"/>
      <c r="CW98" s="1019"/>
      <c r="CX98" s="1019"/>
      <c r="CY98" s="1019"/>
      <c r="CZ98" s="1019"/>
      <c r="DA98" s="1019"/>
      <c r="DB98" s="1019"/>
      <c r="DC98" s="1019"/>
    </row>
    <row r="99" s="974" customFormat="1" ht="31" customHeight="1" spans="1:107">
      <c r="A99" s="1001">
        <v>45930</v>
      </c>
      <c r="B99" s="1002" t="s">
        <v>1936</v>
      </c>
      <c r="C99" s="1028" t="s">
        <v>1944</v>
      </c>
      <c r="D99" s="1002">
        <v>4500181123</v>
      </c>
      <c r="E99" s="1004" t="s">
        <v>1945</v>
      </c>
      <c r="F99" s="1027" t="s">
        <v>1946</v>
      </c>
      <c r="G99" s="1005" t="s">
        <v>1746</v>
      </c>
      <c r="H99" s="953" t="s">
        <v>1747</v>
      </c>
      <c r="I99" s="1003">
        <v>504</v>
      </c>
      <c r="J99" s="1003">
        <v>0</v>
      </c>
      <c r="K99" s="1003">
        <v>12</v>
      </c>
      <c r="L99" s="1006">
        <f t="shared" si="29"/>
        <v>42</v>
      </c>
      <c r="M99" s="1007">
        <v>45988</v>
      </c>
      <c r="N99" s="1007">
        <v>45985</v>
      </c>
      <c r="O99" s="1004"/>
      <c r="P99" s="1008" t="s">
        <v>86</v>
      </c>
      <c r="Q99" s="1004" t="s">
        <v>1939</v>
      </c>
      <c r="R99" s="1009" t="s">
        <v>1905</v>
      </c>
      <c r="S99" s="1009" t="s">
        <v>88</v>
      </c>
      <c r="T99" s="1009" t="s">
        <v>1940</v>
      </c>
      <c r="U99" s="1009"/>
      <c r="V99" s="1010" t="s">
        <v>1941</v>
      </c>
      <c r="W99" s="1011" t="s">
        <v>1942</v>
      </c>
      <c r="X99" s="1029">
        <v>2.7354</v>
      </c>
      <c r="Y99" s="1013">
        <f>X99*I99</f>
        <v>1378.6416</v>
      </c>
      <c r="Z99" s="1013"/>
      <c r="AA99" s="1004" t="s">
        <v>1947</v>
      </c>
      <c r="AB99" s="1004" t="s">
        <v>1746</v>
      </c>
      <c r="AC99" s="1003" t="s">
        <v>93</v>
      </c>
      <c r="AD99" s="1003" t="s">
        <v>94</v>
      </c>
      <c r="AE99" s="1004"/>
      <c r="AF99" s="1014">
        <v>504</v>
      </c>
      <c r="AG99" s="1014">
        <f t="shared" si="30"/>
        <v>0</v>
      </c>
      <c r="AH99" s="1015"/>
      <c r="AI99" s="1004"/>
      <c r="AJ99" s="1004"/>
      <c r="AK99" s="951">
        <f>I99*2</f>
        <v>1008</v>
      </c>
      <c r="AL99" s="1003"/>
      <c r="AM99" s="1016">
        <f>I99*2</f>
        <v>1008</v>
      </c>
      <c r="AN99" s="1016"/>
      <c r="AO99" s="856">
        <f>I99*2</f>
        <v>1008</v>
      </c>
      <c r="BE99" s="1017"/>
      <c r="BF99" s="1017"/>
      <c r="BG99" s="1017"/>
      <c r="BH99" s="1017"/>
      <c r="BI99" s="1017"/>
      <c r="BJ99" s="974">
        <f>I99</f>
        <v>504</v>
      </c>
      <c r="BK99" s="974">
        <f>I99</f>
        <v>504</v>
      </c>
      <c r="BL99" s="974">
        <f>I99</f>
        <v>504</v>
      </c>
      <c r="BN99" s="1018"/>
      <c r="BO99" s="1018"/>
      <c r="BP99" s="1018"/>
      <c r="BQ99" s="1018"/>
      <c r="BR99" s="1018"/>
      <c r="BS99" s="1018"/>
      <c r="BV99" s="964">
        <f t="shared" ref="BV99:BV130" si="34">AT99+AU99+AY99</f>
        <v>0</v>
      </c>
      <c r="BW99" s="964">
        <f t="shared" ref="BW99:BW130" si="35">BF99+BG99+BI99</f>
        <v>0</v>
      </c>
      <c r="BX99" s="308">
        <f t="shared" si="23"/>
        <v>643140</v>
      </c>
      <c r="BY99" s="1018"/>
      <c r="BZ99" s="1018"/>
      <c r="CA99" s="1018">
        <f t="shared" si="33"/>
        <v>216860</v>
      </c>
      <c r="CB99" s="1018"/>
      <c r="CC99" s="1018"/>
      <c r="CH99" s="1019"/>
      <c r="CI99" s="1019"/>
      <c r="CJ99" s="1019"/>
      <c r="CK99" s="1019"/>
      <c r="CL99" s="1019"/>
      <c r="CM99" s="1019"/>
      <c r="CN99" s="1019"/>
      <c r="CO99" s="1019"/>
      <c r="CP99" s="1019"/>
      <c r="CQ99" s="1019"/>
      <c r="CR99" s="1019"/>
      <c r="CS99" s="1019"/>
      <c r="CT99" s="1019"/>
      <c r="CU99" s="1019"/>
      <c r="CV99" s="1019"/>
      <c r="CW99" s="1019"/>
      <c r="CX99" s="1019"/>
      <c r="CY99" s="1019"/>
      <c r="CZ99" s="1019"/>
      <c r="DA99" s="1019"/>
      <c r="DB99" s="1019"/>
      <c r="DC99" s="1019"/>
    </row>
    <row r="100" s="974" customFormat="1" ht="31" customHeight="1" spans="1:107">
      <c r="A100" s="1001">
        <v>45946</v>
      </c>
      <c r="B100" s="1002" t="s">
        <v>1948</v>
      </c>
      <c r="C100" s="1028" t="s">
        <v>1949</v>
      </c>
      <c r="D100" s="1002">
        <v>4500182163</v>
      </c>
      <c r="E100" s="1004">
        <v>14873</v>
      </c>
      <c r="F100" s="1027" t="s">
        <v>1950</v>
      </c>
      <c r="G100" s="1005" t="s">
        <v>1537</v>
      </c>
      <c r="H100" s="1003" t="s">
        <v>1538</v>
      </c>
      <c r="I100" s="1003">
        <v>130</v>
      </c>
      <c r="J100" s="1003">
        <v>0</v>
      </c>
      <c r="K100" s="1003">
        <v>13</v>
      </c>
      <c r="L100" s="1006">
        <f t="shared" si="29"/>
        <v>10</v>
      </c>
      <c r="M100" s="1007">
        <v>45989</v>
      </c>
      <c r="N100" s="1007">
        <v>45985</v>
      </c>
      <c r="O100" s="1004"/>
      <c r="P100" s="1008" t="s">
        <v>86</v>
      </c>
      <c r="Q100" s="1004"/>
      <c r="R100" s="1009">
        <v>45946</v>
      </c>
      <c r="S100" s="1009" t="s">
        <v>98</v>
      </c>
      <c r="T100" s="1009" t="s">
        <v>1723</v>
      </c>
      <c r="U100" s="1009"/>
      <c r="V100" s="1010" t="s">
        <v>1951</v>
      </c>
      <c r="W100" s="1011" t="s">
        <v>1391</v>
      </c>
      <c r="X100" s="1012">
        <v>1.8208</v>
      </c>
      <c r="Y100" s="1013">
        <f>I100*X100</f>
        <v>236.704</v>
      </c>
      <c r="Z100" s="1013"/>
      <c r="AA100" s="1004" t="s">
        <v>1952</v>
      </c>
      <c r="AB100" s="1005" t="s">
        <v>1849</v>
      </c>
      <c r="AC100" s="1003" t="s">
        <v>93</v>
      </c>
      <c r="AD100" s="1003" t="s">
        <v>94</v>
      </c>
      <c r="AE100" s="1004"/>
      <c r="AF100" s="1014">
        <v>130</v>
      </c>
      <c r="AG100" s="1014">
        <f t="shared" si="30"/>
        <v>0</v>
      </c>
      <c r="AH100" s="1015"/>
      <c r="AI100" s="1002" t="s">
        <v>95</v>
      </c>
      <c r="AJ100" s="1004"/>
      <c r="AK100" s="926">
        <f>I100</f>
        <v>130</v>
      </c>
      <c r="AL100" s="1003"/>
      <c r="AN100" s="1016">
        <f>I100</f>
        <v>130</v>
      </c>
      <c r="AO100" s="974">
        <f>I100</f>
        <v>130</v>
      </c>
      <c r="AS100" s="974">
        <f>I100/13</f>
        <v>10</v>
      </c>
      <c r="BE100" s="1017"/>
      <c r="BF100" s="1017"/>
      <c r="BG100" s="1017"/>
      <c r="BH100" s="1017"/>
      <c r="BI100" s="1017"/>
      <c r="BN100" s="1018"/>
      <c r="BO100" s="1018"/>
      <c r="BP100" s="1018"/>
      <c r="BQ100" s="1018"/>
      <c r="BR100" s="1018"/>
      <c r="BS100" s="1018"/>
      <c r="BV100" s="964">
        <f t="shared" si="34"/>
        <v>0</v>
      </c>
      <c r="BW100" s="964">
        <f t="shared" si="35"/>
        <v>0</v>
      </c>
      <c r="BX100" s="308">
        <f t="shared" si="23"/>
        <v>643270</v>
      </c>
      <c r="BY100" s="1018"/>
      <c r="BZ100" s="1018"/>
      <c r="CA100" s="1018">
        <f t="shared" si="33"/>
        <v>216730</v>
      </c>
      <c r="CB100" s="1018"/>
      <c r="CC100" s="1018"/>
      <c r="CH100" s="1019"/>
      <c r="CI100" s="1019"/>
      <c r="CJ100" s="1019"/>
      <c r="CK100" s="1019"/>
      <c r="CL100" s="1019"/>
      <c r="CM100" s="1019"/>
      <c r="CN100" s="1019"/>
      <c r="CO100" s="1019"/>
      <c r="CP100" s="1019"/>
      <c r="CQ100" s="1019"/>
      <c r="CR100" s="1019"/>
      <c r="CS100" s="1019"/>
      <c r="CT100" s="1019"/>
      <c r="CU100" s="1019"/>
      <c r="CV100" s="1019"/>
      <c r="CW100" s="1019"/>
      <c r="CX100" s="1019"/>
      <c r="CY100" s="1019"/>
      <c r="CZ100" s="1019"/>
      <c r="DA100" s="1019"/>
      <c r="DB100" s="1019"/>
      <c r="DC100" s="1019"/>
    </row>
    <row r="101" s="974" customFormat="1" ht="31" customHeight="1" spans="1:107">
      <c r="A101" s="1001">
        <v>45946</v>
      </c>
      <c r="B101" s="1002" t="s">
        <v>1948</v>
      </c>
      <c r="C101" s="1028" t="s">
        <v>1949</v>
      </c>
      <c r="D101" s="1002">
        <v>4500182163</v>
      </c>
      <c r="E101" s="1004">
        <v>14873</v>
      </c>
      <c r="F101" s="1027" t="s">
        <v>1953</v>
      </c>
      <c r="G101" s="1005" t="s">
        <v>1761</v>
      </c>
      <c r="H101" s="1003" t="s">
        <v>1954</v>
      </c>
      <c r="I101" s="1003">
        <v>180</v>
      </c>
      <c r="J101" s="1003">
        <v>0</v>
      </c>
      <c r="K101" s="1003">
        <v>30</v>
      </c>
      <c r="L101" s="1006">
        <f t="shared" si="29"/>
        <v>6</v>
      </c>
      <c r="M101" s="1007">
        <v>45989</v>
      </c>
      <c r="N101" s="1007">
        <v>45985</v>
      </c>
      <c r="O101" s="1004"/>
      <c r="P101" s="1008" t="s">
        <v>86</v>
      </c>
      <c r="Q101" s="1004"/>
      <c r="R101" s="1009">
        <v>45946</v>
      </c>
      <c r="S101" s="1009" t="s">
        <v>98</v>
      </c>
      <c r="T101" s="1009" t="s">
        <v>1723</v>
      </c>
      <c r="U101" s="1009"/>
      <c r="V101" s="1010" t="s">
        <v>1955</v>
      </c>
      <c r="W101" s="1011" t="s">
        <v>1391</v>
      </c>
      <c r="X101" s="1012">
        <v>69.2</v>
      </c>
      <c r="Y101" s="1013">
        <f>X101*L101</f>
        <v>415.2</v>
      </c>
      <c r="Z101" s="1013"/>
      <c r="AA101" s="1004" t="s">
        <v>1952</v>
      </c>
      <c r="AB101" s="1005" t="s">
        <v>1761</v>
      </c>
      <c r="AC101" s="1003" t="s">
        <v>93</v>
      </c>
      <c r="AD101" s="1003" t="s">
        <v>94</v>
      </c>
      <c r="AE101" s="1004"/>
      <c r="AF101" s="1014">
        <v>180</v>
      </c>
      <c r="AG101" s="1014">
        <f t="shared" si="30"/>
        <v>0</v>
      </c>
      <c r="AH101" s="1015"/>
      <c r="AI101" s="1023"/>
      <c r="AJ101" s="1004"/>
      <c r="AK101" s="926">
        <f>I101</f>
        <v>180</v>
      </c>
      <c r="AL101" s="1003"/>
      <c r="AN101" s="1003">
        <f>K101</f>
        <v>30</v>
      </c>
      <c r="AO101" s="974">
        <f>I101</f>
        <v>180</v>
      </c>
      <c r="BE101" s="1017"/>
      <c r="BF101" s="1017"/>
      <c r="BG101" s="1017"/>
      <c r="BH101" s="1017"/>
      <c r="BI101" s="1017">
        <f>L101</f>
        <v>6</v>
      </c>
      <c r="BN101" s="1018"/>
      <c r="BO101" s="1018"/>
      <c r="BP101" s="1018"/>
      <c r="BQ101" s="1018"/>
      <c r="BR101" s="1018"/>
      <c r="BS101" s="1018"/>
      <c r="BV101" s="964">
        <f t="shared" si="34"/>
        <v>0</v>
      </c>
      <c r="BW101" s="964">
        <f t="shared" si="35"/>
        <v>6</v>
      </c>
      <c r="BX101" s="308">
        <f t="shared" si="23"/>
        <v>643450</v>
      </c>
      <c r="BY101" s="1018"/>
      <c r="BZ101" s="1018"/>
      <c r="CA101" s="1018">
        <f t="shared" si="33"/>
        <v>216550</v>
      </c>
      <c r="CB101" s="1018"/>
      <c r="CC101" s="1018"/>
      <c r="CH101" s="1019"/>
      <c r="CI101" s="1019"/>
      <c r="CJ101" s="1019"/>
      <c r="CK101" s="1019"/>
      <c r="CL101" s="1019"/>
      <c r="CM101" s="1019"/>
      <c r="CN101" s="1019"/>
      <c r="CO101" s="1019"/>
      <c r="CP101" s="1019"/>
      <c r="CQ101" s="1019"/>
      <c r="CR101" s="1019"/>
      <c r="CS101" s="1019"/>
      <c r="CT101" s="1019"/>
      <c r="CU101" s="1019"/>
      <c r="CV101" s="1019"/>
      <c r="CW101" s="1019"/>
      <c r="CX101" s="1019"/>
      <c r="CY101" s="1019"/>
      <c r="CZ101" s="1019"/>
      <c r="DA101" s="1019"/>
      <c r="DB101" s="1019"/>
      <c r="DC101" s="1019"/>
    </row>
    <row r="102" s="974" customFormat="1" ht="31" customHeight="1" spans="1:107">
      <c r="A102" s="1001">
        <v>45930</v>
      </c>
      <c r="B102" s="1002" t="s">
        <v>1956</v>
      </c>
      <c r="C102" s="1028" t="s">
        <v>110</v>
      </c>
      <c r="D102" s="1002">
        <v>4500181162</v>
      </c>
      <c r="E102" s="1004" t="s">
        <v>1957</v>
      </c>
      <c r="F102" s="1027" t="s">
        <v>1958</v>
      </c>
      <c r="G102" s="1005" t="s">
        <v>1746</v>
      </c>
      <c r="H102" s="953" t="s">
        <v>1747</v>
      </c>
      <c r="I102" s="1003">
        <v>588</v>
      </c>
      <c r="J102" s="1003">
        <v>0</v>
      </c>
      <c r="K102" s="1003">
        <v>12</v>
      </c>
      <c r="L102" s="1006">
        <f t="shared" si="29"/>
        <v>49</v>
      </c>
      <c r="M102" s="1007">
        <v>45989</v>
      </c>
      <c r="N102" s="1007">
        <v>45985</v>
      </c>
      <c r="O102" s="1004"/>
      <c r="P102" s="1008" t="s">
        <v>86</v>
      </c>
      <c r="Q102" s="1004"/>
      <c r="R102" s="1009" t="s">
        <v>1905</v>
      </c>
      <c r="S102" s="1009" t="s">
        <v>88</v>
      </c>
      <c r="T102" s="1009" t="s">
        <v>1959</v>
      </c>
      <c r="U102" s="1009"/>
      <c r="V102" s="1010" t="s">
        <v>1960</v>
      </c>
      <c r="W102" s="1011" t="s">
        <v>599</v>
      </c>
      <c r="X102" s="1012">
        <v>4.82</v>
      </c>
      <c r="Y102" s="1013">
        <f>X102*I102</f>
        <v>2834.16</v>
      </c>
      <c r="Z102" s="1013"/>
      <c r="AA102" s="1004" t="s">
        <v>1961</v>
      </c>
      <c r="AB102" s="1004" t="s">
        <v>1746</v>
      </c>
      <c r="AC102" s="1003" t="s">
        <v>93</v>
      </c>
      <c r="AD102" s="1003" t="s">
        <v>94</v>
      </c>
      <c r="AE102" s="1004"/>
      <c r="AF102" s="1014">
        <v>588</v>
      </c>
      <c r="AG102" s="1014">
        <f t="shared" si="30"/>
        <v>0</v>
      </c>
      <c r="AH102" s="1015"/>
      <c r="AI102" s="1004" t="s">
        <v>95</v>
      </c>
      <c r="AJ102" s="1004"/>
      <c r="AK102" s="951">
        <f>I102*2</f>
        <v>1176</v>
      </c>
      <c r="AL102" s="1003"/>
      <c r="AM102" s="1016">
        <f>I102*2</f>
        <v>1176</v>
      </c>
      <c r="AN102" s="1016"/>
      <c r="AO102" s="856">
        <f>I102*2</f>
        <v>1176</v>
      </c>
      <c r="BE102" s="1017"/>
      <c r="BF102" s="1017"/>
      <c r="BG102" s="1017"/>
      <c r="BH102" s="1017"/>
      <c r="BI102" s="1017"/>
      <c r="BJ102" s="974">
        <f>I102</f>
        <v>588</v>
      </c>
      <c r="BK102" s="974">
        <f>I102</f>
        <v>588</v>
      </c>
      <c r="BL102" s="974">
        <f>I102</f>
        <v>588</v>
      </c>
      <c r="BN102" s="1018"/>
      <c r="BO102" s="1018"/>
      <c r="BP102" s="1018"/>
      <c r="BQ102" s="1018"/>
      <c r="BR102" s="1018"/>
      <c r="BS102" s="1018"/>
      <c r="BV102" s="964">
        <f t="shared" si="34"/>
        <v>0</v>
      </c>
      <c r="BW102" s="964">
        <f t="shared" si="35"/>
        <v>0</v>
      </c>
      <c r="BX102" s="308">
        <f t="shared" si="23"/>
        <v>644626</v>
      </c>
      <c r="BY102" s="1018"/>
      <c r="BZ102" s="1018"/>
      <c r="CA102" s="1018">
        <f t="shared" si="33"/>
        <v>215374</v>
      </c>
      <c r="CB102" s="1018"/>
      <c r="CC102" s="1018"/>
      <c r="CH102" s="1019"/>
      <c r="CI102" s="1019"/>
      <c r="CJ102" s="1019"/>
      <c r="CK102" s="1019"/>
      <c r="CL102" s="1019"/>
      <c r="CM102" s="1019"/>
      <c r="CN102" s="1019"/>
      <c r="CO102" s="1019"/>
      <c r="CP102" s="1019"/>
      <c r="CQ102" s="1019"/>
      <c r="CR102" s="1019"/>
      <c r="CS102" s="1019"/>
      <c r="CT102" s="1019"/>
      <c r="CU102" s="1019"/>
      <c r="CV102" s="1019"/>
      <c r="CW102" s="1019"/>
      <c r="CX102" s="1019"/>
      <c r="CY102" s="1019"/>
      <c r="CZ102" s="1019"/>
      <c r="DA102" s="1019"/>
      <c r="DB102" s="1019"/>
      <c r="DC102" s="1019"/>
    </row>
    <row r="103" s="974" customFormat="1" ht="31" customHeight="1" spans="1:107">
      <c r="A103" s="1001">
        <v>45930</v>
      </c>
      <c r="B103" s="1002" t="s">
        <v>1956</v>
      </c>
      <c r="C103" s="1028" t="s">
        <v>1068</v>
      </c>
      <c r="D103" s="1002">
        <v>4500181162</v>
      </c>
      <c r="E103" s="1004" t="s">
        <v>1962</v>
      </c>
      <c r="F103" s="1027" t="s">
        <v>1963</v>
      </c>
      <c r="G103" s="1005" t="s">
        <v>1746</v>
      </c>
      <c r="H103" s="953" t="s">
        <v>1747</v>
      </c>
      <c r="I103" s="1003">
        <v>504</v>
      </c>
      <c r="J103" s="1003">
        <v>0</v>
      </c>
      <c r="K103" s="1003">
        <v>12</v>
      </c>
      <c r="L103" s="1006">
        <f t="shared" si="29"/>
        <v>42</v>
      </c>
      <c r="M103" s="1007">
        <v>45989</v>
      </c>
      <c r="N103" s="1007">
        <v>45985</v>
      </c>
      <c r="O103" s="1004"/>
      <c r="P103" s="1008" t="s">
        <v>86</v>
      </c>
      <c r="Q103" s="1004"/>
      <c r="R103" s="1009" t="s">
        <v>1905</v>
      </c>
      <c r="S103" s="1009" t="s">
        <v>88</v>
      </c>
      <c r="T103" s="1009" t="s">
        <v>1959</v>
      </c>
      <c r="U103" s="1009"/>
      <c r="V103" s="1010" t="s">
        <v>1960</v>
      </c>
      <c r="W103" s="1011" t="s">
        <v>599</v>
      </c>
      <c r="X103" s="1012">
        <v>4.82</v>
      </c>
      <c r="Y103" s="1013">
        <f>X103*I103</f>
        <v>2429.28</v>
      </c>
      <c r="Z103" s="1013"/>
      <c r="AA103" s="1004" t="s">
        <v>1961</v>
      </c>
      <c r="AB103" s="1004" t="s">
        <v>1746</v>
      </c>
      <c r="AC103" s="1003" t="s">
        <v>93</v>
      </c>
      <c r="AD103" s="1003" t="s">
        <v>94</v>
      </c>
      <c r="AE103" s="1004"/>
      <c r="AF103" s="1014">
        <v>504</v>
      </c>
      <c r="AG103" s="1014">
        <f t="shared" si="30"/>
        <v>0</v>
      </c>
      <c r="AH103" s="1015"/>
      <c r="AI103" s="1004" t="s">
        <v>95</v>
      </c>
      <c r="AJ103" s="1004"/>
      <c r="AK103" s="951">
        <f>I103*2</f>
        <v>1008</v>
      </c>
      <c r="AL103" s="1003"/>
      <c r="AM103" s="1016">
        <f>I103*2</f>
        <v>1008</v>
      </c>
      <c r="AN103" s="1016"/>
      <c r="AO103" s="856">
        <f>I103*2</f>
        <v>1008</v>
      </c>
      <c r="BE103" s="1017"/>
      <c r="BF103" s="1017"/>
      <c r="BG103" s="1017"/>
      <c r="BH103" s="1017"/>
      <c r="BI103" s="1017"/>
      <c r="BJ103" s="974">
        <f>I103</f>
        <v>504</v>
      </c>
      <c r="BK103" s="974">
        <f>I103</f>
        <v>504</v>
      </c>
      <c r="BL103" s="974">
        <f>I103</f>
        <v>504</v>
      </c>
      <c r="BN103" s="1018"/>
      <c r="BO103" s="1018"/>
      <c r="BP103" s="1018"/>
      <c r="BQ103" s="1018"/>
      <c r="BR103" s="1018"/>
      <c r="BS103" s="1018"/>
      <c r="BV103" s="964">
        <f t="shared" si="34"/>
        <v>0</v>
      </c>
      <c r="BW103" s="964">
        <f t="shared" si="35"/>
        <v>0</v>
      </c>
      <c r="BX103" s="308">
        <f t="shared" si="23"/>
        <v>645634</v>
      </c>
      <c r="BY103" s="1018"/>
      <c r="BZ103" s="1018"/>
      <c r="CA103" s="1018">
        <f t="shared" si="33"/>
        <v>214366</v>
      </c>
      <c r="CB103" s="1018"/>
      <c r="CC103" s="1018"/>
      <c r="CH103" s="1019"/>
      <c r="CI103" s="1019"/>
      <c r="CJ103" s="1019"/>
      <c r="CK103" s="1019"/>
      <c r="CL103" s="1019"/>
      <c r="CM103" s="1019"/>
      <c r="CN103" s="1019"/>
      <c r="CO103" s="1019"/>
      <c r="CP103" s="1019"/>
      <c r="CQ103" s="1019"/>
      <c r="CR103" s="1019"/>
      <c r="CS103" s="1019"/>
      <c r="CT103" s="1019"/>
      <c r="CU103" s="1019"/>
      <c r="CV103" s="1019"/>
      <c r="CW103" s="1019"/>
      <c r="CX103" s="1019"/>
      <c r="CY103" s="1019"/>
      <c r="CZ103" s="1019"/>
      <c r="DA103" s="1019"/>
      <c r="DB103" s="1019"/>
      <c r="DC103" s="1019"/>
    </row>
    <row r="104" s="974" customFormat="1" ht="31" customHeight="1" spans="1:107">
      <c r="A104" s="1001">
        <v>45965</v>
      </c>
      <c r="B104" s="1002" t="s">
        <v>1964</v>
      </c>
      <c r="C104" s="1017" t="s">
        <v>1544</v>
      </c>
      <c r="D104" s="1002">
        <v>4500184328</v>
      </c>
      <c r="E104" s="1004"/>
      <c r="F104" s="1002" t="s">
        <v>1965</v>
      </c>
      <c r="G104" s="1005" t="s">
        <v>1523</v>
      </c>
      <c r="H104" s="1003" t="s">
        <v>1524</v>
      </c>
      <c r="I104" s="1003">
        <v>3150</v>
      </c>
      <c r="J104" s="1003">
        <v>0</v>
      </c>
      <c r="K104" s="1003">
        <v>50</v>
      </c>
      <c r="L104" s="1006">
        <f t="shared" si="29"/>
        <v>63</v>
      </c>
      <c r="M104" s="1007">
        <v>45999</v>
      </c>
      <c r="N104" s="1007">
        <v>45995</v>
      </c>
      <c r="O104" s="1004"/>
      <c r="P104" s="1008" t="s">
        <v>86</v>
      </c>
      <c r="Q104" s="1004"/>
      <c r="R104" s="1009">
        <v>45967</v>
      </c>
      <c r="S104" s="1009" t="s">
        <v>98</v>
      </c>
      <c r="T104" s="1009" t="s">
        <v>98</v>
      </c>
      <c r="U104" s="1009"/>
      <c r="V104" s="1010" t="s">
        <v>1966</v>
      </c>
      <c r="W104" s="1011" t="s">
        <v>1967</v>
      </c>
      <c r="X104" s="1012">
        <v>1.9266</v>
      </c>
      <c r="Y104" s="1013">
        <f>X104*I104</f>
        <v>6068.79</v>
      </c>
      <c r="Z104" s="1013"/>
      <c r="AA104" s="1004" t="s">
        <v>1968</v>
      </c>
      <c r="AB104" s="1004" t="s">
        <v>1523</v>
      </c>
      <c r="AC104" s="1003" t="s">
        <v>93</v>
      </c>
      <c r="AD104" s="1003" t="s">
        <v>94</v>
      </c>
      <c r="AE104" s="1004"/>
      <c r="AF104" s="1014">
        <v>3150</v>
      </c>
      <c r="AG104" s="1014">
        <f t="shared" si="30"/>
        <v>0</v>
      </c>
      <c r="AH104" s="1015"/>
      <c r="AI104" s="1004" t="s">
        <v>98</v>
      </c>
      <c r="AJ104" s="1004"/>
      <c r="AK104" s="926">
        <f t="shared" ref="AK104:AK118" si="36">I104</f>
        <v>3150</v>
      </c>
      <c r="AL104" s="1016">
        <f>I104</f>
        <v>3150</v>
      </c>
      <c r="AO104" s="1016">
        <f>I104</f>
        <v>3150</v>
      </c>
      <c r="AQ104" s="1016"/>
      <c r="AT104" s="974">
        <f>L104*2</f>
        <v>126</v>
      </c>
      <c r="AU104" s="1004"/>
      <c r="BE104" s="1017"/>
      <c r="BF104" s="1017"/>
      <c r="BG104" s="1017"/>
      <c r="BH104" s="1017"/>
      <c r="BI104" s="1017"/>
      <c r="BN104" s="1018"/>
      <c r="BO104" s="1018"/>
      <c r="BP104" s="1018"/>
      <c r="BQ104" s="1018"/>
      <c r="BR104" s="1018"/>
      <c r="BS104" s="1018"/>
      <c r="BV104" s="964">
        <f t="shared" si="34"/>
        <v>126</v>
      </c>
      <c r="BW104" s="964">
        <f t="shared" si="35"/>
        <v>0</v>
      </c>
      <c r="BX104" s="308">
        <f t="shared" si="23"/>
        <v>648784</v>
      </c>
      <c r="BY104" s="1018"/>
      <c r="BZ104" s="1018"/>
      <c r="CA104" s="1018">
        <f t="shared" si="33"/>
        <v>211216</v>
      </c>
      <c r="CB104" s="1018"/>
      <c r="CC104" s="1018"/>
      <c r="CH104" s="1019"/>
      <c r="CI104" s="1019"/>
      <c r="CJ104" s="1019"/>
      <c r="CK104" s="1019"/>
      <c r="CL104" s="1019"/>
      <c r="CM104" s="1019"/>
      <c r="CN104" s="1019"/>
      <c r="CO104" s="1019"/>
      <c r="CP104" s="1019"/>
      <c r="CQ104" s="1019"/>
      <c r="CR104" s="1019"/>
      <c r="CS104" s="1019"/>
      <c r="CT104" s="1019"/>
      <c r="CU104" s="1019"/>
      <c r="CV104" s="1019"/>
      <c r="CW104" s="1019"/>
      <c r="CX104" s="1019"/>
      <c r="CY104" s="1019"/>
      <c r="CZ104" s="1019"/>
      <c r="DA104" s="1019"/>
      <c r="DB104" s="1019"/>
      <c r="DC104" s="1019"/>
    </row>
    <row r="105" s="974" customFormat="1" ht="31" customHeight="1" spans="1:107">
      <c r="A105" s="1001">
        <v>45965</v>
      </c>
      <c r="B105" s="1002" t="s">
        <v>1964</v>
      </c>
      <c r="C105" s="1017" t="s">
        <v>1544</v>
      </c>
      <c r="D105" s="1002">
        <v>4500184328</v>
      </c>
      <c r="E105" s="1004"/>
      <c r="F105" s="1002" t="s">
        <v>1969</v>
      </c>
      <c r="G105" s="1005" t="s">
        <v>1523</v>
      </c>
      <c r="H105" s="1003" t="s">
        <v>1524</v>
      </c>
      <c r="I105" s="1003">
        <v>1850</v>
      </c>
      <c r="J105" s="1003">
        <v>0</v>
      </c>
      <c r="K105" s="1003">
        <v>50</v>
      </c>
      <c r="L105" s="1006">
        <f t="shared" si="29"/>
        <v>37</v>
      </c>
      <c r="M105" s="1007">
        <v>45989</v>
      </c>
      <c r="N105" s="1007">
        <v>45985</v>
      </c>
      <c r="O105" s="1004"/>
      <c r="P105" s="1008" t="s">
        <v>86</v>
      </c>
      <c r="Q105" s="1004"/>
      <c r="R105" s="1009">
        <v>45967</v>
      </c>
      <c r="S105" s="1009" t="s">
        <v>98</v>
      </c>
      <c r="T105" s="1009" t="s">
        <v>98</v>
      </c>
      <c r="U105" s="1009"/>
      <c r="V105" s="1010" t="s">
        <v>1966</v>
      </c>
      <c r="W105" s="1011" t="s">
        <v>1967</v>
      </c>
      <c r="X105" s="1012">
        <v>1.9324</v>
      </c>
      <c r="Y105" s="1013">
        <f>X105*I105</f>
        <v>3574.94</v>
      </c>
      <c r="Z105" s="1013"/>
      <c r="AA105" s="1004" t="s">
        <v>1968</v>
      </c>
      <c r="AB105" s="1004" t="s">
        <v>1523</v>
      </c>
      <c r="AC105" s="1003" t="s">
        <v>93</v>
      </c>
      <c r="AD105" s="1003" t="s">
        <v>94</v>
      </c>
      <c r="AE105" s="1004"/>
      <c r="AF105" s="1014">
        <v>1850</v>
      </c>
      <c r="AG105" s="1014">
        <f t="shared" si="30"/>
        <v>0</v>
      </c>
      <c r="AH105" s="1015"/>
      <c r="AI105" s="1004" t="s">
        <v>98</v>
      </c>
      <c r="AJ105" s="1004"/>
      <c r="AK105" s="926">
        <f t="shared" si="36"/>
        <v>1850</v>
      </c>
      <c r="AL105" s="1016">
        <f>I105</f>
        <v>1850</v>
      </c>
      <c r="AO105" s="1016">
        <f>I105</f>
        <v>1850</v>
      </c>
      <c r="AQ105" s="1016"/>
      <c r="AT105" s="974">
        <f>L105*2</f>
        <v>74</v>
      </c>
      <c r="AU105" s="1004"/>
      <c r="BE105" s="1017"/>
      <c r="BF105" s="1017"/>
      <c r="BG105" s="1017"/>
      <c r="BH105" s="1017"/>
      <c r="BI105" s="1017"/>
      <c r="BN105" s="1018"/>
      <c r="BO105" s="1018"/>
      <c r="BP105" s="1018"/>
      <c r="BQ105" s="1018"/>
      <c r="BR105" s="1018"/>
      <c r="BS105" s="1018"/>
      <c r="BV105" s="964">
        <f t="shared" si="34"/>
        <v>74</v>
      </c>
      <c r="BW105" s="964">
        <f t="shared" si="35"/>
        <v>0</v>
      </c>
      <c r="BX105" s="308">
        <f t="shared" si="23"/>
        <v>650634</v>
      </c>
      <c r="BY105" s="1018"/>
      <c r="BZ105" s="1018"/>
      <c r="CA105" s="1018">
        <f t="shared" si="33"/>
        <v>209366</v>
      </c>
      <c r="CB105" s="1018"/>
      <c r="CC105" s="1018"/>
      <c r="CH105" s="1019"/>
      <c r="CI105" s="1019"/>
      <c r="CJ105" s="1019"/>
      <c r="CK105" s="1019"/>
      <c r="CL105" s="1019"/>
      <c r="CM105" s="1019"/>
      <c r="CN105" s="1019"/>
      <c r="CO105" s="1019"/>
      <c r="CP105" s="1019"/>
      <c r="CQ105" s="1019"/>
      <c r="CR105" s="1019"/>
      <c r="CS105" s="1019"/>
      <c r="CT105" s="1019"/>
      <c r="CU105" s="1019"/>
      <c r="CV105" s="1019"/>
      <c r="CW105" s="1019"/>
      <c r="CX105" s="1019"/>
      <c r="CY105" s="1019"/>
      <c r="CZ105" s="1019"/>
      <c r="DA105" s="1019"/>
      <c r="DB105" s="1019"/>
      <c r="DC105" s="1019"/>
    </row>
    <row r="106" s="974" customFormat="1" ht="31" customHeight="1" spans="1:107">
      <c r="A106" s="1001">
        <v>45953</v>
      </c>
      <c r="B106" s="1002" t="s">
        <v>1970</v>
      </c>
      <c r="C106" s="1028" t="s">
        <v>272</v>
      </c>
      <c r="D106" s="1002">
        <v>4500181881</v>
      </c>
      <c r="E106" s="1004"/>
      <c r="F106" s="1002" t="s">
        <v>1971</v>
      </c>
      <c r="G106" s="1005" t="s">
        <v>1529</v>
      </c>
      <c r="H106" s="1003" t="s">
        <v>1524</v>
      </c>
      <c r="I106" s="1003">
        <v>408</v>
      </c>
      <c r="J106" s="1003">
        <v>0</v>
      </c>
      <c r="K106" s="1003">
        <v>24</v>
      </c>
      <c r="L106" s="1006">
        <f t="shared" si="29"/>
        <v>17</v>
      </c>
      <c r="M106" s="1007">
        <v>45991</v>
      </c>
      <c r="N106" s="1007">
        <v>45987</v>
      </c>
      <c r="O106" s="1004"/>
      <c r="P106" s="1008" t="s">
        <v>86</v>
      </c>
      <c r="Q106" s="1004"/>
      <c r="R106" s="1009">
        <v>45950</v>
      </c>
      <c r="S106" s="1009" t="s">
        <v>98</v>
      </c>
      <c r="T106" s="1009" t="s">
        <v>1972</v>
      </c>
      <c r="U106" s="1009"/>
      <c r="V106" s="1010" t="s">
        <v>1973</v>
      </c>
      <c r="W106" s="1011" t="s">
        <v>136</v>
      </c>
      <c r="X106" s="1012">
        <v>1.7964</v>
      </c>
      <c r="Y106" s="1013">
        <f>X106*I106</f>
        <v>732.9312</v>
      </c>
      <c r="Z106" s="1013"/>
      <c r="AA106" s="1030" t="s">
        <v>1974</v>
      </c>
      <c r="AB106" s="1005" t="s">
        <v>1529</v>
      </c>
      <c r="AC106" s="1003" t="s">
        <v>93</v>
      </c>
      <c r="AD106" s="1003" t="s">
        <v>94</v>
      </c>
      <c r="AE106" s="1004"/>
      <c r="AF106" s="1014">
        <v>408</v>
      </c>
      <c r="AG106" s="1014">
        <f t="shared" si="30"/>
        <v>0</v>
      </c>
      <c r="AH106" s="1015"/>
      <c r="AI106" s="1004" t="s">
        <v>95</v>
      </c>
      <c r="AJ106" s="1004"/>
      <c r="AK106" s="926">
        <f t="shared" si="36"/>
        <v>408</v>
      </c>
      <c r="AL106" s="1016">
        <f>I106</f>
        <v>408</v>
      </c>
      <c r="AN106" s="1016"/>
      <c r="AO106" s="974">
        <f>I106</f>
        <v>408</v>
      </c>
      <c r="BE106" s="1017"/>
      <c r="BF106" s="1017"/>
      <c r="BG106" s="1017"/>
      <c r="BH106" s="1017"/>
      <c r="BI106" s="1017"/>
      <c r="BN106" s="1018"/>
      <c r="BO106" s="1018"/>
      <c r="BP106" s="1018"/>
      <c r="BQ106" s="1018"/>
      <c r="BR106" s="1018"/>
      <c r="BS106" s="1018"/>
      <c r="BV106" s="964">
        <f t="shared" si="34"/>
        <v>0</v>
      </c>
      <c r="BW106" s="964">
        <f t="shared" si="35"/>
        <v>0</v>
      </c>
      <c r="BX106" s="308">
        <f t="shared" si="23"/>
        <v>651042</v>
      </c>
      <c r="BY106" s="1018"/>
      <c r="BZ106" s="1018"/>
      <c r="CA106" s="1018">
        <f t="shared" si="33"/>
        <v>208958</v>
      </c>
      <c r="CB106" s="1018"/>
      <c r="CC106" s="1018"/>
      <c r="CH106" s="1019"/>
      <c r="CI106" s="1019"/>
      <c r="CJ106" s="1019"/>
      <c r="CK106" s="1019"/>
      <c r="CL106" s="1019"/>
      <c r="CM106" s="1019"/>
      <c r="CN106" s="1019"/>
      <c r="CO106" s="1019"/>
      <c r="CP106" s="1019"/>
      <c r="CQ106" s="1019"/>
      <c r="CR106" s="1019"/>
      <c r="CS106" s="1019"/>
      <c r="CT106" s="1019"/>
      <c r="CU106" s="1019"/>
      <c r="CV106" s="1019"/>
      <c r="CW106" s="1019"/>
      <c r="CX106" s="1019"/>
      <c r="CY106" s="1019"/>
      <c r="CZ106" s="1019"/>
      <c r="DA106" s="1019"/>
      <c r="DB106" s="1019"/>
      <c r="DC106" s="1019"/>
    </row>
    <row r="107" s="974" customFormat="1" ht="31" customHeight="1" spans="1:107">
      <c r="A107" s="1001">
        <v>45904</v>
      </c>
      <c r="B107" s="1002" t="s">
        <v>1929</v>
      </c>
      <c r="C107" s="1017" t="s">
        <v>1930</v>
      </c>
      <c r="D107" s="1002">
        <v>4500178715</v>
      </c>
      <c r="E107" s="1004" t="s">
        <v>1975</v>
      </c>
      <c r="F107" s="1010" t="s">
        <v>1976</v>
      </c>
      <c r="G107" s="1005" t="s">
        <v>1537</v>
      </c>
      <c r="H107" s="1003" t="s">
        <v>1538</v>
      </c>
      <c r="I107" s="1003">
        <v>3250</v>
      </c>
      <c r="J107" s="1003">
        <v>0</v>
      </c>
      <c r="K107" s="1003">
        <v>13</v>
      </c>
      <c r="L107" s="1006">
        <f t="shared" si="29"/>
        <v>250</v>
      </c>
      <c r="M107" s="1007">
        <v>45992</v>
      </c>
      <c r="N107" s="1007">
        <f>M107-4</f>
        <v>45988</v>
      </c>
      <c r="O107" s="1004"/>
      <c r="P107" s="1008" t="s">
        <v>86</v>
      </c>
      <c r="Q107" s="1004"/>
      <c r="R107" s="1009">
        <v>45941</v>
      </c>
      <c r="S107" s="1009" t="s">
        <v>98</v>
      </c>
      <c r="T107" s="1009" t="s">
        <v>1933</v>
      </c>
      <c r="U107" s="1009"/>
      <c r="V107" s="1010" t="s">
        <v>1977</v>
      </c>
      <c r="W107" s="1011" t="s">
        <v>1847</v>
      </c>
      <c r="X107" s="1012">
        <v>2.39</v>
      </c>
      <c r="Y107" s="1013">
        <f>I107*X107</f>
        <v>7767.5</v>
      </c>
      <c r="Z107" s="1013"/>
      <c r="AA107" s="1004" t="s">
        <v>1978</v>
      </c>
      <c r="AB107" s="1005" t="s">
        <v>1849</v>
      </c>
      <c r="AC107" s="1003" t="s">
        <v>93</v>
      </c>
      <c r="AD107" s="1003" t="s">
        <v>94</v>
      </c>
      <c r="AE107" s="1004"/>
      <c r="AF107" s="1014">
        <v>3250</v>
      </c>
      <c r="AG107" s="1014">
        <f t="shared" si="30"/>
        <v>0</v>
      </c>
      <c r="AH107" s="1015"/>
      <c r="AI107" s="1004" t="s">
        <v>95</v>
      </c>
      <c r="AJ107" s="1004"/>
      <c r="AK107" s="926">
        <f t="shared" si="36"/>
        <v>3250</v>
      </c>
      <c r="AL107" s="1016"/>
      <c r="AN107" s="1016">
        <f>I107</f>
        <v>3250</v>
      </c>
      <c r="AO107" s="974">
        <f t="shared" ref="AO107:AO114" si="37">I107</f>
        <v>3250</v>
      </c>
      <c r="AS107" s="974">
        <f>I107/13</f>
        <v>250</v>
      </c>
      <c r="BE107" s="1017"/>
      <c r="BF107" s="1017"/>
      <c r="BG107" s="1017"/>
      <c r="BH107" s="1017"/>
      <c r="BI107" s="1017"/>
      <c r="BN107" s="1018"/>
      <c r="BO107" s="1018"/>
      <c r="BP107" s="1018"/>
      <c r="BQ107" s="1018"/>
      <c r="BR107" s="1018"/>
      <c r="BS107" s="1018"/>
      <c r="BV107" s="964">
        <f t="shared" si="34"/>
        <v>0</v>
      </c>
      <c r="BW107" s="964">
        <f t="shared" si="35"/>
        <v>0</v>
      </c>
      <c r="BX107" s="308">
        <f t="shared" si="23"/>
        <v>654292</v>
      </c>
      <c r="BY107" s="1018"/>
      <c r="BZ107" s="1018"/>
      <c r="CA107" s="1018">
        <f t="shared" si="33"/>
        <v>205708</v>
      </c>
      <c r="CB107" s="1031"/>
      <c r="CC107" s="1018"/>
      <c r="CH107" s="1019"/>
      <c r="CI107" s="1019"/>
      <c r="CJ107" s="1019"/>
      <c r="CK107" s="1019"/>
      <c r="CL107" s="1019"/>
      <c r="CM107" s="1019"/>
      <c r="CN107" s="1019"/>
      <c r="CO107" s="1019"/>
      <c r="CP107" s="1019"/>
      <c r="CQ107" s="1019"/>
      <c r="CR107" s="1019"/>
      <c r="CS107" s="1019"/>
      <c r="CT107" s="1019"/>
      <c r="CU107" s="1019"/>
      <c r="CV107" s="1019"/>
      <c r="CW107" s="1019"/>
      <c r="CX107" s="1019"/>
      <c r="CY107" s="1019"/>
      <c r="CZ107" s="1019"/>
      <c r="DA107" s="1019"/>
      <c r="DB107" s="1019"/>
      <c r="DC107" s="1019"/>
    </row>
    <row r="108" s="974" customFormat="1" ht="31" customHeight="1" spans="1:107">
      <c r="A108" s="1001">
        <v>45943</v>
      </c>
      <c r="B108" s="1002" t="s">
        <v>1979</v>
      </c>
      <c r="C108" s="1017" t="s">
        <v>1930</v>
      </c>
      <c r="D108" s="1002">
        <v>4500176686</v>
      </c>
      <c r="E108" s="1004">
        <v>300581433</v>
      </c>
      <c r="F108" s="1010" t="s">
        <v>1980</v>
      </c>
      <c r="G108" s="1005" t="s">
        <v>1981</v>
      </c>
      <c r="H108" s="1003" t="s">
        <v>1982</v>
      </c>
      <c r="I108" s="1003">
        <v>611</v>
      </c>
      <c r="J108" s="1003">
        <v>0</v>
      </c>
      <c r="K108" s="1003">
        <v>13</v>
      </c>
      <c r="L108" s="1006">
        <f t="shared" si="29"/>
        <v>47</v>
      </c>
      <c r="M108" s="1007">
        <v>45993</v>
      </c>
      <c r="N108" s="1007">
        <v>45989</v>
      </c>
      <c r="O108" s="1004"/>
      <c r="P108" s="1008" t="s">
        <v>86</v>
      </c>
      <c r="Q108" s="1004"/>
      <c r="R108" s="1009">
        <v>45946</v>
      </c>
      <c r="S108" s="1009" t="s">
        <v>98</v>
      </c>
      <c r="T108" s="1009" t="s">
        <v>1983</v>
      </c>
      <c r="U108" s="1009"/>
      <c r="V108" s="1010" t="s">
        <v>1984</v>
      </c>
      <c r="W108" s="1011" t="s">
        <v>1391</v>
      </c>
      <c r="X108" s="1012">
        <v>2.33</v>
      </c>
      <c r="Y108" s="1013">
        <f>I108*X108</f>
        <v>1423.63</v>
      </c>
      <c r="Z108" s="1013"/>
      <c r="AA108" s="1004" t="s">
        <v>1985</v>
      </c>
      <c r="AB108" s="1005" t="s">
        <v>1981</v>
      </c>
      <c r="AC108" s="1003" t="s">
        <v>93</v>
      </c>
      <c r="AD108" s="1003" t="s">
        <v>94</v>
      </c>
      <c r="AE108" s="1004"/>
      <c r="AF108" s="1014">
        <v>611</v>
      </c>
      <c r="AG108" s="1014">
        <f t="shared" si="30"/>
        <v>0</v>
      </c>
      <c r="AH108" s="1015"/>
      <c r="AI108" s="1004" t="s">
        <v>95</v>
      </c>
      <c r="AJ108" s="1004"/>
      <c r="AK108" s="926">
        <f t="shared" si="36"/>
        <v>611</v>
      </c>
      <c r="AL108" s="1016"/>
      <c r="AN108" s="1016">
        <f>I108</f>
        <v>611</v>
      </c>
      <c r="AO108" s="974">
        <f t="shared" si="37"/>
        <v>611</v>
      </c>
      <c r="BE108" s="1017"/>
      <c r="BF108" s="1017"/>
      <c r="BG108" s="1017"/>
      <c r="BH108" s="1017"/>
      <c r="BI108" s="1017"/>
      <c r="BN108" s="1018"/>
      <c r="BO108" s="1018"/>
      <c r="BP108" s="1018"/>
      <c r="BQ108" s="1018"/>
      <c r="BR108" s="1018"/>
      <c r="BS108" s="1018"/>
      <c r="BV108" s="964">
        <f t="shared" si="34"/>
        <v>0</v>
      </c>
      <c r="BW108" s="964">
        <f t="shared" si="35"/>
        <v>0</v>
      </c>
      <c r="BX108" s="308">
        <f t="shared" si="23"/>
        <v>654903</v>
      </c>
      <c r="BY108" s="1018"/>
      <c r="BZ108" s="1018"/>
      <c r="CA108" s="1018">
        <f t="shared" si="33"/>
        <v>205097</v>
      </c>
      <c r="CB108" s="1018"/>
      <c r="CC108" s="1018"/>
      <c r="CH108" s="1019"/>
      <c r="CI108" s="1019"/>
      <c r="CJ108" s="1019"/>
      <c r="CK108" s="1019"/>
      <c r="CL108" s="1019"/>
      <c r="CM108" s="1019"/>
      <c r="CN108" s="1019"/>
      <c r="CO108" s="1019"/>
      <c r="CP108" s="1019"/>
      <c r="CQ108" s="1019"/>
      <c r="CR108" s="1019"/>
      <c r="CS108" s="1019"/>
      <c r="CT108" s="1019"/>
      <c r="CU108" s="1019"/>
      <c r="CV108" s="1019"/>
      <c r="CW108" s="1019"/>
      <c r="CX108" s="1019"/>
      <c r="CY108" s="1019"/>
      <c r="CZ108" s="1019"/>
      <c r="DA108" s="1019"/>
      <c r="DB108" s="1019"/>
      <c r="DC108" s="1019"/>
    </row>
    <row r="109" s="974" customFormat="1" ht="31" customHeight="1" spans="1:107">
      <c r="A109" s="1001">
        <v>45961</v>
      </c>
      <c r="B109" s="1002" t="s">
        <v>578</v>
      </c>
      <c r="C109" s="1017" t="s">
        <v>125</v>
      </c>
      <c r="D109" s="1002">
        <v>4500183832</v>
      </c>
      <c r="E109" s="1423" t="s">
        <v>1986</v>
      </c>
      <c r="F109" s="1002" t="s">
        <v>1987</v>
      </c>
      <c r="G109" s="1005" t="s">
        <v>1584</v>
      </c>
      <c r="H109" s="1003" t="s">
        <v>1585</v>
      </c>
      <c r="I109" s="1003">
        <v>960</v>
      </c>
      <c r="J109" s="1003">
        <v>0</v>
      </c>
      <c r="K109" s="1003">
        <v>16</v>
      </c>
      <c r="L109" s="1006">
        <f t="shared" si="29"/>
        <v>60</v>
      </c>
      <c r="M109" s="1007">
        <v>45993</v>
      </c>
      <c r="N109" s="1007">
        <v>45989</v>
      </c>
      <c r="O109" s="1004"/>
      <c r="P109" s="1008" t="s">
        <v>86</v>
      </c>
      <c r="Q109" s="1004"/>
      <c r="R109" s="1009" t="s">
        <v>296</v>
      </c>
      <c r="S109" s="1009" t="s">
        <v>98</v>
      </c>
      <c r="T109" s="1009" t="s">
        <v>1791</v>
      </c>
      <c r="U109" s="1009"/>
      <c r="V109" s="1010" t="s">
        <v>1626</v>
      </c>
      <c r="W109" s="1011" t="s">
        <v>247</v>
      </c>
      <c r="X109" s="1012">
        <v>1.2079</v>
      </c>
      <c r="Y109" s="1013">
        <f>X109*I109</f>
        <v>1159.584</v>
      </c>
      <c r="Z109" s="1013"/>
      <c r="AA109" s="1004" t="s">
        <v>1988</v>
      </c>
      <c r="AB109" s="1005" t="s">
        <v>1584</v>
      </c>
      <c r="AC109" s="1003" t="s">
        <v>93</v>
      </c>
      <c r="AD109" s="1003" t="s">
        <v>94</v>
      </c>
      <c r="AE109" s="1004"/>
      <c r="AF109" s="1014">
        <v>960</v>
      </c>
      <c r="AG109" s="1014">
        <f t="shared" si="30"/>
        <v>0</v>
      </c>
      <c r="AH109" s="1015"/>
      <c r="AI109" s="1004" t="s">
        <v>95</v>
      </c>
      <c r="AJ109" s="1004"/>
      <c r="AK109" s="926">
        <f t="shared" si="36"/>
        <v>960</v>
      </c>
      <c r="AL109" s="1016">
        <f>I109</f>
        <v>960</v>
      </c>
      <c r="AN109" s="1016"/>
      <c r="AO109" s="974">
        <f t="shared" si="37"/>
        <v>960</v>
      </c>
      <c r="AY109" s="974">
        <f>I109/16</f>
        <v>60</v>
      </c>
      <c r="BE109" s="1017"/>
      <c r="BF109" s="1017"/>
      <c r="BG109" s="1017"/>
      <c r="BH109" s="1017"/>
      <c r="BI109" s="1017"/>
      <c r="BN109" s="1018"/>
      <c r="BO109" s="1018"/>
      <c r="BP109" s="1018"/>
      <c r="BQ109" s="1018"/>
      <c r="BR109" s="1018"/>
      <c r="BS109" s="1018"/>
      <c r="BV109" s="964">
        <f t="shared" si="34"/>
        <v>60</v>
      </c>
      <c r="BW109" s="964">
        <f t="shared" si="35"/>
        <v>0</v>
      </c>
      <c r="BX109" s="308">
        <f t="shared" si="23"/>
        <v>655863</v>
      </c>
      <c r="BY109" s="1018"/>
      <c r="BZ109" s="1018"/>
      <c r="CA109" s="1018">
        <f t="shared" si="33"/>
        <v>204137</v>
      </c>
      <c r="CB109" s="1018"/>
      <c r="CC109" s="1018"/>
      <c r="CH109" s="1019"/>
      <c r="CI109" s="1019"/>
      <c r="CJ109" s="1019"/>
      <c r="CK109" s="1019"/>
      <c r="CL109" s="1019"/>
      <c r="CM109" s="1019"/>
      <c r="CN109" s="1019"/>
      <c r="CO109" s="1019"/>
      <c r="CP109" s="1019"/>
      <c r="CQ109" s="1019"/>
      <c r="CR109" s="1019"/>
      <c r="CS109" s="1019"/>
      <c r="CT109" s="1019"/>
      <c r="CU109" s="1019"/>
      <c r="CV109" s="1019"/>
      <c r="CW109" s="1019"/>
      <c r="CX109" s="1019"/>
      <c r="CY109" s="1019"/>
      <c r="CZ109" s="1019"/>
      <c r="DA109" s="1019"/>
      <c r="DB109" s="1019"/>
      <c r="DC109" s="1019"/>
    </row>
    <row r="110" s="974" customFormat="1" ht="31" customHeight="1" spans="1:107">
      <c r="A110" s="1001">
        <v>45961</v>
      </c>
      <c r="B110" s="1002" t="s">
        <v>578</v>
      </c>
      <c r="C110" s="1017" t="s">
        <v>125</v>
      </c>
      <c r="D110" s="1002">
        <v>4500183832</v>
      </c>
      <c r="E110" s="1423" t="s">
        <v>1989</v>
      </c>
      <c r="F110" s="1002" t="s">
        <v>1990</v>
      </c>
      <c r="G110" s="1005" t="s">
        <v>1584</v>
      </c>
      <c r="H110" s="1003" t="s">
        <v>1585</v>
      </c>
      <c r="I110" s="1003">
        <v>960</v>
      </c>
      <c r="J110" s="1003">
        <v>0</v>
      </c>
      <c r="K110" s="1003">
        <v>16</v>
      </c>
      <c r="L110" s="1006">
        <f t="shared" si="29"/>
        <v>60</v>
      </c>
      <c r="M110" s="1007">
        <v>45993</v>
      </c>
      <c r="N110" s="1007">
        <v>45989</v>
      </c>
      <c r="O110" s="1004"/>
      <c r="P110" s="1008" t="s">
        <v>86</v>
      </c>
      <c r="Q110" s="1004"/>
      <c r="R110" s="1009" t="s">
        <v>296</v>
      </c>
      <c r="S110" s="1009" t="s">
        <v>98</v>
      </c>
      <c r="T110" s="1009" t="s">
        <v>1791</v>
      </c>
      <c r="U110" s="1009"/>
      <c r="V110" s="1010" t="s">
        <v>1626</v>
      </c>
      <c r="W110" s="1011" t="s">
        <v>247</v>
      </c>
      <c r="X110" s="1012">
        <v>1.2079</v>
      </c>
      <c r="Y110" s="1013">
        <f>X110*I110</f>
        <v>1159.584</v>
      </c>
      <c r="Z110" s="1013"/>
      <c r="AA110" s="1004" t="s">
        <v>1991</v>
      </c>
      <c r="AB110" s="1005" t="s">
        <v>1584</v>
      </c>
      <c r="AC110" s="1003" t="s">
        <v>93</v>
      </c>
      <c r="AD110" s="1003" t="s">
        <v>94</v>
      </c>
      <c r="AE110" s="1004"/>
      <c r="AF110" s="1014">
        <v>960</v>
      </c>
      <c r="AG110" s="1014">
        <f t="shared" si="30"/>
        <v>0</v>
      </c>
      <c r="AH110" s="1015"/>
      <c r="AI110" s="1004" t="s">
        <v>95</v>
      </c>
      <c r="AJ110" s="1004"/>
      <c r="AK110" s="926">
        <f t="shared" si="36"/>
        <v>960</v>
      </c>
      <c r="AL110" s="1016">
        <f>I110</f>
        <v>960</v>
      </c>
      <c r="AN110" s="1016"/>
      <c r="AO110" s="974">
        <f t="shared" si="37"/>
        <v>960</v>
      </c>
      <c r="AY110" s="974">
        <f>I110/16</f>
        <v>60</v>
      </c>
      <c r="BE110" s="1017"/>
      <c r="BF110" s="1017"/>
      <c r="BG110" s="1017"/>
      <c r="BH110" s="1017"/>
      <c r="BI110" s="1017"/>
      <c r="BN110" s="1018"/>
      <c r="BO110" s="1018"/>
      <c r="BP110" s="1018"/>
      <c r="BQ110" s="1018"/>
      <c r="BR110" s="1018"/>
      <c r="BS110" s="1018"/>
      <c r="BV110" s="964">
        <f t="shared" si="34"/>
        <v>60</v>
      </c>
      <c r="BW110" s="964">
        <f t="shared" si="35"/>
        <v>0</v>
      </c>
      <c r="BX110" s="308">
        <f t="shared" si="23"/>
        <v>656823</v>
      </c>
      <c r="BY110" s="1018"/>
      <c r="BZ110" s="1018"/>
      <c r="CA110" s="1018">
        <f t="shared" si="33"/>
        <v>203177</v>
      </c>
      <c r="CB110" s="1018"/>
      <c r="CC110" s="1018"/>
      <c r="CH110" s="1019"/>
      <c r="CI110" s="1019"/>
      <c r="CJ110" s="1019"/>
      <c r="CK110" s="1019"/>
      <c r="CL110" s="1019"/>
      <c r="CM110" s="1019"/>
      <c r="CN110" s="1019"/>
      <c r="CO110" s="1019"/>
      <c r="CP110" s="1019"/>
      <c r="CQ110" s="1019"/>
      <c r="CR110" s="1019"/>
      <c r="CS110" s="1019"/>
      <c r="CT110" s="1019"/>
      <c r="CU110" s="1019"/>
      <c r="CV110" s="1019"/>
      <c r="CW110" s="1019"/>
      <c r="CX110" s="1019"/>
      <c r="CY110" s="1019"/>
      <c r="CZ110" s="1019"/>
      <c r="DA110" s="1019"/>
      <c r="DB110" s="1019"/>
      <c r="DC110" s="1019"/>
    </row>
    <row r="111" s="974" customFormat="1" ht="31" customHeight="1" spans="1:107">
      <c r="A111" s="1001">
        <v>45961</v>
      </c>
      <c r="B111" s="1002" t="s">
        <v>578</v>
      </c>
      <c r="C111" s="1017" t="s">
        <v>125</v>
      </c>
      <c r="D111" s="1002">
        <v>4500183832</v>
      </c>
      <c r="E111" s="1423" t="s">
        <v>1992</v>
      </c>
      <c r="F111" s="1002" t="s">
        <v>1993</v>
      </c>
      <c r="G111" s="1005" t="s">
        <v>1584</v>
      </c>
      <c r="H111" s="1003" t="s">
        <v>1585</v>
      </c>
      <c r="I111" s="1003">
        <v>960</v>
      </c>
      <c r="J111" s="1003">
        <v>0</v>
      </c>
      <c r="K111" s="1003">
        <v>16</v>
      </c>
      <c r="L111" s="1006">
        <f t="shared" si="29"/>
        <v>60</v>
      </c>
      <c r="M111" s="1007">
        <v>45993</v>
      </c>
      <c r="N111" s="1007">
        <v>45989</v>
      </c>
      <c r="O111" s="1004" t="s">
        <v>1994</v>
      </c>
      <c r="P111" s="1008" t="s">
        <v>86</v>
      </c>
      <c r="Q111" s="1004"/>
      <c r="R111" s="1009" t="s">
        <v>296</v>
      </c>
      <c r="S111" s="1009" t="s">
        <v>98</v>
      </c>
      <c r="T111" s="1009" t="s">
        <v>1791</v>
      </c>
      <c r="U111" s="1009"/>
      <c r="V111" s="1010" t="s">
        <v>1626</v>
      </c>
      <c r="W111" s="1011" t="s">
        <v>247</v>
      </c>
      <c r="X111" s="1012">
        <v>1.2079</v>
      </c>
      <c r="Y111" s="1013">
        <f>X111*I111</f>
        <v>1159.584</v>
      </c>
      <c r="Z111" s="1013"/>
      <c r="AA111" s="1004" t="s">
        <v>1995</v>
      </c>
      <c r="AB111" s="1005" t="s">
        <v>1584</v>
      </c>
      <c r="AC111" s="1003" t="s">
        <v>93</v>
      </c>
      <c r="AD111" s="1003" t="s">
        <v>94</v>
      </c>
      <c r="AE111" s="1004"/>
      <c r="AF111" s="1014">
        <v>960</v>
      </c>
      <c r="AG111" s="1014">
        <f t="shared" si="30"/>
        <v>0</v>
      </c>
      <c r="AH111" s="1015"/>
      <c r="AI111" s="1004" t="s">
        <v>95</v>
      </c>
      <c r="AJ111" s="1004"/>
      <c r="AK111" s="926">
        <f t="shared" si="36"/>
        <v>960</v>
      </c>
      <c r="AL111" s="1016">
        <f>I111</f>
        <v>960</v>
      </c>
      <c r="AN111" s="1016"/>
      <c r="AO111" s="974">
        <f t="shared" si="37"/>
        <v>960</v>
      </c>
      <c r="AY111" s="974">
        <f>I111/16</f>
        <v>60</v>
      </c>
      <c r="BE111" s="1017"/>
      <c r="BF111" s="1017"/>
      <c r="BG111" s="1017"/>
      <c r="BH111" s="1017"/>
      <c r="BI111" s="1017"/>
      <c r="BN111" s="1018"/>
      <c r="BO111" s="1018"/>
      <c r="BP111" s="1018"/>
      <c r="BQ111" s="1018"/>
      <c r="BR111" s="1018"/>
      <c r="BS111" s="1018"/>
      <c r="BV111" s="964">
        <f t="shared" si="34"/>
        <v>60</v>
      </c>
      <c r="BW111" s="964">
        <f t="shared" si="35"/>
        <v>0</v>
      </c>
      <c r="BX111" s="308">
        <f t="shared" si="23"/>
        <v>657783</v>
      </c>
      <c r="BY111" s="1018"/>
      <c r="BZ111" s="1018"/>
      <c r="CA111" s="1018">
        <f t="shared" si="33"/>
        <v>202217</v>
      </c>
      <c r="CB111" s="1018"/>
      <c r="CC111" s="1018"/>
      <c r="CH111" s="1019"/>
      <c r="CI111" s="1019"/>
      <c r="CJ111" s="1019"/>
      <c r="CK111" s="1019"/>
      <c r="CL111" s="1019"/>
      <c r="CM111" s="1019"/>
      <c r="CN111" s="1019"/>
      <c r="CO111" s="1019"/>
      <c r="CP111" s="1019"/>
      <c r="CQ111" s="1019"/>
      <c r="CR111" s="1019"/>
      <c r="CS111" s="1019"/>
      <c r="CT111" s="1019"/>
      <c r="CU111" s="1019"/>
      <c r="CV111" s="1019"/>
      <c r="CW111" s="1019"/>
      <c r="CX111" s="1019"/>
      <c r="CY111" s="1019"/>
      <c r="CZ111" s="1019"/>
      <c r="DA111" s="1019"/>
      <c r="DB111" s="1019"/>
      <c r="DC111" s="1019"/>
    </row>
    <row r="112" s="974" customFormat="1" ht="31" customHeight="1" spans="1:107">
      <c r="A112" s="1001">
        <v>45958</v>
      </c>
      <c r="B112" s="1002" t="s">
        <v>1996</v>
      </c>
      <c r="C112" s="1017" t="s">
        <v>1949</v>
      </c>
      <c r="D112" s="1002">
        <v>4500183281</v>
      </c>
      <c r="E112" s="1004">
        <v>1329</v>
      </c>
      <c r="F112" s="1010" t="s">
        <v>1997</v>
      </c>
      <c r="G112" s="1005" t="s">
        <v>1537</v>
      </c>
      <c r="H112" s="1003" t="s">
        <v>1538</v>
      </c>
      <c r="I112" s="1003">
        <v>1209</v>
      </c>
      <c r="J112" s="1003">
        <v>0</v>
      </c>
      <c r="K112" s="1003">
        <v>13</v>
      </c>
      <c r="L112" s="1006">
        <f t="shared" si="29"/>
        <v>93</v>
      </c>
      <c r="M112" s="1007">
        <v>45994</v>
      </c>
      <c r="N112" s="1007">
        <f>M112-4</f>
        <v>45990</v>
      </c>
      <c r="O112" s="1004"/>
      <c r="P112" s="1008" t="s">
        <v>86</v>
      </c>
      <c r="Q112" s="1004"/>
      <c r="R112" s="1009">
        <v>45959</v>
      </c>
      <c r="S112" s="1009" t="s">
        <v>98</v>
      </c>
      <c r="T112" s="1009" t="s">
        <v>1723</v>
      </c>
      <c r="U112" s="1009"/>
      <c r="V112" s="1010" t="s">
        <v>1998</v>
      </c>
      <c r="W112" s="1011" t="s">
        <v>1865</v>
      </c>
      <c r="X112" s="1012">
        <v>1.8208</v>
      </c>
      <c r="Y112" s="1013">
        <f>I112*X112</f>
        <v>2201.3472</v>
      </c>
      <c r="Z112" s="1013"/>
      <c r="AA112" s="1004" t="s">
        <v>1999</v>
      </c>
      <c r="AB112" s="1005" t="s">
        <v>1849</v>
      </c>
      <c r="AC112" s="1003" t="s">
        <v>93</v>
      </c>
      <c r="AD112" s="1003" t="s">
        <v>94</v>
      </c>
      <c r="AE112" s="1004"/>
      <c r="AF112" s="1014">
        <v>1209</v>
      </c>
      <c r="AG112" s="1014">
        <f t="shared" si="30"/>
        <v>0</v>
      </c>
      <c r="AH112" s="1015"/>
      <c r="AI112" s="1004" t="s">
        <v>95</v>
      </c>
      <c r="AJ112" s="1004"/>
      <c r="AK112" s="926">
        <f t="shared" si="36"/>
        <v>1209</v>
      </c>
      <c r="AL112" s="1016"/>
      <c r="AN112" s="1016">
        <f>I112</f>
        <v>1209</v>
      </c>
      <c r="AO112" s="974">
        <f t="shared" si="37"/>
        <v>1209</v>
      </c>
      <c r="AS112" s="974">
        <f>I112/13</f>
        <v>93</v>
      </c>
      <c r="BE112" s="1017"/>
      <c r="BF112" s="1017"/>
      <c r="BG112" s="1017"/>
      <c r="BH112" s="1017"/>
      <c r="BI112" s="1017"/>
      <c r="BN112" s="1018"/>
      <c r="BO112" s="1018"/>
      <c r="BP112" s="1018"/>
      <c r="BQ112" s="1018"/>
      <c r="BR112" s="1018"/>
      <c r="BS112" s="1018"/>
      <c r="BV112" s="964">
        <f t="shared" si="34"/>
        <v>0</v>
      </c>
      <c r="BW112" s="964">
        <f t="shared" si="35"/>
        <v>0</v>
      </c>
      <c r="BX112" s="308">
        <f t="shared" si="23"/>
        <v>658992</v>
      </c>
      <c r="BY112" s="1018"/>
      <c r="BZ112" s="1018"/>
      <c r="CA112" s="1018">
        <f t="shared" si="33"/>
        <v>201008</v>
      </c>
      <c r="CB112" s="1018"/>
      <c r="CC112" s="1018"/>
      <c r="CH112" s="1019"/>
      <c r="CI112" s="1019"/>
      <c r="CJ112" s="1019"/>
      <c r="CK112" s="1019"/>
      <c r="CL112" s="1019"/>
      <c r="CM112" s="1019"/>
      <c r="CN112" s="1019"/>
      <c r="CO112" s="1019"/>
      <c r="CP112" s="1019"/>
      <c r="CQ112" s="1019"/>
      <c r="CR112" s="1019"/>
      <c r="CS112" s="1019"/>
      <c r="CT112" s="1019"/>
      <c r="CU112" s="1019"/>
      <c r="CV112" s="1019"/>
      <c r="CW112" s="1019"/>
      <c r="CX112" s="1019"/>
      <c r="CY112" s="1019"/>
      <c r="CZ112" s="1019"/>
      <c r="DA112" s="1019"/>
      <c r="DB112" s="1019"/>
      <c r="DC112" s="1019"/>
    </row>
    <row r="113" s="974" customFormat="1" ht="31" customHeight="1" spans="1:107">
      <c r="A113" s="1001">
        <v>45909</v>
      </c>
      <c r="B113" s="1002" t="s">
        <v>2000</v>
      </c>
      <c r="C113" s="1017" t="s">
        <v>1949</v>
      </c>
      <c r="D113" s="1002">
        <v>4500177965</v>
      </c>
      <c r="E113" s="1004">
        <v>28004</v>
      </c>
      <c r="F113" s="1010" t="s">
        <v>2001</v>
      </c>
      <c r="G113" s="1005" t="s">
        <v>1537</v>
      </c>
      <c r="H113" s="1003" t="s">
        <v>1538</v>
      </c>
      <c r="I113" s="1003">
        <v>195</v>
      </c>
      <c r="J113" s="1003">
        <v>0</v>
      </c>
      <c r="K113" s="1003">
        <v>13</v>
      </c>
      <c r="L113" s="1006">
        <f t="shared" si="29"/>
        <v>15</v>
      </c>
      <c r="M113" s="1007">
        <v>45994</v>
      </c>
      <c r="N113" s="1007">
        <v>45990</v>
      </c>
      <c r="O113" s="1004"/>
      <c r="P113" s="1008" t="s">
        <v>86</v>
      </c>
      <c r="Q113" s="1004" t="s">
        <v>2002</v>
      </c>
      <c r="R113" s="1009">
        <v>45944</v>
      </c>
      <c r="S113" s="1009" t="s">
        <v>98</v>
      </c>
      <c r="T113" s="1009" t="s">
        <v>2003</v>
      </c>
      <c r="U113" s="1009"/>
      <c r="V113" s="1010" t="s">
        <v>2004</v>
      </c>
      <c r="W113" s="1011" t="s">
        <v>2005</v>
      </c>
      <c r="X113" s="1012">
        <v>2.39</v>
      </c>
      <c r="Y113" s="1013">
        <f>I113*X113</f>
        <v>466.05</v>
      </c>
      <c r="Z113" s="1013"/>
      <c r="AA113" s="1004" t="s">
        <v>2006</v>
      </c>
      <c r="AB113" s="1005" t="s">
        <v>1849</v>
      </c>
      <c r="AC113" s="1003" t="s">
        <v>93</v>
      </c>
      <c r="AD113" s="1003" t="s">
        <v>94</v>
      </c>
      <c r="AE113" s="1004"/>
      <c r="AF113" s="1014">
        <v>195</v>
      </c>
      <c r="AG113" s="1014">
        <f t="shared" si="30"/>
        <v>0</v>
      </c>
      <c r="AH113" s="1015"/>
      <c r="AI113" s="1004" t="s">
        <v>95</v>
      </c>
      <c r="AJ113" s="1004"/>
      <c r="AK113" s="926">
        <f t="shared" si="36"/>
        <v>195</v>
      </c>
      <c r="AL113" s="1016"/>
      <c r="AN113" s="1016">
        <f>I113</f>
        <v>195</v>
      </c>
      <c r="AO113" s="974">
        <f t="shared" si="37"/>
        <v>195</v>
      </c>
      <c r="AS113" s="974">
        <f>I113/13</f>
        <v>15</v>
      </c>
      <c r="BE113" s="1017"/>
      <c r="BF113" s="1017"/>
      <c r="BG113" s="1017"/>
      <c r="BH113" s="1017"/>
      <c r="BI113" s="1017"/>
      <c r="BN113" s="1018"/>
      <c r="BO113" s="1018"/>
      <c r="BP113" s="1018"/>
      <c r="BQ113" s="1018"/>
      <c r="BR113" s="1018"/>
      <c r="BS113" s="1018"/>
      <c r="BV113" s="964">
        <f t="shared" si="34"/>
        <v>0</v>
      </c>
      <c r="BW113" s="964">
        <f t="shared" si="35"/>
        <v>0</v>
      </c>
      <c r="BX113" s="308">
        <f t="shared" si="23"/>
        <v>659187</v>
      </c>
      <c r="BY113" s="1018"/>
      <c r="BZ113" s="1018"/>
      <c r="CA113" s="1018">
        <f t="shared" si="33"/>
        <v>200813</v>
      </c>
      <c r="CB113" s="1018"/>
      <c r="CC113" s="1018"/>
      <c r="CH113" s="1019"/>
      <c r="CI113" s="1019"/>
      <c r="CJ113" s="1019"/>
      <c r="CK113" s="1019"/>
      <c r="CL113" s="1019"/>
      <c r="CM113" s="1019"/>
      <c r="CN113" s="1019"/>
      <c r="CO113" s="1019"/>
      <c r="CP113" s="1019"/>
      <c r="CQ113" s="1019"/>
      <c r="CR113" s="1019"/>
      <c r="CS113" s="1019"/>
      <c r="CT113" s="1019"/>
      <c r="CU113" s="1019"/>
      <c r="CV113" s="1019"/>
      <c r="CW113" s="1019"/>
      <c r="CX113" s="1019"/>
      <c r="CY113" s="1019"/>
      <c r="CZ113" s="1019"/>
      <c r="DA113" s="1019"/>
      <c r="DB113" s="1019"/>
      <c r="DC113" s="1019"/>
    </row>
    <row r="114" s="974" customFormat="1" ht="31" customHeight="1" spans="1:107">
      <c r="A114" s="1001">
        <v>45930</v>
      </c>
      <c r="B114" s="1002" t="s">
        <v>1121</v>
      </c>
      <c r="C114" s="1017" t="s">
        <v>342</v>
      </c>
      <c r="D114" s="1002">
        <v>4500181141</v>
      </c>
      <c r="E114" s="1004" t="s">
        <v>1122</v>
      </c>
      <c r="F114" s="1010" t="s">
        <v>2007</v>
      </c>
      <c r="G114" s="1005" t="s">
        <v>1523</v>
      </c>
      <c r="H114" s="1003" t="s">
        <v>1524</v>
      </c>
      <c r="I114" s="1003">
        <v>400</v>
      </c>
      <c r="J114" s="1003">
        <v>0</v>
      </c>
      <c r="K114" s="1003">
        <v>50</v>
      </c>
      <c r="L114" s="1006">
        <f t="shared" si="29"/>
        <v>8</v>
      </c>
      <c r="M114" s="1007">
        <v>45996</v>
      </c>
      <c r="N114" s="1007">
        <v>45992</v>
      </c>
      <c r="O114" s="1004"/>
      <c r="P114" s="1008" t="s">
        <v>86</v>
      </c>
      <c r="Q114" s="1004"/>
      <c r="R114" s="1009">
        <v>45930</v>
      </c>
      <c r="S114" s="1009" t="s">
        <v>98</v>
      </c>
      <c r="T114" s="1009" t="s">
        <v>2008</v>
      </c>
      <c r="U114" s="1009"/>
      <c r="V114" s="1010" t="s">
        <v>2009</v>
      </c>
      <c r="W114" s="1011" t="s">
        <v>225</v>
      </c>
      <c r="X114" s="1012">
        <v>2.35</v>
      </c>
      <c r="Y114" s="1013">
        <f>X114*I114</f>
        <v>940</v>
      </c>
      <c r="Z114" s="1013"/>
      <c r="AA114" s="1004" t="s">
        <v>2010</v>
      </c>
      <c r="AB114" s="1005" t="s">
        <v>1727</v>
      </c>
      <c r="AC114" s="1003" t="s">
        <v>93</v>
      </c>
      <c r="AD114" s="1003" t="s">
        <v>94</v>
      </c>
      <c r="AE114" s="1004"/>
      <c r="AF114" s="1014">
        <v>400</v>
      </c>
      <c r="AG114" s="1014">
        <f t="shared" si="30"/>
        <v>0</v>
      </c>
      <c r="AH114" s="1015"/>
      <c r="AI114" s="1004" t="s">
        <v>95</v>
      </c>
      <c r="AJ114" s="1004"/>
      <c r="AK114" s="926">
        <f t="shared" si="36"/>
        <v>400</v>
      </c>
      <c r="AL114" s="1016"/>
      <c r="AN114" s="974">
        <f>I114</f>
        <v>400</v>
      </c>
      <c r="AO114" s="1016">
        <f t="shared" si="37"/>
        <v>400</v>
      </c>
      <c r="AQ114" s="1016"/>
      <c r="AU114" s="1004">
        <f>I114/25</f>
        <v>16</v>
      </c>
      <c r="BE114" s="1017"/>
      <c r="BF114" s="1017"/>
      <c r="BG114" s="1017"/>
      <c r="BH114" s="1017"/>
      <c r="BI114" s="1017"/>
      <c r="BN114" s="1018"/>
      <c r="BO114" s="1018"/>
      <c r="BP114" s="1018"/>
      <c r="BQ114" s="1018"/>
      <c r="BR114" s="1018"/>
      <c r="BS114" s="1018"/>
      <c r="BV114" s="964">
        <f t="shared" si="34"/>
        <v>16</v>
      </c>
      <c r="BW114" s="964">
        <f t="shared" si="35"/>
        <v>0</v>
      </c>
      <c r="BX114" s="308">
        <f t="shared" si="23"/>
        <v>659587</v>
      </c>
      <c r="BY114" s="1018"/>
      <c r="BZ114" s="1018"/>
      <c r="CA114" s="1018">
        <f t="shared" si="33"/>
        <v>200413</v>
      </c>
      <c r="CB114" s="1018"/>
      <c r="CC114" s="1018"/>
      <c r="CH114" s="1019"/>
      <c r="CI114" s="1019"/>
      <c r="CJ114" s="1019"/>
      <c r="CK114" s="1019"/>
      <c r="CL114" s="1019"/>
      <c r="CM114" s="1019"/>
      <c r="CN114" s="1019"/>
      <c r="CO114" s="1019"/>
      <c r="CP114" s="1019"/>
      <c r="CQ114" s="1019"/>
      <c r="CR114" s="1019"/>
      <c r="CS114" s="1019"/>
      <c r="CT114" s="1019"/>
      <c r="CU114" s="1019"/>
      <c r="CV114" s="1019"/>
      <c r="CW114" s="1019"/>
      <c r="CX114" s="1019"/>
      <c r="CY114" s="1019"/>
      <c r="CZ114" s="1019"/>
      <c r="DA114" s="1019"/>
      <c r="DB114" s="1019"/>
      <c r="DC114" s="1019"/>
    </row>
    <row r="115" s="857" customFormat="1" ht="31" customHeight="1" spans="1:107">
      <c r="A115" s="923">
        <v>45926</v>
      </c>
      <c r="B115" s="924" t="s">
        <v>2011</v>
      </c>
      <c r="C115" s="928" t="s">
        <v>2012</v>
      </c>
      <c r="D115" s="924">
        <v>4500180429</v>
      </c>
      <c r="E115" s="926">
        <v>5000002007</v>
      </c>
      <c r="F115" s="997" t="s">
        <v>2013</v>
      </c>
      <c r="G115" s="927" t="s">
        <v>1537</v>
      </c>
      <c r="H115" s="928" t="s">
        <v>2014</v>
      </c>
      <c r="I115" s="928">
        <v>15015</v>
      </c>
      <c r="J115" s="928">
        <v>0</v>
      </c>
      <c r="K115" s="928">
        <v>13</v>
      </c>
      <c r="L115" s="929">
        <f t="shared" si="29"/>
        <v>1155</v>
      </c>
      <c r="M115" s="930">
        <v>45971</v>
      </c>
      <c r="N115" s="930">
        <v>45972</v>
      </c>
      <c r="O115" s="926"/>
      <c r="P115" s="931" t="s">
        <v>86</v>
      </c>
      <c r="Q115" s="926" t="s">
        <v>2015</v>
      </c>
      <c r="R115" s="932">
        <v>45946</v>
      </c>
      <c r="S115" s="932" t="s">
        <v>98</v>
      </c>
      <c r="T115" s="932" t="s">
        <v>2016</v>
      </c>
      <c r="U115" s="932"/>
      <c r="V115" s="933" t="s">
        <v>2017</v>
      </c>
      <c r="W115" s="934" t="s">
        <v>2018</v>
      </c>
      <c r="X115" s="935">
        <v>2.39</v>
      </c>
      <c r="Y115" s="936">
        <f>X115*I115</f>
        <v>35885.85</v>
      </c>
      <c r="Z115" s="936"/>
      <c r="AA115" s="926" t="s">
        <v>2019</v>
      </c>
      <c r="AB115" s="927" t="s">
        <v>2020</v>
      </c>
      <c r="AC115" s="928" t="s">
        <v>93</v>
      </c>
      <c r="AD115" s="928" t="s">
        <v>94</v>
      </c>
      <c r="AE115" s="926"/>
      <c r="AF115" s="946">
        <v>15015</v>
      </c>
      <c r="AG115" s="946">
        <f t="shared" si="30"/>
        <v>0</v>
      </c>
      <c r="AH115" s="947"/>
      <c r="AI115" s="926" t="s">
        <v>95</v>
      </c>
      <c r="AJ115" s="926"/>
      <c r="AK115" s="926">
        <f t="shared" si="36"/>
        <v>15015</v>
      </c>
      <c r="AL115" s="858">
        <f>I115</f>
        <v>15015</v>
      </c>
      <c r="AN115" s="858"/>
      <c r="AQ115" s="857">
        <f>I115</f>
        <v>15015</v>
      </c>
      <c r="AR115" s="857">
        <f>I115/13</f>
        <v>1155</v>
      </c>
      <c r="BE115" s="925"/>
      <c r="BF115" s="925"/>
      <c r="BG115" s="925"/>
      <c r="BH115" s="925"/>
      <c r="BI115" s="925"/>
      <c r="BN115" s="939"/>
      <c r="BO115" s="939"/>
      <c r="BP115" s="939"/>
      <c r="BQ115" s="939"/>
      <c r="BR115" s="939"/>
      <c r="BS115" s="939"/>
      <c r="BV115" s="964">
        <f t="shared" si="34"/>
        <v>0</v>
      </c>
      <c r="BW115" s="964">
        <f t="shared" si="35"/>
        <v>0</v>
      </c>
      <c r="BX115" s="308">
        <f t="shared" si="23"/>
        <v>674602</v>
      </c>
      <c r="BY115" s="939"/>
      <c r="BZ115" s="939"/>
      <c r="CA115" s="939">
        <f t="shared" si="33"/>
        <v>185398</v>
      </c>
      <c r="CB115" s="939"/>
      <c r="CC115" s="939"/>
      <c r="CH115" s="940"/>
      <c r="CI115" s="940"/>
      <c r="CJ115" s="940"/>
      <c r="CK115" s="940"/>
      <c r="CL115" s="940"/>
      <c r="CM115" s="940"/>
      <c r="CN115" s="940"/>
      <c r="CO115" s="940"/>
      <c r="CP115" s="940"/>
      <c r="CQ115" s="940"/>
      <c r="CR115" s="940"/>
      <c r="CS115" s="940"/>
      <c r="CT115" s="940"/>
      <c r="CU115" s="940"/>
      <c r="CV115" s="940"/>
      <c r="CW115" s="940"/>
      <c r="CX115" s="940"/>
      <c r="CY115" s="940"/>
      <c r="CZ115" s="940"/>
      <c r="DA115" s="940"/>
      <c r="DB115" s="940"/>
      <c r="DC115" s="940"/>
    </row>
    <row r="116" s="857" customFormat="1" ht="31" customHeight="1" spans="1:107">
      <c r="A116" s="923">
        <v>45973</v>
      </c>
      <c r="B116" s="924" t="s">
        <v>2021</v>
      </c>
      <c r="C116" s="925" t="s">
        <v>2022</v>
      </c>
      <c r="D116" s="924">
        <v>4500185407</v>
      </c>
      <c r="E116" s="926">
        <v>21213049</v>
      </c>
      <c r="F116" s="933" t="s">
        <v>2023</v>
      </c>
      <c r="G116" s="927" t="s">
        <v>1537</v>
      </c>
      <c r="H116" s="928" t="s">
        <v>1538</v>
      </c>
      <c r="I116" s="928">
        <v>572</v>
      </c>
      <c r="J116" s="928">
        <v>0</v>
      </c>
      <c r="K116" s="928">
        <v>13</v>
      </c>
      <c r="L116" s="929">
        <f t="shared" si="29"/>
        <v>44</v>
      </c>
      <c r="M116" s="930">
        <v>46001</v>
      </c>
      <c r="N116" s="930">
        <v>45997</v>
      </c>
      <c r="O116" s="926"/>
      <c r="P116" s="931" t="s">
        <v>86</v>
      </c>
      <c r="Q116" s="926"/>
      <c r="R116" s="932">
        <v>45981</v>
      </c>
      <c r="S116" s="932" t="s">
        <v>98</v>
      </c>
      <c r="T116" s="932" t="s">
        <v>2024</v>
      </c>
      <c r="U116" s="932"/>
      <c r="V116" s="933" t="s">
        <v>2025</v>
      </c>
      <c r="W116" s="934" t="s">
        <v>2026</v>
      </c>
      <c r="X116" s="935">
        <v>1.8375</v>
      </c>
      <c r="Y116" s="936">
        <f>I116*X116</f>
        <v>1051.05</v>
      </c>
      <c r="Z116" s="936"/>
      <c r="AA116" s="926" t="s">
        <v>2027</v>
      </c>
      <c r="AB116" s="927" t="s">
        <v>1849</v>
      </c>
      <c r="AC116" s="928" t="s">
        <v>93</v>
      </c>
      <c r="AD116" s="928" t="s">
        <v>94</v>
      </c>
      <c r="AE116" s="926"/>
      <c r="AF116" s="946">
        <v>572</v>
      </c>
      <c r="AG116" s="946">
        <f t="shared" si="30"/>
        <v>0</v>
      </c>
      <c r="AH116" s="947"/>
      <c r="AI116" s="926" t="s">
        <v>95</v>
      </c>
      <c r="AJ116" s="926"/>
      <c r="AK116" s="926">
        <f t="shared" si="36"/>
        <v>572</v>
      </c>
      <c r="AL116" s="858"/>
      <c r="AN116" s="858">
        <f>I116</f>
        <v>572</v>
      </c>
      <c r="AO116" s="857">
        <f>I116</f>
        <v>572</v>
      </c>
      <c r="AQ116" s="858"/>
      <c r="AS116" s="857">
        <f>I116/13</f>
        <v>44</v>
      </c>
      <c r="AU116" s="926"/>
      <c r="BE116" s="925"/>
      <c r="BF116" s="925"/>
      <c r="BG116" s="925"/>
      <c r="BH116" s="925"/>
      <c r="BI116" s="925"/>
      <c r="BN116" s="939"/>
      <c r="BO116" s="939"/>
      <c r="BP116" s="939"/>
      <c r="BQ116" s="939"/>
      <c r="BR116" s="939"/>
      <c r="BS116" s="939"/>
      <c r="BV116" s="964">
        <f t="shared" si="34"/>
        <v>0</v>
      </c>
      <c r="BW116" s="964">
        <f t="shared" si="35"/>
        <v>0</v>
      </c>
      <c r="BX116" s="308">
        <f t="shared" si="23"/>
        <v>675174</v>
      </c>
      <c r="BY116" s="939"/>
      <c r="BZ116" s="939"/>
      <c r="CA116" s="939">
        <f t="shared" si="33"/>
        <v>184826</v>
      </c>
      <c r="CB116" s="939"/>
      <c r="CC116" s="939"/>
      <c r="CH116" s="940"/>
      <c r="CI116" s="940"/>
      <c r="CJ116" s="940"/>
      <c r="CK116" s="940"/>
      <c r="CL116" s="940"/>
      <c r="CM116" s="940"/>
      <c r="CN116" s="940"/>
      <c r="CO116" s="940"/>
      <c r="CP116" s="940"/>
      <c r="CQ116" s="940"/>
      <c r="CR116" s="940"/>
      <c r="CS116" s="940"/>
      <c r="CT116" s="940"/>
      <c r="CU116" s="940"/>
      <c r="CV116" s="940"/>
      <c r="CW116" s="940"/>
      <c r="CX116" s="940"/>
      <c r="CY116" s="940"/>
      <c r="CZ116" s="940"/>
      <c r="DA116" s="940"/>
      <c r="DB116" s="940"/>
      <c r="DC116" s="940"/>
    </row>
    <row r="117" s="974" customFormat="1" ht="31" customHeight="1" spans="1:107">
      <c r="A117" s="1001">
        <v>45953</v>
      </c>
      <c r="B117" s="1002" t="s">
        <v>1548</v>
      </c>
      <c r="C117" s="1017" t="s">
        <v>125</v>
      </c>
      <c r="D117" s="1002">
        <v>4500182969</v>
      </c>
      <c r="E117" s="1004" t="s">
        <v>2028</v>
      </c>
      <c r="F117" s="1010" t="s">
        <v>2029</v>
      </c>
      <c r="G117" s="1005" t="s">
        <v>1570</v>
      </c>
      <c r="H117" s="1003" t="s">
        <v>1853</v>
      </c>
      <c r="I117" s="1003">
        <v>17850</v>
      </c>
      <c r="J117" s="1003">
        <v>0</v>
      </c>
      <c r="K117" s="1003">
        <v>25</v>
      </c>
      <c r="L117" s="1006">
        <f t="shared" si="29"/>
        <v>714</v>
      </c>
      <c r="M117" s="1007">
        <v>45999</v>
      </c>
      <c r="N117" s="1007">
        <v>45995</v>
      </c>
      <c r="O117" s="1004"/>
      <c r="P117" s="1008" t="s">
        <v>86</v>
      </c>
      <c r="Q117" s="1004"/>
      <c r="R117" s="1009" t="s">
        <v>296</v>
      </c>
      <c r="S117" s="1009" t="s">
        <v>88</v>
      </c>
      <c r="T117" s="1009" t="s">
        <v>1736</v>
      </c>
      <c r="U117" s="1009"/>
      <c r="V117" s="1010" t="s">
        <v>2030</v>
      </c>
      <c r="W117" s="1011" t="s">
        <v>1554</v>
      </c>
      <c r="X117" s="1012">
        <v>1.1678</v>
      </c>
      <c r="Y117" s="1013">
        <f>I117*X117</f>
        <v>20845.23</v>
      </c>
      <c r="Z117" s="1013"/>
      <c r="AA117" s="1004" t="s">
        <v>2031</v>
      </c>
      <c r="AB117" s="1005" t="s">
        <v>1570</v>
      </c>
      <c r="AC117" s="1003" t="s">
        <v>93</v>
      </c>
      <c r="AD117" s="1003" t="s">
        <v>94</v>
      </c>
      <c r="AE117" s="1004"/>
      <c r="AF117" s="1014">
        <v>17850</v>
      </c>
      <c r="AG117" s="1014">
        <f t="shared" si="30"/>
        <v>0</v>
      </c>
      <c r="AH117" s="1015"/>
      <c r="AI117" s="1004" t="s">
        <v>95</v>
      </c>
      <c r="AJ117" s="1004"/>
      <c r="AK117" s="926">
        <f t="shared" si="36"/>
        <v>17850</v>
      </c>
      <c r="AL117" s="1016">
        <f>I117</f>
        <v>17850</v>
      </c>
      <c r="AO117" s="974">
        <f>I117</f>
        <v>17850</v>
      </c>
      <c r="AQ117" s="1016"/>
      <c r="AT117" s="974">
        <f>I117/25</f>
        <v>714</v>
      </c>
      <c r="AU117" s="1004"/>
      <c r="BE117" s="1017"/>
      <c r="BF117" s="1017"/>
      <c r="BG117" s="1017"/>
      <c r="BH117" s="1017"/>
      <c r="BI117" s="1017"/>
      <c r="BN117" s="1018"/>
      <c r="BO117" s="1018"/>
      <c r="BP117" s="1018"/>
      <c r="BQ117" s="1018"/>
      <c r="BR117" s="1018"/>
      <c r="BS117" s="1018"/>
      <c r="BV117" s="964">
        <f t="shared" si="34"/>
        <v>714</v>
      </c>
      <c r="BW117" s="964">
        <f t="shared" si="35"/>
        <v>0</v>
      </c>
      <c r="BX117" s="308">
        <f t="shared" si="23"/>
        <v>693024</v>
      </c>
      <c r="BY117" s="1018"/>
      <c r="BZ117" s="1018"/>
      <c r="CA117" s="1018">
        <f t="shared" si="33"/>
        <v>166976</v>
      </c>
      <c r="CB117" s="1018"/>
      <c r="CC117" s="1018"/>
      <c r="CH117" s="1019"/>
      <c r="CI117" s="1019"/>
      <c r="CJ117" s="1019"/>
      <c r="CK117" s="1019"/>
      <c r="CL117" s="1019"/>
      <c r="CM117" s="1019"/>
      <c r="CN117" s="1019"/>
      <c r="CO117" s="1019"/>
      <c r="CP117" s="1019"/>
      <c r="CQ117" s="1019"/>
      <c r="CR117" s="1019"/>
      <c r="CS117" s="1019"/>
      <c r="CT117" s="1019"/>
      <c r="CU117" s="1019"/>
      <c r="CV117" s="1019"/>
      <c r="CW117" s="1019"/>
      <c r="CX117" s="1019"/>
      <c r="CY117" s="1019"/>
      <c r="CZ117" s="1019"/>
      <c r="DA117" s="1019"/>
      <c r="DB117" s="1019"/>
      <c r="DC117" s="1019"/>
    </row>
    <row r="118" s="974" customFormat="1" ht="31" customHeight="1" spans="1:107">
      <c r="A118" s="1001">
        <v>45961</v>
      </c>
      <c r="B118" s="1002" t="s">
        <v>578</v>
      </c>
      <c r="C118" s="1017" t="s">
        <v>125</v>
      </c>
      <c r="D118" s="1002">
        <v>4500183833</v>
      </c>
      <c r="E118" s="1423" t="s">
        <v>2032</v>
      </c>
      <c r="F118" s="1010" t="s">
        <v>2033</v>
      </c>
      <c r="G118" s="1005" t="s">
        <v>1584</v>
      </c>
      <c r="H118" s="1003" t="s">
        <v>1585</v>
      </c>
      <c r="I118" s="1003">
        <v>960</v>
      </c>
      <c r="J118" s="1003">
        <v>0</v>
      </c>
      <c r="K118" s="1003">
        <v>16</v>
      </c>
      <c r="L118" s="1006">
        <f t="shared" si="29"/>
        <v>60</v>
      </c>
      <c r="M118" s="1007">
        <v>45999</v>
      </c>
      <c r="N118" s="1007">
        <v>45995</v>
      </c>
      <c r="O118" s="1004" t="s">
        <v>2034</v>
      </c>
      <c r="P118" s="1008" t="s">
        <v>86</v>
      </c>
      <c r="Q118" s="1004"/>
      <c r="R118" s="1009" t="s">
        <v>296</v>
      </c>
      <c r="S118" s="1009" t="s">
        <v>98</v>
      </c>
      <c r="T118" s="1009" t="s">
        <v>1791</v>
      </c>
      <c r="U118" s="1009"/>
      <c r="V118" s="1010" t="s">
        <v>1626</v>
      </c>
      <c r="W118" s="1011" t="s">
        <v>247</v>
      </c>
      <c r="X118" s="1012">
        <v>1.2079</v>
      </c>
      <c r="Y118" s="1013">
        <f>X118*I118</f>
        <v>1159.584</v>
      </c>
      <c r="Z118" s="1013"/>
      <c r="AA118" s="1004" t="s">
        <v>2035</v>
      </c>
      <c r="AB118" s="1005" t="s">
        <v>1584</v>
      </c>
      <c r="AC118" s="1003" t="s">
        <v>93</v>
      </c>
      <c r="AD118" s="1003" t="s">
        <v>94</v>
      </c>
      <c r="AE118" s="1004"/>
      <c r="AF118" s="1014">
        <v>960</v>
      </c>
      <c r="AG118" s="1014">
        <f t="shared" si="30"/>
        <v>0</v>
      </c>
      <c r="AH118" s="1015"/>
      <c r="AI118" s="1004" t="s">
        <v>95</v>
      </c>
      <c r="AJ118" s="1004"/>
      <c r="AK118" s="926">
        <f t="shared" si="36"/>
        <v>960</v>
      </c>
      <c r="AL118" s="1016">
        <f>I118</f>
        <v>960</v>
      </c>
      <c r="AO118" s="974">
        <f>I118</f>
        <v>960</v>
      </c>
      <c r="AQ118" s="1016"/>
      <c r="AU118" s="1004"/>
      <c r="AY118" s="974">
        <f>I118/16</f>
        <v>60</v>
      </c>
      <c r="BE118" s="1017"/>
      <c r="BF118" s="1017"/>
      <c r="BG118" s="1017"/>
      <c r="BH118" s="1017"/>
      <c r="BI118" s="1017"/>
      <c r="BN118" s="1018"/>
      <c r="BO118" s="1018"/>
      <c r="BP118" s="1018"/>
      <c r="BQ118" s="1018"/>
      <c r="BR118" s="1018"/>
      <c r="BS118" s="1018"/>
      <c r="BV118" s="964">
        <f t="shared" si="34"/>
        <v>60</v>
      </c>
      <c r="BW118" s="964">
        <f t="shared" si="35"/>
        <v>0</v>
      </c>
      <c r="BX118" s="308">
        <f t="shared" si="23"/>
        <v>693984</v>
      </c>
      <c r="BY118" s="1018"/>
      <c r="BZ118" s="1018"/>
      <c r="CA118" s="1018">
        <f t="shared" si="33"/>
        <v>166016</v>
      </c>
      <c r="CB118" s="1018"/>
      <c r="CC118" s="1018"/>
      <c r="CH118" s="1019"/>
      <c r="CI118" s="1019"/>
      <c r="CJ118" s="1019"/>
      <c r="CK118" s="1019"/>
      <c r="CL118" s="1019"/>
      <c r="CM118" s="1019"/>
      <c r="CN118" s="1019"/>
      <c r="CO118" s="1019"/>
      <c r="CP118" s="1019"/>
      <c r="CQ118" s="1019"/>
      <c r="CR118" s="1019"/>
      <c r="CS118" s="1019"/>
      <c r="CT118" s="1019"/>
      <c r="CU118" s="1019"/>
      <c r="CV118" s="1019"/>
      <c r="CW118" s="1019"/>
      <c r="CX118" s="1019"/>
      <c r="CY118" s="1019"/>
      <c r="CZ118" s="1019"/>
      <c r="DA118" s="1019"/>
      <c r="DB118" s="1019"/>
      <c r="DC118" s="1019"/>
    </row>
    <row r="119" s="974" customFormat="1" ht="31" customHeight="1" spans="1:107">
      <c r="A119" s="1001">
        <v>45932</v>
      </c>
      <c r="B119" s="1002" t="s">
        <v>594</v>
      </c>
      <c r="C119" s="1017" t="s">
        <v>103</v>
      </c>
      <c r="D119" s="1002">
        <v>4500181165</v>
      </c>
      <c r="E119" s="1004" t="s">
        <v>2036</v>
      </c>
      <c r="F119" s="1010" t="s">
        <v>2037</v>
      </c>
      <c r="G119" s="1005" t="s">
        <v>1746</v>
      </c>
      <c r="H119" s="953" t="s">
        <v>1747</v>
      </c>
      <c r="I119" s="1003">
        <v>588</v>
      </c>
      <c r="J119" s="1003">
        <v>0</v>
      </c>
      <c r="K119" s="1003">
        <v>12</v>
      </c>
      <c r="L119" s="1006">
        <f t="shared" si="29"/>
        <v>49</v>
      </c>
      <c r="M119" s="1007">
        <v>45995</v>
      </c>
      <c r="N119" s="1007">
        <v>45992</v>
      </c>
      <c r="O119" s="1004"/>
      <c r="P119" s="1008" t="s">
        <v>86</v>
      </c>
      <c r="Q119" s="1020" t="s">
        <v>2038</v>
      </c>
      <c r="R119" s="1009" t="s">
        <v>296</v>
      </c>
      <c r="S119" s="1009" t="s">
        <v>88</v>
      </c>
      <c r="T119" s="1009" t="s">
        <v>1959</v>
      </c>
      <c r="U119" s="1009"/>
      <c r="V119" s="1010" t="s">
        <v>2039</v>
      </c>
      <c r="W119" s="1011" t="s">
        <v>599</v>
      </c>
      <c r="X119" s="1012">
        <v>4.82</v>
      </c>
      <c r="Y119" s="1013">
        <f>X119*I119</f>
        <v>2834.16</v>
      </c>
      <c r="Z119" s="1013"/>
      <c r="AA119" s="1004" t="s">
        <v>2040</v>
      </c>
      <c r="AB119" s="1004" t="s">
        <v>1746</v>
      </c>
      <c r="AC119" s="1003" t="s">
        <v>93</v>
      </c>
      <c r="AD119" s="1003" t="s">
        <v>94</v>
      </c>
      <c r="AE119" s="1004"/>
      <c r="AF119" s="1014">
        <v>588</v>
      </c>
      <c r="AG119" s="1014">
        <f t="shared" si="30"/>
        <v>0</v>
      </c>
      <c r="AH119" s="1015"/>
      <c r="AI119" s="1004" t="s">
        <v>95</v>
      </c>
      <c r="AJ119" s="1004"/>
      <c r="AK119" s="951">
        <f>I119*2</f>
        <v>1176</v>
      </c>
      <c r="AL119" s="1016"/>
      <c r="AM119" s="1016">
        <f>I119*2</f>
        <v>1176</v>
      </c>
      <c r="AN119" s="1016"/>
      <c r="AO119" s="856">
        <f>I119*2</f>
        <v>1176</v>
      </c>
      <c r="BE119" s="1017"/>
      <c r="BF119" s="1017"/>
      <c r="BG119" s="1017"/>
      <c r="BH119" s="1017"/>
      <c r="BI119" s="1017"/>
      <c r="BJ119" s="974">
        <f>I119</f>
        <v>588</v>
      </c>
      <c r="BK119" s="974">
        <f>I119</f>
        <v>588</v>
      </c>
      <c r="BL119" s="974">
        <f>I119</f>
        <v>588</v>
      </c>
      <c r="BN119" s="1018"/>
      <c r="BO119" s="1018"/>
      <c r="BP119" s="1018"/>
      <c r="BQ119" s="1018"/>
      <c r="BR119" s="1018"/>
      <c r="BS119" s="1018"/>
      <c r="BV119" s="964">
        <f t="shared" si="34"/>
        <v>0</v>
      </c>
      <c r="BW119" s="964">
        <f t="shared" si="35"/>
        <v>0</v>
      </c>
      <c r="BX119" s="308">
        <f t="shared" si="23"/>
        <v>695160</v>
      </c>
      <c r="BY119" s="1018"/>
      <c r="BZ119" s="1018"/>
      <c r="CA119" s="1018">
        <f t="shared" si="33"/>
        <v>164840</v>
      </c>
      <c r="CB119" s="1018"/>
      <c r="CC119" s="1018"/>
      <c r="CH119" s="1019"/>
      <c r="CI119" s="1019"/>
      <c r="CJ119" s="1019"/>
      <c r="CK119" s="1019"/>
      <c r="CL119" s="1019"/>
      <c r="CM119" s="1019"/>
      <c r="CN119" s="1019"/>
      <c r="CO119" s="1019"/>
      <c r="CP119" s="1019"/>
      <c r="CQ119" s="1019"/>
      <c r="CR119" s="1019"/>
      <c r="CS119" s="1019"/>
      <c r="CT119" s="1019"/>
      <c r="CU119" s="1019"/>
      <c r="CV119" s="1019"/>
      <c r="CW119" s="1019"/>
      <c r="CX119" s="1019"/>
      <c r="CY119" s="1019"/>
      <c r="CZ119" s="1019"/>
      <c r="DA119" s="1019"/>
      <c r="DB119" s="1019"/>
      <c r="DC119" s="1019"/>
    </row>
    <row r="120" s="974" customFormat="1" ht="31" customHeight="1" spans="1:107">
      <c r="A120" s="1001">
        <v>45950</v>
      </c>
      <c r="B120" s="1002" t="s">
        <v>2041</v>
      </c>
      <c r="C120" s="1017" t="s">
        <v>110</v>
      </c>
      <c r="D120" s="1002">
        <v>4500181904</v>
      </c>
      <c r="E120" s="1004">
        <v>249709</v>
      </c>
      <c r="F120" s="1010" t="s">
        <v>2042</v>
      </c>
      <c r="G120" s="1005" t="s">
        <v>1529</v>
      </c>
      <c r="H120" s="1003" t="s">
        <v>1524</v>
      </c>
      <c r="I120" s="1003">
        <v>4560</v>
      </c>
      <c r="J120" s="1003">
        <v>0</v>
      </c>
      <c r="K120" s="1003">
        <v>24</v>
      </c>
      <c r="L120" s="1006">
        <f t="shared" si="29"/>
        <v>190</v>
      </c>
      <c r="M120" s="1007">
        <v>46000</v>
      </c>
      <c r="N120" s="1007">
        <v>45996</v>
      </c>
      <c r="O120" s="1004"/>
      <c r="P120" s="1008" t="s">
        <v>86</v>
      </c>
      <c r="Q120" s="1004"/>
      <c r="R120" s="1009">
        <v>45950</v>
      </c>
      <c r="S120" s="1009" t="s">
        <v>98</v>
      </c>
      <c r="T120" s="1009" t="s">
        <v>2043</v>
      </c>
      <c r="U120" s="1009"/>
      <c r="V120" s="1010" t="s">
        <v>2044</v>
      </c>
      <c r="W120" s="1011" t="s">
        <v>2026</v>
      </c>
      <c r="X120" s="1012">
        <v>1.7904</v>
      </c>
      <c r="Y120" s="1013">
        <f>X120*I120</f>
        <v>8164.224</v>
      </c>
      <c r="Z120" s="1013"/>
      <c r="AA120" s="1004" t="s">
        <v>2045</v>
      </c>
      <c r="AB120" s="1005" t="s">
        <v>2046</v>
      </c>
      <c r="AC120" s="1003" t="s">
        <v>93</v>
      </c>
      <c r="AD120" s="1003" t="s">
        <v>94</v>
      </c>
      <c r="AE120" s="1004"/>
      <c r="AF120" s="1014">
        <v>4560</v>
      </c>
      <c r="AG120" s="1014">
        <f t="shared" si="30"/>
        <v>0</v>
      </c>
      <c r="AH120" s="1015"/>
      <c r="AI120" s="1004" t="s">
        <v>95</v>
      </c>
      <c r="AJ120" s="1004"/>
      <c r="AK120" s="926">
        <f t="shared" ref="AK120:AK128" si="38">I120</f>
        <v>4560</v>
      </c>
      <c r="AL120" s="1016"/>
      <c r="AN120" s="974">
        <f>I120</f>
        <v>4560</v>
      </c>
      <c r="AO120" s="1016">
        <f>I120</f>
        <v>4560</v>
      </c>
      <c r="AQ120" s="1016"/>
      <c r="AU120" s="1004"/>
      <c r="BE120" s="1017"/>
      <c r="BF120" s="1017"/>
      <c r="BG120" s="1017"/>
      <c r="BH120" s="1017"/>
      <c r="BI120" s="1017"/>
      <c r="BN120" s="1018"/>
      <c r="BO120" s="1018"/>
      <c r="BP120" s="1018"/>
      <c r="BQ120" s="1018"/>
      <c r="BR120" s="1018"/>
      <c r="BS120" s="1018"/>
      <c r="BV120" s="964">
        <f t="shared" si="34"/>
        <v>0</v>
      </c>
      <c r="BW120" s="964">
        <f t="shared" si="35"/>
        <v>0</v>
      </c>
      <c r="BX120" s="308">
        <f t="shared" si="23"/>
        <v>699720</v>
      </c>
      <c r="BY120" s="1018"/>
      <c r="BZ120" s="1018"/>
      <c r="CA120" s="1018">
        <f t="shared" si="33"/>
        <v>160280</v>
      </c>
      <c r="CB120" s="1018"/>
      <c r="CC120" s="1018"/>
      <c r="CH120" s="1019"/>
      <c r="CI120" s="1019"/>
      <c r="CJ120" s="1019"/>
      <c r="CK120" s="1019"/>
      <c r="CL120" s="1019"/>
      <c r="CM120" s="1019"/>
      <c r="CN120" s="1019"/>
      <c r="CO120" s="1019"/>
      <c r="CP120" s="1019"/>
      <c r="CQ120" s="1019"/>
      <c r="CR120" s="1019"/>
      <c r="CS120" s="1019"/>
      <c r="CT120" s="1019"/>
      <c r="CU120" s="1019"/>
      <c r="CV120" s="1019"/>
      <c r="CW120" s="1019"/>
      <c r="CX120" s="1019"/>
      <c r="CY120" s="1019"/>
      <c r="CZ120" s="1019"/>
      <c r="DA120" s="1019"/>
      <c r="DB120" s="1019"/>
      <c r="DC120" s="1019"/>
    </row>
    <row r="121" s="974" customFormat="1" ht="31" customHeight="1" spans="1:107">
      <c r="A121" s="1001">
        <v>45964</v>
      </c>
      <c r="B121" s="1002" t="s">
        <v>2047</v>
      </c>
      <c r="C121" s="1017" t="s">
        <v>1930</v>
      </c>
      <c r="D121" s="1002">
        <v>4500183825</v>
      </c>
      <c r="E121" s="1002">
        <v>157056</v>
      </c>
      <c r="F121" s="1002" t="s">
        <v>2048</v>
      </c>
      <c r="G121" s="1005" t="s">
        <v>1537</v>
      </c>
      <c r="H121" s="1003" t="s">
        <v>1538</v>
      </c>
      <c r="I121" s="1003">
        <v>507</v>
      </c>
      <c r="J121" s="1003">
        <v>0</v>
      </c>
      <c r="K121" s="1003">
        <v>13</v>
      </c>
      <c r="L121" s="1006">
        <f t="shared" si="29"/>
        <v>39</v>
      </c>
      <c r="M121" s="1007">
        <v>46001</v>
      </c>
      <c r="N121" s="1007">
        <v>45997</v>
      </c>
      <c r="O121" s="1004"/>
      <c r="P121" s="1008" t="s">
        <v>86</v>
      </c>
      <c r="Q121" s="1004"/>
      <c r="R121" s="1009">
        <v>45972</v>
      </c>
      <c r="S121" s="1009" t="s">
        <v>98</v>
      </c>
      <c r="T121" s="1009" t="s">
        <v>2049</v>
      </c>
      <c r="U121" s="1009"/>
      <c r="V121" s="1010" t="s">
        <v>2050</v>
      </c>
      <c r="W121" s="1011" t="s">
        <v>2051</v>
      </c>
      <c r="X121" s="1012">
        <v>1.8375</v>
      </c>
      <c r="Y121" s="1013">
        <f>I121*X121</f>
        <v>931.6125</v>
      </c>
      <c r="Z121" s="1013"/>
      <c r="AA121" s="1004" t="s">
        <v>2052</v>
      </c>
      <c r="AB121" s="1005" t="s">
        <v>1849</v>
      </c>
      <c r="AC121" s="1003" t="s">
        <v>93</v>
      </c>
      <c r="AD121" s="1003" t="s">
        <v>94</v>
      </c>
      <c r="AE121" s="1004"/>
      <c r="AF121" s="1014">
        <v>507</v>
      </c>
      <c r="AG121" s="1014">
        <f t="shared" si="30"/>
        <v>0</v>
      </c>
      <c r="AH121" s="1015"/>
      <c r="AI121" s="1002" t="s">
        <v>95</v>
      </c>
      <c r="AJ121" s="1004"/>
      <c r="AK121" s="926">
        <f t="shared" si="38"/>
        <v>507</v>
      </c>
      <c r="AL121" s="1016"/>
      <c r="AN121" s="1016">
        <f>I121</f>
        <v>507</v>
      </c>
      <c r="AO121" s="974">
        <f>I121</f>
        <v>507</v>
      </c>
      <c r="AQ121" s="1016"/>
      <c r="AS121" s="974">
        <f>I121/13</f>
        <v>39</v>
      </c>
      <c r="AU121" s="1004"/>
      <c r="BE121" s="1017"/>
      <c r="BF121" s="1017"/>
      <c r="BG121" s="1017"/>
      <c r="BH121" s="1017"/>
      <c r="BI121" s="1017"/>
      <c r="BN121" s="1018"/>
      <c r="BO121" s="1018"/>
      <c r="BP121" s="1018"/>
      <c r="BQ121" s="1018"/>
      <c r="BR121" s="1018"/>
      <c r="BS121" s="1018"/>
      <c r="BV121" s="964">
        <f t="shared" si="34"/>
        <v>0</v>
      </c>
      <c r="BW121" s="964">
        <f t="shared" si="35"/>
        <v>0</v>
      </c>
      <c r="BX121" s="308">
        <f t="shared" si="23"/>
        <v>700227</v>
      </c>
      <c r="BY121" s="1018"/>
      <c r="BZ121" s="1018"/>
      <c r="CA121" s="1018">
        <f t="shared" si="33"/>
        <v>159773</v>
      </c>
      <c r="CB121" s="1018"/>
      <c r="CC121" s="1018"/>
      <c r="CH121" s="1019"/>
      <c r="CI121" s="1019"/>
      <c r="CJ121" s="1019"/>
      <c r="CK121" s="1019"/>
      <c r="CL121" s="1019"/>
      <c r="CM121" s="1019"/>
      <c r="CN121" s="1019"/>
      <c r="CO121" s="1019"/>
      <c r="CP121" s="1019"/>
      <c r="CQ121" s="1019"/>
      <c r="CR121" s="1019"/>
      <c r="CS121" s="1019"/>
      <c r="CT121" s="1019"/>
      <c r="CU121" s="1019"/>
      <c r="CV121" s="1019"/>
      <c r="CW121" s="1019"/>
      <c r="CX121" s="1019"/>
      <c r="CY121" s="1019"/>
      <c r="CZ121" s="1019"/>
      <c r="DA121" s="1019"/>
      <c r="DB121" s="1019"/>
      <c r="DC121" s="1019"/>
    </row>
    <row r="122" s="974" customFormat="1" ht="31" customHeight="1" spans="1:107">
      <c r="A122" s="1001">
        <v>45964</v>
      </c>
      <c r="B122" s="1002" t="s">
        <v>2047</v>
      </c>
      <c r="C122" s="1017" t="s">
        <v>1930</v>
      </c>
      <c r="D122" s="1002">
        <v>4500183825</v>
      </c>
      <c r="E122" s="1002">
        <v>157056</v>
      </c>
      <c r="F122" s="1002" t="s">
        <v>2053</v>
      </c>
      <c r="G122" s="1005" t="s">
        <v>1761</v>
      </c>
      <c r="H122" s="1003" t="s">
        <v>1954</v>
      </c>
      <c r="I122" s="1003">
        <v>510</v>
      </c>
      <c r="J122" s="1003">
        <v>0</v>
      </c>
      <c r="K122" s="1003">
        <v>30</v>
      </c>
      <c r="L122" s="1006">
        <f t="shared" si="29"/>
        <v>17</v>
      </c>
      <c r="M122" s="1007">
        <v>46001</v>
      </c>
      <c r="N122" s="1007">
        <v>45997</v>
      </c>
      <c r="O122" s="1004"/>
      <c r="P122" s="1008" t="s">
        <v>86</v>
      </c>
      <c r="Q122" s="1004"/>
      <c r="R122" s="1009">
        <v>45972</v>
      </c>
      <c r="S122" s="1009" t="s">
        <v>98</v>
      </c>
      <c r="T122" s="1009" t="s">
        <v>2049</v>
      </c>
      <c r="U122" s="1009"/>
      <c r="V122" s="1010" t="s">
        <v>2054</v>
      </c>
      <c r="W122" s="1011" t="s">
        <v>2051</v>
      </c>
      <c r="X122" s="1012">
        <v>64.778</v>
      </c>
      <c r="Y122" s="1013">
        <f>X122*L122</f>
        <v>1101.226</v>
      </c>
      <c r="Z122" s="1013"/>
      <c r="AA122" s="1004" t="s">
        <v>2052</v>
      </c>
      <c r="AB122" s="953" t="s">
        <v>1761</v>
      </c>
      <c r="AC122" s="1003" t="s">
        <v>93</v>
      </c>
      <c r="AD122" s="1003" t="s">
        <v>94</v>
      </c>
      <c r="AE122" s="1004"/>
      <c r="AF122" s="1014">
        <v>510</v>
      </c>
      <c r="AG122" s="1014">
        <f t="shared" si="30"/>
        <v>0</v>
      </c>
      <c r="AH122" s="1015"/>
      <c r="AI122" s="1023"/>
      <c r="AJ122" s="1004"/>
      <c r="AK122" s="926">
        <f t="shared" si="38"/>
        <v>510</v>
      </c>
      <c r="AL122" s="1016"/>
      <c r="AN122" s="1003">
        <f>K122</f>
        <v>30</v>
      </c>
      <c r="AO122" s="974">
        <f>I122</f>
        <v>510</v>
      </c>
      <c r="AQ122" s="1016"/>
      <c r="AU122" s="1004"/>
      <c r="BE122" s="1017"/>
      <c r="BF122" s="1017"/>
      <c r="BG122" s="1017"/>
      <c r="BH122" s="1017"/>
      <c r="BI122" s="1017">
        <f>L122</f>
        <v>17</v>
      </c>
      <c r="BN122" s="1018"/>
      <c r="BO122" s="1018"/>
      <c r="BP122" s="1018"/>
      <c r="BQ122" s="1018"/>
      <c r="BR122" s="1018"/>
      <c r="BS122" s="1018"/>
      <c r="BV122" s="964">
        <f t="shared" si="34"/>
        <v>0</v>
      </c>
      <c r="BW122" s="964">
        <f t="shared" si="35"/>
        <v>17</v>
      </c>
      <c r="BX122" s="308">
        <f t="shared" si="23"/>
        <v>700737</v>
      </c>
      <c r="BY122" s="1018"/>
      <c r="BZ122" s="1018"/>
      <c r="CA122" s="1018">
        <f t="shared" si="33"/>
        <v>159263</v>
      </c>
      <c r="CB122" s="1018"/>
      <c r="CC122" s="1018"/>
      <c r="CH122" s="1019"/>
      <c r="CI122" s="1019"/>
      <c r="CJ122" s="1019"/>
      <c r="CK122" s="1019"/>
      <c r="CL122" s="1019"/>
      <c r="CM122" s="1019"/>
      <c r="CN122" s="1019"/>
      <c r="CO122" s="1019"/>
      <c r="CP122" s="1019"/>
      <c r="CQ122" s="1019"/>
      <c r="CR122" s="1019"/>
      <c r="CS122" s="1019"/>
      <c r="CT122" s="1019"/>
      <c r="CU122" s="1019"/>
      <c r="CV122" s="1019"/>
      <c r="CW122" s="1019"/>
      <c r="CX122" s="1019"/>
      <c r="CY122" s="1019"/>
      <c r="CZ122" s="1019"/>
      <c r="DA122" s="1019"/>
      <c r="DB122" s="1019"/>
      <c r="DC122" s="1019"/>
    </row>
    <row r="123" s="974" customFormat="1" ht="31" customHeight="1" spans="1:107">
      <c r="A123" s="1001">
        <v>45967</v>
      </c>
      <c r="B123" s="1002" t="s">
        <v>1611</v>
      </c>
      <c r="C123" s="1017" t="s">
        <v>110</v>
      </c>
      <c r="D123" s="1002">
        <v>4500184570</v>
      </c>
      <c r="E123" s="1004">
        <v>5200008118</v>
      </c>
      <c r="F123" s="1027" t="s">
        <v>2055</v>
      </c>
      <c r="G123" s="1005" t="s">
        <v>1613</v>
      </c>
      <c r="H123" s="1003" t="s">
        <v>1614</v>
      </c>
      <c r="I123" s="1003">
        <v>3601</v>
      </c>
      <c r="J123" s="1003">
        <v>0</v>
      </c>
      <c r="K123" s="1003">
        <v>13</v>
      </c>
      <c r="L123" s="1006">
        <f t="shared" si="29"/>
        <v>277</v>
      </c>
      <c r="M123" s="1007">
        <v>46006</v>
      </c>
      <c r="N123" s="1007">
        <v>46002</v>
      </c>
      <c r="O123" s="1004"/>
      <c r="P123" s="1008" t="s">
        <v>86</v>
      </c>
      <c r="Q123" s="1004"/>
      <c r="R123" s="1009">
        <v>45971</v>
      </c>
      <c r="S123" s="1009" t="s">
        <v>98</v>
      </c>
      <c r="T123" s="1009" t="s">
        <v>2056</v>
      </c>
      <c r="U123" s="1009"/>
      <c r="V123" s="1010" t="s">
        <v>2057</v>
      </c>
      <c r="W123" s="1011" t="s">
        <v>1887</v>
      </c>
      <c r="X123" s="1012">
        <v>1.8317</v>
      </c>
      <c r="Y123" s="1013">
        <f>I123*X123</f>
        <v>6595.9517</v>
      </c>
      <c r="Z123" s="1013"/>
      <c r="AA123" s="1004" t="s">
        <v>2058</v>
      </c>
      <c r="AB123" s="1005" t="s">
        <v>1613</v>
      </c>
      <c r="AC123" s="1003" t="s">
        <v>93</v>
      </c>
      <c r="AD123" s="1003" t="s">
        <v>94</v>
      </c>
      <c r="AE123" s="1004"/>
      <c r="AF123" s="1014">
        <v>3601</v>
      </c>
      <c r="AG123" s="1024">
        <f t="shared" si="30"/>
        <v>0</v>
      </c>
      <c r="AH123" s="1015"/>
      <c r="AI123" s="1004" t="s">
        <v>95</v>
      </c>
      <c r="AJ123" s="1004"/>
      <c r="AK123" s="926">
        <f t="shared" si="38"/>
        <v>3601</v>
      </c>
      <c r="AL123" s="1016"/>
      <c r="AN123" s="1016">
        <f>I123</f>
        <v>3601</v>
      </c>
      <c r="AO123" s="974">
        <f>I123</f>
        <v>3601</v>
      </c>
      <c r="AS123" s="974">
        <f>I123/13</f>
        <v>277</v>
      </c>
      <c r="AU123" s="1004"/>
      <c r="BE123" s="1017"/>
      <c r="BF123" s="1017"/>
      <c r="BG123" s="1017"/>
      <c r="BH123" s="1017"/>
      <c r="BI123" s="1017"/>
      <c r="BN123" s="1018"/>
      <c r="BO123" s="1018"/>
      <c r="BP123" s="1018"/>
      <c r="BQ123" s="1018"/>
      <c r="BR123" s="1018"/>
      <c r="BS123" s="1018"/>
      <c r="BV123" s="964">
        <f t="shared" si="34"/>
        <v>0</v>
      </c>
      <c r="BW123" s="964">
        <f t="shared" si="35"/>
        <v>0</v>
      </c>
      <c r="BX123" s="308">
        <f t="shared" si="23"/>
        <v>704338</v>
      </c>
      <c r="BY123" s="1018"/>
      <c r="BZ123" s="1018"/>
      <c r="CA123" s="1018">
        <f t="shared" si="33"/>
        <v>155662</v>
      </c>
      <c r="CB123" s="1018"/>
      <c r="CC123" s="1018"/>
      <c r="CH123" s="1019"/>
      <c r="CI123" s="1019"/>
      <c r="CJ123" s="1019"/>
      <c r="CK123" s="1019"/>
      <c r="CL123" s="1019"/>
      <c r="CM123" s="1019"/>
      <c r="CN123" s="1019"/>
      <c r="CO123" s="1019"/>
      <c r="CP123" s="1019"/>
      <c r="CQ123" s="1019"/>
      <c r="CR123" s="1019"/>
      <c r="CS123" s="1019"/>
      <c r="CT123" s="1019"/>
      <c r="CU123" s="1019"/>
      <c r="CV123" s="1019"/>
      <c r="CW123" s="1019"/>
      <c r="CX123" s="1019"/>
      <c r="CY123" s="1019"/>
      <c r="CZ123" s="1019"/>
      <c r="DA123" s="1019"/>
      <c r="DB123" s="1019"/>
      <c r="DC123" s="1019"/>
    </row>
    <row r="124" s="974" customFormat="1" ht="31" customHeight="1" spans="1:107">
      <c r="A124" s="1001">
        <v>45978</v>
      </c>
      <c r="B124" s="1002" t="s">
        <v>2011</v>
      </c>
      <c r="C124" s="1003" t="s">
        <v>2012</v>
      </c>
      <c r="D124" s="1002">
        <v>4500180429</v>
      </c>
      <c r="E124" s="1004">
        <v>5000002007</v>
      </c>
      <c r="F124" s="1002" t="s">
        <v>2059</v>
      </c>
      <c r="G124" s="1005" t="s">
        <v>1537</v>
      </c>
      <c r="H124" s="1003" t="s">
        <v>2014</v>
      </c>
      <c r="I124" s="1003">
        <v>1001</v>
      </c>
      <c r="J124" s="1003">
        <v>0</v>
      </c>
      <c r="K124" s="1003">
        <v>13</v>
      </c>
      <c r="L124" s="1006">
        <f t="shared" si="29"/>
        <v>77</v>
      </c>
      <c r="M124" s="1007">
        <v>45992</v>
      </c>
      <c r="N124" s="1007">
        <f>M124-4</f>
        <v>45988</v>
      </c>
      <c r="O124" s="1004"/>
      <c r="P124" s="1008" t="s">
        <v>86</v>
      </c>
      <c r="Q124" s="1004"/>
      <c r="R124" s="1009">
        <v>45946</v>
      </c>
      <c r="S124" s="1009" t="s">
        <v>98</v>
      </c>
      <c r="T124" s="1009" t="s">
        <v>2016</v>
      </c>
      <c r="U124" s="1009"/>
      <c r="V124" s="1010" t="s">
        <v>2017</v>
      </c>
      <c r="W124" s="1011" t="s">
        <v>2018</v>
      </c>
      <c r="X124" s="1012">
        <v>2.39</v>
      </c>
      <c r="Y124" s="1013">
        <f t="shared" ref="Y124:Y134" si="39">X124*I124</f>
        <v>2392.39</v>
      </c>
      <c r="Z124" s="1013"/>
      <c r="AA124" s="1004" t="s">
        <v>2019</v>
      </c>
      <c r="AB124" s="1005" t="s">
        <v>2020</v>
      </c>
      <c r="AC124" s="1003" t="s">
        <v>93</v>
      </c>
      <c r="AD124" s="1003" t="s">
        <v>94</v>
      </c>
      <c r="AE124" s="1004"/>
      <c r="AF124" s="1014">
        <v>1001</v>
      </c>
      <c r="AG124" s="1014">
        <f t="shared" si="30"/>
        <v>0</v>
      </c>
      <c r="AH124" s="1015"/>
      <c r="AI124" s="1004" t="s">
        <v>95</v>
      </c>
      <c r="AJ124" s="1004"/>
      <c r="AK124" s="926">
        <f t="shared" si="38"/>
        <v>1001</v>
      </c>
      <c r="AL124" s="1016">
        <f>I124</f>
        <v>1001</v>
      </c>
      <c r="AN124" s="1016"/>
      <c r="AQ124" s="974">
        <f>I124</f>
        <v>1001</v>
      </c>
      <c r="AR124" s="974">
        <f>I124/13</f>
        <v>77</v>
      </c>
      <c r="BE124" s="1017"/>
      <c r="BF124" s="1017"/>
      <c r="BG124" s="1017"/>
      <c r="BH124" s="1017"/>
      <c r="BI124" s="1017"/>
      <c r="BN124" s="1018"/>
      <c r="BO124" s="1018"/>
      <c r="BP124" s="1018"/>
      <c r="BQ124" s="1018"/>
      <c r="BR124" s="1018"/>
      <c r="BS124" s="1018"/>
      <c r="BV124" s="964">
        <f t="shared" si="34"/>
        <v>0</v>
      </c>
      <c r="BW124" s="964">
        <f t="shared" si="35"/>
        <v>0</v>
      </c>
      <c r="BX124" s="308">
        <f t="shared" si="23"/>
        <v>705339</v>
      </c>
      <c r="BY124" s="1018"/>
      <c r="BZ124" s="1018"/>
      <c r="CA124" s="1018">
        <f t="shared" si="33"/>
        <v>154661</v>
      </c>
      <c r="CB124" s="1018"/>
      <c r="CC124" s="1018"/>
      <c r="CH124" s="1019"/>
      <c r="CI124" s="1019"/>
      <c r="CJ124" s="1019"/>
      <c r="CK124" s="1019"/>
      <c r="CL124" s="1019"/>
      <c r="CM124" s="1019"/>
      <c r="CN124" s="1019"/>
      <c r="CO124" s="1019"/>
      <c r="CP124" s="1019"/>
      <c r="CQ124" s="1019"/>
      <c r="CR124" s="1019"/>
      <c r="CS124" s="1019"/>
      <c r="CT124" s="1019"/>
      <c r="CU124" s="1019"/>
      <c r="CV124" s="1019"/>
      <c r="CW124" s="1019"/>
      <c r="CX124" s="1019"/>
      <c r="CY124" s="1019"/>
      <c r="CZ124" s="1019"/>
      <c r="DA124" s="1019"/>
      <c r="DB124" s="1019"/>
      <c r="DC124" s="1019"/>
    </row>
    <row r="125" s="974" customFormat="1" ht="31" customHeight="1" spans="1:107">
      <c r="A125" s="1001">
        <v>45961</v>
      </c>
      <c r="B125" s="1002" t="s">
        <v>578</v>
      </c>
      <c r="C125" s="1017" t="s">
        <v>125</v>
      </c>
      <c r="D125" s="1002">
        <v>4500183834</v>
      </c>
      <c r="E125" s="1423" t="s">
        <v>2060</v>
      </c>
      <c r="F125" s="1002" t="s">
        <v>2061</v>
      </c>
      <c r="G125" s="1005" t="s">
        <v>1584</v>
      </c>
      <c r="H125" s="1003" t="s">
        <v>1585</v>
      </c>
      <c r="I125" s="1003">
        <v>960</v>
      </c>
      <c r="J125" s="1003">
        <v>0</v>
      </c>
      <c r="K125" s="1003">
        <v>16</v>
      </c>
      <c r="L125" s="1006">
        <f t="shared" si="29"/>
        <v>60</v>
      </c>
      <c r="M125" s="1007">
        <v>46007</v>
      </c>
      <c r="N125" s="1007">
        <v>46003</v>
      </c>
      <c r="O125" s="1004" t="s">
        <v>2062</v>
      </c>
      <c r="P125" s="1008" t="s">
        <v>86</v>
      </c>
      <c r="Q125" s="1004"/>
      <c r="R125" s="1009" t="s">
        <v>296</v>
      </c>
      <c r="S125" s="1009" t="s">
        <v>98</v>
      </c>
      <c r="T125" s="1009" t="s">
        <v>1791</v>
      </c>
      <c r="U125" s="1009"/>
      <c r="V125" s="1010" t="s">
        <v>1626</v>
      </c>
      <c r="W125" s="1011" t="s">
        <v>247</v>
      </c>
      <c r="X125" s="1012">
        <v>1.2079</v>
      </c>
      <c r="Y125" s="1013">
        <f t="shared" si="39"/>
        <v>1159.584</v>
      </c>
      <c r="Z125" s="1013"/>
      <c r="AA125" s="1004" t="s">
        <v>2063</v>
      </c>
      <c r="AB125" s="1005" t="s">
        <v>1584</v>
      </c>
      <c r="AC125" s="1003" t="s">
        <v>93</v>
      </c>
      <c r="AD125" s="1003" t="s">
        <v>94</v>
      </c>
      <c r="AE125" s="1004"/>
      <c r="AF125" s="1014">
        <v>960</v>
      </c>
      <c r="AG125" s="1014">
        <f t="shared" si="30"/>
        <v>0</v>
      </c>
      <c r="AH125" s="1032">
        <v>46002</v>
      </c>
      <c r="AI125" s="1004" t="s">
        <v>95</v>
      </c>
      <c r="AJ125" s="1004"/>
      <c r="AK125" s="926">
        <f t="shared" si="38"/>
        <v>960</v>
      </c>
      <c r="AL125" s="1016">
        <f>I125</f>
        <v>960</v>
      </c>
      <c r="AO125" s="974">
        <f>I125</f>
        <v>960</v>
      </c>
      <c r="AU125" s="1004"/>
      <c r="AY125" s="974">
        <f>I125/16</f>
        <v>60</v>
      </c>
      <c r="BE125" s="1017"/>
      <c r="BF125" s="1017"/>
      <c r="BG125" s="1017"/>
      <c r="BH125" s="1017"/>
      <c r="BI125" s="1017"/>
      <c r="BN125" s="1018"/>
      <c r="BO125" s="1018"/>
      <c r="BP125" s="1018"/>
      <c r="BQ125" s="1018"/>
      <c r="BR125" s="1018"/>
      <c r="BS125" s="1018"/>
      <c r="BV125" s="964">
        <f t="shared" si="34"/>
        <v>60</v>
      </c>
      <c r="BW125" s="964">
        <f t="shared" si="35"/>
        <v>0</v>
      </c>
      <c r="BX125" s="308">
        <f t="shared" si="23"/>
        <v>706299</v>
      </c>
      <c r="BY125" s="1018"/>
      <c r="BZ125" s="1018"/>
      <c r="CA125" s="1018">
        <f t="shared" si="33"/>
        <v>153701</v>
      </c>
      <c r="CB125" s="1018"/>
      <c r="CC125" s="1018"/>
      <c r="CH125" s="1019"/>
      <c r="CI125" s="1019"/>
      <c r="CJ125" s="1019"/>
      <c r="CK125" s="1019"/>
      <c r="CL125" s="1019"/>
      <c r="CM125" s="1019"/>
      <c r="CN125" s="1019"/>
      <c r="CO125" s="1019"/>
      <c r="CP125" s="1019"/>
      <c r="CQ125" s="1019"/>
      <c r="CR125" s="1019"/>
      <c r="CS125" s="1019"/>
      <c r="CT125" s="1019"/>
      <c r="CU125" s="1019"/>
      <c r="CV125" s="1019"/>
      <c r="CW125" s="1019"/>
      <c r="CX125" s="1019"/>
      <c r="CY125" s="1019"/>
      <c r="CZ125" s="1019"/>
      <c r="DA125" s="1019"/>
      <c r="DB125" s="1019"/>
      <c r="DC125" s="1019"/>
    </row>
    <row r="126" s="974" customFormat="1" ht="31" customHeight="1" spans="1:107">
      <c r="A126" s="1001">
        <v>45961</v>
      </c>
      <c r="B126" s="1002" t="s">
        <v>578</v>
      </c>
      <c r="C126" s="1017" t="s">
        <v>125</v>
      </c>
      <c r="D126" s="1002">
        <v>4500183834</v>
      </c>
      <c r="E126" s="1423" t="s">
        <v>2064</v>
      </c>
      <c r="F126" s="1002" t="s">
        <v>2065</v>
      </c>
      <c r="G126" s="1005" t="s">
        <v>1584</v>
      </c>
      <c r="H126" s="1003" t="s">
        <v>1585</v>
      </c>
      <c r="I126" s="1003">
        <v>960</v>
      </c>
      <c r="J126" s="1003">
        <v>0</v>
      </c>
      <c r="K126" s="1003">
        <v>16</v>
      </c>
      <c r="L126" s="1006">
        <f t="shared" si="29"/>
        <v>60</v>
      </c>
      <c r="M126" s="1007">
        <v>46007</v>
      </c>
      <c r="N126" s="1007">
        <v>46003</v>
      </c>
      <c r="O126" s="1004" t="s">
        <v>2062</v>
      </c>
      <c r="P126" s="1008" t="s">
        <v>86</v>
      </c>
      <c r="Q126" s="1004"/>
      <c r="R126" s="1009" t="s">
        <v>296</v>
      </c>
      <c r="S126" s="1009" t="s">
        <v>98</v>
      </c>
      <c r="T126" s="1009" t="s">
        <v>1791</v>
      </c>
      <c r="U126" s="1009"/>
      <c r="V126" s="1010" t="s">
        <v>1626</v>
      </c>
      <c r="W126" s="1011" t="s">
        <v>247</v>
      </c>
      <c r="X126" s="1012">
        <v>1.2079</v>
      </c>
      <c r="Y126" s="1013">
        <f t="shared" si="39"/>
        <v>1159.584</v>
      </c>
      <c r="Z126" s="1013"/>
      <c r="AA126" s="1004" t="s">
        <v>2066</v>
      </c>
      <c r="AB126" s="1005" t="s">
        <v>1584</v>
      </c>
      <c r="AC126" s="1003" t="s">
        <v>93</v>
      </c>
      <c r="AD126" s="1003" t="s">
        <v>94</v>
      </c>
      <c r="AE126" s="1004"/>
      <c r="AF126" s="1014">
        <v>960</v>
      </c>
      <c r="AG126" s="1014">
        <f t="shared" si="30"/>
        <v>0</v>
      </c>
      <c r="AH126" s="1032">
        <v>46002</v>
      </c>
      <c r="AI126" s="1004" t="s">
        <v>95</v>
      </c>
      <c r="AJ126" s="1004"/>
      <c r="AK126" s="926">
        <f t="shared" si="38"/>
        <v>960</v>
      </c>
      <c r="AL126" s="1016">
        <f>I126</f>
        <v>960</v>
      </c>
      <c r="AO126" s="974">
        <f>I126</f>
        <v>960</v>
      </c>
      <c r="AU126" s="1004"/>
      <c r="AY126" s="974">
        <f>I126/16</f>
        <v>60</v>
      </c>
      <c r="BE126" s="1017"/>
      <c r="BF126" s="1017"/>
      <c r="BG126" s="1017"/>
      <c r="BH126" s="1017"/>
      <c r="BI126" s="1017"/>
      <c r="BN126" s="1018"/>
      <c r="BO126" s="1018"/>
      <c r="BP126" s="1018"/>
      <c r="BQ126" s="1018"/>
      <c r="BR126" s="1018"/>
      <c r="BS126" s="1018"/>
      <c r="BV126" s="964">
        <f t="shared" si="34"/>
        <v>60</v>
      </c>
      <c r="BW126" s="964">
        <f t="shared" si="35"/>
        <v>0</v>
      </c>
      <c r="BX126" s="308">
        <f t="shared" si="23"/>
        <v>707259</v>
      </c>
      <c r="BY126" s="1018"/>
      <c r="BZ126" s="1018"/>
      <c r="CA126" s="1018">
        <f t="shared" si="33"/>
        <v>152741</v>
      </c>
      <c r="CB126" s="1018"/>
      <c r="CC126" s="1018"/>
      <c r="CH126" s="1019"/>
      <c r="CI126" s="1019"/>
      <c r="CJ126" s="1019"/>
      <c r="CK126" s="1019"/>
      <c r="CL126" s="1019"/>
      <c r="CM126" s="1019"/>
      <c r="CN126" s="1019"/>
      <c r="CO126" s="1019"/>
      <c r="CP126" s="1019"/>
      <c r="CQ126" s="1019"/>
      <c r="CR126" s="1019"/>
      <c r="CS126" s="1019"/>
      <c r="CT126" s="1019"/>
      <c r="CU126" s="1019"/>
      <c r="CV126" s="1019"/>
      <c r="CW126" s="1019"/>
      <c r="CX126" s="1019"/>
      <c r="CY126" s="1019"/>
      <c r="CZ126" s="1019"/>
      <c r="DA126" s="1019"/>
      <c r="DB126" s="1019"/>
      <c r="DC126" s="1019"/>
    </row>
    <row r="127" s="974" customFormat="1" ht="31" customHeight="1" spans="1:107">
      <c r="A127" s="1001">
        <v>45961</v>
      </c>
      <c r="B127" s="1002" t="s">
        <v>578</v>
      </c>
      <c r="C127" s="1017" t="s">
        <v>125</v>
      </c>
      <c r="D127" s="1002">
        <v>4500183834</v>
      </c>
      <c r="E127" s="1423" t="s">
        <v>2067</v>
      </c>
      <c r="F127" s="1002" t="s">
        <v>2068</v>
      </c>
      <c r="G127" s="1005" t="s">
        <v>1584</v>
      </c>
      <c r="H127" s="1003" t="s">
        <v>1585</v>
      </c>
      <c r="I127" s="1003">
        <v>960</v>
      </c>
      <c r="J127" s="1003">
        <v>0</v>
      </c>
      <c r="K127" s="1003">
        <v>16</v>
      </c>
      <c r="L127" s="1006">
        <f t="shared" si="29"/>
        <v>60</v>
      </c>
      <c r="M127" s="1007">
        <v>46007</v>
      </c>
      <c r="N127" s="1007">
        <v>46003</v>
      </c>
      <c r="O127" s="1004" t="s">
        <v>2062</v>
      </c>
      <c r="P127" s="1008" t="s">
        <v>86</v>
      </c>
      <c r="Q127" s="1004"/>
      <c r="R127" s="1009" t="s">
        <v>296</v>
      </c>
      <c r="S127" s="1009" t="s">
        <v>98</v>
      </c>
      <c r="T127" s="1009" t="s">
        <v>1791</v>
      </c>
      <c r="U127" s="1009"/>
      <c r="V127" s="1010" t="s">
        <v>1626</v>
      </c>
      <c r="W127" s="1011" t="s">
        <v>247</v>
      </c>
      <c r="X127" s="1012">
        <v>1.2079</v>
      </c>
      <c r="Y127" s="1013">
        <f t="shared" si="39"/>
        <v>1159.584</v>
      </c>
      <c r="Z127" s="1013"/>
      <c r="AA127" s="1004"/>
      <c r="AB127" s="1005" t="s">
        <v>1584</v>
      </c>
      <c r="AC127" s="1003" t="s">
        <v>93</v>
      </c>
      <c r="AD127" s="1003" t="s">
        <v>94</v>
      </c>
      <c r="AE127" s="1004"/>
      <c r="AF127" s="1014">
        <v>960</v>
      </c>
      <c r="AG127" s="1014">
        <f t="shared" si="30"/>
        <v>0</v>
      </c>
      <c r="AH127" s="1032">
        <v>46002</v>
      </c>
      <c r="AI127" s="1004" t="s">
        <v>95</v>
      </c>
      <c r="AJ127" s="1004"/>
      <c r="AK127" s="926">
        <f t="shared" si="38"/>
        <v>960</v>
      </c>
      <c r="AL127" s="1016">
        <f>I127</f>
        <v>960</v>
      </c>
      <c r="AO127" s="974">
        <f>I127</f>
        <v>960</v>
      </c>
      <c r="AU127" s="1004"/>
      <c r="AY127" s="974">
        <f>I127/16</f>
        <v>60</v>
      </c>
      <c r="BE127" s="1017"/>
      <c r="BF127" s="1017"/>
      <c r="BG127" s="1017"/>
      <c r="BH127" s="1017"/>
      <c r="BI127" s="1017"/>
      <c r="BN127" s="1018"/>
      <c r="BO127" s="1018"/>
      <c r="BP127" s="1018"/>
      <c r="BQ127" s="1018"/>
      <c r="BR127" s="1018"/>
      <c r="BS127" s="1018"/>
      <c r="BV127" s="964">
        <f t="shared" si="34"/>
        <v>60</v>
      </c>
      <c r="BW127" s="964">
        <f t="shared" si="35"/>
        <v>0</v>
      </c>
      <c r="BX127" s="308">
        <f t="shared" si="23"/>
        <v>708219</v>
      </c>
      <c r="BY127" s="1018"/>
      <c r="BZ127" s="1018"/>
      <c r="CA127" s="1018">
        <f t="shared" si="33"/>
        <v>151781</v>
      </c>
      <c r="CB127" s="1018"/>
      <c r="CC127" s="1018"/>
      <c r="CH127" s="1019"/>
      <c r="CI127" s="1019"/>
      <c r="CJ127" s="1019"/>
      <c r="CK127" s="1019"/>
      <c r="CL127" s="1019"/>
      <c r="CM127" s="1019"/>
      <c r="CN127" s="1019"/>
      <c r="CO127" s="1019"/>
      <c r="CP127" s="1019"/>
      <c r="CQ127" s="1019"/>
      <c r="CR127" s="1019"/>
      <c r="CS127" s="1019"/>
      <c r="CT127" s="1019"/>
      <c r="CU127" s="1019"/>
      <c r="CV127" s="1019"/>
      <c r="CW127" s="1019"/>
      <c r="CX127" s="1019"/>
      <c r="CY127" s="1019"/>
      <c r="CZ127" s="1019"/>
      <c r="DA127" s="1019"/>
      <c r="DB127" s="1019"/>
      <c r="DC127" s="1019"/>
    </row>
    <row r="128" s="974" customFormat="1" ht="31" customHeight="1" spans="1:107">
      <c r="A128" s="1001">
        <v>45961</v>
      </c>
      <c r="B128" s="1002" t="s">
        <v>578</v>
      </c>
      <c r="C128" s="1017" t="s">
        <v>125</v>
      </c>
      <c r="D128" s="1002">
        <v>4500183834</v>
      </c>
      <c r="E128" s="1423" t="s">
        <v>2069</v>
      </c>
      <c r="F128" s="1002" t="s">
        <v>2070</v>
      </c>
      <c r="G128" s="1005" t="s">
        <v>1584</v>
      </c>
      <c r="H128" s="1003" t="s">
        <v>1585</v>
      </c>
      <c r="I128" s="1003">
        <v>960</v>
      </c>
      <c r="J128" s="1003">
        <v>0</v>
      </c>
      <c r="K128" s="1003">
        <v>16</v>
      </c>
      <c r="L128" s="1006">
        <f t="shared" si="29"/>
        <v>60</v>
      </c>
      <c r="M128" s="1007">
        <v>46007</v>
      </c>
      <c r="N128" s="1007">
        <v>46003</v>
      </c>
      <c r="O128" s="1004" t="s">
        <v>2062</v>
      </c>
      <c r="P128" s="1008" t="s">
        <v>86</v>
      </c>
      <c r="Q128" s="1004"/>
      <c r="R128" s="1009" t="s">
        <v>296</v>
      </c>
      <c r="S128" s="1009" t="s">
        <v>98</v>
      </c>
      <c r="T128" s="1009" t="s">
        <v>1791</v>
      </c>
      <c r="U128" s="1009"/>
      <c r="V128" s="1010" t="s">
        <v>1626</v>
      </c>
      <c r="W128" s="1011" t="s">
        <v>247</v>
      </c>
      <c r="X128" s="1012">
        <v>1.2079</v>
      </c>
      <c r="Y128" s="1013">
        <f t="shared" si="39"/>
        <v>1159.584</v>
      </c>
      <c r="Z128" s="1013"/>
      <c r="AA128" s="1004"/>
      <c r="AB128" s="1005" t="s">
        <v>1584</v>
      </c>
      <c r="AC128" s="1003" t="s">
        <v>93</v>
      </c>
      <c r="AD128" s="1003" t="s">
        <v>94</v>
      </c>
      <c r="AE128" s="1004"/>
      <c r="AF128" s="1014">
        <v>960</v>
      </c>
      <c r="AG128" s="1014">
        <f t="shared" si="30"/>
        <v>0</v>
      </c>
      <c r="AH128" s="1032">
        <v>46002</v>
      </c>
      <c r="AI128" s="1004" t="s">
        <v>95</v>
      </c>
      <c r="AJ128" s="1004"/>
      <c r="AK128" s="926">
        <f t="shared" si="38"/>
        <v>960</v>
      </c>
      <c r="AL128" s="1016">
        <f>I128</f>
        <v>960</v>
      </c>
      <c r="AO128" s="974">
        <f>I128</f>
        <v>960</v>
      </c>
      <c r="AU128" s="1004"/>
      <c r="AY128" s="974">
        <f>I128/16</f>
        <v>60</v>
      </c>
      <c r="BE128" s="1017"/>
      <c r="BF128" s="1017"/>
      <c r="BG128" s="1017"/>
      <c r="BH128" s="1017"/>
      <c r="BI128" s="1017"/>
      <c r="BN128" s="1018"/>
      <c r="BO128" s="1018"/>
      <c r="BP128" s="1018"/>
      <c r="BQ128" s="1018"/>
      <c r="BR128" s="1018"/>
      <c r="BS128" s="1018"/>
      <c r="BV128" s="964">
        <f t="shared" si="34"/>
        <v>60</v>
      </c>
      <c r="BW128" s="964">
        <f t="shared" si="35"/>
        <v>0</v>
      </c>
      <c r="BX128" s="308">
        <f t="shared" si="23"/>
        <v>709179</v>
      </c>
      <c r="BY128" s="1018"/>
      <c r="BZ128" s="1018"/>
      <c r="CA128" s="1018">
        <f t="shared" si="33"/>
        <v>150821</v>
      </c>
      <c r="CB128" s="1018"/>
      <c r="CC128" s="1018"/>
      <c r="CH128" s="1019"/>
      <c r="CI128" s="1019"/>
      <c r="CJ128" s="1019"/>
      <c r="CK128" s="1019"/>
      <c r="CL128" s="1019"/>
      <c r="CM128" s="1019"/>
      <c r="CN128" s="1019"/>
      <c r="CO128" s="1019"/>
      <c r="CP128" s="1019"/>
      <c r="CQ128" s="1019"/>
      <c r="CR128" s="1019"/>
      <c r="CS128" s="1019"/>
      <c r="CT128" s="1019"/>
      <c r="CU128" s="1019"/>
      <c r="CV128" s="1019"/>
      <c r="CW128" s="1019"/>
      <c r="CX128" s="1019"/>
      <c r="CY128" s="1019"/>
      <c r="CZ128" s="1019"/>
      <c r="DA128" s="1019"/>
      <c r="DB128" s="1019"/>
      <c r="DC128" s="1019"/>
    </row>
    <row r="129" s="974" customFormat="1" ht="31" customHeight="1" spans="1:107">
      <c r="A129" s="1001">
        <v>45968</v>
      </c>
      <c r="B129" s="1002" t="s">
        <v>761</v>
      </c>
      <c r="C129" s="1017" t="s">
        <v>632</v>
      </c>
      <c r="D129" s="1002">
        <v>4500184839</v>
      </c>
      <c r="E129" s="1004" t="s">
        <v>2071</v>
      </c>
      <c r="F129" s="1002" t="s">
        <v>2072</v>
      </c>
      <c r="G129" s="1005" t="s">
        <v>1746</v>
      </c>
      <c r="H129" s="953" t="s">
        <v>1747</v>
      </c>
      <c r="I129" s="1003">
        <v>12</v>
      </c>
      <c r="J129" s="1003">
        <v>0</v>
      </c>
      <c r="K129" s="1003">
        <v>12</v>
      </c>
      <c r="L129" s="1006">
        <f t="shared" si="29"/>
        <v>1</v>
      </c>
      <c r="M129" s="1007">
        <v>46009</v>
      </c>
      <c r="N129" s="1007">
        <v>46006</v>
      </c>
      <c r="O129" s="1004"/>
      <c r="P129" s="1008" t="s">
        <v>86</v>
      </c>
      <c r="Q129" s="1004"/>
      <c r="R129" s="1009">
        <v>45968</v>
      </c>
      <c r="S129" s="1009" t="s">
        <v>88</v>
      </c>
      <c r="T129" s="1009" t="s">
        <v>2073</v>
      </c>
      <c r="U129" s="1009"/>
      <c r="V129" s="1010" t="s">
        <v>2074</v>
      </c>
      <c r="W129" s="1011" t="s">
        <v>731</v>
      </c>
      <c r="X129" s="1012">
        <v>2.8135</v>
      </c>
      <c r="Y129" s="1013">
        <f t="shared" si="39"/>
        <v>33.762</v>
      </c>
      <c r="Z129" s="1013"/>
      <c r="AA129" s="1004" t="s">
        <v>1142</v>
      </c>
      <c r="AB129" s="1004" t="s">
        <v>1746</v>
      </c>
      <c r="AC129" s="1003" t="s">
        <v>93</v>
      </c>
      <c r="AD129" s="1003" t="s">
        <v>94</v>
      </c>
      <c r="AE129" s="1004"/>
      <c r="AF129" s="1014">
        <v>12</v>
      </c>
      <c r="AG129" s="1014">
        <f t="shared" si="30"/>
        <v>0</v>
      </c>
      <c r="AH129" s="1015"/>
      <c r="AI129" s="1004" t="s">
        <v>95</v>
      </c>
      <c r="AJ129" s="1004"/>
      <c r="AK129" s="951">
        <f>I129*2</f>
        <v>24</v>
      </c>
      <c r="AL129" s="1016"/>
      <c r="AM129" s="1016">
        <f>I129*2</f>
        <v>24</v>
      </c>
      <c r="AO129" s="856">
        <f>I129*2</f>
        <v>24</v>
      </c>
      <c r="AQ129" s="1016"/>
      <c r="AU129" s="1004"/>
      <c r="BE129" s="1017"/>
      <c r="BF129" s="1017"/>
      <c r="BG129" s="1017"/>
      <c r="BH129" s="1017"/>
      <c r="BI129" s="1017"/>
      <c r="BJ129" s="974">
        <f>I129</f>
        <v>12</v>
      </c>
      <c r="BK129" s="974">
        <f>I129</f>
        <v>12</v>
      </c>
      <c r="BL129" s="974">
        <f>I129</f>
        <v>12</v>
      </c>
      <c r="BN129" s="1018"/>
      <c r="BO129" s="1018"/>
      <c r="BP129" s="1018"/>
      <c r="BQ129" s="1018"/>
      <c r="BR129" s="1018"/>
      <c r="BS129" s="1018"/>
      <c r="BV129" s="964">
        <f t="shared" si="34"/>
        <v>0</v>
      </c>
      <c r="BW129" s="964">
        <f t="shared" si="35"/>
        <v>0</v>
      </c>
      <c r="BX129" s="308">
        <f t="shared" si="23"/>
        <v>709203</v>
      </c>
      <c r="BY129" s="1018"/>
      <c r="BZ129" s="1018"/>
      <c r="CA129" s="1018">
        <f t="shared" si="33"/>
        <v>150797</v>
      </c>
      <c r="CB129" s="1018"/>
      <c r="CC129" s="1018"/>
      <c r="CH129" s="1019"/>
      <c r="CI129" s="1019"/>
      <c r="CJ129" s="1019"/>
      <c r="CK129" s="1019"/>
      <c r="CL129" s="1019"/>
      <c r="CM129" s="1019"/>
      <c r="CN129" s="1019"/>
      <c r="CO129" s="1019"/>
      <c r="CP129" s="1019"/>
      <c r="CQ129" s="1019"/>
      <c r="CR129" s="1019"/>
      <c r="CS129" s="1019"/>
      <c r="CT129" s="1019"/>
      <c r="CU129" s="1019"/>
      <c r="CV129" s="1019"/>
      <c r="CW129" s="1019"/>
      <c r="CX129" s="1019"/>
      <c r="CY129" s="1019"/>
      <c r="CZ129" s="1019"/>
      <c r="DA129" s="1019"/>
      <c r="DB129" s="1019"/>
      <c r="DC129" s="1019"/>
    </row>
    <row r="130" s="974" customFormat="1" ht="31" customHeight="1" spans="1:107">
      <c r="A130" s="1001">
        <v>45968</v>
      </c>
      <c r="B130" s="1002" t="s">
        <v>761</v>
      </c>
      <c r="C130" s="1017" t="s">
        <v>632</v>
      </c>
      <c r="D130" s="1002">
        <v>4500184839</v>
      </c>
      <c r="E130" s="1004" t="s">
        <v>2075</v>
      </c>
      <c r="F130" s="1002" t="s">
        <v>2076</v>
      </c>
      <c r="G130" s="1005" t="s">
        <v>1746</v>
      </c>
      <c r="H130" s="953" t="s">
        <v>1747</v>
      </c>
      <c r="I130" s="1003">
        <v>12</v>
      </c>
      <c r="J130" s="1003">
        <v>0</v>
      </c>
      <c r="K130" s="1003">
        <v>12</v>
      </c>
      <c r="L130" s="1006">
        <f t="shared" si="29"/>
        <v>1</v>
      </c>
      <c r="M130" s="1007">
        <v>46009</v>
      </c>
      <c r="N130" s="1007">
        <v>46006</v>
      </c>
      <c r="O130" s="1004"/>
      <c r="P130" s="1008" t="s">
        <v>86</v>
      </c>
      <c r="Q130" s="1004"/>
      <c r="R130" s="1009">
        <v>45968</v>
      </c>
      <c r="S130" s="1009" t="s">
        <v>88</v>
      </c>
      <c r="T130" s="1009" t="s">
        <v>2073</v>
      </c>
      <c r="U130" s="1009"/>
      <c r="V130" s="1010" t="s">
        <v>2074</v>
      </c>
      <c r="W130" s="1011" t="s">
        <v>731</v>
      </c>
      <c r="X130" s="1012">
        <v>2.8135</v>
      </c>
      <c r="Y130" s="1013">
        <f t="shared" si="39"/>
        <v>33.762</v>
      </c>
      <c r="Z130" s="1013"/>
      <c r="AA130" s="1004" t="s">
        <v>1142</v>
      </c>
      <c r="AB130" s="1004" t="s">
        <v>1746</v>
      </c>
      <c r="AC130" s="1003" t="s">
        <v>93</v>
      </c>
      <c r="AD130" s="1003" t="s">
        <v>94</v>
      </c>
      <c r="AE130" s="1004"/>
      <c r="AF130" s="1014">
        <v>12</v>
      </c>
      <c r="AG130" s="1014">
        <f t="shared" si="30"/>
        <v>0</v>
      </c>
      <c r="AH130" s="1015"/>
      <c r="AI130" s="1004" t="s">
        <v>95</v>
      </c>
      <c r="AJ130" s="1004"/>
      <c r="AK130" s="951">
        <f>I130*2</f>
        <v>24</v>
      </c>
      <c r="AL130" s="1016"/>
      <c r="AM130" s="1016">
        <f>I130*2</f>
        <v>24</v>
      </c>
      <c r="AO130" s="856">
        <f>I130*2</f>
        <v>24</v>
      </c>
      <c r="AQ130" s="1016"/>
      <c r="AU130" s="1004"/>
      <c r="BE130" s="1017"/>
      <c r="BF130" s="1017"/>
      <c r="BG130" s="1017"/>
      <c r="BH130" s="1017"/>
      <c r="BI130" s="1017"/>
      <c r="BJ130" s="974">
        <f>I130</f>
        <v>12</v>
      </c>
      <c r="BK130" s="974">
        <f>I130</f>
        <v>12</v>
      </c>
      <c r="BL130" s="974">
        <f>I130</f>
        <v>12</v>
      </c>
      <c r="BN130" s="1018"/>
      <c r="BO130" s="1018"/>
      <c r="BP130" s="1018"/>
      <c r="BQ130" s="1018"/>
      <c r="BR130" s="1018"/>
      <c r="BS130" s="1018"/>
      <c r="BV130" s="964">
        <f t="shared" si="34"/>
        <v>0</v>
      </c>
      <c r="BW130" s="964">
        <f t="shared" si="35"/>
        <v>0</v>
      </c>
      <c r="BX130" s="308">
        <f t="shared" si="23"/>
        <v>709227</v>
      </c>
      <c r="BY130" s="1018"/>
      <c r="BZ130" s="1018"/>
      <c r="CA130" s="1018">
        <f t="shared" si="33"/>
        <v>150773</v>
      </c>
      <c r="CB130" s="1018"/>
      <c r="CC130" s="1018"/>
      <c r="CH130" s="1019"/>
      <c r="CI130" s="1019"/>
      <c r="CJ130" s="1019"/>
      <c r="CK130" s="1019"/>
      <c r="CL130" s="1019"/>
      <c r="CM130" s="1019"/>
      <c r="CN130" s="1019"/>
      <c r="CO130" s="1019"/>
      <c r="CP130" s="1019"/>
      <c r="CQ130" s="1019"/>
      <c r="CR130" s="1019"/>
      <c r="CS130" s="1019"/>
      <c r="CT130" s="1019"/>
      <c r="CU130" s="1019"/>
      <c r="CV130" s="1019"/>
      <c r="CW130" s="1019"/>
      <c r="CX130" s="1019"/>
      <c r="CY130" s="1019"/>
      <c r="CZ130" s="1019"/>
      <c r="DA130" s="1019"/>
      <c r="DB130" s="1019"/>
      <c r="DC130" s="1019"/>
    </row>
    <row r="131" s="974" customFormat="1" ht="31" customHeight="1" spans="1:107">
      <c r="A131" s="1001">
        <v>45968</v>
      </c>
      <c r="B131" s="1002" t="s">
        <v>761</v>
      </c>
      <c r="C131" s="1017" t="s">
        <v>632</v>
      </c>
      <c r="D131" s="1002">
        <v>4500184839</v>
      </c>
      <c r="E131" s="1004" t="s">
        <v>2077</v>
      </c>
      <c r="F131" s="1002" t="s">
        <v>2078</v>
      </c>
      <c r="G131" s="1005" t="s">
        <v>1746</v>
      </c>
      <c r="H131" s="953" t="s">
        <v>1747</v>
      </c>
      <c r="I131" s="1003">
        <v>12</v>
      </c>
      <c r="J131" s="1003">
        <v>0</v>
      </c>
      <c r="K131" s="1003">
        <v>12</v>
      </c>
      <c r="L131" s="1006">
        <f t="shared" si="29"/>
        <v>1</v>
      </c>
      <c r="M131" s="1007">
        <v>46009</v>
      </c>
      <c r="N131" s="1007">
        <v>46006</v>
      </c>
      <c r="O131" s="1004"/>
      <c r="P131" s="1008" t="s">
        <v>86</v>
      </c>
      <c r="Q131" s="1004"/>
      <c r="R131" s="1009">
        <v>45968</v>
      </c>
      <c r="S131" s="1009" t="s">
        <v>88</v>
      </c>
      <c r="T131" s="1009" t="s">
        <v>2073</v>
      </c>
      <c r="U131" s="1009"/>
      <c r="V131" s="1010" t="s">
        <v>2074</v>
      </c>
      <c r="W131" s="1011" t="s">
        <v>731</v>
      </c>
      <c r="X131" s="1012">
        <v>2.8135</v>
      </c>
      <c r="Y131" s="1013">
        <f t="shared" si="39"/>
        <v>33.762</v>
      </c>
      <c r="Z131" s="1013"/>
      <c r="AA131" s="1004" t="s">
        <v>1142</v>
      </c>
      <c r="AB131" s="1004" t="s">
        <v>1746</v>
      </c>
      <c r="AC131" s="1003" t="s">
        <v>93</v>
      </c>
      <c r="AD131" s="1003" t="s">
        <v>94</v>
      </c>
      <c r="AE131" s="1004"/>
      <c r="AF131" s="1014">
        <v>12</v>
      </c>
      <c r="AG131" s="1014">
        <f t="shared" si="30"/>
        <v>0</v>
      </c>
      <c r="AH131" s="1015"/>
      <c r="AI131" s="1004" t="s">
        <v>95</v>
      </c>
      <c r="AJ131" s="1004"/>
      <c r="AK131" s="951">
        <f>I131*2</f>
        <v>24</v>
      </c>
      <c r="AL131" s="1016"/>
      <c r="AM131" s="1016">
        <f>I131*2</f>
        <v>24</v>
      </c>
      <c r="AO131" s="856">
        <f>I131*2</f>
        <v>24</v>
      </c>
      <c r="AQ131" s="1016"/>
      <c r="AU131" s="1004"/>
      <c r="BE131" s="1017"/>
      <c r="BF131" s="1017"/>
      <c r="BG131" s="1017"/>
      <c r="BH131" s="1017"/>
      <c r="BI131" s="1017"/>
      <c r="BJ131" s="974">
        <f>I131</f>
        <v>12</v>
      </c>
      <c r="BK131" s="974">
        <f>I131</f>
        <v>12</v>
      </c>
      <c r="BL131" s="974">
        <f>I131</f>
        <v>12</v>
      </c>
      <c r="BN131" s="1018"/>
      <c r="BO131" s="1018"/>
      <c r="BP131" s="1018"/>
      <c r="BQ131" s="1018"/>
      <c r="BR131" s="1018"/>
      <c r="BS131" s="1018"/>
      <c r="BV131" s="964">
        <f t="shared" ref="BV131:BV188" si="40">AT131+AU131+AY131</f>
        <v>0</v>
      </c>
      <c r="BW131" s="964">
        <f t="shared" ref="BW131:BW188" si="41">BF131+BG131+BI131</f>
        <v>0</v>
      </c>
      <c r="BX131" s="308">
        <f t="shared" si="23"/>
        <v>709251</v>
      </c>
      <c r="BY131" s="1018"/>
      <c r="BZ131" s="1018"/>
      <c r="CA131" s="1018">
        <f t="shared" si="33"/>
        <v>150749</v>
      </c>
      <c r="CB131" s="1018"/>
      <c r="CC131" s="1018"/>
      <c r="CH131" s="1019"/>
      <c r="CI131" s="1019"/>
      <c r="CJ131" s="1019"/>
      <c r="CK131" s="1019"/>
      <c r="CL131" s="1019"/>
      <c r="CM131" s="1019"/>
      <c r="CN131" s="1019"/>
      <c r="CO131" s="1019"/>
      <c r="CP131" s="1019"/>
      <c r="CQ131" s="1019"/>
      <c r="CR131" s="1019"/>
      <c r="CS131" s="1019"/>
      <c r="CT131" s="1019"/>
      <c r="CU131" s="1019"/>
      <c r="CV131" s="1019"/>
      <c r="CW131" s="1019"/>
      <c r="CX131" s="1019"/>
      <c r="CY131" s="1019"/>
      <c r="CZ131" s="1019"/>
      <c r="DA131" s="1019"/>
      <c r="DB131" s="1019"/>
      <c r="DC131" s="1019"/>
    </row>
    <row r="132" s="974" customFormat="1" ht="31" customHeight="1" spans="1:107">
      <c r="A132" s="1001">
        <v>45968</v>
      </c>
      <c r="B132" s="1002" t="s">
        <v>761</v>
      </c>
      <c r="C132" s="1017" t="s">
        <v>632</v>
      </c>
      <c r="D132" s="1002">
        <v>4500184839</v>
      </c>
      <c r="E132" s="1004" t="s">
        <v>2079</v>
      </c>
      <c r="F132" s="1002" t="s">
        <v>2080</v>
      </c>
      <c r="G132" s="1005" t="s">
        <v>1746</v>
      </c>
      <c r="H132" s="953" t="s">
        <v>1747</v>
      </c>
      <c r="I132" s="1003">
        <v>12</v>
      </c>
      <c r="J132" s="1003">
        <v>0</v>
      </c>
      <c r="K132" s="1003">
        <v>12</v>
      </c>
      <c r="L132" s="1006">
        <f t="shared" si="29"/>
        <v>1</v>
      </c>
      <c r="M132" s="1007">
        <v>46009</v>
      </c>
      <c r="N132" s="1007">
        <v>46006</v>
      </c>
      <c r="O132" s="1004"/>
      <c r="P132" s="1008" t="s">
        <v>86</v>
      </c>
      <c r="Q132" s="1004"/>
      <c r="R132" s="1009">
        <v>45968</v>
      </c>
      <c r="S132" s="1009" t="s">
        <v>88</v>
      </c>
      <c r="T132" s="1009" t="s">
        <v>2073</v>
      </c>
      <c r="U132" s="1009"/>
      <c r="V132" s="1010" t="s">
        <v>2074</v>
      </c>
      <c r="W132" s="1011" t="s">
        <v>731</v>
      </c>
      <c r="X132" s="1012">
        <v>2.8135</v>
      </c>
      <c r="Y132" s="1013">
        <f t="shared" si="39"/>
        <v>33.762</v>
      </c>
      <c r="Z132" s="1013"/>
      <c r="AA132" s="1004" t="s">
        <v>1142</v>
      </c>
      <c r="AB132" s="1004" t="s">
        <v>1746</v>
      </c>
      <c r="AC132" s="1003" t="s">
        <v>93</v>
      </c>
      <c r="AD132" s="1003" t="s">
        <v>94</v>
      </c>
      <c r="AE132" s="1004"/>
      <c r="AF132" s="1014">
        <v>12</v>
      </c>
      <c r="AG132" s="1014">
        <f t="shared" si="30"/>
        <v>0</v>
      </c>
      <c r="AH132" s="1015"/>
      <c r="AI132" s="1004" t="s">
        <v>95</v>
      </c>
      <c r="AJ132" s="1004"/>
      <c r="AK132" s="951">
        <f>I132*2</f>
        <v>24</v>
      </c>
      <c r="AL132" s="1016"/>
      <c r="AM132" s="1016">
        <f>I132*2</f>
        <v>24</v>
      </c>
      <c r="AO132" s="856">
        <f>I132*2</f>
        <v>24</v>
      </c>
      <c r="AQ132" s="1016"/>
      <c r="AU132" s="1004"/>
      <c r="BE132" s="1017"/>
      <c r="BF132" s="1017"/>
      <c r="BG132" s="1017"/>
      <c r="BH132" s="1017"/>
      <c r="BI132" s="1017"/>
      <c r="BJ132" s="974">
        <f>I132</f>
        <v>12</v>
      </c>
      <c r="BK132" s="974">
        <f>I132</f>
        <v>12</v>
      </c>
      <c r="BL132" s="974">
        <f>I132</f>
        <v>12</v>
      </c>
      <c r="BN132" s="1018"/>
      <c r="BO132" s="1018"/>
      <c r="BP132" s="1018"/>
      <c r="BQ132" s="1018"/>
      <c r="BR132" s="1018"/>
      <c r="BS132" s="1018"/>
      <c r="BV132" s="964">
        <f t="shared" si="40"/>
        <v>0</v>
      </c>
      <c r="BW132" s="964">
        <f t="shared" si="41"/>
        <v>0</v>
      </c>
      <c r="BX132" s="308">
        <f t="shared" ref="BX132:BX195" si="42">AK132+BX131</f>
        <v>709275</v>
      </c>
      <c r="BY132" s="1018"/>
      <c r="BZ132" s="1018"/>
      <c r="CA132" s="1018">
        <f t="shared" si="33"/>
        <v>150725</v>
      </c>
      <c r="CB132" s="1018"/>
      <c r="CC132" s="1018"/>
      <c r="CH132" s="1019"/>
      <c r="CI132" s="1019"/>
      <c r="CJ132" s="1019"/>
      <c r="CK132" s="1019"/>
      <c r="CL132" s="1019"/>
      <c r="CM132" s="1019"/>
      <c r="CN132" s="1019"/>
      <c r="CO132" s="1019"/>
      <c r="CP132" s="1019"/>
      <c r="CQ132" s="1019"/>
      <c r="CR132" s="1019"/>
      <c r="CS132" s="1019"/>
      <c r="CT132" s="1019"/>
      <c r="CU132" s="1019"/>
      <c r="CV132" s="1019"/>
      <c r="CW132" s="1019"/>
      <c r="CX132" s="1019"/>
      <c r="CY132" s="1019"/>
      <c r="CZ132" s="1019"/>
      <c r="DA132" s="1019"/>
      <c r="DB132" s="1019"/>
      <c r="DC132" s="1019"/>
    </row>
    <row r="133" s="974" customFormat="1" ht="31" customHeight="1" spans="1:107">
      <c r="A133" s="1001">
        <v>45968</v>
      </c>
      <c r="B133" s="1002" t="s">
        <v>761</v>
      </c>
      <c r="C133" s="1017" t="s">
        <v>632</v>
      </c>
      <c r="D133" s="1002">
        <v>4500184839</v>
      </c>
      <c r="E133" s="1004" t="s">
        <v>2081</v>
      </c>
      <c r="F133" s="1002" t="s">
        <v>2082</v>
      </c>
      <c r="G133" s="1005" t="s">
        <v>1746</v>
      </c>
      <c r="H133" s="953" t="s">
        <v>1747</v>
      </c>
      <c r="I133" s="1003">
        <v>12</v>
      </c>
      <c r="J133" s="1003">
        <v>0</v>
      </c>
      <c r="K133" s="1003">
        <v>12</v>
      </c>
      <c r="L133" s="1006">
        <f t="shared" si="29"/>
        <v>1</v>
      </c>
      <c r="M133" s="1007">
        <v>46009</v>
      </c>
      <c r="N133" s="1007">
        <v>46006</v>
      </c>
      <c r="O133" s="1004"/>
      <c r="P133" s="1008" t="s">
        <v>86</v>
      </c>
      <c r="Q133" s="1004"/>
      <c r="R133" s="1009">
        <v>45968</v>
      </c>
      <c r="S133" s="1009" t="s">
        <v>88</v>
      </c>
      <c r="T133" s="1009" t="s">
        <v>2073</v>
      </c>
      <c r="U133" s="1009"/>
      <c r="V133" s="1010" t="s">
        <v>2074</v>
      </c>
      <c r="W133" s="1011" t="s">
        <v>731</v>
      </c>
      <c r="X133" s="1012">
        <v>2.8135</v>
      </c>
      <c r="Y133" s="1013">
        <f t="shared" si="39"/>
        <v>33.762</v>
      </c>
      <c r="Z133" s="1013"/>
      <c r="AA133" s="1004" t="s">
        <v>1142</v>
      </c>
      <c r="AB133" s="1004" t="s">
        <v>1746</v>
      </c>
      <c r="AC133" s="1003" t="s">
        <v>93</v>
      </c>
      <c r="AD133" s="1003" t="s">
        <v>94</v>
      </c>
      <c r="AE133" s="1004"/>
      <c r="AF133" s="1014">
        <v>12</v>
      </c>
      <c r="AG133" s="1014">
        <f t="shared" si="30"/>
        <v>0</v>
      </c>
      <c r="AH133" s="1015"/>
      <c r="AI133" s="1004" t="s">
        <v>95</v>
      </c>
      <c r="AJ133" s="1004"/>
      <c r="AK133" s="951">
        <f>I133*2</f>
        <v>24</v>
      </c>
      <c r="AL133" s="1016"/>
      <c r="AM133" s="1016">
        <f>I133*2</f>
        <v>24</v>
      </c>
      <c r="AO133" s="856">
        <f>I133*2</f>
        <v>24</v>
      </c>
      <c r="AQ133" s="1016"/>
      <c r="AU133" s="1004"/>
      <c r="BE133" s="1017"/>
      <c r="BF133" s="1017"/>
      <c r="BG133" s="1017"/>
      <c r="BH133" s="1017"/>
      <c r="BI133" s="1017"/>
      <c r="BJ133" s="974">
        <f>I133</f>
        <v>12</v>
      </c>
      <c r="BK133" s="974">
        <f>I133</f>
        <v>12</v>
      </c>
      <c r="BL133" s="974">
        <f>I133</f>
        <v>12</v>
      </c>
      <c r="BN133" s="1018"/>
      <c r="BO133" s="1018"/>
      <c r="BP133" s="1018"/>
      <c r="BQ133" s="1018"/>
      <c r="BR133" s="1018"/>
      <c r="BS133" s="1018"/>
      <c r="BV133" s="964">
        <f t="shared" si="40"/>
        <v>0</v>
      </c>
      <c r="BW133" s="964">
        <f t="shared" si="41"/>
        <v>0</v>
      </c>
      <c r="BX133" s="308">
        <f t="shared" si="42"/>
        <v>709299</v>
      </c>
      <c r="BY133" s="1018"/>
      <c r="BZ133" s="1018"/>
      <c r="CA133" s="1018">
        <f t="shared" si="33"/>
        <v>150701</v>
      </c>
      <c r="CB133" s="1018"/>
      <c r="CC133" s="1018"/>
      <c r="CH133" s="1019"/>
      <c r="CI133" s="1019"/>
      <c r="CJ133" s="1019"/>
      <c r="CK133" s="1019"/>
      <c r="CL133" s="1019"/>
      <c r="CM133" s="1019"/>
      <c r="CN133" s="1019"/>
      <c r="CO133" s="1019"/>
      <c r="CP133" s="1019"/>
      <c r="CQ133" s="1019"/>
      <c r="CR133" s="1019"/>
      <c r="CS133" s="1019"/>
      <c r="CT133" s="1019"/>
      <c r="CU133" s="1019"/>
      <c r="CV133" s="1019"/>
      <c r="CW133" s="1019"/>
      <c r="CX133" s="1019"/>
      <c r="CY133" s="1019"/>
      <c r="CZ133" s="1019"/>
      <c r="DA133" s="1019"/>
      <c r="DB133" s="1019"/>
      <c r="DC133" s="1019"/>
    </row>
    <row r="134" s="974" customFormat="1" ht="31" customHeight="1" spans="1:107">
      <c r="A134" s="1001">
        <v>45961</v>
      </c>
      <c r="B134" s="1002" t="s">
        <v>578</v>
      </c>
      <c r="C134" s="1017" t="s">
        <v>125</v>
      </c>
      <c r="D134" s="1002">
        <v>4500183835</v>
      </c>
      <c r="E134" s="1423" t="s">
        <v>2083</v>
      </c>
      <c r="F134" s="1010" t="s">
        <v>2084</v>
      </c>
      <c r="G134" s="1005" t="s">
        <v>1584</v>
      </c>
      <c r="H134" s="1003" t="s">
        <v>1585</v>
      </c>
      <c r="I134" s="1003">
        <v>960</v>
      </c>
      <c r="J134" s="1003">
        <v>0</v>
      </c>
      <c r="K134" s="1003">
        <v>16</v>
      </c>
      <c r="L134" s="1006">
        <f t="shared" si="29"/>
        <v>60</v>
      </c>
      <c r="M134" s="1007">
        <v>46010</v>
      </c>
      <c r="N134" s="1007">
        <v>46006</v>
      </c>
      <c r="O134" s="1004" t="s">
        <v>2085</v>
      </c>
      <c r="P134" s="1008" t="s">
        <v>86</v>
      </c>
      <c r="Q134" s="1004"/>
      <c r="R134" s="1009" t="s">
        <v>296</v>
      </c>
      <c r="S134" s="1009" t="s">
        <v>98</v>
      </c>
      <c r="T134" s="1009" t="s">
        <v>1791</v>
      </c>
      <c r="U134" s="1009"/>
      <c r="V134" s="1010" t="s">
        <v>1626</v>
      </c>
      <c r="W134" s="1011" t="s">
        <v>247</v>
      </c>
      <c r="X134" s="1012">
        <v>1.2079</v>
      </c>
      <c r="Y134" s="1013">
        <f t="shared" si="39"/>
        <v>1159.584</v>
      </c>
      <c r="Z134" s="1013"/>
      <c r="AA134" s="1004"/>
      <c r="AB134" s="1004" t="s">
        <v>1584</v>
      </c>
      <c r="AC134" s="1003" t="s">
        <v>93</v>
      </c>
      <c r="AD134" s="1003" t="s">
        <v>94</v>
      </c>
      <c r="AE134" s="1004"/>
      <c r="AF134" s="1014">
        <v>960</v>
      </c>
      <c r="AG134" s="1014">
        <f t="shared" si="30"/>
        <v>0</v>
      </c>
      <c r="AH134" s="1032">
        <v>46002</v>
      </c>
      <c r="AI134" s="1004" t="s">
        <v>95</v>
      </c>
      <c r="AJ134" s="1004"/>
      <c r="AK134" s="926">
        <f t="shared" ref="AK134:AK143" si="43">I134</f>
        <v>960</v>
      </c>
      <c r="AL134" s="1016">
        <f>I134</f>
        <v>960</v>
      </c>
      <c r="AO134" s="974">
        <f>I134</f>
        <v>960</v>
      </c>
      <c r="AU134" s="1004"/>
      <c r="AY134" s="974">
        <f>I134/16</f>
        <v>60</v>
      </c>
      <c r="BE134" s="1017"/>
      <c r="BF134" s="1017"/>
      <c r="BG134" s="1017"/>
      <c r="BH134" s="1017"/>
      <c r="BI134" s="1017"/>
      <c r="BN134" s="1018"/>
      <c r="BO134" s="1018"/>
      <c r="BP134" s="1018"/>
      <c r="BQ134" s="1018"/>
      <c r="BR134" s="1018"/>
      <c r="BS134" s="1018"/>
      <c r="BV134" s="964">
        <f t="shared" si="40"/>
        <v>60</v>
      </c>
      <c r="BW134" s="964">
        <f t="shared" si="41"/>
        <v>0</v>
      </c>
      <c r="BX134" s="308">
        <f t="shared" si="42"/>
        <v>710259</v>
      </c>
      <c r="BY134" s="1018"/>
      <c r="BZ134" s="1018"/>
      <c r="CA134" s="1018">
        <f t="shared" si="33"/>
        <v>149741</v>
      </c>
      <c r="CB134" s="1018"/>
      <c r="CC134" s="1018"/>
      <c r="CH134" s="1019"/>
      <c r="CI134" s="1019"/>
      <c r="CJ134" s="1019"/>
      <c r="CK134" s="1019"/>
      <c r="CL134" s="1019"/>
      <c r="CM134" s="1019"/>
      <c r="CN134" s="1019"/>
      <c r="CO134" s="1019"/>
      <c r="CP134" s="1019"/>
      <c r="CQ134" s="1019"/>
      <c r="CR134" s="1019"/>
      <c r="CS134" s="1019"/>
      <c r="CT134" s="1019"/>
      <c r="CU134" s="1019"/>
      <c r="CV134" s="1019"/>
      <c r="CW134" s="1019"/>
      <c r="CX134" s="1019"/>
      <c r="CY134" s="1019"/>
      <c r="CZ134" s="1019"/>
      <c r="DA134" s="1019"/>
      <c r="DB134" s="1019"/>
      <c r="DC134" s="1019"/>
    </row>
    <row r="135" s="974" customFormat="1" ht="31" customHeight="1" spans="1:107">
      <c r="A135" s="1001">
        <v>45996</v>
      </c>
      <c r="B135" s="1002"/>
      <c r="C135" s="1017"/>
      <c r="D135" s="1002" t="s">
        <v>2086</v>
      </c>
      <c r="E135" s="1004"/>
      <c r="F135" s="1010" t="s">
        <v>2087</v>
      </c>
      <c r="G135" s="1005" t="s">
        <v>1529</v>
      </c>
      <c r="H135" s="1003" t="s">
        <v>1810</v>
      </c>
      <c r="I135" s="1003">
        <v>30</v>
      </c>
      <c r="J135" s="1003">
        <v>0</v>
      </c>
      <c r="K135" s="1003">
        <v>24</v>
      </c>
      <c r="L135" s="1006">
        <f t="shared" si="29"/>
        <v>1.25</v>
      </c>
      <c r="M135" s="1007">
        <v>46013</v>
      </c>
      <c r="N135" s="1007">
        <v>46009</v>
      </c>
      <c r="O135" s="1004"/>
      <c r="P135" s="1008"/>
      <c r="Q135" s="1004"/>
      <c r="R135" s="1009"/>
      <c r="S135" s="1009"/>
      <c r="T135" s="1009"/>
      <c r="U135" s="1009"/>
      <c r="V135" s="1010" t="s">
        <v>2088</v>
      </c>
      <c r="W135" s="1011"/>
      <c r="X135" s="1012"/>
      <c r="Y135" s="1013"/>
      <c r="Z135" s="1013"/>
      <c r="AA135" s="1004"/>
      <c r="AB135" s="1004" t="s">
        <v>1529</v>
      </c>
      <c r="AC135" s="1003" t="s">
        <v>93</v>
      </c>
      <c r="AD135" s="1003" t="s">
        <v>94</v>
      </c>
      <c r="AE135" s="1004"/>
      <c r="AF135" s="1014">
        <v>30</v>
      </c>
      <c r="AG135" s="1014">
        <f t="shared" si="30"/>
        <v>0</v>
      </c>
      <c r="AH135" s="1015"/>
      <c r="AI135" s="1004" t="s">
        <v>98</v>
      </c>
      <c r="AJ135" s="1004"/>
      <c r="AK135" s="1004">
        <f t="shared" si="43"/>
        <v>30</v>
      </c>
      <c r="AL135" s="1016">
        <v>30</v>
      </c>
      <c r="AO135" s="974">
        <v>30</v>
      </c>
      <c r="AU135" s="1004"/>
      <c r="BE135" s="1017"/>
      <c r="BF135" s="1017"/>
      <c r="BG135" s="1017"/>
      <c r="BH135" s="1017"/>
      <c r="BI135" s="1017"/>
      <c r="BN135" s="1018"/>
      <c r="BO135" s="1018"/>
      <c r="BP135" s="1018"/>
      <c r="BQ135" s="1018"/>
      <c r="BR135" s="1018"/>
      <c r="BS135" s="1018"/>
      <c r="BV135" s="974">
        <f t="shared" si="40"/>
        <v>0</v>
      </c>
      <c r="BW135" s="974">
        <f t="shared" si="41"/>
        <v>0</v>
      </c>
      <c r="BX135" s="308">
        <f t="shared" si="42"/>
        <v>710289</v>
      </c>
      <c r="BY135" s="1018"/>
      <c r="BZ135" s="1018"/>
      <c r="CA135" s="1018"/>
      <c r="CB135" s="1018"/>
      <c r="CC135" s="1018"/>
      <c r="CH135" s="1019"/>
      <c r="CI135" s="1019"/>
      <c r="CJ135" s="1019"/>
      <c r="CK135" s="1019"/>
      <c r="CL135" s="1019"/>
      <c r="CM135" s="1019"/>
      <c r="CN135" s="1019"/>
      <c r="CO135" s="1019"/>
      <c r="CP135" s="1019"/>
      <c r="CQ135" s="1019"/>
      <c r="CR135" s="1019"/>
      <c r="CS135" s="1019"/>
      <c r="CT135" s="1019"/>
      <c r="CU135" s="1019"/>
      <c r="CV135" s="1019"/>
      <c r="CW135" s="1019"/>
      <c r="CX135" s="1019"/>
      <c r="CY135" s="1019"/>
      <c r="CZ135" s="1019"/>
      <c r="DA135" s="1019"/>
      <c r="DB135" s="1019"/>
      <c r="DC135" s="1019"/>
    </row>
    <row r="136" s="974" customFormat="1" ht="31" customHeight="1" spans="1:107">
      <c r="A136" s="1001">
        <v>45996</v>
      </c>
      <c r="B136" s="1002"/>
      <c r="C136" s="1017"/>
      <c r="D136" s="1002" t="s">
        <v>2086</v>
      </c>
      <c r="E136" s="1004"/>
      <c r="F136" s="1010" t="s">
        <v>2089</v>
      </c>
      <c r="G136" s="1005" t="s">
        <v>1532</v>
      </c>
      <c r="H136" s="1003" t="s">
        <v>1524</v>
      </c>
      <c r="I136" s="1003">
        <v>390</v>
      </c>
      <c r="J136" s="1003">
        <v>0</v>
      </c>
      <c r="K136" s="1003">
        <v>52</v>
      </c>
      <c r="L136" s="1006">
        <f t="shared" si="29"/>
        <v>7.5</v>
      </c>
      <c r="M136" s="1007">
        <v>46013</v>
      </c>
      <c r="N136" s="1007">
        <v>46009</v>
      </c>
      <c r="O136" s="1004"/>
      <c r="P136" s="1008"/>
      <c r="Q136" s="1004"/>
      <c r="R136" s="1009"/>
      <c r="S136" s="1009"/>
      <c r="T136" s="1009"/>
      <c r="U136" s="1009"/>
      <c r="V136" s="1010" t="s">
        <v>2090</v>
      </c>
      <c r="W136" s="1011"/>
      <c r="X136" s="1012"/>
      <c r="Y136" s="1013"/>
      <c r="Z136" s="1013"/>
      <c r="AA136" s="1004"/>
      <c r="AB136" s="1004" t="s">
        <v>542</v>
      </c>
      <c r="AC136" s="927" t="s">
        <v>542</v>
      </c>
      <c r="AD136" s="1003"/>
      <c r="AE136" s="1004"/>
      <c r="AF136" s="1014">
        <v>390</v>
      </c>
      <c r="AG136" s="1014">
        <f t="shared" si="30"/>
        <v>0</v>
      </c>
      <c r="AH136" s="1015"/>
      <c r="AI136" s="1004" t="s">
        <v>98</v>
      </c>
      <c r="AJ136" s="1004"/>
      <c r="AK136" s="1004">
        <f t="shared" si="43"/>
        <v>390</v>
      </c>
      <c r="AL136" s="1016">
        <f>I136</f>
        <v>390</v>
      </c>
      <c r="AO136" s="974">
        <f t="shared" ref="AO136:AO143" si="44">I136</f>
        <v>390</v>
      </c>
      <c r="AR136" s="974">
        <f>I136/13</f>
        <v>30</v>
      </c>
      <c r="AU136" s="1004"/>
      <c r="BE136" s="1017"/>
      <c r="BF136" s="1017"/>
      <c r="BG136" s="1017"/>
      <c r="BH136" s="1017"/>
      <c r="BI136" s="1017"/>
      <c r="BN136" s="1018"/>
      <c r="BO136" s="1018"/>
      <c r="BP136" s="1018"/>
      <c r="BQ136" s="1018"/>
      <c r="BR136" s="1018"/>
      <c r="BS136" s="1018"/>
      <c r="BV136" s="974">
        <f t="shared" si="40"/>
        <v>0</v>
      </c>
      <c r="BW136" s="974">
        <f t="shared" si="41"/>
        <v>0</v>
      </c>
      <c r="BX136" s="308">
        <f t="shared" si="42"/>
        <v>710679</v>
      </c>
      <c r="BY136" s="1018"/>
      <c r="BZ136" s="1018"/>
      <c r="CA136" s="1018">
        <f t="shared" ref="CA136:CA183" si="45">$BZ$1+$CA$1-BX136</f>
        <v>149321</v>
      </c>
      <c r="CB136" s="1018"/>
      <c r="CC136" s="1018"/>
      <c r="CH136" s="1019"/>
      <c r="CI136" s="1019"/>
      <c r="CJ136" s="1019"/>
      <c r="CK136" s="1019"/>
      <c r="CL136" s="1019"/>
      <c r="CM136" s="1019"/>
      <c r="CN136" s="1019"/>
      <c r="CO136" s="1019"/>
      <c r="CP136" s="1019"/>
      <c r="CQ136" s="1019"/>
      <c r="CR136" s="1019"/>
      <c r="CS136" s="1019"/>
      <c r="CT136" s="1019"/>
      <c r="CU136" s="1019"/>
      <c r="CV136" s="1019"/>
      <c r="CW136" s="1019"/>
      <c r="CX136" s="1019"/>
      <c r="CY136" s="1019"/>
      <c r="CZ136" s="1019"/>
      <c r="DA136" s="1019"/>
      <c r="DB136" s="1019"/>
      <c r="DC136" s="1019"/>
    </row>
    <row r="137" s="974" customFormat="1" ht="31" customHeight="1" spans="1:107">
      <c r="A137" s="1001">
        <v>45996</v>
      </c>
      <c r="B137" s="1002"/>
      <c r="C137" s="1017"/>
      <c r="D137" s="1002" t="s">
        <v>2086</v>
      </c>
      <c r="E137" s="1004"/>
      <c r="F137" s="1010" t="s">
        <v>2091</v>
      </c>
      <c r="G137" s="1005" t="s">
        <v>1523</v>
      </c>
      <c r="H137" s="1003" t="s">
        <v>1524</v>
      </c>
      <c r="I137" s="1003">
        <v>1500</v>
      </c>
      <c r="J137" s="1003">
        <v>0</v>
      </c>
      <c r="K137" s="1003">
        <v>50</v>
      </c>
      <c r="L137" s="1006">
        <f t="shared" si="29"/>
        <v>30</v>
      </c>
      <c r="M137" s="1007">
        <v>46013</v>
      </c>
      <c r="N137" s="1007">
        <v>46009</v>
      </c>
      <c r="O137" s="1004"/>
      <c r="P137" s="1008"/>
      <c r="Q137" s="1004"/>
      <c r="R137" s="1009"/>
      <c r="S137" s="1009"/>
      <c r="T137" s="1009"/>
      <c r="U137" s="1009"/>
      <c r="V137" s="1010" t="s">
        <v>2090</v>
      </c>
      <c r="W137" s="1011"/>
      <c r="X137" s="1012"/>
      <c r="Y137" s="1013"/>
      <c r="Z137" s="1013"/>
      <c r="AA137" s="1004"/>
      <c r="AB137" s="1004" t="s">
        <v>542</v>
      </c>
      <c r="AC137" s="927" t="s">
        <v>542</v>
      </c>
      <c r="AD137" s="1003"/>
      <c r="AE137" s="1004"/>
      <c r="AF137" s="1014">
        <v>1500</v>
      </c>
      <c r="AG137" s="1014">
        <f t="shared" si="30"/>
        <v>0</v>
      </c>
      <c r="AH137" s="1015"/>
      <c r="AI137" s="1004" t="s">
        <v>98</v>
      </c>
      <c r="AJ137" s="1004"/>
      <c r="AK137" s="1004">
        <f t="shared" si="43"/>
        <v>1500</v>
      </c>
      <c r="AL137" s="1016">
        <f>I137</f>
        <v>1500</v>
      </c>
      <c r="AO137" s="974">
        <f t="shared" si="44"/>
        <v>1500</v>
      </c>
      <c r="AT137" s="974">
        <f>L137*2</f>
        <v>60</v>
      </c>
      <c r="AU137" s="1004"/>
      <c r="BE137" s="1017"/>
      <c r="BF137" s="1017"/>
      <c r="BG137" s="1017"/>
      <c r="BH137" s="1017"/>
      <c r="BI137" s="1017"/>
      <c r="BN137" s="1018"/>
      <c r="BO137" s="1018"/>
      <c r="BP137" s="1018"/>
      <c r="BQ137" s="1018"/>
      <c r="BR137" s="1018"/>
      <c r="BS137" s="1018"/>
      <c r="BV137" s="974">
        <f t="shared" si="40"/>
        <v>60</v>
      </c>
      <c r="BW137" s="974">
        <f t="shared" si="41"/>
        <v>0</v>
      </c>
      <c r="BX137" s="308">
        <f t="shared" si="42"/>
        <v>712179</v>
      </c>
      <c r="BY137" s="1018"/>
      <c r="BZ137" s="1018"/>
      <c r="CA137" s="1018">
        <f t="shared" si="45"/>
        <v>147821</v>
      </c>
      <c r="CB137" s="1018"/>
      <c r="CC137" s="1018"/>
      <c r="CH137" s="1019"/>
      <c r="CI137" s="1019"/>
      <c r="CJ137" s="1019"/>
      <c r="CK137" s="1019"/>
      <c r="CL137" s="1019"/>
      <c r="CM137" s="1019"/>
      <c r="CN137" s="1019"/>
      <c r="CO137" s="1019"/>
      <c r="CP137" s="1019"/>
      <c r="CQ137" s="1019"/>
      <c r="CR137" s="1019"/>
      <c r="CS137" s="1019"/>
      <c r="CT137" s="1019"/>
      <c r="CU137" s="1019"/>
      <c r="CV137" s="1019"/>
      <c r="CW137" s="1019"/>
      <c r="CX137" s="1019"/>
      <c r="CY137" s="1019"/>
      <c r="CZ137" s="1019"/>
      <c r="DA137" s="1019"/>
      <c r="DB137" s="1019"/>
      <c r="DC137" s="1019"/>
    </row>
    <row r="138" s="974" customFormat="1" ht="31" customHeight="1" spans="1:107">
      <c r="A138" s="1001">
        <v>45953</v>
      </c>
      <c r="B138" s="1002" t="s">
        <v>1548</v>
      </c>
      <c r="C138" s="1017" t="s">
        <v>125</v>
      </c>
      <c r="D138" s="1002">
        <v>4500182971</v>
      </c>
      <c r="E138" s="1004" t="s">
        <v>2092</v>
      </c>
      <c r="F138" s="1010" t="s">
        <v>2093</v>
      </c>
      <c r="G138" s="1005" t="s">
        <v>1570</v>
      </c>
      <c r="H138" s="1003" t="s">
        <v>1853</v>
      </c>
      <c r="I138" s="1003">
        <v>21000</v>
      </c>
      <c r="J138" s="1003">
        <v>0</v>
      </c>
      <c r="K138" s="1003">
        <v>25</v>
      </c>
      <c r="L138" s="1006">
        <f t="shared" si="29"/>
        <v>840</v>
      </c>
      <c r="M138" s="1007">
        <v>46003</v>
      </c>
      <c r="N138" s="1007">
        <v>45999</v>
      </c>
      <c r="O138" s="1004"/>
      <c r="P138" s="1008" t="s">
        <v>86</v>
      </c>
      <c r="Q138" s="1020" t="s">
        <v>2094</v>
      </c>
      <c r="R138" s="1009">
        <v>45957</v>
      </c>
      <c r="S138" s="1009" t="s">
        <v>88</v>
      </c>
      <c r="T138" s="1009" t="s">
        <v>1736</v>
      </c>
      <c r="U138" s="1009"/>
      <c r="V138" s="1010" t="s">
        <v>1815</v>
      </c>
      <c r="W138" s="1011" t="s">
        <v>1554</v>
      </c>
      <c r="X138" s="1012">
        <v>1.1617</v>
      </c>
      <c r="Y138" s="1013">
        <f>I138*X138</f>
        <v>24395.7</v>
      </c>
      <c r="Z138" s="1013"/>
      <c r="AA138" s="1004" t="s">
        <v>2095</v>
      </c>
      <c r="AB138" s="1004" t="s">
        <v>1570</v>
      </c>
      <c r="AC138" s="1003" t="s">
        <v>93</v>
      </c>
      <c r="AD138" s="1003" t="s">
        <v>94</v>
      </c>
      <c r="AE138" s="1004"/>
      <c r="AF138" s="1014">
        <f>13500+7500</f>
        <v>21000</v>
      </c>
      <c r="AG138" s="1014">
        <f t="shared" si="30"/>
        <v>0</v>
      </c>
      <c r="AH138" s="1032">
        <v>46000</v>
      </c>
      <c r="AI138" s="1004" t="s">
        <v>95</v>
      </c>
      <c r="AJ138" s="1004"/>
      <c r="AK138" s="1004">
        <f t="shared" si="43"/>
        <v>21000</v>
      </c>
      <c r="AL138" s="1016">
        <f>I138</f>
        <v>21000</v>
      </c>
      <c r="AN138" s="1003"/>
      <c r="AO138" s="974">
        <f t="shared" si="44"/>
        <v>21000</v>
      </c>
      <c r="AT138" s="974">
        <f>I138/25</f>
        <v>840</v>
      </c>
      <c r="BE138" s="1017"/>
      <c r="BF138" s="1017"/>
      <c r="BG138" s="1017"/>
      <c r="BH138" s="1017"/>
      <c r="BI138" s="1017"/>
      <c r="BN138" s="1018"/>
      <c r="BO138" s="1018"/>
      <c r="BP138" s="1018"/>
      <c r="BQ138" s="1018"/>
      <c r="BR138" s="1018"/>
      <c r="BS138" s="1018"/>
      <c r="BV138" s="974">
        <f t="shared" si="40"/>
        <v>840</v>
      </c>
      <c r="BW138" s="974">
        <f t="shared" si="41"/>
        <v>0</v>
      </c>
      <c r="BX138" s="308">
        <f t="shared" si="42"/>
        <v>733179</v>
      </c>
      <c r="BY138" s="1018"/>
      <c r="BZ138" s="1018"/>
      <c r="CA138" s="1018">
        <f t="shared" si="45"/>
        <v>126821</v>
      </c>
      <c r="CB138" s="1018"/>
      <c r="CC138" s="1018"/>
      <c r="CH138" s="1019"/>
      <c r="CI138" s="1019"/>
      <c r="CJ138" s="1019"/>
      <c r="CK138" s="1019"/>
      <c r="CL138" s="1019"/>
      <c r="CM138" s="1019"/>
      <c r="CN138" s="1019"/>
      <c r="CO138" s="1019"/>
      <c r="CP138" s="1019"/>
      <c r="CQ138" s="1019"/>
      <c r="CR138" s="1019"/>
      <c r="CS138" s="1019"/>
      <c r="CT138" s="1019"/>
      <c r="CU138" s="1019"/>
      <c r="CV138" s="1019"/>
      <c r="CW138" s="1019"/>
      <c r="CX138" s="1019"/>
      <c r="CY138" s="1019"/>
      <c r="CZ138" s="1019"/>
      <c r="DA138" s="1019"/>
      <c r="DB138" s="1019"/>
      <c r="DC138" s="1019"/>
    </row>
    <row r="139" s="974" customFormat="1" ht="31" customHeight="1" spans="1:107">
      <c r="A139" s="1001">
        <v>45952</v>
      </c>
      <c r="B139" s="1002" t="s">
        <v>2096</v>
      </c>
      <c r="C139" s="1017" t="s">
        <v>81</v>
      </c>
      <c r="D139" s="1002">
        <v>4500182578</v>
      </c>
      <c r="E139" s="1004">
        <v>62050798</v>
      </c>
      <c r="F139" s="1010" t="s">
        <v>2097</v>
      </c>
      <c r="G139" s="1005" t="s">
        <v>1523</v>
      </c>
      <c r="H139" s="1003" t="s">
        <v>1524</v>
      </c>
      <c r="I139" s="1003">
        <v>450</v>
      </c>
      <c r="J139" s="1003">
        <v>0</v>
      </c>
      <c r="K139" s="1003">
        <v>50</v>
      </c>
      <c r="L139" s="1006">
        <f t="shared" si="29"/>
        <v>9</v>
      </c>
      <c r="M139" s="1007">
        <v>46006</v>
      </c>
      <c r="N139" s="1007">
        <v>46002</v>
      </c>
      <c r="O139" s="1004"/>
      <c r="P139" s="1008" t="s">
        <v>86</v>
      </c>
      <c r="Q139" s="1004"/>
      <c r="R139" s="1009">
        <v>45971</v>
      </c>
      <c r="S139" s="1009" t="s">
        <v>98</v>
      </c>
      <c r="T139" s="1009" t="s">
        <v>2008</v>
      </c>
      <c r="U139" s="1009"/>
      <c r="V139" s="1010" t="s">
        <v>2098</v>
      </c>
      <c r="W139" s="1011" t="s">
        <v>225</v>
      </c>
      <c r="X139" s="1012">
        <v>1.9154</v>
      </c>
      <c r="Y139" s="1013">
        <f>X139*I139</f>
        <v>861.93</v>
      </c>
      <c r="Z139" s="1013"/>
      <c r="AA139" s="1033" t="s">
        <v>2099</v>
      </c>
      <c r="AB139" s="1004" t="s">
        <v>1727</v>
      </c>
      <c r="AC139" s="1003" t="s">
        <v>93</v>
      </c>
      <c r="AD139" s="1003" t="s">
        <v>94</v>
      </c>
      <c r="AE139" s="1004"/>
      <c r="AF139" s="1014">
        <v>450</v>
      </c>
      <c r="AG139" s="1014">
        <f t="shared" si="30"/>
        <v>0</v>
      </c>
      <c r="AH139" s="1015"/>
      <c r="AI139" s="1004" t="s">
        <v>95</v>
      </c>
      <c r="AJ139" s="1004"/>
      <c r="AK139" s="1004">
        <f t="shared" si="43"/>
        <v>450</v>
      </c>
      <c r="AL139" s="1016"/>
      <c r="AN139" s="974">
        <f>I139</f>
        <v>450</v>
      </c>
      <c r="AO139" s="1016">
        <f t="shared" si="44"/>
        <v>450</v>
      </c>
      <c r="AU139" s="1004">
        <f>I139/25</f>
        <v>18</v>
      </c>
      <c r="BE139" s="1017"/>
      <c r="BF139" s="1017"/>
      <c r="BG139" s="1017"/>
      <c r="BH139" s="1017"/>
      <c r="BI139" s="1017"/>
      <c r="BN139" s="1018"/>
      <c r="BO139" s="1018"/>
      <c r="BP139" s="1018"/>
      <c r="BQ139" s="1018"/>
      <c r="BR139" s="1018"/>
      <c r="BS139" s="1018"/>
      <c r="BV139" s="974">
        <f t="shared" si="40"/>
        <v>18</v>
      </c>
      <c r="BW139" s="974">
        <f t="shared" si="41"/>
        <v>0</v>
      </c>
      <c r="BX139" s="308">
        <f t="shared" si="42"/>
        <v>733629</v>
      </c>
      <c r="BY139" s="1018"/>
      <c r="BZ139" s="1018"/>
      <c r="CA139" s="1018">
        <f t="shared" si="45"/>
        <v>126371</v>
      </c>
      <c r="CB139" s="1018"/>
      <c r="CC139" s="1018"/>
      <c r="CH139" s="1019"/>
      <c r="CI139" s="1019"/>
      <c r="CJ139" s="1019"/>
      <c r="CK139" s="1019"/>
      <c r="CL139" s="1019"/>
      <c r="CM139" s="1019"/>
      <c r="CN139" s="1019"/>
      <c r="CO139" s="1019"/>
      <c r="CP139" s="1019"/>
      <c r="CQ139" s="1019"/>
      <c r="CR139" s="1019"/>
      <c r="CS139" s="1019"/>
      <c r="CT139" s="1019"/>
      <c r="CU139" s="1019"/>
      <c r="CV139" s="1019"/>
      <c r="CW139" s="1019"/>
      <c r="CX139" s="1019"/>
      <c r="CY139" s="1019"/>
      <c r="CZ139" s="1019"/>
      <c r="DA139" s="1019"/>
      <c r="DB139" s="1019"/>
      <c r="DC139" s="1019"/>
    </row>
    <row r="140" s="974" customFormat="1" ht="31" customHeight="1" spans="1:107">
      <c r="A140" s="1001">
        <v>45929</v>
      </c>
      <c r="B140" s="1002" t="s">
        <v>203</v>
      </c>
      <c r="C140" s="1017" t="s">
        <v>81</v>
      </c>
      <c r="D140" s="1002">
        <v>4500180866</v>
      </c>
      <c r="E140" s="1004">
        <v>5251218598</v>
      </c>
      <c r="F140" s="1010" t="s">
        <v>2100</v>
      </c>
      <c r="G140" s="1005" t="s">
        <v>1570</v>
      </c>
      <c r="H140" s="1003" t="s">
        <v>1853</v>
      </c>
      <c r="I140" s="1003">
        <v>13000</v>
      </c>
      <c r="J140" s="1003">
        <v>0</v>
      </c>
      <c r="K140" s="1003">
        <v>25</v>
      </c>
      <c r="L140" s="1006">
        <f t="shared" si="29"/>
        <v>520</v>
      </c>
      <c r="M140" s="1007">
        <v>46006</v>
      </c>
      <c r="N140" s="1007">
        <v>46002</v>
      </c>
      <c r="O140" s="1004"/>
      <c r="P140" s="1008" t="s">
        <v>86</v>
      </c>
      <c r="Q140" s="1004"/>
      <c r="R140" s="1009">
        <v>45929</v>
      </c>
      <c r="S140" s="1009" t="s">
        <v>98</v>
      </c>
      <c r="T140" s="1009" t="s">
        <v>2101</v>
      </c>
      <c r="U140" s="1009"/>
      <c r="V140" s="1010" t="s">
        <v>2102</v>
      </c>
      <c r="W140" s="1011" t="s">
        <v>119</v>
      </c>
      <c r="X140" s="1012">
        <v>2.66</v>
      </c>
      <c r="Y140" s="1013">
        <f>I140*X140</f>
        <v>34580</v>
      </c>
      <c r="Z140" s="1013"/>
      <c r="AA140" s="1034" t="s">
        <v>2103</v>
      </c>
      <c r="AB140" s="1004" t="s">
        <v>1858</v>
      </c>
      <c r="AC140" s="1003" t="s">
        <v>93</v>
      </c>
      <c r="AD140" s="1003" t="s">
        <v>94</v>
      </c>
      <c r="AE140" s="1004"/>
      <c r="AF140" s="1014">
        <v>13000</v>
      </c>
      <c r="AG140" s="1014">
        <f t="shared" si="30"/>
        <v>0</v>
      </c>
      <c r="AH140" s="1032">
        <v>46001</v>
      </c>
      <c r="AI140" s="1004" t="s">
        <v>95</v>
      </c>
      <c r="AJ140" s="1004"/>
      <c r="AK140" s="1004">
        <f t="shared" si="43"/>
        <v>13000</v>
      </c>
      <c r="AL140" s="1016"/>
      <c r="AN140" s="1003">
        <f>I140</f>
        <v>13000</v>
      </c>
      <c r="AO140" s="974">
        <f t="shared" si="44"/>
        <v>13000</v>
      </c>
      <c r="AU140" s="974">
        <f>L140</f>
        <v>520</v>
      </c>
      <c r="BE140" s="1017"/>
      <c r="BF140" s="1017"/>
      <c r="BG140" s="1017"/>
      <c r="BH140" s="1017"/>
      <c r="BI140" s="1017"/>
      <c r="BN140" s="1018"/>
      <c r="BO140" s="1018"/>
      <c r="BP140" s="1018"/>
      <c r="BQ140" s="1018"/>
      <c r="BR140" s="1018"/>
      <c r="BS140" s="1018"/>
      <c r="BV140" s="974">
        <f t="shared" si="40"/>
        <v>520</v>
      </c>
      <c r="BW140" s="974">
        <f t="shared" si="41"/>
        <v>0</v>
      </c>
      <c r="BX140" s="308">
        <f t="shared" si="42"/>
        <v>746629</v>
      </c>
      <c r="BY140" s="1018"/>
      <c r="BZ140" s="1018"/>
      <c r="CA140" s="1018">
        <f t="shared" si="45"/>
        <v>113371</v>
      </c>
      <c r="CB140" s="1018"/>
      <c r="CC140" s="1018"/>
      <c r="CH140" s="1019"/>
      <c r="CI140" s="1019"/>
      <c r="CJ140" s="1019"/>
      <c r="CK140" s="1019"/>
      <c r="CL140" s="1019"/>
      <c r="CM140" s="1019"/>
      <c r="CN140" s="1019"/>
      <c r="CO140" s="1019"/>
      <c r="CP140" s="1019"/>
      <c r="CQ140" s="1019"/>
      <c r="CR140" s="1019"/>
      <c r="CS140" s="1019"/>
      <c r="CT140" s="1019"/>
      <c r="CU140" s="1019"/>
      <c r="CV140" s="1019"/>
      <c r="CW140" s="1019"/>
      <c r="CX140" s="1019"/>
      <c r="CY140" s="1019"/>
      <c r="CZ140" s="1019"/>
      <c r="DA140" s="1019"/>
      <c r="DB140" s="1019"/>
      <c r="DC140" s="1019"/>
    </row>
    <row r="141" s="974" customFormat="1" ht="31" customHeight="1" spans="1:107">
      <c r="A141" s="1001">
        <v>45965</v>
      </c>
      <c r="B141" s="1002" t="s">
        <v>2104</v>
      </c>
      <c r="C141" s="1017" t="s">
        <v>264</v>
      </c>
      <c r="D141" s="1002">
        <v>4500184316</v>
      </c>
      <c r="E141" s="1004">
        <v>8807187952</v>
      </c>
      <c r="F141" s="1002" t="s">
        <v>2105</v>
      </c>
      <c r="G141" s="1005" t="s">
        <v>1523</v>
      </c>
      <c r="H141" s="1003" t="s">
        <v>1524</v>
      </c>
      <c r="I141" s="1003">
        <v>1500</v>
      </c>
      <c r="J141" s="1003">
        <v>0</v>
      </c>
      <c r="K141" s="1003">
        <v>50</v>
      </c>
      <c r="L141" s="1006">
        <f t="shared" si="29"/>
        <v>30</v>
      </c>
      <c r="M141" s="1007">
        <v>46009</v>
      </c>
      <c r="N141" s="1007">
        <v>46006</v>
      </c>
      <c r="O141" s="1004"/>
      <c r="P141" s="1008" t="s">
        <v>86</v>
      </c>
      <c r="Q141" s="1004"/>
      <c r="R141" s="1009">
        <v>45971</v>
      </c>
      <c r="S141" s="1009" t="s">
        <v>98</v>
      </c>
      <c r="T141" s="1009" t="s">
        <v>2106</v>
      </c>
      <c r="U141" s="1009"/>
      <c r="V141" s="1010" t="s">
        <v>2107</v>
      </c>
      <c r="W141" s="1011" t="s">
        <v>119</v>
      </c>
      <c r="X141" s="1012">
        <v>1.9324</v>
      </c>
      <c r="Y141" s="1013">
        <f>X141*I141</f>
        <v>2898.6</v>
      </c>
      <c r="Z141" s="1013"/>
      <c r="AA141" s="1004" t="s">
        <v>2108</v>
      </c>
      <c r="AB141" s="1004" t="s">
        <v>1727</v>
      </c>
      <c r="AC141" s="1003" t="s">
        <v>93</v>
      </c>
      <c r="AD141" s="1003" t="s">
        <v>94</v>
      </c>
      <c r="AE141" s="1004"/>
      <c r="AF141" s="1014">
        <v>1500</v>
      </c>
      <c r="AG141" s="1014">
        <f t="shared" si="30"/>
        <v>0</v>
      </c>
      <c r="AH141" s="1015"/>
      <c r="AI141" s="1004" t="s">
        <v>95</v>
      </c>
      <c r="AJ141" s="1004"/>
      <c r="AK141" s="1004">
        <f t="shared" si="43"/>
        <v>1500</v>
      </c>
      <c r="AL141" s="1016"/>
      <c r="AN141" s="974">
        <f>I141</f>
        <v>1500</v>
      </c>
      <c r="AO141" s="1016">
        <f t="shared" si="44"/>
        <v>1500</v>
      </c>
      <c r="AQ141" s="1016"/>
      <c r="AU141" s="1004">
        <f>I141/25</f>
        <v>60</v>
      </c>
      <c r="BE141" s="1017"/>
      <c r="BF141" s="1017"/>
      <c r="BG141" s="1017"/>
      <c r="BH141" s="1017"/>
      <c r="BI141" s="1017"/>
      <c r="BN141" s="1018"/>
      <c r="BO141" s="1018"/>
      <c r="BP141" s="1018"/>
      <c r="BQ141" s="1018"/>
      <c r="BR141" s="1018"/>
      <c r="BS141" s="1018"/>
      <c r="BV141" s="974">
        <f t="shared" si="40"/>
        <v>60</v>
      </c>
      <c r="BW141" s="974">
        <f t="shared" si="41"/>
        <v>0</v>
      </c>
      <c r="BX141" s="308">
        <f t="shared" si="42"/>
        <v>748129</v>
      </c>
      <c r="BY141" s="1018"/>
      <c r="BZ141" s="1018"/>
      <c r="CA141" s="1018">
        <f t="shared" si="45"/>
        <v>111871</v>
      </c>
      <c r="CB141" s="1018"/>
      <c r="CC141" s="1018"/>
      <c r="CH141" s="1019"/>
      <c r="CI141" s="1019"/>
      <c r="CJ141" s="1019"/>
      <c r="CK141" s="1019"/>
      <c r="CL141" s="1019"/>
      <c r="CM141" s="1019"/>
      <c r="CN141" s="1019"/>
      <c r="CO141" s="1019"/>
      <c r="CP141" s="1019"/>
      <c r="CQ141" s="1019"/>
      <c r="CR141" s="1019"/>
      <c r="CS141" s="1019"/>
      <c r="CT141" s="1019"/>
      <c r="CU141" s="1019"/>
      <c r="CV141" s="1019"/>
      <c r="CW141" s="1019"/>
      <c r="CX141" s="1019"/>
      <c r="CY141" s="1019"/>
      <c r="CZ141" s="1019"/>
      <c r="DA141" s="1019"/>
      <c r="DB141" s="1019"/>
      <c r="DC141" s="1019"/>
    </row>
    <row r="142" s="974" customFormat="1" ht="31" customHeight="1" spans="1:107">
      <c r="A142" s="1001">
        <v>45965</v>
      </c>
      <c r="B142" s="1002" t="s">
        <v>2109</v>
      </c>
      <c r="C142" s="1017" t="s">
        <v>571</v>
      </c>
      <c r="D142" s="1002">
        <v>4500184355</v>
      </c>
      <c r="E142" s="1004">
        <v>4407187950</v>
      </c>
      <c r="F142" s="1002" t="s">
        <v>2110</v>
      </c>
      <c r="G142" s="1005" t="s">
        <v>1523</v>
      </c>
      <c r="H142" s="1003" t="s">
        <v>1524</v>
      </c>
      <c r="I142" s="1003">
        <v>1250</v>
      </c>
      <c r="J142" s="1003">
        <v>0</v>
      </c>
      <c r="K142" s="1003">
        <v>50</v>
      </c>
      <c r="L142" s="1006">
        <f t="shared" ref="L142:L153" si="46">I142/K142</f>
        <v>25</v>
      </c>
      <c r="M142" s="1007">
        <v>46009</v>
      </c>
      <c r="N142" s="1007">
        <v>46006</v>
      </c>
      <c r="O142" s="1004"/>
      <c r="P142" s="1008" t="s">
        <v>86</v>
      </c>
      <c r="Q142" s="1004"/>
      <c r="R142" s="1009">
        <v>45971</v>
      </c>
      <c r="S142" s="1009" t="s">
        <v>98</v>
      </c>
      <c r="T142" s="1009" t="s">
        <v>2111</v>
      </c>
      <c r="U142" s="1009"/>
      <c r="V142" s="1010" t="s">
        <v>2112</v>
      </c>
      <c r="W142" s="1011" t="s">
        <v>119</v>
      </c>
      <c r="X142" s="1012">
        <v>1.9324</v>
      </c>
      <c r="Y142" s="1013">
        <f>X142*I142</f>
        <v>2415.5</v>
      </c>
      <c r="Z142" s="1013"/>
      <c r="AA142" s="1004" t="s">
        <v>2113</v>
      </c>
      <c r="AB142" s="1004" t="s">
        <v>1727</v>
      </c>
      <c r="AC142" s="1003" t="s">
        <v>93</v>
      </c>
      <c r="AD142" s="1003" t="s">
        <v>94</v>
      </c>
      <c r="AE142" s="1004"/>
      <c r="AF142" s="1014">
        <v>1250</v>
      </c>
      <c r="AG142" s="1014">
        <f t="shared" ref="AG142:AG153" si="47">AF142-I142</f>
        <v>0</v>
      </c>
      <c r="AH142" s="1015"/>
      <c r="AI142" s="1004" t="s">
        <v>95</v>
      </c>
      <c r="AJ142" s="1004"/>
      <c r="AK142" s="1004">
        <f t="shared" si="43"/>
        <v>1250</v>
      </c>
      <c r="AL142" s="1016"/>
      <c r="AN142" s="974">
        <f>I142</f>
        <v>1250</v>
      </c>
      <c r="AO142" s="1016">
        <f t="shared" si="44"/>
        <v>1250</v>
      </c>
      <c r="AQ142" s="1016"/>
      <c r="AU142" s="1004">
        <f>I142/25</f>
        <v>50</v>
      </c>
      <c r="BE142" s="1017"/>
      <c r="BF142" s="1017"/>
      <c r="BG142" s="1017"/>
      <c r="BH142" s="1017"/>
      <c r="BI142" s="1017"/>
      <c r="BN142" s="1018"/>
      <c r="BO142" s="1018"/>
      <c r="BP142" s="1018"/>
      <c r="BQ142" s="1018"/>
      <c r="BR142" s="1018"/>
      <c r="BS142" s="1018"/>
      <c r="BV142" s="974">
        <f t="shared" si="40"/>
        <v>50</v>
      </c>
      <c r="BW142" s="974">
        <f t="shared" si="41"/>
        <v>0</v>
      </c>
      <c r="BX142" s="308">
        <f t="shared" si="42"/>
        <v>749379</v>
      </c>
      <c r="BY142" s="1018"/>
      <c r="BZ142" s="1018"/>
      <c r="CA142" s="1018">
        <f t="shared" si="45"/>
        <v>110621</v>
      </c>
      <c r="CB142" s="1018"/>
      <c r="CC142" s="1018"/>
      <c r="CH142" s="1019"/>
      <c r="CI142" s="1019"/>
      <c r="CJ142" s="1019"/>
      <c r="CK142" s="1019"/>
      <c r="CL142" s="1019"/>
      <c r="CM142" s="1019"/>
      <c r="CN142" s="1019"/>
      <c r="CO142" s="1019"/>
      <c r="CP142" s="1019"/>
      <c r="CQ142" s="1019"/>
      <c r="CR142" s="1019"/>
      <c r="CS142" s="1019"/>
      <c r="CT142" s="1019"/>
      <c r="CU142" s="1019"/>
      <c r="CV142" s="1019"/>
      <c r="CW142" s="1019"/>
      <c r="CX142" s="1019"/>
      <c r="CY142" s="1019"/>
      <c r="CZ142" s="1019"/>
      <c r="DA142" s="1019"/>
      <c r="DB142" s="1019"/>
      <c r="DC142" s="1019"/>
    </row>
    <row r="143" s="974" customFormat="1" ht="31" customHeight="1" spans="1:107">
      <c r="A143" s="1001">
        <v>45965</v>
      </c>
      <c r="B143" s="1002" t="s">
        <v>2114</v>
      </c>
      <c r="C143" s="1017" t="s">
        <v>551</v>
      </c>
      <c r="D143" s="1002">
        <v>4500184422</v>
      </c>
      <c r="E143" s="1004">
        <v>5907187951</v>
      </c>
      <c r="F143" s="1002" t="s">
        <v>2115</v>
      </c>
      <c r="G143" s="1005" t="s">
        <v>1523</v>
      </c>
      <c r="H143" s="1003" t="s">
        <v>1524</v>
      </c>
      <c r="I143" s="1003">
        <v>1250</v>
      </c>
      <c r="J143" s="1003">
        <v>0</v>
      </c>
      <c r="K143" s="1003">
        <v>50</v>
      </c>
      <c r="L143" s="1006">
        <f t="shared" si="46"/>
        <v>25</v>
      </c>
      <c r="M143" s="1007">
        <v>46009</v>
      </c>
      <c r="N143" s="1007">
        <v>46006</v>
      </c>
      <c r="O143" s="1004"/>
      <c r="P143" s="1008" t="s">
        <v>86</v>
      </c>
      <c r="Q143" s="1004"/>
      <c r="R143" s="1009">
        <v>45974</v>
      </c>
      <c r="S143" s="1009" t="s">
        <v>98</v>
      </c>
      <c r="T143" s="1009" t="s">
        <v>2111</v>
      </c>
      <c r="U143" s="1009"/>
      <c r="V143" s="1010" t="s">
        <v>2112</v>
      </c>
      <c r="W143" s="1011" t="s">
        <v>119</v>
      </c>
      <c r="X143" s="1012">
        <v>1.9324</v>
      </c>
      <c r="Y143" s="1013">
        <f>X143*I143</f>
        <v>2415.5</v>
      </c>
      <c r="Z143" s="1013"/>
      <c r="AA143" s="1004" t="s">
        <v>2116</v>
      </c>
      <c r="AB143" s="1004" t="s">
        <v>1727</v>
      </c>
      <c r="AC143" s="1003" t="s">
        <v>93</v>
      </c>
      <c r="AD143" s="1003" t="s">
        <v>94</v>
      </c>
      <c r="AE143" s="1004"/>
      <c r="AF143" s="1014">
        <v>1250</v>
      </c>
      <c r="AG143" s="1014">
        <f t="shared" si="47"/>
        <v>0</v>
      </c>
      <c r="AH143" s="1015"/>
      <c r="AI143" s="1004" t="s">
        <v>95</v>
      </c>
      <c r="AJ143" s="1004"/>
      <c r="AK143" s="1004">
        <f t="shared" si="43"/>
        <v>1250</v>
      </c>
      <c r="AL143" s="1016"/>
      <c r="AN143" s="974">
        <f>I143</f>
        <v>1250</v>
      </c>
      <c r="AO143" s="1016">
        <f t="shared" si="44"/>
        <v>1250</v>
      </c>
      <c r="AQ143" s="1016"/>
      <c r="AU143" s="1004">
        <f>I143/25</f>
        <v>50</v>
      </c>
      <c r="BE143" s="1017"/>
      <c r="BF143" s="1017"/>
      <c r="BG143" s="1017"/>
      <c r="BH143" s="1017"/>
      <c r="BI143" s="1017"/>
      <c r="BN143" s="1018"/>
      <c r="BO143" s="1018"/>
      <c r="BP143" s="1018"/>
      <c r="BQ143" s="1018"/>
      <c r="BR143" s="1018"/>
      <c r="BS143" s="1018"/>
      <c r="BV143" s="974">
        <f t="shared" si="40"/>
        <v>50</v>
      </c>
      <c r="BW143" s="974">
        <f t="shared" si="41"/>
        <v>0</v>
      </c>
      <c r="BX143" s="308">
        <f t="shared" si="42"/>
        <v>750629</v>
      </c>
      <c r="BY143" s="1018"/>
      <c r="BZ143" s="1018"/>
      <c r="CA143" s="1018">
        <f t="shared" si="45"/>
        <v>109371</v>
      </c>
      <c r="CB143" s="1018"/>
      <c r="CC143" s="1018"/>
      <c r="CH143" s="1019"/>
      <c r="CI143" s="1019"/>
      <c r="CJ143" s="1019"/>
      <c r="CK143" s="1019"/>
      <c r="CL143" s="1019"/>
      <c r="CM143" s="1019"/>
      <c r="CN143" s="1019"/>
      <c r="CO143" s="1019"/>
      <c r="CP143" s="1019"/>
      <c r="CQ143" s="1019"/>
      <c r="CR143" s="1019"/>
      <c r="CS143" s="1019"/>
      <c r="CT143" s="1019"/>
      <c r="CU143" s="1019"/>
      <c r="CV143" s="1019"/>
      <c r="CW143" s="1019"/>
      <c r="CX143" s="1019"/>
      <c r="CY143" s="1019"/>
      <c r="CZ143" s="1019"/>
      <c r="DA143" s="1019"/>
      <c r="DB143" s="1019"/>
      <c r="DC143" s="1019"/>
    </row>
    <row r="144" s="974" customFormat="1" ht="31" customHeight="1" spans="1:107">
      <c r="A144" s="1001">
        <v>45981</v>
      </c>
      <c r="B144" s="1002" t="s">
        <v>2117</v>
      </c>
      <c r="C144" s="1017" t="s">
        <v>2118</v>
      </c>
      <c r="D144" s="1002">
        <v>4500186266</v>
      </c>
      <c r="E144" s="1004" t="s">
        <v>2119</v>
      </c>
      <c r="F144" s="1010" t="s">
        <v>2120</v>
      </c>
      <c r="G144" s="1005" t="s">
        <v>1746</v>
      </c>
      <c r="H144" s="953" t="s">
        <v>1747</v>
      </c>
      <c r="I144" s="1003">
        <v>300</v>
      </c>
      <c r="J144" s="1003">
        <v>0</v>
      </c>
      <c r="K144" s="1003">
        <v>12</v>
      </c>
      <c r="L144" s="1006">
        <f t="shared" si="46"/>
        <v>25</v>
      </c>
      <c r="M144" s="1007">
        <v>46014</v>
      </c>
      <c r="N144" s="1007">
        <v>46013</v>
      </c>
      <c r="O144" s="1004"/>
      <c r="P144" s="1008" t="s">
        <v>86</v>
      </c>
      <c r="Q144" s="1004"/>
      <c r="R144" s="1009">
        <v>45986</v>
      </c>
      <c r="S144" s="1009" t="s">
        <v>98</v>
      </c>
      <c r="T144" s="1009" t="s">
        <v>2121</v>
      </c>
      <c r="U144" s="1009"/>
      <c r="V144" s="1010" t="s">
        <v>2122</v>
      </c>
      <c r="W144" s="1011" t="s">
        <v>599</v>
      </c>
      <c r="X144" s="1012">
        <v>2.7354</v>
      </c>
      <c r="Y144" s="1013">
        <f>X144*I144</f>
        <v>820.62</v>
      </c>
      <c r="Z144" s="1013"/>
      <c r="AA144" s="1004" t="s">
        <v>2123</v>
      </c>
      <c r="AB144" s="1004" t="s">
        <v>1746</v>
      </c>
      <c r="AC144" s="1003" t="s">
        <v>93</v>
      </c>
      <c r="AD144" s="1003" t="s">
        <v>94</v>
      </c>
      <c r="AE144" s="1004"/>
      <c r="AF144" s="1014">
        <v>300</v>
      </c>
      <c r="AG144" s="1014">
        <f t="shared" si="47"/>
        <v>0</v>
      </c>
      <c r="AH144" s="1015"/>
      <c r="AI144" s="1004" t="s">
        <v>95</v>
      </c>
      <c r="AJ144" s="1004"/>
      <c r="AK144" s="951">
        <f>I144*2</f>
        <v>600</v>
      </c>
      <c r="AL144" s="1016"/>
      <c r="AM144" s="1016">
        <f>I144*2</f>
        <v>600</v>
      </c>
      <c r="AN144" s="1016"/>
      <c r="AO144" s="856">
        <f>I144*2</f>
        <v>600</v>
      </c>
      <c r="AQ144" s="1016"/>
      <c r="BE144" s="1017"/>
      <c r="BF144" s="1017"/>
      <c r="BG144" s="1017"/>
      <c r="BH144" s="1017"/>
      <c r="BI144" s="1017"/>
      <c r="BJ144" s="974">
        <f>I144</f>
        <v>300</v>
      </c>
      <c r="BK144" s="974">
        <f>I144</f>
        <v>300</v>
      </c>
      <c r="BL144" s="974">
        <f>I144</f>
        <v>300</v>
      </c>
      <c r="BN144" s="1018"/>
      <c r="BO144" s="1018"/>
      <c r="BP144" s="1018"/>
      <c r="BQ144" s="1018"/>
      <c r="BR144" s="1018"/>
      <c r="BS144" s="1018"/>
      <c r="BV144" s="974">
        <f t="shared" si="40"/>
        <v>0</v>
      </c>
      <c r="BW144" s="974">
        <f t="shared" si="41"/>
        <v>0</v>
      </c>
      <c r="BX144" s="308">
        <f t="shared" si="42"/>
        <v>751229</v>
      </c>
      <c r="BY144" s="1018"/>
      <c r="BZ144" s="1018"/>
      <c r="CA144" s="1018">
        <f t="shared" si="45"/>
        <v>108771</v>
      </c>
      <c r="CB144" s="1018"/>
      <c r="CC144" s="1018"/>
      <c r="CH144" s="1019"/>
      <c r="CI144" s="1019"/>
      <c r="CJ144" s="1019"/>
      <c r="CK144" s="1019"/>
      <c r="CL144" s="1019"/>
      <c r="CM144" s="1019"/>
      <c r="CN144" s="1019"/>
      <c r="CO144" s="1019"/>
      <c r="CP144" s="1019"/>
      <c r="CQ144" s="1019"/>
      <c r="CR144" s="1019"/>
      <c r="CS144" s="1019"/>
      <c r="CT144" s="1019"/>
      <c r="CU144" s="1019"/>
      <c r="CV144" s="1019"/>
      <c r="CW144" s="1019"/>
      <c r="CX144" s="1019"/>
      <c r="CY144" s="1019"/>
      <c r="CZ144" s="1019"/>
      <c r="DA144" s="1019"/>
      <c r="DB144" s="1019"/>
      <c r="DC144" s="1019"/>
    </row>
    <row r="145" s="974" customFormat="1" ht="31" customHeight="1" spans="1:107">
      <c r="A145" s="1001">
        <v>45968</v>
      </c>
      <c r="B145" s="1002" t="s">
        <v>499</v>
      </c>
      <c r="C145" s="1017" t="s">
        <v>81</v>
      </c>
      <c r="D145" s="1002">
        <v>4500184791</v>
      </c>
      <c r="E145" s="1004" t="s">
        <v>2124</v>
      </c>
      <c r="F145" s="1002" t="s">
        <v>2125</v>
      </c>
      <c r="G145" s="1005" t="s">
        <v>1570</v>
      </c>
      <c r="H145" s="1003" t="s">
        <v>1853</v>
      </c>
      <c r="I145" s="1003">
        <v>2750</v>
      </c>
      <c r="J145" s="1003">
        <v>0</v>
      </c>
      <c r="K145" s="1003">
        <v>25</v>
      </c>
      <c r="L145" s="1006">
        <f t="shared" si="46"/>
        <v>110</v>
      </c>
      <c r="M145" s="1007">
        <v>46015</v>
      </c>
      <c r="N145" s="1007">
        <v>46011</v>
      </c>
      <c r="O145" s="1004"/>
      <c r="P145" s="1008" t="s">
        <v>86</v>
      </c>
      <c r="Q145" s="1004"/>
      <c r="R145" s="1009">
        <v>45973</v>
      </c>
      <c r="S145" s="1009" t="s">
        <v>88</v>
      </c>
      <c r="T145" s="1009" t="s">
        <v>2126</v>
      </c>
      <c r="U145" s="1009"/>
      <c r="V145" s="1010" t="s">
        <v>2127</v>
      </c>
      <c r="W145" s="1011" t="s">
        <v>225</v>
      </c>
      <c r="X145" s="1012">
        <v>1.933</v>
      </c>
      <c r="Y145" s="1013">
        <f>I145*X145</f>
        <v>5315.75</v>
      </c>
      <c r="Z145" s="1013"/>
      <c r="AA145" s="1004" t="s">
        <v>2128</v>
      </c>
      <c r="AB145" s="1004" t="s">
        <v>1858</v>
      </c>
      <c r="AC145" s="1003" t="s">
        <v>93</v>
      </c>
      <c r="AD145" s="1003" t="s">
        <v>94</v>
      </c>
      <c r="AE145" s="1004"/>
      <c r="AF145" s="1014">
        <v>2750</v>
      </c>
      <c r="AG145" s="1014">
        <f t="shared" si="47"/>
        <v>0</v>
      </c>
      <c r="AH145" s="1015"/>
      <c r="AI145" s="1004" t="s">
        <v>95</v>
      </c>
      <c r="AJ145" s="1004"/>
      <c r="AK145" s="1004">
        <f t="shared" ref="AK145:AK163" si="48">I145</f>
        <v>2750</v>
      </c>
      <c r="AL145" s="1016"/>
      <c r="AN145" s="1003">
        <f>I145</f>
        <v>2750</v>
      </c>
      <c r="AO145" s="974">
        <f t="shared" ref="AO145:AO150" si="49">I145</f>
        <v>2750</v>
      </c>
      <c r="AU145" s="974">
        <f>L145</f>
        <v>110</v>
      </c>
      <c r="BE145" s="1017"/>
      <c r="BF145" s="1017"/>
      <c r="BG145" s="1017"/>
      <c r="BH145" s="1017"/>
      <c r="BI145" s="1017"/>
      <c r="BN145" s="1018"/>
      <c r="BO145" s="1018"/>
      <c r="BP145" s="1018"/>
      <c r="BQ145" s="1018"/>
      <c r="BR145" s="1018"/>
      <c r="BS145" s="1018"/>
      <c r="BV145" s="974">
        <f t="shared" si="40"/>
        <v>110</v>
      </c>
      <c r="BW145" s="974">
        <f t="shared" si="41"/>
        <v>0</v>
      </c>
      <c r="BX145" s="308">
        <f t="shared" si="42"/>
        <v>753979</v>
      </c>
      <c r="BY145" s="1018"/>
      <c r="BZ145" s="1018"/>
      <c r="CA145" s="1018">
        <f t="shared" si="45"/>
        <v>106021</v>
      </c>
      <c r="CB145" s="1018"/>
      <c r="CC145" s="1018"/>
      <c r="CH145" s="1019"/>
      <c r="CI145" s="1019"/>
      <c r="CJ145" s="1019"/>
      <c r="CK145" s="1019"/>
      <c r="CL145" s="1019"/>
      <c r="CM145" s="1019"/>
      <c r="CN145" s="1019"/>
      <c r="CO145" s="1019"/>
      <c r="CP145" s="1019"/>
      <c r="CQ145" s="1019"/>
      <c r="CR145" s="1019"/>
      <c r="CS145" s="1019"/>
      <c r="CT145" s="1019"/>
      <c r="CU145" s="1019"/>
      <c r="CV145" s="1019"/>
      <c r="CW145" s="1019"/>
      <c r="CX145" s="1019"/>
      <c r="CY145" s="1019"/>
      <c r="CZ145" s="1019"/>
      <c r="DA145" s="1019"/>
      <c r="DB145" s="1019"/>
      <c r="DC145" s="1019"/>
    </row>
    <row r="146" s="974" customFormat="1" ht="31" customHeight="1" spans="1:107">
      <c r="A146" s="1001">
        <v>45912</v>
      </c>
      <c r="B146" s="1002" t="s">
        <v>341</v>
      </c>
      <c r="C146" s="1017" t="s">
        <v>342</v>
      </c>
      <c r="D146" s="1002">
        <v>4500179365</v>
      </c>
      <c r="E146" s="1004" t="s">
        <v>1156</v>
      </c>
      <c r="F146" s="1010" t="s">
        <v>2129</v>
      </c>
      <c r="G146" s="1005" t="s">
        <v>1523</v>
      </c>
      <c r="H146" s="1003" t="s">
        <v>1524</v>
      </c>
      <c r="I146" s="1003">
        <v>5000</v>
      </c>
      <c r="J146" s="1003">
        <v>0</v>
      </c>
      <c r="K146" s="1003">
        <v>50</v>
      </c>
      <c r="L146" s="1006">
        <f t="shared" si="46"/>
        <v>100</v>
      </c>
      <c r="M146" s="1007">
        <v>46016</v>
      </c>
      <c r="N146" s="1007">
        <v>46013</v>
      </c>
      <c r="O146" s="1004"/>
      <c r="P146" s="1008" t="s">
        <v>86</v>
      </c>
      <c r="Q146" s="1004"/>
      <c r="R146" s="1009">
        <v>45916</v>
      </c>
      <c r="S146" s="1035" t="s">
        <v>98</v>
      </c>
      <c r="T146" s="1009" t="s">
        <v>2008</v>
      </c>
      <c r="U146" s="1009"/>
      <c r="V146" s="1010" t="s">
        <v>1159</v>
      </c>
      <c r="W146" s="1011" t="s">
        <v>225</v>
      </c>
      <c r="X146" s="1012">
        <v>2.35</v>
      </c>
      <c r="Y146" s="1013">
        <f>X146*I146</f>
        <v>11750</v>
      </c>
      <c r="Z146" s="1013"/>
      <c r="AA146" s="1004" t="s">
        <v>1160</v>
      </c>
      <c r="AB146" s="1004" t="s">
        <v>1727</v>
      </c>
      <c r="AC146" s="1003" t="s">
        <v>93</v>
      </c>
      <c r="AD146" s="1003" t="s">
        <v>94</v>
      </c>
      <c r="AE146" s="1004"/>
      <c r="AF146" s="1014">
        <v>5000</v>
      </c>
      <c r="AG146" s="1014">
        <f t="shared" si="47"/>
        <v>0</v>
      </c>
      <c r="AH146" s="1015"/>
      <c r="AI146" s="1004" t="s">
        <v>95</v>
      </c>
      <c r="AJ146" s="1004"/>
      <c r="AK146" s="1004">
        <f t="shared" si="48"/>
        <v>5000</v>
      </c>
      <c r="AL146" s="1016"/>
      <c r="AN146" s="1016">
        <f>I146</f>
        <v>5000</v>
      </c>
      <c r="AO146" s="1016">
        <f t="shared" si="49"/>
        <v>5000</v>
      </c>
      <c r="AQ146" s="1016"/>
      <c r="AU146" s="974">
        <f>L146*2</f>
        <v>200</v>
      </c>
      <c r="BE146" s="1017"/>
      <c r="BF146" s="1017"/>
      <c r="BG146" s="1017"/>
      <c r="BH146" s="1017"/>
      <c r="BI146" s="1017"/>
      <c r="BN146" s="1018"/>
      <c r="BO146" s="1018"/>
      <c r="BP146" s="1018"/>
      <c r="BQ146" s="1018"/>
      <c r="BR146" s="1018"/>
      <c r="BS146" s="1018"/>
      <c r="BV146" s="974">
        <f t="shared" si="40"/>
        <v>200</v>
      </c>
      <c r="BW146" s="974">
        <f t="shared" si="41"/>
        <v>0</v>
      </c>
      <c r="BX146" s="308">
        <f t="shared" si="42"/>
        <v>758979</v>
      </c>
      <c r="BY146" s="1018"/>
      <c r="BZ146" s="1018"/>
      <c r="CA146" s="1018">
        <f t="shared" si="45"/>
        <v>101021</v>
      </c>
      <c r="CB146" s="1018"/>
      <c r="CC146" s="1018"/>
      <c r="CH146" s="1019"/>
      <c r="CI146" s="1019"/>
      <c r="CJ146" s="1019"/>
      <c r="CK146" s="1019"/>
      <c r="CL146" s="1019"/>
      <c r="CM146" s="1019"/>
      <c r="CN146" s="1019"/>
      <c r="CO146" s="1019"/>
      <c r="CP146" s="1019"/>
      <c r="CQ146" s="1019"/>
      <c r="CR146" s="1019"/>
      <c r="CS146" s="1019"/>
      <c r="CT146" s="1019"/>
      <c r="CU146" s="1019"/>
      <c r="CV146" s="1019"/>
      <c r="CW146" s="1019"/>
      <c r="CX146" s="1019"/>
      <c r="CY146" s="1019"/>
      <c r="CZ146" s="1019"/>
      <c r="DA146" s="1019"/>
      <c r="DB146" s="1019"/>
      <c r="DC146" s="1019"/>
    </row>
    <row r="147" s="974" customFormat="1" ht="31" customHeight="1" spans="1:107">
      <c r="A147" s="1001">
        <v>45968</v>
      </c>
      <c r="B147" s="1002" t="s">
        <v>2130</v>
      </c>
      <c r="C147" s="1017" t="s">
        <v>125</v>
      </c>
      <c r="D147" s="1002" t="s">
        <v>2131</v>
      </c>
      <c r="E147" s="1004"/>
      <c r="F147" s="1002" t="s">
        <v>2132</v>
      </c>
      <c r="G147" s="1005" t="s">
        <v>1529</v>
      </c>
      <c r="H147" s="1036" t="s">
        <v>1524</v>
      </c>
      <c r="I147" s="1003">
        <v>7008</v>
      </c>
      <c r="J147" s="1003">
        <v>0</v>
      </c>
      <c r="K147" s="1003">
        <v>24</v>
      </c>
      <c r="L147" s="1006">
        <f t="shared" si="46"/>
        <v>292</v>
      </c>
      <c r="M147" s="1007">
        <v>46007</v>
      </c>
      <c r="N147" s="1007">
        <v>46003</v>
      </c>
      <c r="O147" s="1004" t="s">
        <v>2133</v>
      </c>
      <c r="P147" s="1008"/>
      <c r="Q147" s="1004" t="s">
        <v>2134</v>
      </c>
      <c r="R147" s="1009"/>
      <c r="S147" s="1009"/>
      <c r="T147" s="1009" t="s">
        <v>2135</v>
      </c>
      <c r="U147" s="1009"/>
      <c r="V147" s="1010" t="s">
        <v>2136</v>
      </c>
      <c r="W147" s="1011" t="s">
        <v>217</v>
      </c>
      <c r="X147" s="1012">
        <v>1.8</v>
      </c>
      <c r="Y147" s="1013">
        <f>X147*I147</f>
        <v>12614.4</v>
      </c>
      <c r="Z147" s="1013"/>
      <c r="AA147" s="1004" t="s">
        <v>2137</v>
      </c>
      <c r="AB147" s="1004" t="s">
        <v>1529</v>
      </c>
      <c r="AC147" s="1003" t="s">
        <v>93</v>
      </c>
      <c r="AD147" s="1003" t="s">
        <v>94</v>
      </c>
      <c r="AE147" s="1004"/>
      <c r="AF147" s="1014">
        <v>7008</v>
      </c>
      <c r="AG147" s="1014">
        <f t="shared" si="47"/>
        <v>0</v>
      </c>
      <c r="AH147" s="1032">
        <v>46001</v>
      </c>
      <c r="AI147" s="1004" t="s">
        <v>95</v>
      </c>
      <c r="AJ147" s="1004"/>
      <c r="AK147" s="1004">
        <f t="shared" si="48"/>
        <v>7008</v>
      </c>
      <c r="AL147" s="1016">
        <f>I147</f>
        <v>7008</v>
      </c>
      <c r="AO147" s="974">
        <f t="shared" si="49"/>
        <v>7008</v>
      </c>
      <c r="AU147" s="1004"/>
      <c r="BE147" s="1017"/>
      <c r="BF147" s="1017"/>
      <c r="BG147" s="1017"/>
      <c r="BH147" s="1017"/>
      <c r="BI147" s="1017"/>
      <c r="BN147" s="1018"/>
      <c r="BO147" s="1018"/>
      <c r="BP147" s="1018"/>
      <c r="BQ147" s="1018"/>
      <c r="BR147" s="1018"/>
      <c r="BS147" s="1018"/>
      <c r="BV147" s="974">
        <f t="shared" si="40"/>
        <v>0</v>
      </c>
      <c r="BW147" s="974">
        <f t="shared" si="41"/>
        <v>0</v>
      </c>
      <c r="BX147" s="308">
        <f t="shared" si="42"/>
        <v>765987</v>
      </c>
      <c r="BY147" s="1018"/>
      <c r="BZ147" s="1018"/>
      <c r="CA147" s="1018">
        <f t="shared" si="45"/>
        <v>94013</v>
      </c>
      <c r="CB147" s="1018"/>
      <c r="CC147" s="1018"/>
      <c r="CH147" s="1019"/>
      <c r="CI147" s="1019"/>
      <c r="CJ147" s="1019"/>
      <c r="CK147" s="1019"/>
      <c r="CL147" s="1019"/>
      <c r="CM147" s="1019"/>
      <c r="CN147" s="1019"/>
      <c r="CO147" s="1019"/>
      <c r="CP147" s="1019"/>
      <c r="CQ147" s="1019"/>
      <c r="CR147" s="1019"/>
      <c r="CS147" s="1019"/>
      <c r="CT147" s="1019"/>
      <c r="CU147" s="1019"/>
      <c r="CV147" s="1019"/>
      <c r="CW147" s="1019"/>
      <c r="CX147" s="1019"/>
      <c r="CY147" s="1019"/>
      <c r="CZ147" s="1019"/>
      <c r="DA147" s="1019"/>
      <c r="DB147" s="1019"/>
      <c r="DC147" s="1019"/>
    </row>
    <row r="148" s="857" customFormat="1" ht="31" customHeight="1" spans="1:107">
      <c r="A148" s="923">
        <v>45978</v>
      </c>
      <c r="B148" s="924" t="s">
        <v>335</v>
      </c>
      <c r="C148" s="925" t="s">
        <v>125</v>
      </c>
      <c r="D148" s="924" t="s">
        <v>2138</v>
      </c>
      <c r="E148" s="926"/>
      <c r="F148" s="997"/>
      <c r="G148" s="927" t="s">
        <v>1529</v>
      </c>
      <c r="H148" s="928"/>
      <c r="I148" s="928">
        <v>300</v>
      </c>
      <c r="J148" s="928">
        <v>0</v>
      </c>
      <c r="K148" s="928">
        <v>24</v>
      </c>
      <c r="L148" s="929">
        <f t="shared" si="46"/>
        <v>12.5</v>
      </c>
      <c r="M148" s="930">
        <v>46017</v>
      </c>
      <c r="N148" s="930">
        <v>46013</v>
      </c>
      <c r="O148" s="926"/>
      <c r="P148" s="931"/>
      <c r="Q148" s="926"/>
      <c r="R148" s="932"/>
      <c r="S148" s="932"/>
      <c r="T148" s="932"/>
      <c r="U148" s="932"/>
      <c r="V148" s="933" t="s">
        <v>2139</v>
      </c>
      <c r="W148" s="934" t="s">
        <v>2140</v>
      </c>
      <c r="X148" s="935">
        <v>1.08</v>
      </c>
      <c r="Y148" s="936">
        <f>X148*I148</f>
        <v>324</v>
      </c>
      <c r="Z148" s="936"/>
      <c r="AA148" s="926"/>
      <c r="AB148" s="1004" t="s">
        <v>1529</v>
      </c>
      <c r="AC148" s="928" t="s">
        <v>93</v>
      </c>
      <c r="AD148" s="928" t="s">
        <v>94</v>
      </c>
      <c r="AE148" s="926"/>
      <c r="AF148" s="946">
        <v>300</v>
      </c>
      <c r="AG148" s="946">
        <f t="shared" si="47"/>
        <v>0</v>
      </c>
      <c r="AH148" s="947"/>
      <c r="AI148" s="926" t="s">
        <v>98</v>
      </c>
      <c r="AJ148" s="926"/>
      <c r="AK148" s="926">
        <f t="shared" si="48"/>
        <v>300</v>
      </c>
      <c r="AL148" s="858">
        <f>I148</f>
        <v>300</v>
      </c>
      <c r="AN148" s="858"/>
      <c r="AO148" s="858">
        <f t="shared" si="49"/>
        <v>300</v>
      </c>
      <c r="AQ148" s="858"/>
      <c r="BE148" s="925"/>
      <c r="BF148" s="925"/>
      <c r="BG148" s="925"/>
      <c r="BH148" s="925"/>
      <c r="BI148" s="925"/>
      <c r="BN148" s="939"/>
      <c r="BO148" s="939"/>
      <c r="BP148" s="939"/>
      <c r="BQ148" s="939"/>
      <c r="BR148" s="939"/>
      <c r="BS148" s="939"/>
      <c r="BV148" s="857">
        <f t="shared" si="40"/>
        <v>0</v>
      </c>
      <c r="BW148" s="857">
        <f t="shared" si="41"/>
        <v>0</v>
      </c>
      <c r="BX148" s="308">
        <f t="shared" si="42"/>
        <v>766287</v>
      </c>
      <c r="BY148" s="939"/>
      <c r="BZ148" s="939"/>
      <c r="CA148" s="939">
        <f t="shared" si="45"/>
        <v>93713</v>
      </c>
      <c r="CB148" s="939"/>
      <c r="CC148" s="939"/>
      <c r="CH148" s="940"/>
      <c r="CI148" s="940"/>
      <c r="CJ148" s="940"/>
      <c r="CK148" s="940"/>
      <c r="CL148" s="940"/>
      <c r="CM148" s="940"/>
      <c r="CN148" s="940"/>
      <c r="CO148" s="940"/>
      <c r="CP148" s="940"/>
      <c r="CQ148" s="940"/>
      <c r="CR148" s="940"/>
      <c r="CS148" s="940"/>
      <c r="CT148" s="940"/>
      <c r="CU148" s="940"/>
      <c r="CV148" s="940"/>
      <c r="CW148" s="940"/>
      <c r="CX148" s="940"/>
      <c r="CY148" s="940"/>
      <c r="CZ148" s="940"/>
      <c r="DA148" s="940"/>
      <c r="DB148" s="940"/>
      <c r="DC148" s="940"/>
    </row>
    <row r="149" s="857" customFormat="1" ht="31" customHeight="1" spans="1:107">
      <c r="A149" s="923">
        <v>45968</v>
      </c>
      <c r="B149" s="924" t="s">
        <v>2130</v>
      </c>
      <c r="C149" s="925" t="s">
        <v>125</v>
      </c>
      <c r="D149" s="924" t="s">
        <v>2131</v>
      </c>
      <c r="E149" s="926"/>
      <c r="F149" s="924" t="s">
        <v>2141</v>
      </c>
      <c r="G149" s="927" t="s">
        <v>1529</v>
      </c>
      <c r="H149" s="928" t="s">
        <v>1524</v>
      </c>
      <c r="I149" s="928">
        <v>25032</v>
      </c>
      <c r="J149" s="928">
        <v>0</v>
      </c>
      <c r="K149" s="928">
        <v>24</v>
      </c>
      <c r="L149" s="929">
        <f t="shared" si="46"/>
        <v>1043</v>
      </c>
      <c r="M149" s="930">
        <v>46017</v>
      </c>
      <c r="N149" s="930">
        <v>46013</v>
      </c>
      <c r="O149" s="926"/>
      <c r="P149" s="931"/>
      <c r="Q149" s="926" t="s">
        <v>2142</v>
      </c>
      <c r="R149" s="932"/>
      <c r="S149" s="932"/>
      <c r="T149" s="932" t="s">
        <v>2135</v>
      </c>
      <c r="U149" s="932"/>
      <c r="V149" s="933" t="s">
        <v>2136</v>
      </c>
      <c r="W149" s="934" t="s">
        <v>217</v>
      </c>
      <c r="X149" s="935">
        <v>1.8</v>
      </c>
      <c r="Y149" s="936">
        <f>X149*I149</f>
        <v>45057.6</v>
      </c>
      <c r="Z149" s="936"/>
      <c r="AA149" s="926"/>
      <c r="AB149" s="1004" t="s">
        <v>1529</v>
      </c>
      <c r="AC149" s="928" t="s">
        <v>93</v>
      </c>
      <c r="AD149" s="928" t="s">
        <v>94</v>
      </c>
      <c r="AE149" s="926"/>
      <c r="AF149" s="946">
        <f>12600+12432</f>
        <v>25032</v>
      </c>
      <c r="AG149" s="946">
        <f t="shared" si="47"/>
        <v>0</v>
      </c>
      <c r="AH149" s="947"/>
      <c r="AI149" s="926" t="s">
        <v>95</v>
      </c>
      <c r="AJ149" s="926"/>
      <c r="AK149" s="926">
        <f t="shared" si="48"/>
        <v>25032</v>
      </c>
      <c r="AL149" s="858">
        <f>I149</f>
        <v>25032</v>
      </c>
      <c r="AO149" s="858">
        <f t="shared" si="49"/>
        <v>25032</v>
      </c>
      <c r="AU149" s="926"/>
      <c r="BE149" s="925"/>
      <c r="BF149" s="925"/>
      <c r="BG149" s="925"/>
      <c r="BH149" s="925"/>
      <c r="BI149" s="925"/>
      <c r="BN149" s="939"/>
      <c r="BO149" s="939"/>
      <c r="BP149" s="939"/>
      <c r="BQ149" s="939"/>
      <c r="BR149" s="939"/>
      <c r="BS149" s="939"/>
      <c r="BV149" s="857">
        <f t="shared" si="40"/>
        <v>0</v>
      </c>
      <c r="BW149" s="857">
        <f t="shared" si="41"/>
        <v>0</v>
      </c>
      <c r="BX149" s="308">
        <f t="shared" si="42"/>
        <v>791319</v>
      </c>
      <c r="BY149" s="939"/>
      <c r="BZ149" s="939"/>
      <c r="CA149" s="939">
        <f t="shared" si="45"/>
        <v>68681</v>
      </c>
      <c r="CB149" s="939"/>
      <c r="CC149" s="939"/>
      <c r="CH149" s="940"/>
      <c r="CI149" s="940"/>
      <c r="CJ149" s="940"/>
      <c r="CK149" s="940"/>
      <c r="CL149" s="940"/>
      <c r="CM149" s="940"/>
      <c r="CN149" s="940"/>
      <c r="CO149" s="940"/>
      <c r="CP149" s="940"/>
      <c r="CQ149" s="940"/>
      <c r="CR149" s="940"/>
      <c r="CS149" s="940"/>
      <c r="CT149" s="940"/>
      <c r="CU149" s="940"/>
      <c r="CV149" s="940"/>
      <c r="CW149" s="940"/>
      <c r="CX149" s="940"/>
      <c r="CY149" s="940"/>
      <c r="CZ149" s="940"/>
      <c r="DA149" s="940"/>
      <c r="DB149" s="940"/>
      <c r="DC149" s="940"/>
    </row>
    <row r="150" s="857" customFormat="1" ht="31" customHeight="1" spans="1:107">
      <c r="A150" s="923">
        <v>46002</v>
      </c>
      <c r="B150" s="924"/>
      <c r="C150" s="925"/>
      <c r="D150" s="924" t="s">
        <v>2143</v>
      </c>
      <c r="E150" s="926"/>
      <c r="F150" s="924" t="s">
        <v>2144</v>
      </c>
      <c r="G150" s="927" t="s">
        <v>1529</v>
      </c>
      <c r="H150" s="928" t="s">
        <v>1524</v>
      </c>
      <c r="I150" s="928">
        <v>168</v>
      </c>
      <c r="J150" s="928">
        <v>0</v>
      </c>
      <c r="K150" s="928">
        <v>24</v>
      </c>
      <c r="L150" s="929">
        <f t="shared" si="46"/>
        <v>7</v>
      </c>
      <c r="M150" s="930">
        <v>46017</v>
      </c>
      <c r="N150" s="930">
        <v>46013</v>
      </c>
      <c r="O150" s="926"/>
      <c r="P150" s="931"/>
      <c r="Q150" s="926"/>
      <c r="R150" s="932"/>
      <c r="S150" s="932"/>
      <c r="T150" s="932"/>
      <c r="U150" s="932"/>
      <c r="V150" s="933" t="s">
        <v>2145</v>
      </c>
      <c r="W150" s="934"/>
      <c r="X150" s="935"/>
      <c r="Y150" s="936"/>
      <c r="Z150" s="936"/>
      <c r="AA150" s="926"/>
      <c r="AB150" s="1004" t="s">
        <v>1529</v>
      </c>
      <c r="AC150" s="928" t="s">
        <v>93</v>
      </c>
      <c r="AD150" s="928" t="s">
        <v>94</v>
      </c>
      <c r="AE150" s="926"/>
      <c r="AF150" s="946">
        <v>168</v>
      </c>
      <c r="AG150" s="1014">
        <f t="shared" si="47"/>
        <v>0</v>
      </c>
      <c r="AH150" s="947"/>
      <c r="AI150" s="926" t="s">
        <v>98</v>
      </c>
      <c r="AJ150" s="926"/>
      <c r="AK150" s="926">
        <f t="shared" si="48"/>
        <v>168</v>
      </c>
      <c r="AL150" s="858">
        <f>I150</f>
        <v>168</v>
      </c>
      <c r="AO150" s="858">
        <f t="shared" si="49"/>
        <v>168</v>
      </c>
      <c r="AU150" s="926"/>
      <c r="BE150" s="925"/>
      <c r="BF150" s="925"/>
      <c r="BG150" s="925"/>
      <c r="BH150" s="925"/>
      <c r="BI150" s="925"/>
      <c r="BN150" s="939"/>
      <c r="BO150" s="939"/>
      <c r="BP150" s="939"/>
      <c r="BQ150" s="939"/>
      <c r="BR150" s="939"/>
      <c r="BS150" s="939"/>
      <c r="BV150" s="857">
        <f t="shared" si="40"/>
        <v>0</v>
      </c>
      <c r="BW150" s="857">
        <f t="shared" si="41"/>
        <v>0</v>
      </c>
      <c r="BX150" s="308">
        <f t="shared" si="42"/>
        <v>791487</v>
      </c>
      <c r="BY150" s="939"/>
      <c r="BZ150" s="939"/>
      <c r="CA150" s="939">
        <f t="shared" si="45"/>
        <v>68513</v>
      </c>
      <c r="CB150" s="939"/>
      <c r="CC150" s="939"/>
      <c r="CH150" s="940"/>
      <c r="CI150" s="940"/>
      <c r="CJ150" s="940"/>
      <c r="CK150" s="940"/>
      <c r="CL150" s="940"/>
      <c r="CM150" s="940"/>
      <c r="CN150" s="940"/>
      <c r="CO150" s="940"/>
      <c r="CP150" s="940"/>
      <c r="CQ150" s="940"/>
      <c r="CR150" s="940"/>
      <c r="CS150" s="940"/>
      <c r="CT150" s="940"/>
      <c r="CU150" s="940"/>
      <c r="CV150" s="940"/>
      <c r="CW150" s="940"/>
      <c r="CX150" s="940"/>
      <c r="CY150" s="940"/>
      <c r="CZ150" s="940"/>
      <c r="DA150" s="940"/>
      <c r="DB150" s="940"/>
      <c r="DC150" s="940"/>
    </row>
    <row r="151" s="857" customFormat="1" ht="31" customHeight="1" spans="1:107">
      <c r="A151" s="923">
        <v>46002</v>
      </c>
      <c r="B151" s="924"/>
      <c r="C151" s="925"/>
      <c r="D151" s="924" t="s">
        <v>2143</v>
      </c>
      <c r="E151" s="926"/>
      <c r="F151" s="924" t="s">
        <v>2146</v>
      </c>
      <c r="G151" s="927" t="s">
        <v>1529</v>
      </c>
      <c r="H151" s="928" t="s">
        <v>1810</v>
      </c>
      <c r="I151" s="928">
        <v>17</v>
      </c>
      <c r="J151" s="928">
        <v>0</v>
      </c>
      <c r="K151" s="928">
        <v>24</v>
      </c>
      <c r="L151" s="929">
        <f t="shared" si="46"/>
        <v>0.708333333333333</v>
      </c>
      <c r="M151" s="930">
        <v>46017</v>
      </c>
      <c r="N151" s="930">
        <v>46013</v>
      </c>
      <c r="O151" s="926"/>
      <c r="P151" s="931"/>
      <c r="Q151" s="926"/>
      <c r="R151" s="932"/>
      <c r="S151" s="932"/>
      <c r="T151" s="932"/>
      <c r="U151" s="932"/>
      <c r="V151" s="933" t="s">
        <v>2147</v>
      </c>
      <c r="W151" s="934"/>
      <c r="X151" s="935"/>
      <c r="Y151" s="936"/>
      <c r="Z151" s="936"/>
      <c r="AA151" s="926"/>
      <c r="AB151" s="1004" t="s">
        <v>542</v>
      </c>
      <c r="AC151" s="927" t="s">
        <v>542</v>
      </c>
      <c r="AD151" s="928"/>
      <c r="AE151" s="926"/>
      <c r="AF151" s="946">
        <v>17</v>
      </c>
      <c r="AG151" s="1014">
        <f t="shared" si="47"/>
        <v>0</v>
      </c>
      <c r="AH151" s="947"/>
      <c r="AI151" s="926" t="s">
        <v>98</v>
      </c>
      <c r="AJ151" s="926"/>
      <c r="AK151" s="926">
        <f t="shared" si="48"/>
        <v>17</v>
      </c>
      <c r="AL151" s="858"/>
      <c r="AO151" s="858"/>
      <c r="AU151" s="926"/>
      <c r="BE151" s="925"/>
      <c r="BF151" s="925"/>
      <c r="BG151" s="925"/>
      <c r="BH151" s="925"/>
      <c r="BI151" s="925"/>
      <c r="BN151" s="939"/>
      <c r="BO151" s="939"/>
      <c r="BP151" s="939"/>
      <c r="BQ151" s="939"/>
      <c r="BR151" s="939"/>
      <c r="BS151" s="939"/>
      <c r="BV151" s="857">
        <f t="shared" si="40"/>
        <v>0</v>
      </c>
      <c r="BW151" s="857">
        <f t="shared" si="41"/>
        <v>0</v>
      </c>
      <c r="BX151" s="308">
        <f t="shared" si="42"/>
        <v>791504</v>
      </c>
      <c r="BY151" s="939"/>
      <c r="BZ151" s="939"/>
      <c r="CA151" s="939">
        <f t="shared" si="45"/>
        <v>68496</v>
      </c>
      <c r="CB151" s="939"/>
      <c r="CC151" s="939"/>
      <c r="CH151" s="940"/>
      <c r="CI151" s="940"/>
      <c r="CJ151" s="940"/>
      <c r="CK151" s="940"/>
      <c r="CL151" s="940"/>
      <c r="CM151" s="940"/>
      <c r="CN151" s="940"/>
      <c r="CO151" s="940"/>
      <c r="CP151" s="940"/>
      <c r="CQ151" s="940"/>
      <c r="CR151" s="940"/>
      <c r="CS151" s="940"/>
      <c r="CT151" s="940"/>
      <c r="CU151" s="940"/>
      <c r="CV151" s="940"/>
      <c r="CW151" s="940"/>
      <c r="CX151" s="940"/>
      <c r="CY151" s="940"/>
      <c r="CZ151" s="940"/>
      <c r="DA151" s="940"/>
      <c r="DB151" s="940"/>
      <c r="DC151" s="940"/>
    </row>
    <row r="152" s="857" customFormat="1" ht="31" customHeight="1" spans="1:107">
      <c r="A152" s="923">
        <v>45971</v>
      </c>
      <c r="B152" s="924" t="s">
        <v>2148</v>
      </c>
      <c r="C152" s="925" t="s">
        <v>2149</v>
      </c>
      <c r="D152" s="924">
        <v>4500184934</v>
      </c>
      <c r="E152" s="926">
        <v>84714</v>
      </c>
      <c r="F152" s="924" t="s">
        <v>2150</v>
      </c>
      <c r="G152" s="927" t="s">
        <v>1761</v>
      </c>
      <c r="H152" s="928" t="s">
        <v>1762</v>
      </c>
      <c r="I152" s="928">
        <v>3000</v>
      </c>
      <c r="J152" s="928">
        <v>0</v>
      </c>
      <c r="K152" s="928">
        <v>30</v>
      </c>
      <c r="L152" s="929">
        <f t="shared" si="46"/>
        <v>100</v>
      </c>
      <c r="M152" s="930">
        <v>46010</v>
      </c>
      <c r="N152" s="930">
        <v>46006</v>
      </c>
      <c r="O152" s="926"/>
      <c r="P152" s="931" t="s">
        <v>86</v>
      </c>
      <c r="Q152" s="926"/>
      <c r="R152" s="932">
        <v>45978</v>
      </c>
      <c r="S152" s="932" t="s">
        <v>98</v>
      </c>
      <c r="T152" s="932" t="s">
        <v>2151</v>
      </c>
      <c r="U152" s="932"/>
      <c r="V152" s="933" t="s">
        <v>2152</v>
      </c>
      <c r="W152" s="934" t="s">
        <v>1725</v>
      </c>
      <c r="X152" s="935">
        <v>64.604</v>
      </c>
      <c r="Y152" s="936">
        <f>L152*X152</f>
        <v>6460.4</v>
      </c>
      <c r="Z152" s="936"/>
      <c r="AA152" s="926"/>
      <c r="AB152" s="1004" t="s">
        <v>1768</v>
      </c>
      <c r="AC152" s="928" t="s">
        <v>93</v>
      </c>
      <c r="AD152" s="928" t="s">
        <v>94</v>
      </c>
      <c r="AE152" s="926"/>
      <c r="AF152" s="946">
        <v>3000</v>
      </c>
      <c r="AG152" s="946">
        <f t="shared" si="47"/>
        <v>0</v>
      </c>
      <c r="AH152" s="947"/>
      <c r="AI152" s="926" t="s">
        <v>95</v>
      </c>
      <c r="AJ152" s="926"/>
      <c r="AK152" s="926">
        <f t="shared" si="48"/>
        <v>3000</v>
      </c>
      <c r="AL152" s="858">
        <f t="shared" ref="AL152:AL157" si="50">I152</f>
        <v>3000</v>
      </c>
      <c r="AO152" s="857">
        <f t="shared" ref="AO152:AO163" si="51">I152</f>
        <v>3000</v>
      </c>
      <c r="AU152" s="926"/>
      <c r="BE152" s="925"/>
      <c r="BF152" s="925"/>
      <c r="BG152" s="925"/>
      <c r="BH152" s="925"/>
      <c r="BI152" s="925">
        <f>L152</f>
        <v>100</v>
      </c>
      <c r="BN152" s="939"/>
      <c r="BO152" s="939"/>
      <c r="BP152" s="939"/>
      <c r="BQ152" s="939"/>
      <c r="BR152" s="939"/>
      <c r="BS152" s="939"/>
      <c r="BV152" s="857">
        <f t="shared" si="40"/>
        <v>0</v>
      </c>
      <c r="BW152" s="857">
        <f t="shared" si="41"/>
        <v>100</v>
      </c>
      <c r="BX152" s="308">
        <f t="shared" si="42"/>
        <v>794504</v>
      </c>
      <c r="BY152" s="939"/>
      <c r="BZ152" s="939"/>
      <c r="CA152" s="939">
        <f t="shared" si="45"/>
        <v>65496</v>
      </c>
      <c r="CB152" s="939"/>
      <c r="CC152" s="939"/>
      <c r="CH152" s="940"/>
      <c r="CI152" s="940"/>
      <c r="CJ152" s="940"/>
      <c r="CK152" s="940"/>
      <c r="CL152" s="940"/>
      <c r="CM152" s="940"/>
      <c r="CN152" s="940"/>
      <c r="CO152" s="940"/>
      <c r="CP152" s="940"/>
      <c r="CQ152" s="940"/>
      <c r="CR152" s="940"/>
      <c r="CS152" s="940"/>
      <c r="CT152" s="940"/>
      <c r="CU152" s="940"/>
      <c r="CV152" s="940"/>
      <c r="CW152" s="940"/>
      <c r="CX152" s="940"/>
      <c r="CY152" s="940"/>
      <c r="CZ152" s="940"/>
      <c r="DA152" s="940"/>
      <c r="DB152" s="940"/>
      <c r="DC152" s="940"/>
    </row>
    <row r="153" s="857" customFormat="1" ht="31" customHeight="1" spans="1:107">
      <c r="A153" s="923">
        <v>45971</v>
      </c>
      <c r="B153" s="924" t="s">
        <v>2148</v>
      </c>
      <c r="C153" s="925" t="s">
        <v>2149</v>
      </c>
      <c r="D153" s="924">
        <v>4500184934</v>
      </c>
      <c r="E153" s="926">
        <v>84714</v>
      </c>
      <c r="F153" s="924" t="s">
        <v>2153</v>
      </c>
      <c r="G153" s="927" t="s">
        <v>1523</v>
      </c>
      <c r="H153" s="928" t="s">
        <v>1524</v>
      </c>
      <c r="I153" s="928">
        <v>7000</v>
      </c>
      <c r="J153" s="928">
        <v>0</v>
      </c>
      <c r="K153" s="928">
        <v>50</v>
      </c>
      <c r="L153" s="929">
        <f t="shared" si="46"/>
        <v>140</v>
      </c>
      <c r="M153" s="930">
        <v>46010</v>
      </c>
      <c r="N153" s="930">
        <v>46006</v>
      </c>
      <c r="O153" s="926"/>
      <c r="P153" s="931" t="s">
        <v>86</v>
      </c>
      <c r="Q153" s="926"/>
      <c r="R153" s="932">
        <v>45978</v>
      </c>
      <c r="S153" s="932" t="s">
        <v>98</v>
      </c>
      <c r="T153" s="932" t="s">
        <v>2151</v>
      </c>
      <c r="U153" s="932"/>
      <c r="V153" s="933" t="s">
        <v>2154</v>
      </c>
      <c r="W153" s="934" t="s">
        <v>1725</v>
      </c>
      <c r="X153" s="935">
        <v>1.9038</v>
      </c>
      <c r="Y153" s="936">
        <f>I153*X153</f>
        <v>13326.6</v>
      </c>
      <c r="Z153" s="936"/>
      <c r="AA153" s="926"/>
      <c r="AB153" s="1004" t="s">
        <v>1523</v>
      </c>
      <c r="AC153" s="928" t="s">
        <v>93</v>
      </c>
      <c r="AD153" s="928" t="s">
        <v>94</v>
      </c>
      <c r="AE153" s="926"/>
      <c r="AF153" s="946">
        <v>7000</v>
      </c>
      <c r="AG153" s="946">
        <f t="shared" si="47"/>
        <v>0</v>
      </c>
      <c r="AH153" s="947"/>
      <c r="AI153" s="926" t="s">
        <v>95</v>
      </c>
      <c r="AJ153" s="926"/>
      <c r="AK153" s="926">
        <f t="shared" si="48"/>
        <v>7000</v>
      </c>
      <c r="AL153" s="858">
        <f t="shared" si="50"/>
        <v>7000</v>
      </c>
      <c r="AO153" s="857">
        <f t="shared" si="51"/>
        <v>7000</v>
      </c>
      <c r="AT153" s="974">
        <f>L153*2</f>
        <v>280</v>
      </c>
      <c r="AU153" s="926"/>
      <c r="BE153" s="925"/>
      <c r="BF153" s="925"/>
      <c r="BG153" s="925"/>
      <c r="BH153" s="925"/>
      <c r="BI153" s="925"/>
      <c r="BN153" s="939"/>
      <c r="BO153" s="939"/>
      <c r="BP153" s="939"/>
      <c r="BQ153" s="939"/>
      <c r="BR153" s="939"/>
      <c r="BS153" s="939"/>
      <c r="BV153" s="857">
        <f t="shared" si="40"/>
        <v>280</v>
      </c>
      <c r="BW153" s="857">
        <f t="shared" si="41"/>
        <v>0</v>
      </c>
      <c r="BX153" s="308">
        <f t="shared" si="42"/>
        <v>801504</v>
      </c>
      <c r="BY153" s="939"/>
      <c r="BZ153" s="939"/>
      <c r="CA153" s="939">
        <f t="shared" si="45"/>
        <v>58496</v>
      </c>
      <c r="CB153" s="939"/>
      <c r="CC153" s="939"/>
      <c r="CH153" s="940"/>
      <c r="CI153" s="940"/>
      <c r="CJ153" s="940"/>
      <c r="CK153" s="940"/>
      <c r="CL153" s="940"/>
      <c r="CM153" s="940"/>
      <c r="CN153" s="940"/>
      <c r="CO153" s="940"/>
      <c r="CP153" s="940"/>
      <c r="CQ153" s="940"/>
      <c r="CR153" s="940"/>
      <c r="CS153" s="940"/>
      <c r="CT153" s="940"/>
      <c r="CU153" s="940"/>
      <c r="CV153" s="940"/>
      <c r="CW153" s="940"/>
      <c r="CX153" s="940"/>
      <c r="CY153" s="940"/>
      <c r="CZ153" s="940"/>
      <c r="DA153" s="940"/>
      <c r="DB153" s="940"/>
      <c r="DC153" s="940"/>
    </row>
    <row r="154" s="857" customFormat="1" ht="31" customHeight="1" spans="1:107">
      <c r="A154" s="923">
        <v>45943</v>
      </c>
      <c r="B154" s="924" t="s">
        <v>605</v>
      </c>
      <c r="C154" s="925" t="s">
        <v>125</v>
      </c>
      <c r="D154" s="857">
        <v>4500181566</v>
      </c>
      <c r="E154" s="926" t="s">
        <v>2155</v>
      </c>
      <c r="F154" s="933" t="s">
        <v>2156</v>
      </c>
      <c r="G154" s="927" t="s">
        <v>1523</v>
      </c>
      <c r="H154" s="928" t="s">
        <v>1524</v>
      </c>
      <c r="I154" s="928">
        <v>2250</v>
      </c>
      <c r="J154" s="928">
        <v>0</v>
      </c>
      <c r="K154" s="928">
        <v>50</v>
      </c>
      <c r="L154" s="929">
        <f t="shared" ref="L150:L217" si="52">I154/K154</f>
        <v>45</v>
      </c>
      <c r="M154" s="930">
        <v>46020</v>
      </c>
      <c r="N154" s="930">
        <v>46016</v>
      </c>
      <c r="O154" s="926"/>
      <c r="P154" s="931" t="s">
        <v>86</v>
      </c>
      <c r="Q154" s="926"/>
      <c r="R154" s="932">
        <v>45985</v>
      </c>
      <c r="S154" s="1037" t="s">
        <v>98</v>
      </c>
      <c r="T154" s="1037" t="s">
        <v>98</v>
      </c>
      <c r="U154" s="1037"/>
      <c r="V154" s="933" t="s">
        <v>2157</v>
      </c>
      <c r="W154" s="934" t="s">
        <v>1049</v>
      </c>
      <c r="X154" s="935">
        <v>1.41</v>
      </c>
      <c r="Y154" s="936">
        <f t="shared" ref="Y154:Y173" si="53">X154*I154</f>
        <v>3172.5</v>
      </c>
      <c r="Z154" s="936"/>
      <c r="AA154" s="926"/>
      <c r="AB154" s="1004" t="s">
        <v>1523</v>
      </c>
      <c r="AC154" s="928" t="s">
        <v>93</v>
      </c>
      <c r="AD154" s="928" t="s">
        <v>94</v>
      </c>
      <c r="AE154" s="926"/>
      <c r="AF154" s="946">
        <v>2250</v>
      </c>
      <c r="AG154" s="946">
        <f t="shared" ref="AG154:AG197" si="54">AF154-I154</f>
        <v>0</v>
      </c>
      <c r="AH154" s="947"/>
      <c r="AI154" s="926" t="s">
        <v>98</v>
      </c>
      <c r="AJ154" s="926"/>
      <c r="AK154" s="926">
        <f t="shared" si="48"/>
        <v>2250</v>
      </c>
      <c r="AL154" s="858">
        <f t="shared" si="50"/>
        <v>2250</v>
      </c>
      <c r="AM154" s="858"/>
      <c r="AN154" s="858"/>
      <c r="AO154" s="858">
        <f t="shared" si="51"/>
        <v>2250</v>
      </c>
      <c r="AT154" s="974">
        <f>L154*2</f>
        <v>90</v>
      </c>
      <c r="BE154" s="925"/>
      <c r="BF154" s="925"/>
      <c r="BG154" s="925"/>
      <c r="BH154" s="925"/>
      <c r="BI154" s="925"/>
      <c r="BN154" s="939"/>
      <c r="BO154" s="939"/>
      <c r="BP154" s="939"/>
      <c r="BQ154" s="939"/>
      <c r="BR154" s="939"/>
      <c r="BS154" s="939"/>
      <c r="BV154" s="857">
        <f t="shared" si="40"/>
        <v>90</v>
      </c>
      <c r="BW154" s="857">
        <f t="shared" si="41"/>
        <v>0</v>
      </c>
      <c r="BX154" s="308">
        <f t="shared" si="42"/>
        <v>803754</v>
      </c>
      <c r="BY154" s="939"/>
      <c r="BZ154" s="939"/>
      <c r="CA154" s="939">
        <f t="shared" si="45"/>
        <v>56246</v>
      </c>
      <c r="CB154" s="939"/>
      <c r="CC154" s="939"/>
      <c r="CH154" s="940"/>
      <c r="CI154" s="940"/>
      <c r="CJ154" s="940"/>
      <c r="CK154" s="940"/>
      <c r="CL154" s="940"/>
      <c r="CM154" s="940"/>
      <c r="CN154" s="940"/>
      <c r="CO154" s="940"/>
      <c r="CP154" s="940"/>
      <c r="CQ154" s="940"/>
      <c r="CR154" s="940"/>
      <c r="CS154" s="940"/>
      <c r="CT154" s="940"/>
      <c r="CU154" s="940"/>
      <c r="CV154" s="940"/>
      <c r="CW154" s="940"/>
      <c r="CX154" s="940"/>
      <c r="CY154" s="940"/>
      <c r="CZ154" s="940"/>
      <c r="DA154" s="940"/>
      <c r="DB154" s="940"/>
      <c r="DC154" s="940"/>
    </row>
    <row r="155" s="857" customFormat="1" ht="31" customHeight="1" spans="1:107">
      <c r="A155" s="923">
        <v>45961</v>
      </c>
      <c r="B155" s="924" t="s">
        <v>578</v>
      </c>
      <c r="C155" s="925" t="s">
        <v>125</v>
      </c>
      <c r="D155" s="857">
        <v>4500183836</v>
      </c>
      <c r="E155" s="1424" t="s">
        <v>2158</v>
      </c>
      <c r="F155" s="857" t="s">
        <v>2159</v>
      </c>
      <c r="G155" s="927" t="s">
        <v>1584</v>
      </c>
      <c r="H155" s="928" t="s">
        <v>1585</v>
      </c>
      <c r="I155" s="928">
        <v>960</v>
      </c>
      <c r="J155" s="928">
        <v>0</v>
      </c>
      <c r="K155" s="928">
        <v>16</v>
      </c>
      <c r="L155" s="929">
        <f t="shared" si="52"/>
        <v>60</v>
      </c>
      <c r="M155" s="930">
        <v>46020</v>
      </c>
      <c r="N155" s="930">
        <v>46016</v>
      </c>
      <c r="O155" s="926" t="s">
        <v>2160</v>
      </c>
      <c r="P155" s="931" t="s">
        <v>86</v>
      </c>
      <c r="Q155" s="926"/>
      <c r="R155" s="932" t="s">
        <v>296</v>
      </c>
      <c r="S155" s="932" t="s">
        <v>98</v>
      </c>
      <c r="T155" s="932" t="s">
        <v>1791</v>
      </c>
      <c r="U155" s="932"/>
      <c r="V155" s="933" t="s">
        <v>1626</v>
      </c>
      <c r="W155" s="934" t="s">
        <v>247</v>
      </c>
      <c r="X155" s="935">
        <v>1.2079</v>
      </c>
      <c r="Y155" s="936">
        <f t="shared" si="53"/>
        <v>1159.584</v>
      </c>
      <c r="Z155" s="936"/>
      <c r="AA155" s="926"/>
      <c r="AB155" s="1004" t="s">
        <v>1584</v>
      </c>
      <c r="AC155" s="928" t="s">
        <v>93</v>
      </c>
      <c r="AD155" s="928" t="s">
        <v>94</v>
      </c>
      <c r="AE155" s="926"/>
      <c r="AF155" s="946">
        <v>960</v>
      </c>
      <c r="AG155" s="946">
        <f t="shared" si="54"/>
        <v>0</v>
      </c>
      <c r="AH155" s="947"/>
      <c r="AI155" s="926" t="s">
        <v>95</v>
      </c>
      <c r="AJ155" s="926"/>
      <c r="AK155" s="926">
        <f t="shared" si="48"/>
        <v>960</v>
      </c>
      <c r="AL155" s="858">
        <f t="shared" si="50"/>
        <v>960</v>
      </c>
      <c r="AM155" s="858"/>
      <c r="AN155" s="858"/>
      <c r="AO155" s="857">
        <f t="shared" si="51"/>
        <v>960</v>
      </c>
      <c r="AY155" s="857">
        <f>I155/16</f>
        <v>60</v>
      </c>
      <c r="BE155" s="925"/>
      <c r="BF155" s="925"/>
      <c r="BG155" s="925"/>
      <c r="BH155" s="925"/>
      <c r="BI155" s="925"/>
      <c r="BN155" s="939"/>
      <c r="BO155" s="939"/>
      <c r="BP155" s="939"/>
      <c r="BQ155" s="939"/>
      <c r="BR155" s="939"/>
      <c r="BS155" s="939"/>
      <c r="BV155" s="857">
        <f t="shared" si="40"/>
        <v>60</v>
      </c>
      <c r="BW155" s="857">
        <f t="shared" si="41"/>
        <v>0</v>
      </c>
      <c r="BX155" s="308">
        <f t="shared" si="42"/>
        <v>804714</v>
      </c>
      <c r="BY155" s="939"/>
      <c r="BZ155" s="939"/>
      <c r="CA155" s="939">
        <f t="shared" si="45"/>
        <v>55286</v>
      </c>
      <c r="CB155" s="939"/>
      <c r="CC155" s="939"/>
      <c r="CH155" s="940"/>
      <c r="CI155" s="940"/>
      <c r="CJ155" s="940"/>
      <c r="CK155" s="940"/>
      <c r="CL155" s="940"/>
      <c r="CM155" s="940"/>
      <c r="CN155" s="940"/>
      <c r="CO155" s="940"/>
      <c r="CP155" s="940"/>
      <c r="CQ155" s="940"/>
      <c r="CR155" s="940"/>
      <c r="CS155" s="940"/>
      <c r="CT155" s="940"/>
      <c r="CU155" s="940"/>
      <c r="CV155" s="940"/>
      <c r="CW155" s="940"/>
      <c r="CX155" s="940"/>
      <c r="CY155" s="940"/>
      <c r="CZ155" s="940"/>
      <c r="DA155" s="940"/>
      <c r="DB155" s="940"/>
      <c r="DC155" s="940"/>
    </row>
    <row r="156" s="857" customFormat="1" ht="31" customHeight="1" spans="1:107">
      <c r="A156" s="923">
        <v>45961</v>
      </c>
      <c r="B156" s="924" t="s">
        <v>578</v>
      </c>
      <c r="C156" s="925" t="s">
        <v>125</v>
      </c>
      <c r="D156" s="857">
        <v>4500183836</v>
      </c>
      <c r="E156" s="1424" t="s">
        <v>2161</v>
      </c>
      <c r="F156" s="857" t="s">
        <v>2162</v>
      </c>
      <c r="G156" s="927" t="s">
        <v>1584</v>
      </c>
      <c r="H156" s="928" t="s">
        <v>1585</v>
      </c>
      <c r="I156" s="928">
        <v>960</v>
      </c>
      <c r="J156" s="928">
        <v>0</v>
      </c>
      <c r="K156" s="928">
        <v>16</v>
      </c>
      <c r="L156" s="929">
        <f t="shared" si="52"/>
        <v>60</v>
      </c>
      <c r="M156" s="930">
        <v>46020</v>
      </c>
      <c r="N156" s="930">
        <v>46016</v>
      </c>
      <c r="O156" s="926" t="s">
        <v>2160</v>
      </c>
      <c r="P156" s="931" t="s">
        <v>86</v>
      </c>
      <c r="Q156" s="926"/>
      <c r="R156" s="932" t="s">
        <v>296</v>
      </c>
      <c r="S156" s="932" t="s">
        <v>98</v>
      </c>
      <c r="T156" s="932" t="s">
        <v>1791</v>
      </c>
      <c r="U156" s="932"/>
      <c r="V156" s="933" t="s">
        <v>1626</v>
      </c>
      <c r="W156" s="934" t="s">
        <v>247</v>
      </c>
      <c r="X156" s="935">
        <v>1.2079</v>
      </c>
      <c r="Y156" s="936">
        <f t="shared" si="53"/>
        <v>1159.584</v>
      </c>
      <c r="Z156" s="936"/>
      <c r="AA156" s="926"/>
      <c r="AB156" s="1004" t="s">
        <v>1584</v>
      </c>
      <c r="AC156" s="928" t="s">
        <v>93</v>
      </c>
      <c r="AD156" s="928" t="s">
        <v>94</v>
      </c>
      <c r="AE156" s="926"/>
      <c r="AF156" s="946">
        <v>960</v>
      </c>
      <c r="AG156" s="946">
        <f t="shared" si="54"/>
        <v>0</v>
      </c>
      <c r="AH156" s="947"/>
      <c r="AI156" s="926" t="s">
        <v>95</v>
      </c>
      <c r="AJ156" s="926"/>
      <c r="AK156" s="926">
        <f t="shared" si="48"/>
        <v>960</v>
      </c>
      <c r="AL156" s="858">
        <f t="shared" si="50"/>
        <v>960</v>
      </c>
      <c r="AM156" s="858"/>
      <c r="AN156" s="858"/>
      <c r="AO156" s="857">
        <f t="shared" si="51"/>
        <v>960</v>
      </c>
      <c r="AY156" s="857">
        <f>I156/16</f>
        <v>60</v>
      </c>
      <c r="BE156" s="925"/>
      <c r="BF156" s="925"/>
      <c r="BG156" s="925"/>
      <c r="BH156" s="925"/>
      <c r="BI156" s="925"/>
      <c r="BN156" s="939"/>
      <c r="BO156" s="939"/>
      <c r="BP156" s="939"/>
      <c r="BQ156" s="939"/>
      <c r="BR156" s="939"/>
      <c r="BS156" s="939"/>
      <c r="BV156" s="857">
        <f t="shared" si="40"/>
        <v>60</v>
      </c>
      <c r="BW156" s="857">
        <f t="shared" si="41"/>
        <v>0</v>
      </c>
      <c r="BX156" s="308">
        <f t="shared" si="42"/>
        <v>805674</v>
      </c>
      <c r="BY156" s="939"/>
      <c r="BZ156" s="939"/>
      <c r="CA156" s="939">
        <f t="shared" si="45"/>
        <v>54326</v>
      </c>
      <c r="CB156" s="939"/>
      <c r="CC156" s="939"/>
      <c r="CH156" s="940"/>
      <c r="CI156" s="940"/>
      <c r="CJ156" s="940"/>
      <c r="CK156" s="940"/>
      <c r="CL156" s="940"/>
      <c r="CM156" s="940"/>
      <c r="CN156" s="940"/>
      <c r="CO156" s="940"/>
      <c r="CP156" s="940"/>
      <c r="CQ156" s="940"/>
      <c r="CR156" s="940"/>
      <c r="CS156" s="940"/>
      <c r="CT156" s="940"/>
      <c r="CU156" s="940"/>
      <c r="CV156" s="940"/>
      <c r="CW156" s="940"/>
      <c r="CX156" s="940"/>
      <c r="CY156" s="940"/>
      <c r="CZ156" s="940"/>
      <c r="DA156" s="940"/>
      <c r="DB156" s="940"/>
      <c r="DC156" s="940"/>
    </row>
    <row r="157" s="857" customFormat="1" ht="31" customHeight="1" spans="1:107">
      <c r="A157" s="923">
        <v>45986</v>
      </c>
      <c r="B157" s="924" t="s">
        <v>578</v>
      </c>
      <c r="C157" s="925" t="s">
        <v>125</v>
      </c>
      <c r="D157" s="857">
        <v>4500186878</v>
      </c>
      <c r="E157" s="926">
        <v>7137242749</v>
      </c>
      <c r="F157" s="857" t="s">
        <v>2163</v>
      </c>
      <c r="G157" s="927" t="s">
        <v>2164</v>
      </c>
      <c r="H157" s="928" t="s">
        <v>2165</v>
      </c>
      <c r="I157" s="928">
        <v>1890</v>
      </c>
      <c r="J157" s="928">
        <v>0</v>
      </c>
      <c r="K157" s="928">
        <v>30</v>
      </c>
      <c r="L157" s="929">
        <f t="shared" si="52"/>
        <v>63</v>
      </c>
      <c r="M157" s="930">
        <v>46021</v>
      </c>
      <c r="N157" s="930">
        <v>46017</v>
      </c>
      <c r="O157" s="926" t="s">
        <v>2166</v>
      </c>
      <c r="P157" s="931" t="s">
        <v>86</v>
      </c>
      <c r="Q157" s="926"/>
      <c r="R157" s="932">
        <v>45988</v>
      </c>
      <c r="S157" s="932" t="s">
        <v>98</v>
      </c>
      <c r="T157" s="932">
        <v>45989</v>
      </c>
      <c r="U157" s="932"/>
      <c r="V157" s="933" t="s">
        <v>2167</v>
      </c>
      <c r="W157" s="934" t="s">
        <v>247</v>
      </c>
      <c r="X157" s="935">
        <v>37.5468</v>
      </c>
      <c r="Y157" s="936">
        <f t="shared" si="53"/>
        <v>70963.452</v>
      </c>
      <c r="Z157" s="936"/>
      <c r="AA157" s="926"/>
      <c r="AB157" s="1004" t="s">
        <v>2168</v>
      </c>
      <c r="AC157" s="928" t="s">
        <v>93</v>
      </c>
      <c r="AD157" s="928" t="s">
        <v>94</v>
      </c>
      <c r="AE157" s="926"/>
      <c r="AF157" s="946">
        <v>1890</v>
      </c>
      <c r="AG157" s="946">
        <f t="shared" si="54"/>
        <v>0</v>
      </c>
      <c r="AH157" s="947"/>
      <c r="AI157" s="926" t="s">
        <v>95</v>
      </c>
      <c r="AJ157" s="926"/>
      <c r="AK157" s="926">
        <f t="shared" si="48"/>
        <v>1890</v>
      </c>
      <c r="AL157" s="858">
        <f t="shared" si="50"/>
        <v>1890</v>
      </c>
      <c r="AM157" s="858"/>
      <c r="AN157" s="858"/>
      <c r="AO157" s="858">
        <f t="shared" si="51"/>
        <v>1890</v>
      </c>
      <c r="BE157" s="925"/>
      <c r="BF157" s="925"/>
      <c r="BG157" s="925"/>
      <c r="BH157" s="925">
        <f>L157</f>
        <v>63</v>
      </c>
      <c r="BI157" s="925"/>
      <c r="BN157" s="939"/>
      <c r="BO157" s="939"/>
      <c r="BP157" s="939"/>
      <c r="BQ157" s="939"/>
      <c r="BR157" s="939"/>
      <c r="BS157" s="939"/>
      <c r="BV157" s="857">
        <f t="shared" si="40"/>
        <v>0</v>
      </c>
      <c r="BW157" s="857">
        <f t="shared" si="41"/>
        <v>0</v>
      </c>
      <c r="BX157" s="308">
        <f t="shared" si="42"/>
        <v>807564</v>
      </c>
      <c r="BY157" s="939"/>
      <c r="BZ157" s="939"/>
      <c r="CA157" s="939">
        <f t="shared" si="45"/>
        <v>52436</v>
      </c>
      <c r="CB157" s="939"/>
      <c r="CC157" s="939"/>
      <c r="CH157" s="940"/>
      <c r="CI157" s="940"/>
      <c r="CJ157" s="940"/>
      <c r="CK157" s="940"/>
      <c r="CL157" s="940"/>
      <c r="CM157" s="940"/>
      <c r="CN157" s="940"/>
      <c r="CO157" s="940"/>
      <c r="CP157" s="940"/>
      <c r="CQ157" s="940"/>
      <c r="CR157" s="940"/>
      <c r="CS157" s="940"/>
      <c r="CT157" s="940"/>
      <c r="CU157" s="940"/>
      <c r="CV157" s="940"/>
      <c r="CW157" s="940"/>
      <c r="CX157" s="940"/>
      <c r="CY157" s="940"/>
      <c r="CZ157" s="940"/>
      <c r="DA157" s="940"/>
      <c r="DB157" s="940"/>
      <c r="DC157" s="940"/>
    </row>
    <row r="158" s="857" customFormat="1" ht="31" customHeight="1" spans="1:107">
      <c r="A158" s="923">
        <v>45987</v>
      </c>
      <c r="B158" s="924" t="s">
        <v>2169</v>
      </c>
      <c r="C158" s="925" t="s">
        <v>2022</v>
      </c>
      <c r="D158" s="857">
        <v>4500187019</v>
      </c>
      <c r="E158" s="926" t="s">
        <v>2170</v>
      </c>
      <c r="F158" s="857" t="s">
        <v>2171</v>
      </c>
      <c r="G158" s="927" t="s">
        <v>1532</v>
      </c>
      <c r="H158" s="928" t="s">
        <v>1524</v>
      </c>
      <c r="I158" s="928">
        <v>832</v>
      </c>
      <c r="J158" s="928">
        <v>0</v>
      </c>
      <c r="K158" s="928">
        <v>52</v>
      </c>
      <c r="L158" s="929">
        <f t="shared" si="52"/>
        <v>16</v>
      </c>
      <c r="M158" s="930">
        <v>46022</v>
      </c>
      <c r="N158" s="930">
        <v>46018</v>
      </c>
      <c r="O158" s="926"/>
      <c r="P158" s="931" t="s">
        <v>86</v>
      </c>
      <c r="Q158" s="926"/>
      <c r="R158" s="932">
        <v>45987</v>
      </c>
      <c r="S158" s="932" t="s">
        <v>98</v>
      </c>
      <c r="T158" s="932" t="s">
        <v>2172</v>
      </c>
      <c r="U158" s="932"/>
      <c r="V158" s="933" t="s">
        <v>2173</v>
      </c>
      <c r="W158" s="934" t="s">
        <v>1856</v>
      </c>
      <c r="X158" s="935">
        <v>1.8769</v>
      </c>
      <c r="Y158" s="936">
        <f t="shared" si="53"/>
        <v>1561.5808</v>
      </c>
      <c r="Z158" s="936"/>
      <c r="AA158" s="926"/>
      <c r="AB158" s="1004" t="s">
        <v>2174</v>
      </c>
      <c r="AC158" s="928" t="s">
        <v>93</v>
      </c>
      <c r="AD158" s="928" t="s">
        <v>94</v>
      </c>
      <c r="AE158" s="926"/>
      <c r="AF158" s="946">
        <v>832</v>
      </c>
      <c r="AG158" s="946">
        <f t="shared" si="54"/>
        <v>0</v>
      </c>
      <c r="AH158" s="947"/>
      <c r="AI158" s="926" t="s">
        <v>95</v>
      </c>
      <c r="AJ158" s="926"/>
      <c r="AK158" s="926">
        <f t="shared" si="48"/>
        <v>832</v>
      </c>
      <c r="AL158" s="858"/>
      <c r="AM158" s="858"/>
      <c r="AN158" s="858">
        <f>I158</f>
        <v>832</v>
      </c>
      <c r="AO158" s="857">
        <f t="shared" si="51"/>
        <v>832</v>
      </c>
      <c r="AS158" s="857">
        <f>I158/13</f>
        <v>64</v>
      </c>
      <c r="BE158" s="925"/>
      <c r="BF158" s="925"/>
      <c r="BG158" s="925"/>
      <c r="BH158" s="925"/>
      <c r="BI158" s="925"/>
      <c r="BN158" s="939"/>
      <c r="BO158" s="939"/>
      <c r="BP158" s="939"/>
      <c r="BQ158" s="939"/>
      <c r="BR158" s="939"/>
      <c r="BS158" s="939"/>
      <c r="BV158" s="857">
        <f t="shared" si="40"/>
        <v>0</v>
      </c>
      <c r="BW158" s="857">
        <f t="shared" si="41"/>
        <v>0</v>
      </c>
      <c r="BX158" s="308">
        <f t="shared" si="42"/>
        <v>808396</v>
      </c>
      <c r="BY158" s="939"/>
      <c r="BZ158" s="939"/>
      <c r="CA158" s="939">
        <f t="shared" si="45"/>
        <v>51604</v>
      </c>
      <c r="CB158" s="939"/>
      <c r="CC158" s="939"/>
      <c r="CH158" s="940"/>
      <c r="CI158" s="940"/>
      <c r="CJ158" s="940"/>
      <c r="CK158" s="940"/>
      <c r="CL158" s="940"/>
      <c r="CM158" s="940"/>
      <c r="CN158" s="940"/>
      <c r="CO158" s="940"/>
      <c r="CP158" s="940"/>
      <c r="CQ158" s="940"/>
      <c r="CR158" s="940"/>
      <c r="CS158" s="940"/>
      <c r="CT158" s="940"/>
      <c r="CU158" s="940"/>
      <c r="CV158" s="940"/>
      <c r="CW158" s="940"/>
      <c r="CX158" s="940"/>
      <c r="CY158" s="940"/>
      <c r="CZ158" s="940"/>
      <c r="DA158" s="940"/>
      <c r="DB158" s="940"/>
      <c r="DC158" s="940"/>
    </row>
    <row r="159" s="857" customFormat="1" ht="31" customHeight="1" spans="1:107">
      <c r="A159" s="923">
        <v>45986</v>
      </c>
      <c r="B159" s="924" t="s">
        <v>578</v>
      </c>
      <c r="C159" s="925" t="s">
        <v>125</v>
      </c>
      <c r="D159" s="857">
        <v>4500186879</v>
      </c>
      <c r="E159" s="926">
        <v>7137242750</v>
      </c>
      <c r="F159" s="857" t="s">
        <v>2175</v>
      </c>
      <c r="G159" s="927" t="s">
        <v>2164</v>
      </c>
      <c r="H159" s="928" t="s">
        <v>2165</v>
      </c>
      <c r="I159" s="928">
        <v>4590</v>
      </c>
      <c r="J159" s="928">
        <v>0</v>
      </c>
      <c r="K159" s="928">
        <v>30</v>
      </c>
      <c r="L159" s="929">
        <f t="shared" si="52"/>
        <v>153</v>
      </c>
      <c r="M159" s="930">
        <v>46028</v>
      </c>
      <c r="N159" s="930">
        <v>46024</v>
      </c>
      <c r="O159" s="926" t="s">
        <v>2176</v>
      </c>
      <c r="P159" s="931" t="s">
        <v>86</v>
      </c>
      <c r="Q159" s="926"/>
      <c r="R159" s="932">
        <v>45988</v>
      </c>
      <c r="S159" s="932" t="s">
        <v>98</v>
      </c>
      <c r="T159" s="932" t="s">
        <v>2177</v>
      </c>
      <c r="U159" s="932"/>
      <c r="V159" s="933" t="s">
        <v>2167</v>
      </c>
      <c r="W159" s="934" t="s">
        <v>247</v>
      </c>
      <c r="X159" s="935">
        <v>37.4424</v>
      </c>
      <c r="Y159" s="936">
        <f t="shared" si="53"/>
        <v>171860.616</v>
      </c>
      <c r="Z159" s="936"/>
      <c r="AA159" s="926"/>
      <c r="AB159" s="1004" t="s">
        <v>2168</v>
      </c>
      <c r="AC159" s="928" t="s">
        <v>93</v>
      </c>
      <c r="AD159" s="928" t="s">
        <v>94</v>
      </c>
      <c r="AE159" s="926"/>
      <c r="AF159" s="946">
        <v>4590</v>
      </c>
      <c r="AG159" s="946">
        <f t="shared" si="54"/>
        <v>0</v>
      </c>
      <c r="AH159" s="947"/>
      <c r="AI159" s="926" t="s">
        <v>95</v>
      </c>
      <c r="AJ159" s="926"/>
      <c r="AK159" s="926">
        <f t="shared" si="48"/>
        <v>4590</v>
      </c>
      <c r="AL159" s="858">
        <f>I159</f>
        <v>4590</v>
      </c>
      <c r="AM159" s="858"/>
      <c r="AN159" s="858"/>
      <c r="AO159" s="858">
        <f t="shared" si="51"/>
        <v>4590</v>
      </c>
      <c r="BE159" s="925"/>
      <c r="BF159" s="925"/>
      <c r="BG159" s="925"/>
      <c r="BH159" s="925">
        <f>L159</f>
        <v>153</v>
      </c>
      <c r="BI159" s="925"/>
      <c r="BN159" s="939"/>
      <c r="BO159" s="939"/>
      <c r="BP159" s="939"/>
      <c r="BQ159" s="939"/>
      <c r="BR159" s="939"/>
      <c r="BS159" s="939"/>
      <c r="BV159" s="857">
        <f t="shared" si="40"/>
        <v>0</v>
      </c>
      <c r="BW159" s="857">
        <f t="shared" si="41"/>
        <v>0</v>
      </c>
      <c r="BX159" s="308">
        <f t="shared" si="42"/>
        <v>812986</v>
      </c>
      <c r="BY159" s="939"/>
      <c r="BZ159" s="939"/>
      <c r="CA159" s="939">
        <f t="shared" si="45"/>
        <v>47014</v>
      </c>
      <c r="CB159" s="939"/>
      <c r="CC159" s="939"/>
      <c r="CH159" s="940"/>
      <c r="CI159" s="940"/>
      <c r="CJ159" s="940"/>
      <c r="CK159" s="940"/>
      <c r="CL159" s="940"/>
      <c r="CM159" s="940"/>
      <c r="CN159" s="940"/>
      <c r="CO159" s="940"/>
      <c r="CP159" s="940"/>
      <c r="CQ159" s="940"/>
      <c r="CR159" s="940"/>
      <c r="CS159" s="940"/>
      <c r="CT159" s="940"/>
      <c r="CU159" s="940"/>
      <c r="CV159" s="940"/>
      <c r="CW159" s="940"/>
      <c r="CX159" s="940"/>
      <c r="CY159" s="940"/>
      <c r="CZ159" s="940"/>
      <c r="DA159" s="940"/>
      <c r="DB159" s="940"/>
      <c r="DC159" s="940"/>
    </row>
    <row r="160" s="857" customFormat="1" ht="31" customHeight="1" spans="1:107">
      <c r="A160" s="923">
        <v>45986</v>
      </c>
      <c r="B160" s="924" t="s">
        <v>578</v>
      </c>
      <c r="C160" s="925" t="s">
        <v>125</v>
      </c>
      <c r="D160" s="857">
        <v>4500186879</v>
      </c>
      <c r="E160" s="926">
        <v>7137242754</v>
      </c>
      <c r="F160" s="857" t="s">
        <v>2178</v>
      </c>
      <c r="G160" s="927" t="s">
        <v>2164</v>
      </c>
      <c r="H160" s="928" t="s">
        <v>2165</v>
      </c>
      <c r="I160" s="928">
        <v>4200</v>
      </c>
      <c r="J160" s="928">
        <v>0</v>
      </c>
      <c r="K160" s="928">
        <v>30</v>
      </c>
      <c r="L160" s="929">
        <f t="shared" si="52"/>
        <v>140</v>
      </c>
      <c r="M160" s="930">
        <v>46028</v>
      </c>
      <c r="N160" s="930">
        <v>46024</v>
      </c>
      <c r="O160" s="926" t="s">
        <v>2176</v>
      </c>
      <c r="P160" s="931" t="s">
        <v>86</v>
      </c>
      <c r="Q160" s="926"/>
      <c r="R160" s="932">
        <v>45988</v>
      </c>
      <c r="S160" s="932" t="s">
        <v>98</v>
      </c>
      <c r="T160" s="932" t="s">
        <v>2177</v>
      </c>
      <c r="U160" s="932"/>
      <c r="V160" s="933" t="s">
        <v>2167</v>
      </c>
      <c r="W160" s="934" t="s">
        <v>247</v>
      </c>
      <c r="X160" s="935">
        <v>37.4424</v>
      </c>
      <c r="Y160" s="936">
        <f t="shared" si="53"/>
        <v>157258.08</v>
      </c>
      <c r="Z160" s="936"/>
      <c r="AA160" s="926"/>
      <c r="AB160" s="1004" t="s">
        <v>2168</v>
      </c>
      <c r="AC160" s="928" t="s">
        <v>93</v>
      </c>
      <c r="AD160" s="928" t="s">
        <v>94</v>
      </c>
      <c r="AE160" s="926"/>
      <c r="AF160" s="946">
        <v>4200</v>
      </c>
      <c r="AG160" s="946">
        <f t="shared" si="54"/>
        <v>0</v>
      </c>
      <c r="AH160" s="947"/>
      <c r="AI160" s="926" t="s">
        <v>95</v>
      </c>
      <c r="AJ160" s="926"/>
      <c r="AK160" s="926">
        <f t="shared" si="48"/>
        <v>4200</v>
      </c>
      <c r="AL160" s="858">
        <f>I160</f>
        <v>4200</v>
      </c>
      <c r="AM160" s="858"/>
      <c r="AN160" s="858"/>
      <c r="AO160" s="858">
        <f t="shared" si="51"/>
        <v>4200</v>
      </c>
      <c r="BE160" s="925"/>
      <c r="BF160" s="925"/>
      <c r="BG160" s="925"/>
      <c r="BH160" s="925">
        <f>L160</f>
        <v>140</v>
      </c>
      <c r="BI160" s="925"/>
      <c r="BN160" s="939"/>
      <c r="BO160" s="939"/>
      <c r="BP160" s="939"/>
      <c r="BQ160" s="939"/>
      <c r="BR160" s="939"/>
      <c r="BS160" s="939"/>
      <c r="BV160" s="857">
        <f t="shared" si="40"/>
        <v>0</v>
      </c>
      <c r="BW160" s="857">
        <f t="shared" si="41"/>
        <v>0</v>
      </c>
      <c r="BX160" s="308">
        <f t="shared" si="42"/>
        <v>817186</v>
      </c>
      <c r="BY160" s="939"/>
      <c r="BZ160" s="939"/>
      <c r="CA160" s="939">
        <f t="shared" si="45"/>
        <v>42814</v>
      </c>
      <c r="CB160" s="939"/>
      <c r="CC160" s="939"/>
      <c r="CH160" s="940"/>
      <c r="CI160" s="940"/>
      <c r="CJ160" s="940"/>
      <c r="CK160" s="940"/>
      <c r="CL160" s="940"/>
      <c r="CM160" s="940"/>
      <c r="CN160" s="940"/>
      <c r="CO160" s="940"/>
      <c r="CP160" s="940"/>
      <c r="CQ160" s="940"/>
      <c r="CR160" s="940"/>
      <c r="CS160" s="940"/>
      <c r="CT160" s="940"/>
      <c r="CU160" s="940"/>
      <c r="CV160" s="940"/>
      <c r="CW160" s="940"/>
      <c r="CX160" s="940"/>
      <c r="CY160" s="940"/>
      <c r="CZ160" s="940"/>
      <c r="DA160" s="940"/>
      <c r="DB160" s="940"/>
      <c r="DC160" s="940"/>
    </row>
    <row r="161" s="857" customFormat="1" ht="31" customHeight="1" spans="1:107">
      <c r="A161" s="923">
        <v>45994</v>
      </c>
      <c r="B161" s="924" t="s">
        <v>2179</v>
      </c>
      <c r="C161" s="925" t="s">
        <v>695</v>
      </c>
      <c r="D161" s="857">
        <v>4500187918</v>
      </c>
      <c r="E161" s="926" t="s">
        <v>2180</v>
      </c>
      <c r="F161" s="857" t="s">
        <v>2181</v>
      </c>
      <c r="G161" s="927" t="s">
        <v>1523</v>
      </c>
      <c r="H161" s="928" t="s">
        <v>1524</v>
      </c>
      <c r="I161" s="928">
        <v>2000</v>
      </c>
      <c r="J161" s="928">
        <v>0</v>
      </c>
      <c r="K161" s="928">
        <v>50</v>
      </c>
      <c r="L161" s="929">
        <f t="shared" si="52"/>
        <v>40</v>
      </c>
      <c r="M161" s="930">
        <v>46029</v>
      </c>
      <c r="N161" s="930">
        <v>46025</v>
      </c>
      <c r="O161" s="926"/>
      <c r="P161" s="931" t="s">
        <v>86</v>
      </c>
      <c r="Q161" s="926"/>
      <c r="R161" s="932">
        <v>45994</v>
      </c>
      <c r="S161" s="1037" t="s">
        <v>98</v>
      </c>
      <c r="T161" s="932" t="s">
        <v>2182</v>
      </c>
      <c r="U161" s="932"/>
      <c r="V161" s="933" t="s">
        <v>2183</v>
      </c>
      <c r="W161" s="934" t="s">
        <v>481</v>
      </c>
      <c r="X161" s="935">
        <v>1.9685</v>
      </c>
      <c r="Y161" s="936">
        <f t="shared" si="53"/>
        <v>3937</v>
      </c>
      <c r="Z161" s="936"/>
      <c r="AA161" s="926"/>
      <c r="AB161" s="1004" t="s">
        <v>1523</v>
      </c>
      <c r="AC161" s="928" t="s">
        <v>93</v>
      </c>
      <c r="AD161" s="928" t="s">
        <v>94</v>
      </c>
      <c r="AE161" s="926"/>
      <c r="AF161" s="946">
        <v>2000</v>
      </c>
      <c r="AG161" s="946">
        <f t="shared" si="54"/>
        <v>0</v>
      </c>
      <c r="AH161" s="947"/>
      <c r="AI161" s="926" t="s">
        <v>95</v>
      </c>
      <c r="AJ161" s="926"/>
      <c r="AK161" s="926">
        <f t="shared" si="48"/>
        <v>2000</v>
      </c>
      <c r="AL161" s="858">
        <f>I161</f>
        <v>2000</v>
      </c>
      <c r="AM161" s="858"/>
      <c r="AN161" s="858"/>
      <c r="AO161" s="858">
        <f t="shared" si="51"/>
        <v>2000</v>
      </c>
      <c r="AT161" s="974">
        <f>L161*2</f>
        <v>80</v>
      </c>
      <c r="BE161" s="925"/>
      <c r="BF161" s="925"/>
      <c r="BG161" s="925"/>
      <c r="BH161" s="925"/>
      <c r="BI161" s="925"/>
      <c r="BN161" s="939"/>
      <c r="BO161" s="939"/>
      <c r="BP161" s="939"/>
      <c r="BQ161" s="939"/>
      <c r="BR161" s="939"/>
      <c r="BS161" s="939"/>
      <c r="BV161" s="857">
        <f t="shared" si="40"/>
        <v>80</v>
      </c>
      <c r="BW161" s="857">
        <f t="shared" si="41"/>
        <v>0</v>
      </c>
      <c r="BX161" s="308">
        <f t="shared" si="42"/>
        <v>819186</v>
      </c>
      <c r="BY161" s="939"/>
      <c r="BZ161" s="939"/>
      <c r="CA161" s="939">
        <f t="shared" si="45"/>
        <v>40814</v>
      </c>
      <c r="CB161" s="939"/>
      <c r="CC161" s="939"/>
      <c r="CH161" s="940"/>
      <c r="CI161" s="940"/>
      <c r="CJ161" s="940"/>
      <c r="CK161" s="940"/>
      <c r="CL161" s="940"/>
      <c r="CM161" s="940"/>
      <c r="CN161" s="940"/>
      <c r="CO161" s="940"/>
      <c r="CP161" s="940"/>
      <c r="CQ161" s="940"/>
      <c r="CR161" s="940"/>
      <c r="CS161" s="940"/>
      <c r="CT161" s="940"/>
      <c r="CU161" s="940"/>
      <c r="CV161" s="940"/>
      <c r="CW161" s="940"/>
      <c r="CX161" s="940"/>
      <c r="CY161" s="940"/>
      <c r="CZ161" s="940"/>
      <c r="DA161" s="940"/>
      <c r="DB161" s="940"/>
      <c r="DC161" s="940"/>
    </row>
    <row r="162" s="857" customFormat="1" ht="31" customHeight="1" spans="1:107">
      <c r="A162" s="923">
        <v>45968</v>
      </c>
      <c r="B162" s="924" t="s">
        <v>263</v>
      </c>
      <c r="C162" s="925" t="s">
        <v>264</v>
      </c>
      <c r="D162" s="857">
        <v>4500183616</v>
      </c>
      <c r="E162" s="926" t="s">
        <v>2184</v>
      </c>
      <c r="F162" s="857" t="s">
        <v>2185</v>
      </c>
      <c r="G162" s="927" t="s">
        <v>1523</v>
      </c>
      <c r="H162" s="928" t="s">
        <v>1524</v>
      </c>
      <c r="I162" s="928">
        <v>2400</v>
      </c>
      <c r="J162" s="928">
        <v>0</v>
      </c>
      <c r="K162" s="928">
        <v>50</v>
      </c>
      <c r="L162" s="929">
        <f t="shared" si="52"/>
        <v>48</v>
      </c>
      <c r="M162" s="930">
        <v>46031</v>
      </c>
      <c r="N162" s="930">
        <v>46027</v>
      </c>
      <c r="O162" s="926"/>
      <c r="P162" s="931" t="s">
        <v>86</v>
      </c>
      <c r="Q162" s="926"/>
      <c r="R162" s="932">
        <v>45982</v>
      </c>
      <c r="S162" s="932" t="s">
        <v>2186</v>
      </c>
      <c r="T162" s="932" t="s">
        <v>2187</v>
      </c>
      <c r="U162" s="932"/>
      <c r="V162" s="933" t="s">
        <v>2188</v>
      </c>
      <c r="W162" s="934" t="s">
        <v>225</v>
      </c>
      <c r="X162" s="935">
        <v>1.9324</v>
      </c>
      <c r="Y162" s="936">
        <f t="shared" si="53"/>
        <v>4637.76</v>
      </c>
      <c r="Z162" s="936"/>
      <c r="AA162" s="1038" t="s">
        <v>2189</v>
      </c>
      <c r="AB162" s="1004" t="s">
        <v>1727</v>
      </c>
      <c r="AC162" s="928" t="s">
        <v>93</v>
      </c>
      <c r="AD162" s="928" t="s">
        <v>94</v>
      </c>
      <c r="AE162" s="926"/>
      <c r="AF162" s="946">
        <v>2400</v>
      </c>
      <c r="AG162" s="946">
        <f t="shared" si="54"/>
        <v>0</v>
      </c>
      <c r="AH162" s="947"/>
      <c r="AI162" s="926" t="s">
        <v>95</v>
      </c>
      <c r="AJ162" s="926"/>
      <c r="AK162" s="926">
        <f t="shared" si="48"/>
        <v>2400</v>
      </c>
      <c r="AL162" s="858"/>
      <c r="AM162" s="858"/>
      <c r="AN162" s="858">
        <f>I162</f>
        <v>2400</v>
      </c>
      <c r="AO162" s="858">
        <f t="shared" si="51"/>
        <v>2400</v>
      </c>
      <c r="AU162" s="857">
        <f>L162*2</f>
        <v>96</v>
      </c>
      <c r="BE162" s="925"/>
      <c r="BF162" s="925"/>
      <c r="BG162" s="925"/>
      <c r="BH162" s="925"/>
      <c r="BI162" s="925"/>
      <c r="BN162" s="939"/>
      <c r="BO162" s="939"/>
      <c r="BP162" s="939"/>
      <c r="BQ162" s="939"/>
      <c r="BR162" s="939"/>
      <c r="BS162" s="939"/>
      <c r="BV162" s="857">
        <f t="shared" si="40"/>
        <v>96</v>
      </c>
      <c r="BW162" s="857">
        <f t="shared" si="41"/>
        <v>0</v>
      </c>
      <c r="BX162" s="308">
        <f t="shared" si="42"/>
        <v>821586</v>
      </c>
      <c r="BY162" s="939"/>
      <c r="BZ162" s="939"/>
      <c r="CA162" s="939">
        <f t="shared" si="45"/>
        <v>38414</v>
      </c>
      <c r="CB162" s="939"/>
      <c r="CC162" s="939"/>
      <c r="CH162" s="940"/>
      <c r="CI162" s="940"/>
      <c r="CJ162" s="940"/>
      <c r="CK162" s="940"/>
      <c r="CL162" s="940"/>
      <c r="CM162" s="940"/>
      <c r="CN162" s="940"/>
      <c r="CO162" s="940"/>
      <c r="CP162" s="940"/>
      <c r="CQ162" s="940"/>
      <c r="CR162" s="940"/>
      <c r="CS162" s="940"/>
      <c r="CT162" s="940"/>
      <c r="CU162" s="940"/>
      <c r="CV162" s="940"/>
      <c r="CW162" s="940"/>
      <c r="CX162" s="940"/>
      <c r="CY162" s="940"/>
      <c r="CZ162" s="940"/>
      <c r="DA162" s="940"/>
      <c r="DB162" s="940"/>
      <c r="DC162" s="940"/>
    </row>
    <row r="163" s="857" customFormat="1" ht="31" customHeight="1" spans="1:107">
      <c r="A163" s="923">
        <v>45986</v>
      </c>
      <c r="B163" s="924" t="s">
        <v>578</v>
      </c>
      <c r="C163" s="925" t="s">
        <v>125</v>
      </c>
      <c r="D163" s="857">
        <v>4500186880</v>
      </c>
      <c r="E163" s="926">
        <v>7137242752</v>
      </c>
      <c r="F163" s="857" t="s">
        <v>2190</v>
      </c>
      <c r="G163" s="927" t="s">
        <v>2164</v>
      </c>
      <c r="H163" s="928" t="s">
        <v>2165</v>
      </c>
      <c r="I163" s="928">
        <v>3450</v>
      </c>
      <c r="J163" s="928">
        <v>0</v>
      </c>
      <c r="K163" s="928">
        <v>30</v>
      </c>
      <c r="L163" s="929">
        <f t="shared" si="52"/>
        <v>115</v>
      </c>
      <c r="M163" s="930">
        <v>46031</v>
      </c>
      <c r="N163" s="930">
        <v>46027</v>
      </c>
      <c r="O163" s="926" t="s">
        <v>2191</v>
      </c>
      <c r="P163" s="931" t="s">
        <v>86</v>
      </c>
      <c r="Q163" s="926"/>
      <c r="R163" s="932">
        <v>45988</v>
      </c>
      <c r="S163" s="932" t="s">
        <v>98</v>
      </c>
      <c r="T163" s="932" t="s">
        <v>2177</v>
      </c>
      <c r="U163" s="932"/>
      <c r="V163" s="933" t="s">
        <v>2167</v>
      </c>
      <c r="W163" s="934" t="s">
        <v>247</v>
      </c>
      <c r="X163" s="935">
        <v>37.4424</v>
      </c>
      <c r="Y163" s="936">
        <f t="shared" si="53"/>
        <v>129176.28</v>
      </c>
      <c r="Z163" s="936"/>
      <c r="AA163" s="926"/>
      <c r="AB163" s="1004" t="s">
        <v>2168</v>
      </c>
      <c r="AC163" s="928" t="s">
        <v>93</v>
      </c>
      <c r="AD163" s="928" t="s">
        <v>94</v>
      </c>
      <c r="AE163" s="926"/>
      <c r="AF163" s="946">
        <v>3450</v>
      </c>
      <c r="AG163" s="946">
        <f t="shared" si="54"/>
        <v>0</v>
      </c>
      <c r="AH163" s="947"/>
      <c r="AI163" s="926" t="s">
        <v>95</v>
      </c>
      <c r="AJ163" s="926"/>
      <c r="AK163" s="926">
        <f t="shared" si="48"/>
        <v>3450</v>
      </c>
      <c r="AL163" s="858">
        <f>I163</f>
        <v>3450</v>
      </c>
      <c r="AM163" s="858"/>
      <c r="AN163" s="858"/>
      <c r="AO163" s="858">
        <f t="shared" si="51"/>
        <v>3450</v>
      </c>
      <c r="BE163" s="925"/>
      <c r="BF163" s="925"/>
      <c r="BG163" s="925"/>
      <c r="BH163" s="925">
        <f>L163</f>
        <v>115</v>
      </c>
      <c r="BI163" s="925"/>
      <c r="BN163" s="939"/>
      <c r="BO163" s="939"/>
      <c r="BP163" s="939"/>
      <c r="BQ163" s="939"/>
      <c r="BR163" s="939"/>
      <c r="BS163" s="939"/>
      <c r="BV163" s="857">
        <f t="shared" si="40"/>
        <v>0</v>
      </c>
      <c r="BW163" s="857">
        <f t="shared" si="41"/>
        <v>0</v>
      </c>
      <c r="BX163" s="308">
        <f t="shared" si="42"/>
        <v>825036</v>
      </c>
      <c r="BY163" s="939"/>
      <c r="BZ163" s="939"/>
      <c r="CA163" s="939">
        <f t="shared" si="45"/>
        <v>34964</v>
      </c>
      <c r="CB163" s="939">
        <f t="shared" ref="CB163:CB170" si="55">$BZ$1+$CA$1+$CB$1-BX163</f>
        <v>474964</v>
      </c>
      <c r="CC163" s="939"/>
      <c r="CH163" s="940"/>
      <c r="CI163" s="940"/>
      <c r="CJ163" s="940"/>
      <c r="CK163" s="940"/>
      <c r="CL163" s="940"/>
      <c r="CM163" s="940"/>
      <c r="CN163" s="940"/>
      <c r="CO163" s="940"/>
      <c r="CP163" s="940"/>
      <c r="CQ163" s="940"/>
      <c r="CR163" s="940"/>
      <c r="CS163" s="940"/>
      <c r="CT163" s="940"/>
      <c r="CU163" s="940"/>
      <c r="CV163" s="940"/>
      <c r="CW163" s="940"/>
      <c r="CX163" s="940"/>
      <c r="CY163" s="940"/>
      <c r="CZ163" s="940"/>
      <c r="DA163" s="940"/>
      <c r="DB163" s="940"/>
      <c r="DC163" s="940"/>
    </row>
    <row r="164" s="857" customFormat="1" ht="31" customHeight="1" spans="1:107">
      <c r="A164" s="923">
        <v>45982</v>
      </c>
      <c r="B164" s="924" t="s">
        <v>761</v>
      </c>
      <c r="C164" s="925" t="s">
        <v>632</v>
      </c>
      <c r="D164" s="857">
        <v>4500186530</v>
      </c>
      <c r="E164" s="926" t="s">
        <v>2192</v>
      </c>
      <c r="F164" s="857" t="s">
        <v>2193</v>
      </c>
      <c r="G164" s="927" t="s">
        <v>1746</v>
      </c>
      <c r="H164" s="953" t="s">
        <v>1747</v>
      </c>
      <c r="I164" s="928">
        <v>12</v>
      </c>
      <c r="J164" s="928">
        <v>0</v>
      </c>
      <c r="K164" s="928">
        <v>12</v>
      </c>
      <c r="L164" s="929">
        <f t="shared" si="52"/>
        <v>1</v>
      </c>
      <c r="M164" s="930">
        <v>46031</v>
      </c>
      <c r="N164" s="930">
        <v>46027</v>
      </c>
      <c r="O164" s="926"/>
      <c r="P164" s="931" t="s">
        <v>86</v>
      </c>
      <c r="Q164" s="926"/>
      <c r="R164" s="932">
        <v>45982</v>
      </c>
      <c r="S164" s="932" t="s">
        <v>88</v>
      </c>
      <c r="T164" s="932" t="s">
        <v>2194</v>
      </c>
      <c r="U164" s="932"/>
      <c r="V164" s="933" t="s">
        <v>2195</v>
      </c>
      <c r="W164" s="934" t="s">
        <v>731</v>
      </c>
      <c r="X164" s="935">
        <v>2.8135</v>
      </c>
      <c r="Y164" s="936">
        <f t="shared" si="53"/>
        <v>33.762</v>
      </c>
      <c r="Z164" s="936"/>
      <c r="AA164" s="926"/>
      <c r="AB164" s="1004" t="s">
        <v>1746</v>
      </c>
      <c r="AC164" s="928" t="s">
        <v>93</v>
      </c>
      <c r="AD164" s="928" t="s">
        <v>94</v>
      </c>
      <c r="AE164" s="926"/>
      <c r="AF164" s="946">
        <v>12</v>
      </c>
      <c r="AG164" s="946">
        <f t="shared" si="54"/>
        <v>0</v>
      </c>
      <c r="AH164" s="947"/>
      <c r="AI164" s="926" t="s">
        <v>95</v>
      </c>
      <c r="AJ164" s="926"/>
      <c r="AK164" s="951">
        <f>I164*2</f>
        <v>24</v>
      </c>
      <c r="AL164" s="858"/>
      <c r="AM164" s="858">
        <f>I164*2</f>
        <v>24</v>
      </c>
      <c r="AN164" s="858"/>
      <c r="AO164" s="856">
        <f>I164*2</f>
        <v>24</v>
      </c>
      <c r="BE164" s="925"/>
      <c r="BF164" s="925"/>
      <c r="BG164" s="925"/>
      <c r="BH164" s="925"/>
      <c r="BI164" s="925"/>
      <c r="BJ164" s="857">
        <f>I164</f>
        <v>12</v>
      </c>
      <c r="BK164" s="857">
        <f>I164</f>
        <v>12</v>
      </c>
      <c r="BL164" s="857">
        <f>I164</f>
        <v>12</v>
      </c>
      <c r="BN164" s="939"/>
      <c r="BO164" s="939"/>
      <c r="BP164" s="939"/>
      <c r="BQ164" s="939"/>
      <c r="BR164" s="939"/>
      <c r="BS164" s="939"/>
      <c r="BV164" s="857">
        <f t="shared" si="40"/>
        <v>0</v>
      </c>
      <c r="BW164" s="857">
        <f t="shared" si="41"/>
        <v>0</v>
      </c>
      <c r="BX164" s="308">
        <f t="shared" si="42"/>
        <v>825060</v>
      </c>
      <c r="BY164" s="939"/>
      <c r="BZ164" s="939"/>
      <c r="CA164" s="939">
        <f t="shared" si="45"/>
        <v>34940</v>
      </c>
      <c r="CB164" s="939">
        <f t="shared" si="55"/>
        <v>474940</v>
      </c>
      <c r="CC164" s="939"/>
      <c r="CH164" s="940"/>
      <c r="CI164" s="940"/>
      <c r="CJ164" s="940"/>
      <c r="CK164" s="940"/>
      <c r="CL164" s="940"/>
      <c r="CM164" s="940"/>
      <c r="CN164" s="940"/>
      <c r="CO164" s="940"/>
      <c r="CP164" s="940"/>
      <c r="CQ164" s="940"/>
      <c r="CR164" s="940"/>
      <c r="CS164" s="940"/>
      <c r="CT164" s="940"/>
      <c r="CU164" s="940"/>
      <c r="CV164" s="940"/>
      <c r="CW164" s="940"/>
      <c r="CX164" s="940"/>
      <c r="CY164" s="940"/>
      <c r="CZ164" s="940"/>
      <c r="DA164" s="940"/>
      <c r="DB164" s="940"/>
      <c r="DC164" s="940"/>
    </row>
    <row r="165" s="857" customFormat="1" ht="31" customHeight="1" spans="1:107">
      <c r="A165" s="923">
        <v>45986</v>
      </c>
      <c r="B165" s="924" t="s">
        <v>578</v>
      </c>
      <c r="C165" s="925" t="s">
        <v>125</v>
      </c>
      <c r="D165" s="857">
        <v>4500186881</v>
      </c>
      <c r="E165" s="926">
        <v>7137242751</v>
      </c>
      <c r="F165" s="857" t="s">
        <v>2196</v>
      </c>
      <c r="G165" s="927" t="s">
        <v>2164</v>
      </c>
      <c r="H165" s="928" t="s">
        <v>2165</v>
      </c>
      <c r="I165" s="928">
        <v>6210</v>
      </c>
      <c r="J165" s="928">
        <v>0</v>
      </c>
      <c r="K165" s="928">
        <v>30</v>
      </c>
      <c r="L165" s="929">
        <f t="shared" si="52"/>
        <v>207</v>
      </c>
      <c r="M165" s="930">
        <v>46034</v>
      </c>
      <c r="N165" s="930">
        <v>46030</v>
      </c>
      <c r="O165" s="926" t="s">
        <v>2197</v>
      </c>
      <c r="P165" s="931" t="s">
        <v>86</v>
      </c>
      <c r="Q165" s="926"/>
      <c r="R165" s="932">
        <v>45988</v>
      </c>
      <c r="S165" s="932" t="s">
        <v>98</v>
      </c>
      <c r="T165" s="932" t="s">
        <v>2177</v>
      </c>
      <c r="U165" s="932"/>
      <c r="V165" s="933" t="s">
        <v>2167</v>
      </c>
      <c r="W165" s="934" t="s">
        <v>247</v>
      </c>
      <c r="X165" s="935">
        <v>37.3398</v>
      </c>
      <c r="Y165" s="936">
        <f t="shared" si="53"/>
        <v>231880.158</v>
      </c>
      <c r="Z165" s="936"/>
      <c r="AA165" s="926"/>
      <c r="AB165" s="1004" t="s">
        <v>2168</v>
      </c>
      <c r="AC165" s="928" t="s">
        <v>93</v>
      </c>
      <c r="AD165" s="928" t="s">
        <v>94</v>
      </c>
      <c r="AE165" s="926"/>
      <c r="AF165" s="946">
        <v>6210</v>
      </c>
      <c r="AG165" s="946">
        <f t="shared" si="54"/>
        <v>0</v>
      </c>
      <c r="AH165" s="947"/>
      <c r="AI165" s="926" t="s">
        <v>95</v>
      </c>
      <c r="AJ165" s="926"/>
      <c r="AK165" s="926">
        <f>I165</f>
        <v>6210</v>
      </c>
      <c r="AL165" s="858">
        <f t="shared" ref="AL165:AL170" si="56">I165</f>
        <v>6210</v>
      </c>
      <c r="AM165" s="858"/>
      <c r="AN165" s="858"/>
      <c r="AO165" s="858">
        <f t="shared" ref="AO165:AO170" si="57">I165</f>
        <v>6210</v>
      </c>
      <c r="BE165" s="925"/>
      <c r="BF165" s="925"/>
      <c r="BG165" s="925"/>
      <c r="BH165" s="925">
        <f>L165</f>
        <v>207</v>
      </c>
      <c r="BI165" s="925"/>
      <c r="BN165" s="939"/>
      <c r="BO165" s="939"/>
      <c r="BP165" s="939"/>
      <c r="BQ165" s="939"/>
      <c r="BR165" s="939"/>
      <c r="BS165" s="939"/>
      <c r="BV165" s="857">
        <f t="shared" si="40"/>
        <v>0</v>
      </c>
      <c r="BW165" s="857">
        <f t="shared" si="41"/>
        <v>0</v>
      </c>
      <c r="BX165" s="308">
        <f t="shared" si="42"/>
        <v>831270</v>
      </c>
      <c r="BY165" s="939"/>
      <c r="BZ165" s="939"/>
      <c r="CA165" s="939">
        <f t="shared" si="45"/>
        <v>28730</v>
      </c>
      <c r="CB165" s="939">
        <f t="shared" si="55"/>
        <v>468730</v>
      </c>
      <c r="CC165" s="939"/>
      <c r="CH165" s="940"/>
      <c r="CI165" s="940"/>
      <c r="CJ165" s="940"/>
      <c r="CK165" s="940"/>
      <c r="CL165" s="940"/>
      <c r="CM165" s="940"/>
      <c r="CN165" s="940"/>
      <c r="CO165" s="940"/>
      <c r="CP165" s="940"/>
      <c r="CQ165" s="940"/>
      <c r="CR165" s="940"/>
      <c r="CS165" s="940"/>
      <c r="CT165" s="940"/>
      <c r="CU165" s="940"/>
      <c r="CV165" s="940"/>
      <c r="CW165" s="940"/>
      <c r="CX165" s="940"/>
      <c r="CY165" s="940"/>
      <c r="CZ165" s="940"/>
      <c r="DA165" s="940"/>
      <c r="DB165" s="940"/>
      <c r="DC165" s="940"/>
    </row>
    <row r="166" s="857" customFormat="1" ht="31" customHeight="1" spans="1:107">
      <c r="A166" s="923">
        <v>45988</v>
      </c>
      <c r="B166" s="924" t="s">
        <v>578</v>
      </c>
      <c r="C166" s="925" t="s">
        <v>125</v>
      </c>
      <c r="D166" s="857">
        <v>4500187235</v>
      </c>
      <c r="E166" s="1424" t="s">
        <v>2198</v>
      </c>
      <c r="F166" s="857" t="s">
        <v>2199</v>
      </c>
      <c r="G166" s="927" t="s">
        <v>1584</v>
      </c>
      <c r="H166" s="928" t="s">
        <v>1585</v>
      </c>
      <c r="I166" s="928">
        <v>960</v>
      </c>
      <c r="J166" s="928">
        <v>0</v>
      </c>
      <c r="K166" s="928">
        <v>16</v>
      </c>
      <c r="L166" s="929">
        <f t="shared" si="52"/>
        <v>60</v>
      </c>
      <c r="M166" s="930">
        <v>46034</v>
      </c>
      <c r="N166" s="930">
        <f>M166-4</f>
        <v>46030</v>
      </c>
      <c r="O166" s="926" t="s">
        <v>2197</v>
      </c>
      <c r="P166" s="931" t="s">
        <v>86</v>
      </c>
      <c r="Q166" s="926"/>
      <c r="R166" s="932" t="s">
        <v>296</v>
      </c>
      <c r="S166" s="932" t="s">
        <v>98</v>
      </c>
      <c r="T166" s="932" t="s">
        <v>1791</v>
      </c>
      <c r="U166" s="932"/>
      <c r="V166" s="933" t="s">
        <v>1626</v>
      </c>
      <c r="W166" s="934" t="s">
        <v>247</v>
      </c>
      <c r="X166" s="935">
        <v>1.1968</v>
      </c>
      <c r="Y166" s="936">
        <f t="shared" si="53"/>
        <v>1148.928</v>
      </c>
      <c r="Z166" s="936"/>
      <c r="AA166" s="926"/>
      <c r="AB166" s="1004" t="s">
        <v>1584</v>
      </c>
      <c r="AC166" s="928" t="s">
        <v>93</v>
      </c>
      <c r="AD166" s="928" t="s">
        <v>94</v>
      </c>
      <c r="AE166" s="926"/>
      <c r="AF166" s="946">
        <v>960</v>
      </c>
      <c r="AG166" s="946">
        <f t="shared" si="54"/>
        <v>0</v>
      </c>
      <c r="AH166" s="947"/>
      <c r="AI166" s="926" t="s">
        <v>95</v>
      </c>
      <c r="AJ166" s="926"/>
      <c r="AK166" s="926">
        <f t="shared" ref="AK166:AK175" si="58">I166</f>
        <v>960</v>
      </c>
      <c r="AL166" s="858">
        <f t="shared" si="56"/>
        <v>960</v>
      </c>
      <c r="AM166" s="858"/>
      <c r="AN166" s="858"/>
      <c r="AO166" s="858">
        <f t="shared" si="57"/>
        <v>960</v>
      </c>
      <c r="AY166" s="857">
        <f>I166/16</f>
        <v>60</v>
      </c>
      <c r="BE166" s="925"/>
      <c r="BF166" s="925"/>
      <c r="BG166" s="925"/>
      <c r="BH166" s="925"/>
      <c r="BI166" s="925"/>
      <c r="BN166" s="939"/>
      <c r="BO166" s="939"/>
      <c r="BP166" s="939"/>
      <c r="BQ166" s="939"/>
      <c r="BR166" s="939"/>
      <c r="BS166" s="939"/>
      <c r="BV166" s="857">
        <f t="shared" si="40"/>
        <v>60</v>
      </c>
      <c r="BW166" s="857">
        <f t="shared" si="41"/>
        <v>0</v>
      </c>
      <c r="BX166" s="308">
        <f t="shared" si="42"/>
        <v>832230</v>
      </c>
      <c r="BY166" s="939"/>
      <c r="BZ166" s="939"/>
      <c r="CA166" s="939">
        <f t="shared" si="45"/>
        <v>27770</v>
      </c>
      <c r="CB166" s="939">
        <f t="shared" si="55"/>
        <v>467770</v>
      </c>
      <c r="CC166" s="939"/>
      <c r="CH166" s="940"/>
      <c r="CI166" s="940"/>
      <c r="CJ166" s="940"/>
      <c r="CK166" s="940"/>
      <c r="CL166" s="940"/>
      <c r="CM166" s="940"/>
      <c r="CN166" s="940"/>
      <c r="CO166" s="940"/>
      <c r="CP166" s="940"/>
      <c r="CQ166" s="940"/>
      <c r="CR166" s="940"/>
      <c r="CS166" s="940"/>
      <c r="CT166" s="940"/>
      <c r="CU166" s="940"/>
      <c r="CV166" s="940"/>
      <c r="CW166" s="940"/>
      <c r="CX166" s="940"/>
      <c r="CY166" s="940"/>
      <c r="CZ166" s="940"/>
      <c r="DA166" s="940"/>
      <c r="DB166" s="940"/>
      <c r="DC166" s="940"/>
    </row>
    <row r="167" s="857" customFormat="1" ht="31" customHeight="1" spans="1:107">
      <c r="A167" s="923">
        <v>45988</v>
      </c>
      <c r="B167" s="924" t="s">
        <v>578</v>
      </c>
      <c r="C167" s="925" t="s">
        <v>125</v>
      </c>
      <c r="D167" s="857">
        <v>4500187235</v>
      </c>
      <c r="E167" s="1424" t="s">
        <v>2200</v>
      </c>
      <c r="F167" s="857" t="s">
        <v>2201</v>
      </c>
      <c r="G167" s="927" t="s">
        <v>1584</v>
      </c>
      <c r="H167" s="928" t="s">
        <v>1585</v>
      </c>
      <c r="I167" s="928">
        <v>960</v>
      </c>
      <c r="J167" s="928">
        <v>0</v>
      </c>
      <c r="K167" s="928">
        <v>16</v>
      </c>
      <c r="L167" s="929">
        <f t="shared" si="52"/>
        <v>60</v>
      </c>
      <c r="M167" s="930">
        <v>46034</v>
      </c>
      <c r="N167" s="930">
        <f>M167-4</f>
        <v>46030</v>
      </c>
      <c r="O167" s="926" t="s">
        <v>2202</v>
      </c>
      <c r="P167" s="931" t="s">
        <v>86</v>
      </c>
      <c r="Q167" s="926"/>
      <c r="R167" s="932" t="s">
        <v>296</v>
      </c>
      <c r="S167" s="932" t="s">
        <v>98</v>
      </c>
      <c r="T167" s="932" t="s">
        <v>1791</v>
      </c>
      <c r="U167" s="932"/>
      <c r="V167" s="933" t="s">
        <v>1626</v>
      </c>
      <c r="W167" s="934" t="s">
        <v>247</v>
      </c>
      <c r="X167" s="935">
        <v>1.1968</v>
      </c>
      <c r="Y167" s="936">
        <f t="shared" si="53"/>
        <v>1148.928</v>
      </c>
      <c r="Z167" s="936"/>
      <c r="AA167" s="926"/>
      <c r="AB167" s="1004" t="s">
        <v>1584</v>
      </c>
      <c r="AC167" s="928" t="s">
        <v>93</v>
      </c>
      <c r="AD167" s="928" t="s">
        <v>94</v>
      </c>
      <c r="AE167" s="926"/>
      <c r="AF167" s="946">
        <v>960</v>
      </c>
      <c r="AG167" s="946">
        <f t="shared" si="54"/>
        <v>0</v>
      </c>
      <c r="AH167" s="947"/>
      <c r="AI167" s="926" t="s">
        <v>95</v>
      </c>
      <c r="AJ167" s="926"/>
      <c r="AK167" s="926">
        <f t="shared" si="58"/>
        <v>960</v>
      </c>
      <c r="AL167" s="858">
        <f t="shared" si="56"/>
        <v>960</v>
      </c>
      <c r="AM167" s="858"/>
      <c r="AN167" s="858"/>
      <c r="AO167" s="858">
        <f t="shared" si="57"/>
        <v>960</v>
      </c>
      <c r="AY167" s="857">
        <f>I167/16</f>
        <v>60</v>
      </c>
      <c r="BE167" s="925"/>
      <c r="BF167" s="925"/>
      <c r="BG167" s="925"/>
      <c r="BH167" s="925"/>
      <c r="BI167" s="925"/>
      <c r="BN167" s="939"/>
      <c r="BO167" s="939"/>
      <c r="BP167" s="939"/>
      <c r="BQ167" s="939"/>
      <c r="BR167" s="939"/>
      <c r="BS167" s="939"/>
      <c r="BV167" s="857">
        <f t="shared" si="40"/>
        <v>60</v>
      </c>
      <c r="BW167" s="857">
        <f t="shared" si="41"/>
        <v>0</v>
      </c>
      <c r="BX167" s="308">
        <f t="shared" si="42"/>
        <v>833190</v>
      </c>
      <c r="BY167" s="939"/>
      <c r="BZ167" s="939"/>
      <c r="CA167" s="939">
        <f t="shared" si="45"/>
        <v>26810</v>
      </c>
      <c r="CB167" s="939">
        <f t="shared" si="55"/>
        <v>466810</v>
      </c>
      <c r="CC167" s="939"/>
      <c r="CH167" s="940"/>
      <c r="CI167" s="940"/>
      <c r="CJ167" s="940"/>
      <c r="CK167" s="940"/>
      <c r="CL167" s="940"/>
      <c r="CM167" s="940"/>
      <c r="CN167" s="940"/>
      <c r="CO167" s="940"/>
      <c r="CP167" s="940"/>
      <c r="CQ167" s="940"/>
      <c r="CR167" s="940"/>
      <c r="CS167" s="940"/>
      <c r="CT167" s="940"/>
      <c r="CU167" s="940"/>
      <c r="CV167" s="940"/>
      <c r="CW167" s="940"/>
      <c r="CX167" s="940"/>
      <c r="CY167" s="940"/>
      <c r="CZ167" s="940"/>
      <c r="DA167" s="940"/>
      <c r="DB167" s="940"/>
      <c r="DC167" s="940"/>
    </row>
    <row r="168" s="857" customFormat="1" ht="31" customHeight="1" spans="1:107">
      <c r="A168" s="923">
        <v>45988</v>
      </c>
      <c r="B168" s="924" t="s">
        <v>578</v>
      </c>
      <c r="C168" s="925" t="s">
        <v>125</v>
      </c>
      <c r="D168" s="857">
        <v>4500187235</v>
      </c>
      <c r="E168" s="1424" t="s">
        <v>2203</v>
      </c>
      <c r="F168" s="857" t="s">
        <v>2204</v>
      </c>
      <c r="G168" s="927" t="s">
        <v>1584</v>
      </c>
      <c r="H168" s="928" t="s">
        <v>1585</v>
      </c>
      <c r="I168" s="928">
        <v>960</v>
      </c>
      <c r="J168" s="928">
        <v>0</v>
      </c>
      <c r="K168" s="928">
        <v>16</v>
      </c>
      <c r="L168" s="929">
        <f t="shared" si="52"/>
        <v>60</v>
      </c>
      <c r="M168" s="930">
        <v>46034</v>
      </c>
      <c r="N168" s="930">
        <f>M168-4</f>
        <v>46030</v>
      </c>
      <c r="O168" s="926" t="s">
        <v>2197</v>
      </c>
      <c r="P168" s="931" t="s">
        <v>86</v>
      </c>
      <c r="Q168" s="926"/>
      <c r="R168" s="932" t="s">
        <v>296</v>
      </c>
      <c r="S168" s="932" t="s">
        <v>98</v>
      </c>
      <c r="T168" s="932" t="s">
        <v>1791</v>
      </c>
      <c r="U168" s="932"/>
      <c r="V168" s="933" t="s">
        <v>1626</v>
      </c>
      <c r="W168" s="934" t="s">
        <v>247</v>
      </c>
      <c r="X168" s="935">
        <v>1.1968</v>
      </c>
      <c r="Y168" s="936">
        <f t="shared" si="53"/>
        <v>1148.928</v>
      </c>
      <c r="Z168" s="936"/>
      <c r="AA168" s="926"/>
      <c r="AB168" s="1004" t="s">
        <v>1584</v>
      </c>
      <c r="AC168" s="928" t="s">
        <v>93</v>
      </c>
      <c r="AD168" s="928" t="s">
        <v>94</v>
      </c>
      <c r="AE168" s="926"/>
      <c r="AF168" s="946">
        <v>960</v>
      </c>
      <c r="AG168" s="946">
        <f t="shared" si="54"/>
        <v>0</v>
      </c>
      <c r="AH168" s="947"/>
      <c r="AI168" s="926" t="s">
        <v>95</v>
      </c>
      <c r="AJ168" s="926"/>
      <c r="AK168" s="926">
        <f t="shared" si="58"/>
        <v>960</v>
      </c>
      <c r="AL168" s="858">
        <f t="shared" si="56"/>
        <v>960</v>
      </c>
      <c r="AM168" s="858"/>
      <c r="AN168" s="858"/>
      <c r="AO168" s="858">
        <f t="shared" si="57"/>
        <v>960</v>
      </c>
      <c r="AY168" s="857">
        <f>I168/16</f>
        <v>60</v>
      </c>
      <c r="BE168" s="925"/>
      <c r="BF168" s="925"/>
      <c r="BG168" s="925"/>
      <c r="BH168" s="925"/>
      <c r="BI168" s="925"/>
      <c r="BN168" s="939"/>
      <c r="BO168" s="939"/>
      <c r="BP168" s="939"/>
      <c r="BQ168" s="939"/>
      <c r="BR168" s="939"/>
      <c r="BS168" s="939"/>
      <c r="BV168" s="857">
        <f t="shared" si="40"/>
        <v>60</v>
      </c>
      <c r="BW168" s="857">
        <f t="shared" si="41"/>
        <v>0</v>
      </c>
      <c r="BX168" s="308">
        <f t="shared" si="42"/>
        <v>834150</v>
      </c>
      <c r="BY168" s="939"/>
      <c r="BZ168" s="939"/>
      <c r="CA168" s="939">
        <f t="shared" si="45"/>
        <v>25850</v>
      </c>
      <c r="CB168" s="939">
        <f t="shared" si="55"/>
        <v>465850</v>
      </c>
      <c r="CC168" s="939"/>
      <c r="CH168" s="940"/>
      <c r="CI168" s="940"/>
      <c r="CJ168" s="940"/>
      <c r="CK168" s="940"/>
      <c r="CL168" s="940"/>
      <c r="CM168" s="940"/>
      <c r="CN168" s="940"/>
      <c r="CO168" s="940"/>
      <c r="CP168" s="940"/>
      <c r="CQ168" s="940"/>
      <c r="CR168" s="940"/>
      <c r="CS168" s="940"/>
      <c r="CT168" s="940"/>
      <c r="CU168" s="940"/>
      <c r="CV168" s="940"/>
      <c r="CW168" s="940"/>
      <c r="CX168" s="940"/>
      <c r="CY168" s="940"/>
      <c r="CZ168" s="940"/>
      <c r="DA168" s="940"/>
      <c r="DB168" s="940"/>
      <c r="DC168" s="940"/>
    </row>
    <row r="169" s="857" customFormat="1" ht="31" customHeight="1" spans="1:107">
      <c r="A169" s="923">
        <v>45988</v>
      </c>
      <c r="B169" s="924" t="s">
        <v>578</v>
      </c>
      <c r="C169" s="925" t="s">
        <v>125</v>
      </c>
      <c r="D169" s="857">
        <v>4500187235</v>
      </c>
      <c r="E169" s="1424" t="s">
        <v>2205</v>
      </c>
      <c r="F169" s="857" t="s">
        <v>2206</v>
      </c>
      <c r="G169" s="927" t="s">
        <v>1584</v>
      </c>
      <c r="H169" s="928" t="s">
        <v>1585</v>
      </c>
      <c r="I169" s="928">
        <v>960</v>
      </c>
      <c r="J169" s="928">
        <v>0</v>
      </c>
      <c r="K169" s="928">
        <v>16</v>
      </c>
      <c r="L169" s="929">
        <f t="shared" si="52"/>
        <v>60</v>
      </c>
      <c r="M169" s="930">
        <v>46034</v>
      </c>
      <c r="N169" s="930">
        <f>M169-4</f>
        <v>46030</v>
      </c>
      <c r="O169" s="926" t="s">
        <v>2202</v>
      </c>
      <c r="P169" s="931" t="s">
        <v>86</v>
      </c>
      <c r="Q169" s="926"/>
      <c r="R169" s="932" t="s">
        <v>296</v>
      </c>
      <c r="S169" s="932" t="s">
        <v>98</v>
      </c>
      <c r="T169" s="932" t="s">
        <v>1791</v>
      </c>
      <c r="U169" s="932"/>
      <c r="V169" s="933" t="s">
        <v>1626</v>
      </c>
      <c r="W169" s="934" t="s">
        <v>247</v>
      </c>
      <c r="X169" s="935">
        <v>1.1968</v>
      </c>
      <c r="Y169" s="936">
        <f t="shared" si="53"/>
        <v>1148.928</v>
      </c>
      <c r="Z169" s="936"/>
      <c r="AA169" s="926"/>
      <c r="AB169" s="1004" t="s">
        <v>1584</v>
      </c>
      <c r="AC169" s="928" t="s">
        <v>93</v>
      </c>
      <c r="AD169" s="928" t="s">
        <v>94</v>
      </c>
      <c r="AE169" s="926"/>
      <c r="AF169" s="946">
        <v>960</v>
      </c>
      <c r="AG169" s="946">
        <f t="shared" si="54"/>
        <v>0</v>
      </c>
      <c r="AH169" s="947"/>
      <c r="AI169" s="926" t="s">
        <v>95</v>
      </c>
      <c r="AJ169" s="926"/>
      <c r="AK169" s="926">
        <f t="shared" si="58"/>
        <v>960</v>
      </c>
      <c r="AL169" s="858">
        <f t="shared" si="56"/>
        <v>960</v>
      </c>
      <c r="AM169" s="858"/>
      <c r="AN169" s="858"/>
      <c r="AO169" s="858">
        <f t="shared" si="57"/>
        <v>960</v>
      </c>
      <c r="AY169" s="857">
        <f>I169/16</f>
        <v>60</v>
      </c>
      <c r="BE169" s="925"/>
      <c r="BF169" s="925"/>
      <c r="BG169" s="925"/>
      <c r="BH169" s="925"/>
      <c r="BI169" s="925"/>
      <c r="BN169" s="939"/>
      <c r="BO169" s="939"/>
      <c r="BP169" s="939"/>
      <c r="BQ169" s="939"/>
      <c r="BR169" s="939"/>
      <c r="BS169" s="939"/>
      <c r="BV169" s="857">
        <f t="shared" si="40"/>
        <v>60</v>
      </c>
      <c r="BW169" s="857">
        <f t="shared" si="41"/>
        <v>0</v>
      </c>
      <c r="BX169" s="308">
        <f t="shared" si="42"/>
        <v>835110</v>
      </c>
      <c r="BY169" s="939"/>
      <c r="BZ169" s="939"/>
      <c r="CA169" s="939">
        <f t="shared" si="45"/>
        <v>24890</v>
      </c>
      <c r="CB169" s="939">
        <f t="shared" si="55"/>
        <v>464890</v>
      </c>
      <c r="CC169" s="939"/>
      <c r="CH169" s="940"/>
      <c r="CI169" s="940"/>
      <c r="CJ169" s="940"/>
      <c r="CK169" s="940"/>
      <c r="CL169" s="940"/>
      <c r="CM169" s="940"/>
      <c r="CN169" s="940"/>
      <c r="CO169" s="940"/>
      <c r="CP169" s="940"/>
      <c r="CQ169" s="940"/>
      <c r="CR169" s="940"/>
      <c r="CS169" s="940"/>
      <c r="CT169" s="940"/>
      <c r="CU169" s="940"/>
      <c r="CV169" s="940"/>
      <c r="CW169" s="940"/>
      <c r="CX169" s="940"/>
      <c r="CY169" s="940"/>
      <c r="CZ169" s="940"/>
      <c r="DA169" s="940"/>
      <c r="DB169" s="940"/>
      <c r="DC169" s="940"/>
    </row>
    <row r="170" s="857" customFormat="1" ht="31" customHeight="1" spans="1:107">
      <c r="A170" s="923">
        <v>45988</v>
      </c>
      <c r="B170" s="924" t="s">
        <v>578</v>
      </c>
      <c r="C170" s="925" t="s">
        <v>125</v>
      </c>
      <c r="D170" s="857">
        <v>4500187235</v>
      </c>
      <c r="E170" s="1424" t="s">
        <v>2207</v>
      </c>
      <c r="F170" s="857" t="s">
        <v>2208</v>
      </c>
      <c r="G170" s="927" t="s">
        <v>1584</v>
      </c>
      <c r="H170" s="928" t="s">
        <v>1585</v>
      </c>
      <c r="I170" s="928">
        <v>960</v>
      </c>
      <c r="J170" s="928">
        <v>0</v>
      </c>
      <c r="K170" s="928">
        <v>16</v>
      </c>
      <c r="L170" s="929">
        <f t="shared" si="52"/>
        <v>60</v>
      </c>
      <c r="M170" s="930">
        <v>46034</v>
      </c>
      <c r="N170" s="930">
        <f>M170-4</f>
        <v>46030</v>
      </c>
      <c r="O170" s="926" t="s">
        <v>2202</v>
      </c>
      <c r="P170" s="931" t="s">
        <v>86</v>
      </c>
      <c r="Q170" s="926"/>
      <c r="R170" s="932" t="s">
        <v>296</v>
      </c>
      <c r="S170" s="932" t="s">
        <v>98</v>
      </c>
      <c r="T170" s="932" t="s">
        <v>1791</v>
      </c>
      <c r="U170" s="932"/>
      <c r="V170" s="933" t="s">
        <v>1626</v>
      </c>
      <c r="W170" s="934" t="s">
        <v>247</v>
      </c>
      <c r="X170" s="935">
        <v>1.1968</v>
      </c>
      <c r="Y170" s="936">
        <f t="shared" si="53"/>
        <v>1148.928</v>
      </c>
      <c r="Z170" s="936"/>
      <c r="AA170" s="926"/>
      <c r="AB170" s="1004" t="s">
        <v>1584</v>
      </c>
      <c r="AC170" s="928" t="s">
        <v>93</v>
      </c>
      <c r="AD170" s="928" t="s">
        <v>94</v>
      </c>
      <c r="AE170" s="926"/>
      <c r="AF170" s="946">
        <v>960</v>
      </c>
      <c r="AG170" s="946">
        <f t="shared" si="54"/>
        <v>0</v>
      </c>
      <c r="AH170" s="947"/>
      <c r="AI170" s="926" t="s">
        <v>95</v>
      </c>
      <c r="AJ170" s="926"/>
      <c r="AK170" s="926">
        <f t="shared" si="58"/>
        <v>960</v>
      </c>
      <c r="AL170" s="858">
        <f t="shared" si="56"/>
        <v>960</v>
      </c>
      <c r="AM170" s="858"/>
      <c r="AN170" s="858"/>
      <c r="AO170" s="858">
        <f t="shared" si="57"/>
        <v>960</v>
      </c>
      <c r="AY170" s="857">
        <f>I170/16</f>
        <v>60</v>
      </c>
      <c r="BE170" s="925"/>
      <c r="BF170" s="925"/>
      <c r="BG170" s="925"/>
      <c r="BH170" s="925"/>
      <c r="BI170" s="925"/>
      <c r="BN170" s="939"/>
      <c r="BO170" s="939"/>
      <c r="BP170" s="939"/>
      <c r="BQ170" s="939"/>
      <c r="BR170" s="939"/>
      <c r="BS170" s="939"/>
      <c r="BV170" s="857">
        <f t="shared" si="40"/>
        <v>60</v>
      </c>
      <c r="BW170" s="857">
        <f t="shared" si="41"/>
        <v>0</v>
      </c>
      <c r="BX170" s="308">
        <f t="shared" si="42"/>
        <v>836070</v>
      </c>
      <c r="BY170" s="939"/>
      <c r="BZ170" s="939"/>
      <c r="CA170" s="939">
        <f t="shared" si="45"/>
        <v>23930</v>
      </c>
      <c r="CB170" s="939">
        <f t="shared" si="55"/>
        <v>463930</v>
      </c>
      <c r="CC170" s="939"/>
      <c r="CH170" s="940"/>
      <c r="CI170" s="940"/>
      <c r="CJ170" s="940"/>
      <c r="CK170" s="940"/>
      <c r="CL170" s="940"/>
      <c r="CM170" s="940"/>
      <c r="CN170" s="940"/>
      <c r="CO170" s="940"/>
      <c r="CP170" s="940"/>
      <c r="CQ170" s="940"/>
      <c r="CR170" s="940"/>
      <c r="CS170" s="940"/>
      <c r="CT170" s="940"/>
      <c r="CU170" s="940"/>
      <c r="CV170" s="940"/>
      <c r="CW170" s="940"/>
      <c r="CX170" s="940"/>
      <c r="CY170" s="940"/>
      <c r="CZ170" s="940"/>
      <c r="DA170" s="940"/>
      <c r="DB170" s="940"/>
      <c r="DC170" s="940"/>
    </row>
    <row r="171" s="857" customFormat="1" ht="31" customHeight="1" spans="1:107">
      <c r="A171" s="923">
        <v>46028</v>
      </c>
      <c r="B171" s="924"/>
      <c r="C171" s="925"/>
      <c r="D171" s="857" t="s">
        <v>2209</v>
      </c>
      <c r="E171" s="926"/>
      <c r="F171" s="857" t="s">
        <v>2210</v>
      </c>
      <c r="G171" s="927" t="s">
        <v>1761</v>
      </c>
      <c r="H171" s="928" t="s">
        <v>1762</v>
      </c>
      <c r="I171" s="928">
        <v>8</v>
      </c>
      <c r="J171" s="928">
        <v>0</v>
      </c>
      <c r="K171" s="928">
        <v>60</v>
      </c>
      <c r="L171" s="929">
        <f t="shared" si="52"/>
        <v>0.133333333333333</v>
      </c>
      <c r="M171" s="930">
        <v>46036</v>
      </c>
      <c r="N171" s="930">
        <v>46032</v>
      </c>
      <c r="O171" s="926"/>
      <c r="P171" s="931"/>
      <c r="Q171" s="926"/>
      <c r="R171" s="932"/>
      <c r="S171" s="932"/>
      <c r="T171" s="932"/>
      <c r="U171" s="932"/>
      <c r="V171" s="933" t="s">
        <v>2211</v>
      </c>
      <c r="W171" s="934"/>
      <c r="X171" s="935"/>
      <c r="Y171" s="936"/>
      <c r="Z171" s="936"/>
      <c r="AA171" s="926"/>
      <c r="AB171" s="1004" t="s">
        <v>542</v>
      </c>
      <c r="AC171" s="927" t="s">
        <v>542</v>
      </c>
      <c r="AD171" s="928"/>
      <c r="AE171" s="926"/>
      <c r="AF171" s="946">
        <v>8</v>
      </c>
      <c r="AG171" s="946">
        <v>0</v>
      </c>
      <c r="AH171" s="947"/>
      <c r="AI171" s="926"/>
      <c r="AJ171" s="926"/>
      <c r="AK171" s="926">
        <f t="shared" si="58"/>
        <v>8</v>
      </c>
      <c r="AL171" s="858"/>
      <c r="AM171" s="858"/>
      <c r="AN171" s="858"/>
      <c r="AO171" s="858"/>
      <c r="BE171" s="925"/>
      <c r="BF171" s="925"/>
      <c r="BG171" s="925"/>
      <c r="BH171" s="925"/>
      <c r="BI171" s="925"/>
      <c r="BN171" s="939"/>
      <c r="BO171" s="939"/>
      <c r="BP171" s="939"/>
      <c r="BQ171" s="939"/>
      <c r="BR171" s="939"/>
      <c r="BS171" s="939"/>
      <c r="BV171" s="857">
        <f t="shared" si="40"/>
        <v>0</v>
      </c>
      <c r="BW171" s="857">
        <f t="shared" si="41"/>
        <v>0</v>
      </c>
      <c r="BX171" s="308">
        <f t="shared" si="42"/>
        <v>836078</v>
      </c>
      <c r="BY171" s="939"/>
      <c r="BZ171" s="939"/>
      <c r="CA171" s="939">
        <f t="shared" si="45"/>
        <v>23922</v>
      </c>
      <c r="CB171" s="939"/>
      <c r="CC171" s="939"/>
      <c r="CH171" s="940"/>
      <c r="CI171" s="940"/>
      <c r="CJ171" s="940"/>
      <c r="CK171" s="940"/>
      <c r="CL171" s="940"/>
      <c r="CM171" s="940"/>
      <c r="CN171" s="940"/>
      <c r="CO171" s="940"/>
      <c r="CP171" s="940"/>
      <c r="CQ171" s="940"/>
      <c r="CR171" s="940"/>
      <c r="CS171" s="940"/>
      <c r="CT171" s="940"/>
      <c r="CU171" s="940"/>
      <c r="CV171" s="940"/>
      <c r="CW171" s="940"/>
      <c r="CX171" s="940"/>
      <c r="CY171" s="940"/>
      <c r="CZ171" s="940"/>
      <c r="DA171" s="940"/>
      <c r="DB171" s="940"/>
      <c r="DC171" s="940"/>
    </row>
    <row r="172" s="857" customFormat="1" ht="31" customHeight="1" spans="1:107">
      <c r="A172" s="923">
        <v>45993</v>
      </c>
      <c r="B172" s="924" t="s">
        <v>615</v>
      </c>
      <c r="C172" s="925" t="s">
        <v>571</v>
      </c>
      <c r="D172" s="857">
        <v>4500187623</v>
      </c>
      <c r="E172" s="926">
        <v>4504562690</v>
      </c>
      <c r="F172" s="857" t="s">
        <v>2212</v>
      </c>
      <c r="G172" s="927" t="s">
        <v>1523</v>
      </c>
      <c r="H172" s="928" t="s">
        <v>1524</v>
      </c>
      <c r="I172" s="928">
        <v>7200</v>
      </c>
      <c r="J172" s="928">
        <v>0</v>
      </c>
      <c r="K172" s="928">
        <v>50</v>
      </c>
      <c r="L172" s="929">
        <f t="shared" si="52"/>
        <v>144</v>
      </c>
      <c r="M172" s="930">
        <v>46037</v>
      </c>
      <c r="N172" s="930">
        <v>46034</v>
      </c>
      <c r="O172" s="926" t="s">
        <v>2213</v>
      </c>
      <c r="P172" s="931" t="s">
        <v>86</v>
      </c>
      <c r="Q172" s="926"/>
      <c r="R172" s="932">
        <v>45999</v>
      </c>
      <c r="S172" s="932" t="s">
        <v>98</v>
      </c>
      <c r="T172" s="932" t="s">
        <v>98</v>
      </c>
      <c r="U172" s="932"/>
      <c r="V172" s="933" t="s">
        <v>2214</v>
      </c>
      <c r="W172" s="934" t="s">
        <v>225</v>
      </c>
      <c r="X172" s="935">
        <v>1.9208</v>
      </c>
      <c r="Y172" s="936">
        <f>X172*I172</f>
        <v>13829.76</v>
      </c>
      <c r="Z172" s="936"/>
      <c r="AA172" s="926"/>
      <c r="AB172" s="1004" t="s">
        <v>1727</v>
      </c>
      <c r="AC172" s="928" t="s">
        <v>93</v>
      </c>
      <c r="AD172" s="928" t="s">
        <v>94</v>
      </c>
      <c r="AE172" s="926"/>
      <c r="AF172" s="946">
        <v>7200</v>
      </c>
      <c r="AG172" s="946">
        <f t="shared" si="54"/>
        <v>0</v>
      </c>
      <c r="AH172" s="947"/>
      <c r="AI172" s="926" t="s">
        <v>98</v>
      </c>
      <c r="AJ172" s="926"/>
      <c r="AK172" s="926">
        <f t="shared" si="58"/>
        <v>7200</v>
      </c>
      <c r="AL172" s="858"/>
      <c r="AM172" s="858"/>
      <c r="AN172" s="858">
        <f>I172</f>
        <v>7200</v>
      </c>
      <c r="AO172" s="858">
        <f>I172</f>
        <v>7200</v>
      </c>
      <c r="AU172" s="857">
        <f>L172*2</f>
        <v>288</v>
      </c>
      <c r="BE172" s="925"/>
      <c r="BF172" s="925"/>
      <c r="BG172" s="925"/>
      <c r="BH172" s="925"/>
      <c r="BI172" s="925"/>
      <c r="BN172" s="939"/>
      <c r="BO172" s="939"/>
      <c r="BP172" s="939"/>
      <c r="BQ172" s="939"/>
      <c r="BR172" s="939"/>
      <c r="BS172" s="939"/>
      <c r="BV172" s="857">
        <f t="shared" si="40"/>
        <v>288</v>
      </c>
      <c r="BW172" s="857">
        <f t="shared" si="41"/>
        <v>0</v>
      </c>
      <c r="BX172" s="308">
        <f t="shared" si="42"/>
        <v>843278</v>
      </c>
      <c r="BY172" s="939"/>
      <c r="BZ172" s="939"/>
      <c r="CA172" s="939">
        <f t="shared" si="45"/>
        <v>16722</v>
      </c>
      <c r="CB172" s="939">
        <f>$BZ$1+$CA$1+$CB$1-BX172</f>
        <v>456722</v>
      </c>
      <c r="CC172" s="939"/>
      <c r="CH172" s="940"/>
      <c r="CI172" s="940"/>
      <c r="CJ172" s="940"/>
      <c r="CK172" s="940"/>
      <c r="CL172" s="940"/>
      <c r="CM172" s="940"/>
      <c r="CN172" s="940"/>
      <c r="CO172" s="940"/>
      <c r="CP172" s="940"/>
      <c r="CQ172" s="940"/>
      <c r="CR172" s="940"/>
      <c r="CS172" s="940"/>
      <c r="CT172" s="940"/>
      <c r="CU172" s="940"/>
      <c r="CV172" s="940"/>
      <c r="CW172" s="940"/>
      <c r="CX172" s="940"/>
      <c r="CY172" s="940"/>
      <c r="CZ172" s="940"/>
      <c r="DA172" s="940"/>
      <c r="DB172" s="940"/>
      <c r="DC172" s="940"/>
    </row>
    <row r="173" s="857" customFormat="1" ht="31" customHeight="1" spans="1:107">
      <c r="A173" s="923">
        <v>45971</v>
      </c>
      <c r="B173" s="924" t="s">
        <v>533</v>
      </c>
      <c r="C173" s="925" t="s">
        <v>534</v>
      </c>
      <c r="D173" s="857">
        <v>4500185120</v>
      </c>
      <c r="E173" s="926"/>
      <c r="F173" s="857" t="s">
        <v>2215</v>
      </c>
      <c r="G173" s="927" t="s">
        <v>1523</v>
      </c>
      <c r="H173" s="928" t="s">
        <v>1524</v>
      </c>
      <c r="I173" s="928">
        <v>800</v>
      </c>
      <c r="J173" s="928">
        <v>0</v>
      </c>
      <c r="K173" s="928">
        <v>50</v>
      </c>
      <c r="L173" s="929">
        <f t="shared" si="52"/>
        <v>16</v>
      </c>
      <c r="M173" s="930">
        <v>46037</v>
      </c>
      <c r="N173" s="930">
        <v>46034</v>
      </c>
      <c r="O173" s="926"/>
      <c r="P173" s="931" t="s">
        <v>86</v>
      </c>
      <c r="Q173" s="926"/>
      <c r="R173" s="932">
        <v>45982</v>
      </c>
      <c r="S173" s="932" t="s">
        <v>2186</v>
      </c>
      <c r="T173" s="932" t="s">
        <v>2216</v>
      </c>
      <c r="U173" s="932"/>
      <c r="V173" s="933" t="s">
        <v>2217</v>
      </c>
      <c r="W173" s="934" t="s">
        <v>225</v>
      </c>
      <c r="X173" s="935">
        <v>1.9324</v>
      </c>
      <c r="Y173" s="936">
        <f>X173*I173</f>
        <v>1545.92</v>
      </c>
      <c r="Z173" s="936"/>
      <c r="AA173" s="926"/>
      <c r="AB173" s="1004" t="s">
        <v>1727</v>
      </c>
      <c r="AC173" s="928" t="s">
        <v>93</v>
      </c>
      <c r="AD173" s="928" t="s">
        <v>94</v>
      </c>
      <c r="AE173" s="926"/>
      <c r="AF173" s="946">
        <v>800</v>
      </c>
      <c r="AG173" s="946">
        <f t="shared" si="54"/>
        <v>0</v>
      </c>
      <c r="AH173" s="947"/>
      <c r="AI173" s="926" t="s">
        <v>95</v>
      </c>
      <c r="AJ173" s="926"/>
      <c r="AK173" s="926">
        <f t="shared" si="58"/>
        <v>800</v>
      </c>
      <c r="AL173" s="858"/>
      <c r="AM173" s="858"/>
      <c r="AN173" s="858">
        <f>I173</f>
        <v>800</v>
      </c>
      <c r="AO173" s="858">
        <f>I173</f>
        <v>800</v>
      </c>
      <c r="AU173" s="857">
        <f>L173*2</f>
        <v>32</v>
      </c>
      <c r="BE173" s="925"/>
      <c r="BF173" s="925"/>
      <c r="BG173" s="925"/>
      <c r="BH173" s="925"/>
      <c r="BI173" s="925"/>
      <c r="BN173" s="939"/>
      <c r="BO173" s="939"/>
      <c r="BP173" s="939"/>
      <c r="BQ173" s="939"/>
      <c r="BR173" s="939"/>
      <c r="BS173" s="939"/>
      <c r="BV173" s="857">
        <f t="shared" si="40"/>
        <v>32</v>
      </c>
      <c r="BW173" s="857">
        <f t="shared" si="41"/>
        <v>0</v>
      </c>
      <c r="BX173" s="308">
        <f t="shared" si="42"/>
        <v>844078</v>
      </c>
      <c r="BY173" s="939"/>
      <c r="BZ173" s="939"/>
      <c r="CA173" s="939">
        <f t="shared" si="45"/>
        <v>15922</v>
      </c>
      <c r="CB173" s="939">
        <f>$BZ$1+$CA$1+$CB$1-BX173</f>
        <v>455922</v>
      </c>
      <c r="CC173" s="939"/>
      <c r="CH173" s="940"/>
      <c r="CI173" s="940"/>
      <c r="CJ173" s="940"/>
      <c r="CK173" s="940"/>
      <c r="CL173" s="940"/>
      <c r="CM173" s="940"/>
      <c r="CN173" s="940"/>
      <c r="CO173" s="940"/>
      <c r="CP173" s="940"/>
      <c r="CQ173" s="940"/>
      <c r="CR173" s="940"/>
      <c r="CS173" s="940"/>
      <c r="CT173" s="940"/>
      <c r="CU173" s="940"/>
      <c r="CV173" s="940"/>
      <c r="CW173" s="940"/>
      <c r="CX173" s="940"/>
      <c r="CY173" s="940"/>
      <c r="CZ173" s="940"/>
      <c r="DA173" s="940"/>
      <c r="DB173" s="940"/>
      <c r="DC173" s="940"/>
    </row>
    <row r="174" s="857" customFormat="1" ht="31" customHeight="1" spans="1:107">
      <c r="A174" s="923">
        <v>46026</v>
      </c>
      <c r="B174" s="924"/>
      <c r="C174" s="925"/>
      <c r="D174" s="857" t="s">
        <v>2218</v>
      </c>
      <c r="E174" s="926"/>
      <c r="G174" s="927" t="s">
        <v>1529</v>
      </c>
      <c r="H174" s="928" t="s">
        <v>1810</v>
      </c>
      <c r="I174" s="928">
        <v>34</v>
      </c>
      <c r="J174" s="928">
        <v>0</v>
      </c>
      <c r="K174" s="928">
        <v>24</v>
      </c>
      <c r="L174" s="929">
        <f t="shared" si="52"/>
        <v>1.41666666666667</v>
      </c>
      <c r="M174" s="930">
        <v>46037</v>
      </c>
      <c r="N174" s="930">
        <v>46034</v>
      </c>
      <c r="O174" s="926"/>
      <c r="P174" s="931"/>
      <c r="Q174" s="926"/>
      <c r="R174" s="932"/>
      <c r="S174" s="932"/>
      <c r="T174" s="932"/>
      <c r="U174" s="932"/>
      <c r="V174" s="933" t="s">
        <v>2219</v>
      </c>
      <c r="W174" s="934"/>
      <c r="X174" s="935"/>
      <c r="Y174" s="936"/>
      <c r="Z174" s="936"/>
      <c r="AA174" s="926"/>
      <c r="AB174" s="1004" t="s">
        <v>542</v>
      </c>
      <c r="AC174" s="927" t="s">
        <v>542</v>
      </c>
      <c r="AD174" s="928"/>
      <c r="AE174" s="926"/>
      <c r="AF174" s="946">
        <v>34</v>
      </c>
      <c r="AG174" s="946">
        <f t="shared" si="54"/>
        <v>0</v>
      </c>
      <c r="AH174" s="947"/>
      <c r="AI174" s="926"/>
      <c r="AJ174" s="926"/>
      <c r="AK174" s="926">
        <f t="shared" si="58"/>
        <v>34</v>
      </c>
      <c r="AL174" s="858"/>
      <c r="AM174" s="858"/>
      <c r="AN174" s="858"/>
      <c r="AO174" s="858"/>
      <c r="BE174" s="925"/>
      <c r="BF174" s="925"/>
      <c r="BG174" s="925"/>
      <c r="BH174" s="925"/>
      <c r="BI174" s="925"/>
      <c r="BN174" s="939"/>
      <c r="BO174" s="939"/>
      <c r="BP174" s="939"/>
      <c r="BQ174" s="939"/>
      <c r="BR174" s="939"/>
      <c r="BS174" s="939"/>
      <c r="BV174" s="857">
        <f t="shared" si="40"/>
        <v>0</v>
      </c>
      <c r="BW174" s="857">
        <f t="shared" si="41"/>
        <v>0</v>
      </c>
      <c r="BX174" s="308">
        <f t="shared" si="42"/>
        <v>844112</v>
      </c>
      <c r="BY174" s="939"/>
      <c r="BZ174" s="939"/>
      <c r="CA174" s="939">
        <f t="shared" si="45"/>
        <v>15888</v>
      </c>
      <c r="CB174" s="939"/>
      <c r="CC174" s="939"/>
      <c r="CH174" s="940"/>
      <c r="CI174" s="940"/>
      <c r="CJ174" s="940"/>
      <c r="CK174" s="940"/>
      <c r="CL174" s="940"/>
      <c r="CM174" s="940"/>
      <c r="CN174" s="940"/>
      <c r="CO174" s="940"/>
      <c r="CP174" s="940"/>
      <c r="CQ174" s="940"/>
      <c r="CR174" s="940"/>
      <c r="CS174" s="940"/>
      <c r="CT174" s="940"/>
      <c r="CU174" s="940"/>
      <c r="CV174" s="940"/>
      <c r="CW174" s="940"/>
      <c r="CX174" s="940"/>
      <c r="CY174" s="940"/>
      <c r="CZ174" s="940"/>
      <c r="DA174" s="940"/>
      <c r="DB174" s="940"/>
      <c r="DC174" s="940"/>
    </row>
    <row r="175" s="857" customFormat="1" ht="31" customHeight="1" spans="1:107">
      <c r="A175" s="923">
        <v>45979</v>
      </c>
      <c r="B175" s="924" t="s">
        <v>2220</v>
      </c>
      <c r="C175" s="925" t="s">
        <v>329</v>
      </c>
      <c r="D175" s="857">
        <v>4500186008</v>
      </c>
      <c r="E175" s="926"/>
      <c r="F175" s="857" t="s">
        <v>2221</v>
      </c>
      <c r="G175" s="927" t="s">
        <v>1523</v>
      </c>
      <c r="H175" s="928" t="s">
        <v>1524</v>
      </c>
      <c r="I175" s="928">
        <v>1200</v>
      </c>
      <c r="J175" s="928">
        <v>0</v>
      </c>
      <c r="K175" s="928">
        <v>50</v>
      </c>
      <c r="L175" s="929">
        <f t="shared" si="52"/>
        <v>24</v>
      </c>
      <c r="M175" s="930">
        <v>46038</v>
      </c>
      <c r="N175" s="930">
        <v>46034</v>
      </c>
      <c r="O175" s="926"/>
      <c r="P175" s="931" t="s">
        <v>86</v>
      </c>
      <c r="Q175" s="926"/>
      <c r="R175" s="932">
        <v>45982</v>
      </c>
      <c r="S175" s="932" t="s">
        <v>98</v>
      </c>
      <c r="T175" s="932" t="s">
        <v>2222</v>
      </c>
      <c r="U175" s="932"/>
      <c r="V175" s="933" t="s">
        <v>2223</v>
      </c>
      <c r="W175" s="934" t="s">
        <v>2224</v>
      </c>
      <c r="X175" s="935">
        <v>1.9324</v>
      </c>
      <c r="Y175" s="936">
        <f t="shared" ref="Y175:Y231" si="59">X175*I175</f>
        <v>2318.88</v>
      </c>
      <c r="Z175" s="936"/>
      <c r="AA175" s="926"/>
      <c r="AB175" s="1004" t="s">
        <v>1727</v>
      </c>
      <c r="AC175" s="928" t="s">
        <v>93</v>
      </c>
      <c r="AD175" s="928" t="s">
        <v>94</v>
      </c>
      <c r="AE175" s="926"/>
      <c r="AF175" s="946">
        <v>1200</v>
      </c>
      <c r="AG175" s="946">
        <f t="shared" si="54"/>
        <v>0</v>
      </c>
      <c r="AH175" s="947"/>
      <c r="AI175" s="926" t="s">
        <v>95</v>
      </c>
      <c r="AJ175" s="926"/>
      <c r="AK175" s="926">
        <f t="shared" si="58"/>
        <v>1200</v>
      </c>
      <c r="AL175" s="858"/>
      <c r="AM175" s="858"/>
      <c r="AN175" s="858">
        <f>I175</f>
        <v>1200</v>
      </c>
      <c r="AO175" s="858">
        <f>I175</f>
        <v>1200</v>
      </c>
      <c r="AU175" s="857">
        <f>L175*2</f>
        <v>48</v>
      </c>
      <c r="BE175" s="925"/>
      <c r="BF175" s="925"/>
      <c r="BG175" s="925"/>
      <c r="BH175" s="925"/>
      <c r="BI175" s="925"/>
      <c r="BN175" s="939"/>
      <c r="BO175" s="939"/>
      <c r="BP175" s="939"/>
      <c r="BQ175" s="939"/>
      <c r="BR175" s="939"/>
      <c r="BS175" s="939"/>
      <c r="BV175" s="857">
        <f t="shared" si="40"/>
        <v>48</v>
      </c>
      <c r="BW175" s="857">
        <f t="shared" si="41"/>
        <v>0</v>
      </c>
      <c r="BX175" s="308">
        <f t="shared" si="42"/>
        <v>845312</v>
      </c>
      <c r="BY175" s="939"/>
      <c r="BZ175" s="939"/>
      <c r="CA175" s="939">
        <f t="shared" si="45"/>
        <v>14688</v>
      </c>
      <c r="CB175" s="939">
        <f t="shared" ref="CB175:CB197" si="60">$BZ$1+$CA$1+$CB$1-BX175</f>
        <v>454688</v>
      </c>
      <c r="CC175" s="939"/>
      <c r="CH175" s="940"/>
      <c r="CI175" s="940"/>
      <c r="CJ175" s="940"/>
      <c r="CK175" s="940"/>
      <c r="CL175" s="940"/>
      <c r="CM175" s="940"/>
      <c r="CN175" s="940"/>
      <c r="CO175" s="940"/>
      <c r="CP175" s="940"/>
      <c r="CQ175" s="940"/>
      <c r="CR175" s="940"/>
      <c r="CS175" s="940"/>
      <c r="CT175" s="940"/>
      <c r="CU175" s="940"/>
      <c r="CV175" s="940"/>
      <c r="CW175" s="940"/>
      <c r="CX175" s="940"/>
      <c r="CY175" s="940"/>
      <c r="CZ175" s="940"/>
      <c r="DA175" s="940"/>
      <c r="DB175" s="940"/>
      <c r="DC175" s="940"/>
    </row>
    <row r="176" s="857" customFormat="1" ht="31" customHeight="1" spans="1:107">
      <c r="A176" s="923">
        <v>45989</v>
      </c>
      <c r="B176" s="924" t="s">
        <v>761</v>
      </c>
      <c r="C176" s="925" t="s">
        <v>632</v>
      </c>
      <c r="D176" s="857">
        <v>4500187446</v>
      </c>
      <c r="E176" s="926" t="s">
        <v>2225</v>
      </c>
      <c r="F176" s="857" t="s">
        <v>2226</v>
      </c>
      <c r="G176" s="927" t="s">
        <v>1746</v>
      </c>
      <c r="H176" s="953" t="s">
        <v>1747</v>
      </c>
      <c r="I176" s="928">
        <v>12</v>
      </c>
      <c r="J176" s="928">
        <v>0</v>
      </c>
      <c r="K176" s="928">
        <v>12</v>
      </c>
      <c r="L176" s="929">
        <f t="shared" si="52"/>
        <v>1</v>
      </c>
      <c r="M176" s="930">
        <v>46038</v>
      </c>
      <c r="N176" s="930">
        <v>46034</v>
      </c>
      <c r="O176" s="926"/>
      <c r="P176" s="931" t="s">
        <v>86</v>
      </c>
      <c r="Q176" s="926"/>
      <c r="R176" s="932">
        <v>45989</v>
      </c>
      <c r="S176" s="932" t="s">
        <v>88</v>
      </c>
      <c r="T176" s="932" t="s">
        <v>2227</v>
      </c>
      <c r="U176" s="932"/>
      <c r="V176" s="933" t="s">
        <v>2195</v>
      </c>
      <c r="W176" s="934" t="s">
        <v>731</v>
      </c>
      <c r="X176" s="935">
        <v>2.8135</v>
      </c>
      <c r="Y176" s="936">
        <f t="shared" si="59"/>
        <v>33.762</v>
      </c>
      <c r="Z176" s="936"/>
      <c r="AA176" s="926"/>
      <c r="AB176" s="1004" t="s">
        <v>1746</v>
      </c>
      <c r="AC176" s="928" t="s">
        <v>93</v>
      </c>
      <c r="AD176" s="928" t="s">
        <v>94</v>
      </c>
      <c r="AE176" s="926"/>
      <c r="AF176" s="946">
        <v>12</v>
      </c>
      <c r="AG176" s="946">
        <f t="shared" si="54"/>
        <v>0</v>
      </c>
      <c r="AH176" s="947"/>
      <c r="AI176" s="926"/>
      <c r="AJ176" s="926"/>
      <c r="AK176" s="951">
        <f>I176*2</f>
        <v>24</v>
      </c>
      <c r="AL176" s="858"/>
      <c r="AM176" s="858">
        <f>I176*2</f>
        <v>24</v>
      </c>
      <c r="AN176" s="858"/>
      <c r="AO176" s="856">
        <f>I176*2</f>
        <v>24</v>
      </c>
      <c r="BE176" s="925"/>
      <c r="BF176" s="925"/>
      <c r="BG176" s="925"/>
      <c r="BH176" s="925"/>
      <c r="BI176" s="925"/>
      <c r="BJ176" s="857">
        <f>I176</f>
        <v>12</v>
      </c>
      <c r="BK176" s="857">
        <f>I176</f>
        <v>12</v>
      </c>
      <c r="BL176" s="857">
        <f>I176</f>
        <v>12</v>
      </c>
      <c r="BN176" s="939"/>
      <c r="BO176" s="939"/>
      <c r="BP176" s="939"/>
      <c r="BQ176" s="939"/>
      <c r="BR176" s="939"/>
      <c r="BS176" s="939"/>
      <c r="BV176" s="857">
        <f t="shared" si="40"/>
        <v>0</v>
      </c>
      <c r="BW176" s="857">
        <f t="shared" si="41"/>
        <v>0</v>
      </c>
      <c r="BX176" s="308">
        <f t="shared" si="42"/>
        <v>845336</v>
      </c>
      <c r="BY176" s="939"/>
      <c r="BZ176" s="939"/>
      <c r="CA176" s="939">
        <f t="shared" si="45"/>
        <v>14664</v>
      </c>
      <c r="CB176" s="939">
        <f t="shared" si="60"/>
        <v>454664</v>
      </c>
      <c r="CC176" s="939"/>
      <c r="CH176" s="940"/>
      <c r="CI176" s="940"/>
      <c r="CJ176" s="940"/>
      <c r="CK176" s="940"/>
      <c r="CL176" s="940"/>
      <c r="CM176" s="940"/>
      <c r="CN176" s="940"/>
      <c r="CO176" s="940"/>
      <c r="CP176" s="940"/>
      <c r="CQ176" s="940"/>
      <c r="CR176" s="940"/>
      <c r="CS176" s="940"/>
      <c r="CT176" s="940"/>
      <c r="CU176" s="940"/>
      <c r="CV176" s="940"/>
      <c r="CW176" s="940"/>
      <c r="CX176" s="940"/>
      <c r="CY176" s="940"/>
      <c r="CZ176" s="940"/>
      <c r="DA176" s="940"/>
      <c r="DB176" s="940"/>
      <c r="DC176" s="940"/>
    </row>
    <row r="177" s="857" customFormat="1" ht="31" customHeight="1" spans="1:107">
      <c r="A177" s="923">
        <v>45996</v>
      </c>
      <c r="B177" s="924" t="s">
        <v>2220</v>
      </c>
      <c r="C177" s="925" t="s">
        <v>329</v>
      </c>
      <c r="D177" s="857">
        <v>4500188181</v>
      </c>
      <c r="E177" s="926"/>
      <c r="F177" s="857" t="s">
        <v>2228</v>
      </c>
      <c r="G177" s="927" t="s">
        <v>1523</v>
      </c>
      <c r="H177" s="928" t="s">
        <v>1524</v>
      </c>
      <c r="I177" s="928">
        <v>1200</v>
      </c>
      <c r="J177" s="928">
        <v>0</v>
      </c>
      <c r="K177" s="928">
        <v>50</v>
      </c>
      <c r="L177" s="929">
        <f t="shared" si="52"/>
        <v>24</v>
      </c>
      <c r="M177" s="930">
        <v>46039</v>
      </c>
      <c r="N177" s="930">
        <v>46030</v>
      </c>
      <c r="O177" s="926"/>
      <c r="P177" s="931" t="s">
        <v>86</v>
      </c>
      <c r="Q177" s="926"/>
      <c r="R177" s="932">
        <v>45996</v>
      </c>
      <c r="S177" s="932" t="s">
        <v>98</v>
      </c>
      <c r="T177" s="932" t="s">
        <v>2229</v>
      </c>
      <c r="U177" s="932"/>
      <c r="V177" s="933" t="s">
        <v>2230</v>
      </c>
      <c r="W177" s="934" t="s">
        <v>2231</v>
      </c>
      <c r="X177" s="935">
        <v>1.9324</v>
      </c>
      <c r="Y177" s="936">
        <f t="shared" si="59"/>
        <v>2318.88</v>
      </c>
      <c r="Z177" s="936"/>
      <c r="AA177" s="926"/>
      <c r="AB177" s="1004" t="s">
        <v>1727</v>
      </c>
      <c r="AC177" s="928" t="s">
        <v>93</v>
      </c>
      <c r="AD177" s="928" t="s">
        <v>94</v>
      </c>
      <c r="AE177" s="926"/>
      <c r="AF177" s="946">
        <v>1200</v>
      </c>
      <c r="AG177" s="946">
        <f t="shared" si="54"/>
        <v>0</v>
      </c>
      <c r="AH177" s="947"/>
      <c r="AI177" s="926" t="s">
        <v>95</v>
      </c>
      <c r="AJ177" s="926"/>
      <c r="AK177" s="926">
        <f t="shared" ref="AK177:AK197" si="61">I177</f>
        <v>1200</v>
      </c>
      <c r="AL177" s="858"/>
      <c r="AM177" s="858"/>
      <c r="AN177" s="858">
        <f>I177</f>
        <v>1200</v>
      </c>
      <c r="AO177" s="858">
        <f t="shared" ref="AO177:AO197" si="62">I177</f>
        <v>1200</v>
      </c>
      <c r="AU177" s="857">
        <f>L177*2</f>
        <v>48</v>
      </c>
      <c r="BE177" s="925"/>
      <c r="BF177" s="925"/>
      <c r="BG177" s="925"/>
      <c r="BH177" s="925"/>
      <c r="BI177" s="925"/>
      <c r="BN177" s="939"/>
      <c r="BO177" s="939"/>
      <c r="BP177" s="939"/>
      <c r="BQ177" s="939"/>
      <c r="BR177" s="939"/>
      <c r="BS177" s="939"/>
      <c r="BV177" s="857">
        <f t="shared" si="40"/>
        <v>48</v>
      </c>
      <c r="BW177" s="857">
        <f t="shared" si="41"/>
        <v>0</v>
      </c>
      <c r="BX177" s="308">
        <f t="shared" si="42"/>
        <v>846536</v>
      </c>
      <c r="BY177" s="939"/>
      <c r="BZ177" s="939"/>
      <c r="CA177" s="939">
        <f t="shared" si="45"/>
        <v>13464</v>
      </c>
      <c r="CB177" s="939">
        <f t="shared" si="60"/>
        <v>453464</v>
      </c>
      <c r="CC177" s="939"/>
      <c r="CH177" s="940"/>
      <c r="CI177" s="940"/>
      <c r="CJ177" s="940"/>
      <c r="CK177" s="940"/>
      <c r="CL177" s="940"/>
      <c r="CM177" s="940"/>
      <c r="CN177" s="940"/>
      <c r="CO177" s="940"/>
      <c r="CP177" s="940"/>
      <c r="CQ177" s="940"/>
      <c r="CR177" s="940"/>
      <c r="CS177" s="940"/>
      <c r="CT177" s="940"/>
      <c r="CU177" s="940"/>
      <c r="CV177" s="940"/>
      <c r="CW177" s="940"/>
      <c r="CX177" s="940"/>
      <c r="CY177" s="940"/>
      <c r="CZ177" s="940"/>
      <c r="DA177" s="940"/>
      <c r="DB177" s="940"/>
      <c r="DC177" s="940"/>
    </row>
    <row r="178" s="857" customFormat="1" ht="31" customHeight="1" spans="1:107">
      <c r="A178" s="923">
        <v>45986</v>
      </c>
      <c r="B178" s="924" t="s">
        <v>578</v>
      </c>
      <c r="C178" s="925" t="s">
        <v>125</v>
      </c>
      <c r="D178" s="857">
        <v>4500186882</v>
      </c>
      <c r="E178" s="926">
        <v>7137242748</v>
      </c>
      <c r="F178" s="857" t="s">
        <v>2232</v>
      </c>
      <c r="G178" s="927" t="s">
        <v>2164</v>
      </c>
      <c r="H178" s="928" t="s">
        <v>2165</v>
      </c>
      <c r="I178" s="928">
        <v>6930</v>
      </c>
      <c r="J178" s="928">
        <v>0</v>
      </c>
      <c r="K178" s="928">
        <v>30</v>
      </c>
      <c r="L178" s="929">
        <f t="shared" si="52"/>
        <v>231</v>
      </c>
      <c r="M178" s="930">
        <v>46041</v>
      </c>
      <c r="N178" s="930">
        <v>46037</v>
      </c>
      <c r="O178" s="926" t="s">
        <v>2202</v>
      </c>
      <c r="P178" s="931" t="s">
        <v>86</v>
      </c>
      <c r="Q178" s="926"/>
      <c r="R178" s="932">
        <v>45988</v>
      </c>
      <c r="S178" s="932" t="s">
        <v>98</v>
      </c>
      <c r="T178" s="932" t="s">
        <v>2177</v>
      </c>
      <c r="U178" s="932"/>
      <c r="V178" s="933" t="s">
        <v>2167</v>
      </c>
      <c r="W178" s="934" t="s">
        <v>247</v>
      </c>
      <c r="X178" s="935">
        <v>37.3398</v>
      </c>
      <c r="Y178" s="936">
        <f t="shared" si="59"/>
        <v>258764.814</v>
      </c>
      <c r="Z178" s="936"/>
      <c r="AA178" s="926"/>
      <c r="AB178" s="1004" t="s">
        <v>2168</v>
      </c>
      <c r="AC178" s="928" t="s">
        <v>93</v>
      </c>
      <c r="AD178" s="928" t="s">
        <v>94</v>
      </c>
      <c r="AE178" s="926"/>
      <c r="AF178" s="946">
        <v>6930</v>
      </c>
      <c r="AG178" s="946">
        <f t="shared" si="54"/>
        <v>0</v>
      </c>
      <c r="AH178" s="947"/>
      <c r="AI178" s="926" t="s">
        <v>95</v>
      </c>
      <c r="AJ178" s="926"/>
      <c r="AK178" s="926">
        <f t="shared" si="61"/>
        <v>6930</v>
      </c>
      <c r="AL178" s="858">
        <f>I178</f>
        <v>6930</v>
      </c>
      <c r="AM178" s="858"/>
      <c r="AN178" s="858"/>
      <c r="AO178" s="858">
        <f t="shared" si="62"/>
        <v>6930</v>
      </c>
      <c r="BE178" s="925"/>
      <c r="BF178" s="925"/>
      <c r="BG178" s="925"/>
      <c r="BH178" s="925">
        <f>L178</f>
        <v>231</v>
      </c>
      <c r="BI178" s="925"/>
      <c r="BN178" s="939"/>
      <c r="BO178" s="939"/>
      <c r="BP178" s="939"/>
      <c r="BQ178" s="939"/>
      <c r="BR178" s="939"/>
      <c r="BS178" s="939"/>
      <c r="BV178" s="857">
        <f t="shared" si="40"/>
        <v>0</v>
      </c>
      <c r="BW178" s="857">
        <f t="shared" si="41"/>
        <v>0</v>
      </c>
      <c r="BX178" s="308">
        <f t="shared" si="42"/>
        <v>853466</v>
      </c>
      <c r="BY178" s="939"/>
      <c r="BZ178" s="939"/>
      <c r="CA178" s="939">
        <f t="shared" si="45"/>
        <v>6534</v>
      </c>
      <c r="CB178" s="939">
        <f t="shared" si="60"/>
        <v>446534</v>
      </c>
      <c r="CC178" s="939"/>
      <c r="CH178" s="940"/>
      <c r="CI178" s="940"/>
      <c r="CJ178" s="940"/>
      <c r="CK178" s="940"/>
      <c r="CL178" s="940"/>
      <c r="CM178" s="940"/>
      <c r="CN178" s="940"/>
      <c r="CO178" s="940"/>
      <c r="CP178" s="940"/>
      <c r="CQ178" s="940"/>
      <c r="CR178" s="940"/>
      <c r="CS178" s="940"/>
      <c r="CT178" s="940"/>
      <c r="CU178" s="940"/>
      <c r="CV178" s="940"/>
      <c r="CW178" s="940"/>
      <c r="CX178" s="940"/>
      <c r="CY178" s="940"/>
      <c r="CZ178" s="940"/>
      <c r="DA178" s="940"/>
      <c r="DB178" s="940"/>
      <c r="DC178" s="940"/>
    </row>
    <row r="179" s="857" customFormat="1" ht="31" customHeight="1" spans="1:107">
      <c r="A179" s="923">
        <v>45988</v>
      </c>
      <c r="B179" s="924" t="s">
        <v>578</v>
      </c>
      <c r="C179" s="925" t="s">
        <v>125</v>
      </c>
      <c r="D179" s="857">
        <v>4500187240</v>
      </c>
      <c r="E179" s="1424" t="s">
        <v>2233</v>
      </c>
      <c r="F179" s="857" t="s">
        <v>2234</v>
      </c>
      <c r="G179" s="927" t="s">
        <v>1584</v>
      </c>
      <c r="H179" s="928" t="s">
        <v>1585</v>
      </c>
      <c r="I179" s="928">
        <v>960</v>
      </c>
      <c r="J179" s="928">
        <v>0</v>
      </c>
      <c r="K179" s="928">
        <v>16</v>
      </c>
      <c r="L179" s="929">
        <f t="shared" si="52"/>
        <v>60</v>
      </c>
      <c r="M179" s="930">
        <v>46041</v>
      </c>
      <c r="N179" s="930">
        <v>46037</v>
      </c>
      <c r="O179" s="926" t="s">
        <v>2235</v>
      </c>
      <c r="P179" s="931" t="s">
        <v>86</v>
      </c>
      <c r="Q179" s="926"/>
      <c r="R179" s="932" t="s">
        <v>296</v>
      </c>
      <c r="S179" s="932" t="s">
        <v>98</v>
      </c>
      <c r="T179" s="932" t="s">
        <v>1791</v>
      </c>
      <c r="U179" s="932"/>
      <c r="V179" s="933" t="s">
        <v>1626</v>
      </c>
      <c r="W179" s="934" t="s">
        <v>247</v>
      </c>
      <c r="X179" s="935">
        <v>1.2079</v>
      </c>
      <c r="Y179" s="936">
        <f t="shared" si="59"/>
        <v>1159.584</v>
      </c>
      <c r="Z179" s="936"/>
      <c r="AA179" s="926"/>
      <c r="AB179" s="1004" t="s">
        <v>1584</v>
      </c>
      <c r="AC179" s="928" t="s">
        <v>93</v>
      </c>
      <c r="AD179" s="928" t="s">
        <v>94</v>
      </c>
      <c r="AE179" s="926"/>
      <c r="AF179" s="946">
        <v>960</v>
      </c>
      <c r="AG179" s="946">
        <f t="shared" si="54"/>
        <v>0</v>
      </c>
      <c r="AH179" s="947"/>
      <c r="AI179" s="926" t="s">
        <v>95</v>
      </c>
      <c r="AJ179" s="926"/>
      <c r="AK179" s="926">
        <f t="shared" si="61"/>
        <v>960</v>
      </c>
      <c r="AL179" s="858">
        <f>I179</f>
        <v>960</v>
      </c>
      <c r="AM179" s="858"/>
      <c r="AN179" s="858"/>
      <c r="AO179" s="858">
        <f t="shared" si="62"/>
        <v>960</v>
      </c>
      <c r="AY179" s="857">
        <f>I179/16</f>
        <v>60</v>
      </c>
      <c r="BE179" s="925"/>
      <c r="BF179" s="925"/>
      <c r="BG179" s="925"/>
      <c r="BH179" s="925"/>
      <c r="BI179" s="925"/>
      <c r="BN179" s="939"/>
      <c r="BO179" s="939"/>
      <c r="BP179" s="939"/>
      <c r="BQ179" s="939"/>
      <c r="BR179" s="939"/>
      <c r="BS179" s="939"/>
      <c r="BV179" s="857">
        <f t="shared" si="40"/>
        <v>60</v>
      </c>
      <c r="BW179" s="857">
        <f t="shared" si="41"/>
        <v>0</v>
      </c>
      <c r="BX179" s="308">
        <f t="shared" si="42"/>
        <v>854426</v>
      </c>
      <c r="BY179" s="939"/>
      <c r="BZ179" s="939"/>
      <c r="CA179" s="939">
        <f t="shared" si="45"/>
        <v>5574</v>
      </c>
      <c r="CB179" s="939">
        <f t="shared" si="60"/>
        <v>445574</v>
      </c>
      <c r="CC179" s="939"/>
      <c r="CH179" s="940"/>
      <c r="CI179" s="940"/>
      <c r="CJ179" s="940"/>
      <c r="CK179" s="940"/>
      <c r="CL179" s="940"/>
      <c r="CM179" s="940"/>
      <c r="CN179" s="940"/>
      <c r="CO179" s="940"/>
      <c r="CP179" s="940"/>
      <c r="CQ179" s="940"/>
      <c r="CR179" s="940"/>
      <c r="CS179" s="940"/>
      <c r="CT179" s="940"/>
      <c r="CU179" s="940"/>
      <c r="CV179" s="940"/>
      <c r="CW179" s="940"/>
      <c r="CX179" s="940"/>
      <c r="CY179" s="940"/>
      <c r="CZ179" s="940"/>
      <c r="DA179" s="940"/>
      <c r="DB179" s="940"/>
      <c r="DC179" s="940"/>
    </row>
    <row r="180" s="857" customFormat="1" ht="31" customHeight="1" spans="1:107">
      <c r="A180" s="923">
        <v>45996</v>
      </c>
      <c r="B180" s="924" t="s">
        <v>2236</v>
      </c>
      <c r="C180" s="925" t="s">
        <v>81</v>
      </c>
      <c r="D180" s="857">
        <v>4500188145</v>
      </c>
      <c r="E180" s="926">
        <v>5120008</v>
      </c>
      <c r="F180" s="857" t="s">
        <v>2237</v>
      </c>
      <c r="G180" s="927" t="s">
        <v>1523</v>
      </c>
      <c r="H180" s="928" t="s">
        <v>1524</v>
      </c>
      <c r="I180" s="928">
        <v>1500</v>
      </c>
      <c r="J180" s="928">
        <v>0</v>
      </c>
      <c r="K180" s="928">
        <v>50</v>
      </c>
      <c r="L180" s="929">
        <f t="shared" si="52"/>
        <v>30</v>
      </c>
      <c r="M180" s="930">
        <v>46043</v>
      </c>
      <c r="N180" s="930">
        <v>46039</v>
      </c>
      <c r="O180" s="926"/>
      <c r="P180" s="931" t="s">
        <v>86</v>
      </c>
      <c r="Q180" s="926"/>
      <c r="R180" s="932">
        <v>46016</v>
      </c>
      <c r="S180" s="932" t="s">
        <v>98</v>
      </c>
      <c r="T180" s="932" t="s">
        <v>2101</v>
      </c>
      <c r="U180" s="932"/>
      <c r="V180" s="933" t="s">
        <v>2238</v>
      </c>
      <c r="W180" s="934" t="s">
        <v>119</v>
      </c>
      <c r="X180" s="935">
        <v>1.9154</v>
      </c>
      <c r="Y180" s="936">
        <f t="shared" si="59"/>
        <v>2873.1</v>
      </c>
      <c r="Z180" s="936"/>
      <c r="AA180" s="926"/>
      <c r="AB180" s="1004" t="s">
        <v>1727</v>
      </c>
      <c r="AC180" s="928" t="s">
        <v>93</v>
      </c>
      <c r="AD180" s="928" t="s">
        <v>94</v>
      </c>
      <c r="AE180" s="926"/>
      <c r="AF180" s="946">
        <v>1500</v>
      </c>
      <c r="AG180" s="946">
        <f t="shared" si="54"/>
        <v>0</v>
      </c>
      <c r="AH180" s="947"/>
      <c r="AI180" s="926" t="s">
        <v>95</v>
      </c>
      <c r="AJ180" s="926"/>
      <c r="AK180" s="926">
        <f t="shared" si="61"/>
        <v>1500</v>
      </c>
      <c r="AL180" s="858"/>
      <c r="AM180" s="858"/>
      <c r="AN180" s="858">
        <f>I180</f>
        <v>1500</v>
      </c>
      <c r="AO180" s="858">
        <f t="shared" si="62"/>
        <v>1500</v>
      </c>
      <c r="AU180" s="857">
        <f>L180*2</f>
        <v>60</v>
      </c>
      <c r="BE180" s="925"/>
      <c r="BF180" s="925"/>
      <c r="BG180" s="925"/>
      <c r="BH180" s="925"/>
      <c r="BI180" s="925"/>
      <c r="BN180" s="939"/>
      <c r="BO180" s="939"/>
      <c r="BP180" s="939"/>
      <c r="BQ180" s="939"/>
      <c r="BR180" s="939"/>
      <c r="BS180" s="939"/>
      <c r="BV180" s="857">
        <f t="shared" si="40"/>
        <v>60</v>
      </c>
      <c r="BW180" s="857">
        <f t="shared" si="41"/>
        <v>0</v>
      </c>
      <c r="BX180" s="308">
        <f t="shared" si="42"/>
        <v>855926</v>
      </c>
      <c r="BY180" s="939"/>
      <c r="BZ180" s="939"/>
      <c r="CA180" s="939">
        <f t="shared" si="45"/>
        <v>4074</v>
      </c>
      <c r="CB180" s="939">
        <f t="shared" si="60"/>
        <v>444074</v>
      </c>
      <c r="CC180" s="939"/>
      <c r="CH180" s="940"/>
      <c r="CI180" s="940"/>
      <c r="CJ180" s="940"/>
      <c r="CK180" s="940"/>
      <c r="CL180" s="940"/>
      <c r="CM180" s="940"/>
      <c r="CN180" s="940"/>
      <c r="CO180" s="940"/>
      <c r="CP180" s="940"/>
      <c r="CQ180" s="940"/>
      <c r="CR180" s="940"/>
      <c r="CS180" s="940"/>
      <c r="CT180" s="940"/>
      <c r="CU180" s="940"/>
      <c r="CV180" s="940"/>
      <c r="CW180" s="940"/>
      <c r="CX180" s="940"/>
      <c r="CY180" s="940"/>
      <c r="CZ180" s="940"/>
      <c r="DA180" s="940"/>
      <c r="DB180" s="940"/>
      <c r="DC180" s="940"/>
    </row>
    <row r="181" s="857" customFormat="1" ht="31" customHeight="1" spans="1:107">
      <c r="A181" s="923">
        <v>45986</v>
      </c>
      <c r="B181" s="924" t="s">
        <v>578</v>
      </c>
      <c r="C181" s="925" t="s">
        <v>125</v>
      </c>
      <c r="D181" s="857">
        <v>4500186883</v>
      </c>
      <c r="E181" s="926">
        <v>7137242753</v>
      </c>
      <c r="F181" s="857" t="s">
        <v>2239</v>
      </c>
      <c r="G181" s="927" t="s">
        <v>2164</v>
      </c>
      <c r="H181" s="928" t="s">
        <v>2165</v>
      </c>
      <c r="I181" s="928">
        <v>2730</v>
      </c>
      <c r="J181" s="928">
        <v>0</v>
      </c>
      <c r="K181" s="928">
        <v>30</v>
      </c>
      <c r="L181" s="929">
        <f t="shared" si="52"/>
        <v>91</v>
      </c>
      <c r="M181" s="930">
        <v>46044</v>
      </c>
      <c r="N181" s="930">
        <v>46041</v>
      </c>
      <c r="O181" s="926" t="s">
        <v>2235</v>
      </c>
      <c r="P181" s="931" t="s">
        <v>86</v>
      </c>
      <c r="Q181" s="926"/>
      <c r="R181" s="932">
        <v>45988</v>
      </c>
      <c r="S181" s="932" t="s">
        <v>98</v>
      </c>
      <c r="T181" s="932" t="s">
        <v>2177</v>
      </c>
      <c r="U181" s="932"/>
      <c r="V181" s="933" t="s">
        <v>2167</v>
      </c>
      <c r="W181" s="934" t="s">
        <v>247</v>
      </c>
      <c r="X181" s="935">
        <v>37.3398</v>
      </c>
      <c r="Y181" s="936">
        <f t="shared" si="59"/>
        <v>101937.654</v>
      </c>
      <c r="Z181" s="936"/>
      <c r="AA181" s="926"/>
      <c r="AB181" s="1004" t="s">
        <v>2168</v>
      </c>
      <c r="AC181" s="928" t="s">
        <v>93</v>
      </c>
      <c r="AD181" s="928" t="s">
        <v>94</v>
      </c>
      <c r="AE181" s="926"/>
      <c r="AF181" s="946">
        <v>2730</v>
      </c>
      <c r="AG181" s="946">
        <f t="shared" si="54"/>
        <v>0</v>
      </c>
      <c r="AH181" s="947"/>
      <c r="AI181" s="926" t="s">
        <v>95</v>
      </c>
      <c r="AJ181" s="926"/>
      <c r="AK181" s="926">
        <f t="shared" si="61"/>
        <v>2730</v>
      </c>
      <c r="AL181" s="858">
        <f>I181</f>
        <v>2730</v>
      </c>
      <c r="AM181" s="858"/>
      <c r="AN181" s="858"/>
      <c r="AO181" s="858">
        <f t="shared" si="62"/>
        <v>2730</v>
      </c>
      <c r="BE181" s="925"/>
      <c r="BF181" s="925"/>
      <c r="BG181" s="925"/>
      <c r="BH181" s="925">
        <f>L181</f>
        <v>91</v>
      </c>
      <c r="BI181" s="925"/>
      <c r="BN181" s="939"/>
      <c r="BO181" s="939"/>
      <c r="BP181" s="939"/>
      <c r="BQ181" s="939"/>
      <c r="BR181" s="939"/>
      <c r="BS181" s="939"/>
      <c r="BV181" s="857">
        <f t="shared" si="40"/>
        <v>0</v>
      </c>
      <c r="BW181" s="857">
        <f t="shared" si="41"/>
        <v>0</v>
      </c>
      <c r="BX181" s="308">
        <f t="shared" si="42"/>
        <v>858656</v>
      </c>
      <c r="BY181" s="939"/>
      <c r="BZ181" s="939"/>
      <c r="CA181" s="939">
        <f t="shared" si="45"/>
        <v>1344</v>
      </c>
      <c r="CB181" s="939">
        <f t="shared" si="60"/>
        <v>441344</v>
      </c>
      <c r="CC181" s="939"/>
      <c r="CH181" s="940"/>
      <c r="CI181" s="940"/>
      <c r="CJ181" s="940"/>
      <c r="CK181" s="940"/>
      <c r="CL181" s="940"/>
      <c r="CM181" s="940"/>
      <c r="CN181" s="940"/>
      <c r="CO181" s="940"/>
      <c r="CP181" s="940"/>
      <c r="CQ181" s="940"/>
      <c r="CR181" s="940"/>
      <c r="CS181" s="940"/>
      <c r="CT181" s="940"/>
      <c r="CU181" s="940"/>
      <c r="CV181" s="940"/>
      <c r="CW181" s="940"/>
      <c r="CX181" s="940"/>
      <c r="CY181" s="940"/>
      <c r="CZ181" s="940"/>
      <c r="DA181" s="940"/>
      <c r="DB181" s="940"/>
      <c r="DC181" s="940"/>
    </row>
    <row r="182" s="857" customFormat="1" ht="31" customHeight="1" spans="1:107">
      <c r="A182" s="923">
        <v>46006</v>
      </c>
      <c r="B182" s="924" t="s">
        <v>2240</v>
      </c>
      <c r="C182" s="925" t="s">
        <v>329</v>
      </c>
      <c r="D182" s="857">
        <v>4500189088</v>
      </c>
      <c r="E182" s="926"/>
      <c r="F182" s="857" t="s">
        <v>2241</v>
      </c>
      <c r="G182" s="927" t="s">
        <v>1523</v>
      </c>
      <c r="H182" s="928" t="s">
        <v>1524</v>
      </c>
      <c r="I182" s="928">
        <v>300</v>
      </c>
      <c r="J182" s="928">
        <v>0</v>
      </c>
      <c r="K182" s="928">
        <v>50</v>
      </c>
      <c r="L182" s="929">
        <f t="shared" si="52"/>
        <v>6</v>
      </c>
      <c r="M182" s="930">
        <v>46044</v>
      </c>
      <c r="N182" s="930">
        <v>46041</v>
      </c>
      <c r="O182" s="926"/>
      <c r="P182" s="931" t="s">
        <v>86</v>
      </c>
      <c r="Q182" s="926"/>
      <c r="R182" s="932">
        <v>46009</v>
      </c>
      <c r="S182" s="932" t="s">
        <v>98</v>
      </c>
      <c r="T182" s="932" t="s">
        <v>2242</v>
      </c>
      <c r="U182" s="932"/>
      <c r="V182" s="933" t="s">
        <v>2243</v>
      </c>
      <c r="W182" s="934" t="s">
        <v>2224</v>
      </c>
      <c r="X182" s="935">
        <v>1.9324</v>
      </c>
      <c r="Y182" s="936">
        <f t="shared" si="59"/>
        <v>579.72</v>
      </c>
      <c r="Z182" s="936"/>
      <c r="AA182" s="926"/>
      <c r="AB182" s="1004" t="s">
        <v>1727</v>
      </c>
      <c r="AC182" s="928" t="s">
        <v>93</v>
      </c>
      <c r="AD182" s="928" t="s">
        <v>94</v>
      </c>
      <c r="AE182" s="926"/>
      <c r="AF182" s="946">
        <v>300</v>
      </c>
      <c r="AG182" s="946">
        <f t="shared" si="54"/>
        <v>0</v>
      </c>
      <c r="AH182" s="947"/>
      <c r="AI182" s="926" t="s">
        <v>95</v>
      </c>
      <c r="AJ182" s="926"/>
      <c r="AK182" s="926">
        <f t="shared" si="61"/>
        <v>300</v>
      </c>
      <c r="AL182" s="858"/>
      <c r="AM182" s="858"/>
      <c r="AN182" s="858">
        <f>I182</f>
        <v>300</v>
      </c>
      <c r="AO182" s="858">
        <f t="shared" si="62"/>
        <v>300</v>
      </c>
      <c r="AU182" s="857">
        <f>L182*2</f>
        <v>12</v>
      </c>
      <c r="BE182" s="925"/>
      <c r="BF182" s="925"/>
      <c r="BG182" s="925"/>
      <c r="BH182" s="925"/>
      <c r="BI182" s="925"/>
      <c r="BN182" s="939"/>
      <c r="BO182" s="939"/>
      <c r="BP182" s="939"/>
      <c r="BQ182" s="939"/>
      <c r="BR182" s="939"/>
      <c r="BS182" s="939"/>
      <c r="BV182" s="857">
        <f t="shared" si="40"/>
        <v>12</v>
      </c>
      <c r="BW182" s="857">
        <f t="shared" si="41"/>
        <v>0</v>
      </c>
      <c r="BX182" s="308">
        <f t="shared" si="42"/>
        <v>858956</v>
      </c>
      <c r="BY182" s="939"/>
      <c r="BZ182" s="939"/>
      <c r="CA182" s="939">
        <f t="shared" si="45"/>
        <v>1044</v>
      </c>
      <c r="CB182" s="939">
        <f t="shared" si="60"/>
        <v>441044</v>
      </c>
      <c r="CC182" s="939"/>
      <c r="CH182" s="940"/>
      <c r="CI182" s="940"/>
      <c r="CJ182" s="940"/>
      <c r="CK182" s="940"/>
      <c r="CL182" s="940"/>
      <c r="CM182" s="940"/>
      <c r="CN182" s="940"/>
      <c r="CO182" s="940"/>
      <c r="CP182" s="940"/>
      <c r="CQ182" s="940"/>
      <c r="CR182" s="940"/>
      <c r="CS182" s="940"/>
      <c r="CT182" s="940"/>
      <c r="CU182" s="940"/>
      <c r="CV182" s="940"/>
      <c r="CW182" s="940"/>
      <c r="CX182" s="940"/>
      <c r="CY182" s="940"/>
      <c r="CZ182" s="940"/>
      <c r="DA182" s="940"/>
      <c r="DB182" s="940"/>
      <c r="DC182" s="940"/>
    </row>
    <row r="183" s="857" customFormat="1" ht="31" customHeight="1" spans="1:107">
      <c r="A183" s="923">
        <v>45988</v>
      </c>
      <c r="B183" s="924" t="s">
        <v>578</v>
      </c>
      <c r="C183" s="925" t="s">
        <v>125</v>
      </c>
      <c r="D183" s="857">
        <v>4500187241</v>
      </c>
      <c r="E183" s="1424" t="s">
        <v>2244</v>
      </c>
      <c r="F183" s="857" t="s">
        <v>2245</v>
      </c>
      <c r="G183" s="927" t="s">
        <v>1584</v>
      </c>
      <c r="H183" s="928" t="s">
        <v>1585</v>
      </c>
      <c r="I183" s="928">
        <v>960</v>
      </c>
      <c r="J183" s="928">
        <v>0</v>
      </c>
      <c r="K183" s="928">
        <v>16</v>
      </c>
      <c r="L183" s="929">
        <f t="shared" si="52"/>
        <v>60</v>
      </c>
      <c r="M183" s="930">
        <v>46048</v>
      </c>
      <c r="N183" s="930">
        <v>46046</v>
      </c>
      <c r="O183" s="926" t="s">
        <v>2246</v>
      </c>
      <c r="P183" s="931" t="s">
        <v>86</v>
      </c>
      <c r="Q183" s="926"/>
      <c r="R183" s="932" t="s">
        <v>296</v>
      </c>
      <c r="S183" s="932" t="s">
        <v>98</v>
      </c>
      <c r="T183" s="932" t="s">
        <v>1791</v>
      </c>
      <c r="U183" s="932"/>
      <c r="V183" s="933" t="s">
        <v>1626</v>
      </c>
      <c r="W183" s="934" t="s">
        <v>247</v>
      </c>
      <c r="X183" s="935">
        <v>1.2079</v>
      </c>
      <c r="Y183" s="936">
        <f t="shared" si="59"/>
        <v>1159.584</v>
      </c>
      <c r="Z183" s="936"/>
      <c r="AA183" s="926"/>
      <c r="AB183" s="1004" t="s">
        <v>1584</v>
      </c>
      <c r="AC183" s="928" t="s">
        <v>93</v>
      </c>
      <c r="AD183" s="928" t="s">
        <v>94</v>
      </c>
      <c r="AE183" s="926"/>
      <c r="AF183" s="946">
        <v>960</v>
      </c>
      <c r="AG183" s="946">
        <f t="shared" si="54"/>
        <v>0</v>
      </c>
      <c r="AH183" s="947"/>
      <c r="AI183" s="926" t="s">
        <v>95</v>
      </c>
      <c r="AJ183" s="926"/>
      <c r="AK183" s="926">
        <f t="shared" si="61"/>
        <v>960</v>
      </c>
      <c r="AL183" s="858">
        <f>I183</f>
        <v>960</v>
      </c>
      <c r="AM183" s="858"/>
      <c r="AN183" s="858"/>
      <c r="AO183" s="858">
        <f t="shared" si="62"/>
        <v>960</v>
      </c>
      <c r="AY183" s="857">
        <f>I183/16</f>
        <v>60</v>
      </c>
      <c r="BE183" s="925"/>
      <c r="BF183" s="925"/>
      <c r="BG183" s="925"/>
      <c r="BH183" s="925"/>
      <c r="BI183" s="925"/>
      <c r="BN183" s="939"/>
      <c r="BO183" s="939"/>
      <c r="BP183" s="939"/>
      <c r="BQ183" s="939"/>
      <c r="BR183" s="939"/>
      <c r="BS183" s="939"/>
      <c r="BV183" s="857">
        <f t="shared" si="40"/>
        <v>60</v>
      </c>
      <c r="BW183" s="857">
        <f t="shared" si="41"/>
        <v>0</v>
      </c>
      <c r="BX183" s="308">
        <f t="shared" si="42"/>
        <v>859916</v>
      </c>
      <c r="BY183" s="939"/>
      <c r="BZ183" s="939"/>
      <c r="CA183" s="939">
        <f t="shared" si="45"/>
        <v>84</v>
      </c>
      <c r="CB183" s="939">
        <f t="shared" si="60"/>
        <v>440084</v>
      </c>
      <c r="CC183" s="939"/>
      <c r="CH183" s="940"/>
      <c r="CI183" s="940"/>
      <c r="CJ183" s="940"/>
      <c r="CK183" s="940"/>
      <c r="CL183" s="940"/>
      <c r="CM183" s="940"/>
      <c r="CN183" s="940"/>
      <c r="CO183" s="940"/>
      <c r="CP183" s="940"/>
      <c r="CQ183" s="940"/>
      <c r="CR183" s="940"/>
      <c r="CS183" s="940"/>
      <c r="CT183" s="940"/>
      <c r="CU183" s="940"/>
      <c r="CV183" s="940"/>
      <c r="CW183" s="940"/>
      <c r="CX183" s="940"/>
      <c r="CY183" s="940"/>
      <c r="CZ183" s="940"/>
      <c r="DA183" s="940"/>
      <c r="DB183" s="940"/>
      <c r="DC183" s="940"/>
    </row>
    <row r="184" s="857" customFormat="1" ht="31" customHeight="1" spans="1:107">
      <c r="A184" s="923">
        <v>45988</v>
      </c>
      <c r="B184" s="924" t="s">
        <v>578</v>
      </c>
      <c r="C184" s="925" t="s">
        <v>125</v>
      </c>
      <c r="D184" s="857">
        <v>4500187243</v>
      </c>
      <c r="E184" s="1424" t="s">
        <v>2247</v>
      </c>
      <c r="F184" s="857" t="s">
        <v>2248</v>
      </c>
      <c r="G184" s="927" t="s">
        <v>1584</v>
      </c>
      <c r="H184" s="928" t="s">
        <v>1585</v>
      </c>
      <c r="I184" s="928">
        <v>960</v>
      </c>
      <c r="J184" s="928">
        <v>0</v>
      </c>
      <c r="K184" s="928">
        <v>16</v>
      </c>
      <c r="L184" s="929">
        <f t="shared" si="52"/>
        <v>60</v>
      </c>
      <c r="M184" s="930">
        <v>46051</v>
      </c>
      <c r="N184" s="930">
        <v>46048</v>
      </c>
      <c r="O184" s="926" t="s">
        <v>2246</v>
      </c>
      <c r="P184" s="931" t="s">
        <v>86</v>
      </c>
      <c r="Q184" s="926"/>
      <c r="R184" s="932" t="s">
        <v>296</v>
      </c>
      <c r="S184" s="932" t="s">
        <v>98</v>
      </c>
      <c r="T184" s="932" t="s">
        <v>1791</v>
      </c>
      <c r="U184" s="932"/>
      <c r="V184" s="933" t="s">
        <v>1626</v>
      </c>
      <c r="W184" s="934" t="s">
        <v>247</v>
      </c>
      <c r="X184" s="935">
        <v>1.2079</v>
      </c>
      <c r="Y184" s="936">
        <f t="shared" si="59"/>
        <v>1159.584</v>
      </c>
      <c r="Z184" s="936"/>
      <c r="AA184" s="926"/>
      <c r="AB184" s="1004" t="s">
        <v>1584</v>
      </c>
      <c r="AC184" s="928" t="s">
        <v>93</v>
      </c>
      <c r="AD184" s="928" t="s">
        <v>94</v>
      </c>
      <c r="AE184" s="926"/>
      <c r="AF184" s="946">
        <v>960</v>
      </c>
      <c r="AG184" s="946">
        <f t="shared" si="54"/>
        <v>0</v>
      </c>
      <c r="AH184" s="947"/>
      <c r="AI184" s="926" t="s">
        <v>95</v>
      </c>
      <c r="AJ184" s="926"/>
      <c r="AK184" s="926">
        <f t="shared" si="61"/>
        <v>960</v>
      </c>
      <c r="AL184" s="858">
        <f>I184</f>
        <v>960</v>
      </c>
      <c r="AM184" s="858"/>
      <c r="AN184" s="858"/>
      <c r="AO184" s="858">
        <f t="shared" si="62"/>
        <v>960</v>
      </c>
      <c r="AY184" s="857">
        <f>I184/16</f>
        <v>60</v>
      </c>
      <c r="BE184" s="925"/>
      <c r="BF184" s="925"/>
      <c r="BG184" s="925"/>
      <c r="BH184" s="925"/>
      <c r="BI184" s="925"/>
      <c r="BN184" s="939"/>
      <c r="BO184" s="939"/>
      <c r="BP184" s="939"/>
      <c r="BQ184" s="939"/>
      <c r="BR184" s="939"/>
      <c r="BS184" s="939"/>
      <c r="BV184" s="857">
        <f t="shared" si="40"/>
        <v>60</v>
      </c>
      <c r="BW184" s="857">
        <f t="shared" si="41"/>
        <v>0</v>
      </c>
      <c r="BX184" s="308">
        <f t="shared" si="42"/>
        <v>860876</v>
      </c>
      <c r="BY184" s="939"/>
      <c r="BZ184" s="939"/>
      <c r="CA184" s="939"/>
      <c r="CB184" s="939">
        <f t="shared" si="60"/>
        <v>439124</v>
      </c>
      <c r="CC184" s="939"/>
      <c r="CH184" s="940"/>
      <c r="CI184" s="940"/>
      <c r="CJ184" s="940"/>
      <c r="CK184" s="940"/>
      <c r="CL184" s="940"/>
      <c r="CM184" s="940"/>
      <c r="CN184" s="940"/>
      <c r="CO184" s="940"/>
      <c r="CP184" s="940"/>
      <c r="CQ184" s="940"/>
      <c r="CR184" s="940"/>
      <c r="CS184" s="940"/>
      <c r="CT184" s="940"/>
      <c r="CU184" s="940"/>
      <c r="CV184" s="940"/>
      <c r="CW184" s="940"/>
      <c r="CX184" s="940"/>
      <c r="CY184" s="940"/>
      <c r="CZ184" s="940"/>
      <c r="DA184" s="940"/>
      <c r="DB184" s="940"/>
      <c r="DC184" s="940"/>
    </row>
    <row r="185" s="857" customFormat="1" ht="31" customHeight="1" spans="1:107">
      <c r="A185" s="923">
        <v>45988</v>
      </c>
      <c r="B185" s="924" t="s">
        <v>578</v>
      </c>
      <c r="C185" s="925" t="s">
        <v>125</v>
      </c>
      <c r="D185" s="857">
        <v>4500187243</v>
      </c>
      <c r="E185" s="1424" t="s">
        <v>2249</v>
      </c>
      <c r="F185" s="857" t="s">
        <v>2250</v>
      </c>
      <c r="G185" s="927" t="s">
        <v>1584</v>
      </c>
      <c r="H185" s="928" t="s">
        <v>1585</v>
      </c>
      <c r="I185" s="928">
        <v>960</v>
      </c>
      <c r="J185" s="928">
        <v>0</v>
      </c>
      <c r="K185" s="928">
        <v>16</v>
      </c>
      <c r="L185" s="929">
        <f t="shared" si="52"/>
        <v>60</v>
      </c>
      <c r="M185" s="930">
        <v>46051</v>
      </c>
      <c r="N185" s="930">
        <v>46048</v>
      </c>
      <c r="O185" s="926" t="s">
        <v>2246</v>
      </c>
      <c r="P185" s="931" t="s">
        <v>86</v>
      </c>
      <c r="Q185" s="926"/>
      <c r="R185" s="932" t="s">
        <v>296</v>
      </c>
      <c r="S185" s="932" t="s">
        <v>98</v>
      </c>
      <c r="T185" s="932" t="s">
        <v>1791</v>
      </c>
      <c r="U185" s="932"/>
      <c r="V185" s="933" t="s">
        <v>1626</v>
      </c>
      <c r="W185" s="934" t="s">
        <v>247</v>
      </c>
      <c r="X185" s="935">
        <v>1.2079</v>
      </c>
      <c r="Y185" s="936">
        <f t="shared" si="59"/>
        <v>1159.584</v>
      </c>
      <c r="Z185" s="936"/>
      <c r="AA185" s="926"/>
      <c r="AB185" s="1004" t="s">
        <v>1584</v>
      </c>
      <c r="AC185" s="928" t="s">
        <v>93</v>
      </c>
      <c r="AD185" s="928" t="s">
        <v>94</v>
      </c>
      <c r="AE185" s="926"/>
      <c r="AF185" s="946">
        <v>960</v>
      </c>
      <c r="AG185" s="946">
        <f t="shared" si="54"/>
        <v>0</v>
      </c>
      <c r="AH185" s="947"/>
      <c r="AI185" s="926" t="s">
        <v>95</v>
      </c>
      <c r="AJ185" s="926"/>
      <c r="AK185" s="926">
        <f t="shared" si="61"/>
        <v>960</v>
      </c>
      <c r="AL185" s="858">
        <f>I185</f>
        <v>960</v>
      </c>
      <c r="AM185" s="858"/>
      <c r="AN185" s="858"/>
      <c r="AO185" s="858">
        <f t="shared" si="62"/>
        <v>960</v>
      </c>
      <c r="AY185" s="857">
        <f>I185/16</f>
        <v>60</v>
      </c>
      <c r="BE185" s="925"/>
      <c r="BF185" s="925"/>
      <c r="BG185" s="925"/>
      <c r="BH185" s="925"/>
      <c r="BI185" s="925"/>
      <c r="BN185" s="939"/>
      <c r="BO185" s="939"/>
      <c r="BP185" s="939"/>
      <c r="BQ185" s="939"/>
      <c r="BR185" s="939"/>
      <c r="BS185" s="939"/>
      <c r="BV185" s="857">
        <f t="shared" si="40"/>
        <v>60</v>
      </c>
      <c r="BW185" s="857">
        <f t="shared" si="41"/>
        <v>0</v>
      </c>
      <c r="BX185" s="308">
        <f t="shared" si="42"/>
        <v>861836</v>
      </c>
      <c r="BY185" s="939"/>
      <c r="BZ185" s="939"/>
      <c r="CA185" s="939"/>
      <c r="CB185" s="939">
        <f t="shared" si="60"/>
        <v>438164</v>
      </c>
      <c r="CC185" s="939"/>
      <c r="CH185" s="940"/>
      <c r="CI185" s="940"/>
      <c r="CJ185" s="940"/>
      <c r="CK185" s="940"/>
      <c r="CL185" s="940"/>
      <c r="CM185" s="940"/>
      <c r="CN185" s="940"/>
      <c r="CO185" s="940"/>
      <c r="CP185" s="940"/>
      <c r="CQ185" s="940"/>
      <c r="CR185" s="940"/>
      <c r="CS185" s="940"/>
      <c r="CT185" s="940"/>
      <c r="CU185" s="940"/>
      <c r="CV185" s="940"/>
      <c r="CW185" s="940"/>
      <c r="CX185" s="940"/>
      <c r="CY185" s="940"/>
      <c r="CZ185" s="940"/>
      <c r="DA185" s="940"/>
      <c r="DB185" s="940"/>
      <c r="DC185" s="940"/>
    </row>
    <row r="186" s="857" customFormat="1" ht="31" customHeight="1" spans="1:107">
      <c r="A186" s="923">
        <v>45993</v>
      </c>
      <c r="B186" s="924" t="s">
        <v>687</v>
      </c>
      <c r="C186" s="925" t="s">
        <v>688</v>
      </c>
      <c r="D186" s="857">
        <v>4500187640</v>
      </c>
      <c r="E186" s="926" t="s">
        <v>2251</v>
      </c>
      <c r="F186" s="857" t="s">
        <v>2252</v>
      </c>
      <c r="G186" s="927" t="s">
        <v>1523</v>
      </c>
      <c r="H186" s="928" t="s">
        <v>1524</v>
      </c>
      <c r="I186" s="928">
        <v>2500</v>
      </c>
      <c r="J186" s="928">
        <v>0</v>
      </c>
      <c r="K186" s="928">
        <v>50</v>
      </c>
      <c r="L186" s="929">
        <f t="shared" si="52"/>
        <v>50</v>
      </c>
      <c r="M186" s="930">
        <v>46042</v>
      </c>
      <c r="N186" s="930">
        <v>46038</v>
      </c>
      <c r="O186" s="926"/>
      <c r="P186" s="931" t="s">
        <v>86</v>
      </c>
      <c r="Q186" s="926"/>
      <c r="R186" s="932">
        <v>45999</v>
      </c>
      <c r="S186" s="932" t="s">
        <v>98</v>
      </c>
      <c r="T186" s="932" t="s">
        <v>2008</v>
      </c>
      <c r="U186" s="932"/>
      <c r="V186" s="933" t="s">
        <v>2253</v>
      </c>
      <c r="W186" s="934" t="s">
        <v>225</v>
      </c>
      <c r="X186" s="935">
        <v>1.9324</v>
      </c>
      <c r="Y186" s="936">
        <f t="shared" si="59"/>
        <v>4831</v>
      </c>
      <c r="Z186" s="936"/>
      <c r="AA186" s="926"/>
      <c r="AB186" s="1004" t="s">
        <v>1727</v>
      </c>
      <c r="AC186" s="928" t="s">
        <v>93</v>
      </c>
      <c r="AD186" s="928" t="s">
        <v>94</v>
      </c>
      <c r="AE186" s="926"/>
      <c r="AF186" s="946">
        <v>2500</v>
      </c>
      <c r="AG186" s="946">
        <f t="shared" si="54"/>
        <v>0</v>
      </c>
      <c r="AH186" s="947"/>
      <c r="AI186" s="926" t="s">
        <v>95</v>
      </c>
      <c r="AJ186" s="926"/>
      <c r="AK186" s="926">
        <f t="shared" si="61"/>
        <v>2500</v>
      </c>
      <c r="AL186" s="858"/>
      <c r="AM186" s="858"/>
      <c r="AN186" s="858">
        <f>I186</f>
        <v>2500</v>
      </c>
      <c r="AO186" s="858">
        <f t="shared" si="62"/>
        <v>2500</v>
      </c>
      <c r="AU186" s="857">
        <f>L186*2</f>
        <v>100</v>
      </c>
      <c r="BE186" s="925"/>
      <c r="BF186" s="925"/>
      <c r="BG186" s="925"/>
      <c r="BH186" s="925"/>
      <c r="BI186" s="925"/>
      <c r="BN186" s="939"/>
      <c r="BO186" s="939"/>
      <c r="BP186" s="939"/>
      <c r="BQ186" s="939"/>
      <c r="BR186" s="939"/>
      <c r="BS186" s="939"/>
      <c r="BV186" s="857">
        <f t="shared" si="40"/>
        <v>100</v>
      </c>
      <c r="BW186" s="857">
        <f t="shared" si="41"/>
        <v>0</v>
      </c>
      <c r="BX186" s="308">
        <f t="shared" si="42"/>
        <v>864336</v>
      </c>
      <c r="BY186" s="939"/>
      <c r="BZ186" s="939"/>
      <c r="CA186" s="939"/>
      <c r="CB186" s="939">
        <f t="shared" si="60"/>
        <v>435664</v>
      </c>
      <c r="CC186" s="939"/>
      <c r="CH186" s="940"/>
      <c r="CI186" s="940"/>
      <c r="CJ186" s="940"/>
      <c r="CK186" s="940"/>
      <c r="CL186" s="940"/>
      <c r="CM186" s="940"/>
      <c r="CN186" s="940"/>
      <c r="CO186" s="940"/>
      <c r="CP186" s="940"/>
      <c r="CQ186" s="940"/>
      <c r="CR186" s="940"/>
      <c r="CS186" s="940"/>
      <c r="CT186" s="940"/>
      <c r="CU186" s="940"/>
      <c r="CV186" s="940"/>
      <c r="CW186" s="940"/>
      <c r="CX186" s="940"/>
      <c r="CY186" s="940"/>
      <c r="CZ186" s="940"/>
      <c r="DA186" s="940"/>
      <c r="DB186" s="940"/>
      <c r="DC186" s="940"/>
    </row>
    <row r="187" s="857" customFormat="1" ht="31" customHeight="1" spans="1:107">
      <c r="A187" s="923">
        <v>46007</v>
      </c>
      <c r="B187" s="924" t="s">
        <v>1909</v>
      </c>
      <c r="C187" s="925" t="s">
        <v>125</v>
      </c>
      <c r="D187" s="857">
        <v>4500189179</v>
      </c>
      <c r="E187" s="1424" t="s">
        <v>2254</v>
      </c>
      <c r="F187" s="857" t="s">
        <v>2255</v>
      </c>
      <c r="G187" s="927" t="s">
        <v>1537</v>
      </c>
      <c r="H187" s="928" t="s">
        <v>1538</v>
      </c>
      <c r="I187" s="928">
        <v>1859</v>
      </c>
      <c r="J187" s="928">
        <v>0</v>
      </c>
      <c r="K187" s="928">
        <v>13</v>
      </c>
      <c r="L187" s="929">
        <f t="shared" si="52"/>
        <v>143</v>
      </c>
      <c r="M187" s="930">
        <v>46048</v>
      </c>
      <c r="N187" s="930">
        <v>46044</v>
      </c>
      <c r="O187" s="926"/>
      <c r="P187" s="931" t="s">
        <v>86</v>
      </c>
      <c r="Q187" s="926"/>
      <c r="R187" s="932">
        <v>46007</v>
      </c>
      <c r="S187" s="932" t="s">
        <v>98</v>
      </c>
      <c r="T187" s="932" t="s">
        <v>98</v>
      </c>
      <c r="U187" s="932"/>
      <c r="V187" s="933" t="s">
        <v>2256</v>
      </c>
      <c r="W187" s="934" t="s">
        <v>1766</v>
      </c>
      <c r="X187" s="935">
        <v>1.1025</v>
      </c>
      <c r="Y187" s="936">
        <f t="shared" si="59"/>
        <v>2049.5475</v>
      </c>
      <c r="Z187" s="936"/>
      <c r="AA187" s="926"/>
      <c r="AB187" s="1004" t="s">
        <v>1537</v>
      </c>
      <c r="AC187" s="928" t="s">
        <v>93</v>
      </c>
      <c r="AD187" s="928" t="s">
        <v>94</v>
      </c>
      <c r="AE187" s="926"/>
      <c r="AF187" s="946">
        <v>1859</v>
      </c>
      <c r="AG187" s="946">
        <f t="shared" si="54"/>
        <v>0</v>
      </c>
      <c r="AH187" s="947"/>
      <c r="AI187" s="926" t="s">
        <v>98</v>
      </c>
      <c r="AJ187" s="926"/>
      <c r="AK187" s="926">
        <f t="shared" si="61"/>
        <v>1859</v>
      </c>
      <c r="AL187" s="858">
        <f>I187</f>
        <v>1859</v>
      </c>
      <c r="AM187" s="858"/>
      <c r="AN187" s="858"/>
      <c r="AO187" s="858">
        <f t="shared" si="62"/>
        <v>1859</v>
      </c>
      <c r="AR187" s="857">
        <f>I187/13</f>
        <v>143</v>
      </c>
      <c r="BE187" s="925"/>
      <c r="BF187" s="925"/>
      <c r="BG187" s="925"/>
      <c r="BH187" s="925"/>
      <c r="BI187" s="925"/>
      <c r="BN187" s="939"/>
      <c r="BO187" s="939"/>
      <c r="BP187" s="939"/>
      <c r="BQ187" s="939"/>
      <c r="BR187" s="939"/>
      <c r="BS187" s="939"/>
      <c r="BV187" s="857">
        <f t="shared" si="40"/>
        <v>0</v>
      </c>
      <c r="BW187" s="857">
        <f t="shared" si="41"/>
        <v>0</v>
      </c>
      <c r="BX187" s="308">
        <f t="shared" si="42"/>
        <v>866195</v>
      </c>
      <c r="BY187" s="939"/>
      <c r="BZ187" s="939"/>
      <c r="CA187" s="939"/>
      <c r="CB187" s="939">
        <f t="shared" ref="CB187:CB218" si="63">$BZ$1+$CA$1+$CB$1-BX187</f>
        <v>433805</v>
      </c>
      <c r="CC187" s="939"/>
      <c r="CH187" s="940"/>
      <c r="CI187" s="940"/>
      <c r="CJ187" s="940"/>
      <c r="CK187" s="940"/>
      <c r="CL187" s="940"/>
      <c r="CM187" s="940"/>
      <c r="CN187" s="940"/>
      <c r="CO187" s="940"/>
      <c r="CP187" s="940"/>
      <c r="CQ187" s="940"/>
      <c r="CR187" s="940"/>
      <c r="CS187" s="940"/>
      <c r="CT187" s="940"/>
      <c r="CU187" s="940"/>
      <c r="CV187" s="940"/>
      <c r="CW187" s="940"/>
      <c r="CX187" s="940"/>
      <c r="CY187" s="940"/>
      <c r="CZ187" s="940"/>
      <c r="DA187" s="940"/>
      <c r="DB187" s="940"/>
      <c r="DC187" s="940"/>
    </row>
    <row r="188" s="857" customFormat="1" ht="31" customHeight="1" spans="1:107">
      <c r="A188" s="923">
        <v>46008</v>
      </c>
      <c r="B188" s="924" t="s">
        <v>2257</v>
      </c>
      <c r="C188" s="925" t="s">
        <v>110</v>
      </c>
      <c r="D188" s="857">
        <v>4500189254</v>
      </c>
      <c r="E188" s="926" t="s">
        <v>2258</v>
      </c>
      <c r="F188" s="857" t="s">
        <v>2259</v>
      </c>
      <c r="G188" s="927" t="s">
        <v>1532</v>
      </c>
      <c r="H188" s="928" t="s">
        <v>1524</v>
      </c>
      <c r="I188" s="928">
        <v>2080</v>
      </c>
      <c r="J188" s="928">
        <v>0</v>
      </c>
      <c r="K188" s="928">
        <v>52</v>
      </c>
      <c r="L188" s="929">
        <f t="shared" si="52"/>
        <v>40</v>
      </c>
      <c r="M188" s="930">
        <v>46048</v>
      </c>
      <c r="N188" s="930">
        <v>46044</v>
      </c>
      <c r="O188" s="926"/>
      <c r="P188" s="931" t="s">
        <v>86</v>
      </c>
      <c r="Q188" s="926"/>
      <c r="R188" s="932">
        <v>46016</v>
      </c>
      <c r="S188" s="932" t="s">
        <v>98</v>
      </c>
      <c r="T188" s="932" t="s">
        <v>2260</v>
      </c>
      <c r="U188" s="932"/>
      <c r="V188" s="933" t="s">
        <v>2261</v>
      </c>
      <c r="W188" s="934" t="s">
        <v>1856</v>
      </c>
      <c r="X188" s="935">
        <v>1.839</v>
      </c>
      <c r="Y188" s="936">
        <f t="shared" si="59"/>
        <v>3825.12</v>
      </c>
      <c r="Z188" s="936"/>
      <c r="AA188" s="926"/>
      <c r="AB188" s="1004" t="s">
        <v>2174</v>
      </c>
      <c r="AC188" s="928" t="s">
        <v>93</v>
      </c>
      <c r="AD188" s="928" t="s">
        <v>94</v>
      </c>
      <c r="AE188" s="926"/>
      <c r="AF188" s="946">
        <v>2080</v>
      </c>
      <c r="AG188" s="946">
        <f t="shared" si="54"/>
        <v>0</v>
      </c>
      <c r="AH188" s="947"/>
      <c r="AI188" s="926" t="s">
        <v>95</v>
      </c>
      <c r="AJ188" s="926"/>
      <c r="AK188" s="926">
        <f t="shared" si="61"/>
        <v>2080</v>
      </c>
      <c r="AL188" s="858"/>
      <c r="AM188" s="858"/>
      <c r="AN188" s="858">
        <f>I188</f>
        <v>2080</v>
      </c>
      <c r="AO188" s="858">
        <f t="shared" si="62"/>
        <v>2080</v>
      </c>
      <c r="AS188" s="857">
        <f>I188/13</f>
        <v>160</v>
      </c>
      <c r="BE188" s="925"/>
      <c r="BF188" s="925"/>
      <c r="BG188" s="925"/>
      <c r="BH188" s="925"/>
      <c r="BI188" s="925"/>
      <c r="BN188" s="939"/>
      <c r="BO188" s="939"/>
      <c r="BP188" s="939"/>
      <c r="BQ188" s="939"/>
      <c r="BR188" s="939"/>
      <c r="BS188" s="939"/>
      <c r="BV188" s="857">
        <f t="shared" si="40"/>
        <v>0</v>
      </c>
      <c r="BW188" s="857">
        <f t="shared" si="41"/>
        <v>0</v>
      </c>
      <c r="BX188" s="308">
        <f t="shared" si="42"/>
        <v>868275</v>
      </c>
      <c r="BY188" s="939"/>
      <c r="BZ188" s="939"/>
      <c r="CA188" s="939"/>
      <c r="CB188" s="939">
        <f t="shared" si="63"/>
        <v>431725</v>
      </c>
      <c r="CC188" s="939"/>
      <c r="CH188" s="940"/>
      <c r="CI188" s="940"/>
      <c r="CJ188" s="940"/>
      <c r="CK188" s="940"/>
      <c r="CL188" s="940"/>
      <c r="CM188" s="940"/>
      <c r="CN188" s="940"/>
      <c r="CO188" s="940"/>
      <c r="CP188" s="940"/>
      <c r="CQ188" s="940"/>
      <c r="CR188" s="940"/>
      <c r="CS188" s="940"/>
      <c r="CT188" s="940"/>
      <c r="CU188" s="940"/>
      <c r="CV188" s="940"/>
      <c r="CW188" s="940"/>
      <c r="CX188" s="940"/>
      <c r="CY188" s="940"/>
      <c r="CZ188" s="940"/>
      <c r="DA188" s="940"/>
      <c r="DB188" s="940"/>
      <c r="DC188" s="940"/>
    </row>
    <row r="189" s="857" customFormat="1" ht="31" customHeight="1" spans="1:107">
      <c r="A189" s="923">
        <v>46003</v>
      </c>
      <c r="B189" s="924" t="s">
        <v>2262</v>
      </c>
      <c r="C189" s="925" t="s">
        <v>228</v>
      </c>
      <c r="D189" s="857">
        <v>4500188881</v>
      </c>
      <c r="E189" s="926"/>
      <c r="F189" s="857" t="s">
        <v>2263</v>
      </c>
      <c r="G189" s="927" t="s">
        <v>1532</v>
      </c>
      <c r="H189" s="928" t="s">
        <v>1524</v>
      </c>
      <c r="I189" s="928">
        <v>312</v>
      </c>
      <c r="J189" s="928">
        <v>0</v>
      </c>
      <c r="K189" s="928">
        <v>52</v>
      </c>
      <c r="L189" s="929">
        <f t="shared" si="52"/>
        <v>6</v>
      </c>
      <c r="M189" s="930">
        <v>46051</v>
      </c>
      <c r="N189" s="930">
        <v>46048</v>
      </c>
      <c r="O189" s="926"/>
      <c r="P189" s="931" t="s">
        <v>86</v>
      </c>
      <c r="Q189" s="926"/>
      <c r="R189" s="932">
        <v>46387</v>
      </c>
      <c r="S189" s="932" t="s">
        <v>98</v>
      </c>
      <c r="T189" s="932" t="s">
        <v>2264</v>
      </c>
      <c r="U189" s="932"/>
      <c r="V189" s="933" t="s">
        <v>2265</v>
      </c>
      <c r="W189" s="934" t="s">
        <v>225</v>
      </c>
      <c r="X189" s="935">
        <v>1.839</v>
      </c>
      <c r="Y189" s="936">
        <f t="shared" si="59"/>
        <v>573.768</v>
      </c>
      <c r="Z189" s="936"/>
      <c r="AA189" s="926"/>
      <c r="AB189" s="1004" t="s">
        <v>2174</v>
      </c>
      <c r="AC189" s="928" t="s">
        <v>93</v>
      </c>
      <c r="AD189" s="928" t="s">
        <v>94</v>
      </c>
      <c r="AE189" s="926"/>
      <c r="AF189" s="946">
        <v>312</v>
      </c>
      <c r="AG189" s="946">
        <f t="shared" si="54"/>
        <v>0</v>
      </c>
      <c r="AH189" s="947"/>
      <c r="AI189" s="926" t="s">
        <v>95</v>
      </c>
      <c r="AJ189" s="926"/>
      <c r="AK189" s="926">
        <f t="shared" si="61"/>
        <v>312</v>
      </c>
      <c r="AL189" s="858"/>
      <c r="AM189" s="858"/>
      <c r="AN189" s="858">
        <f t="shared" ref="AN189:AN194" si="64">I189</f>
        <v>312</v>
      </c>
      <c r="AO189" s="858">
        <f t="shared" si="62"/>
        <v>312</v>
      </c>
      <c r="AS189" s="857">
        <f>I189/13</f>
        <v>24</v>
      </c>
      <c r="BE189" s="925"/>
      <c r="BF189" s="925"/>
      <c r="BG189" s="925"/>
      <c r="BH189" s="925"/>
      <c r="BI189" s="925"/>
      <c r="BN189" s="939"/>
      <c r="BO189" s="939"/>
      <c r="BP189" s="939"/>
      <c r="BQ189" s="939"/>
      <c r="BR189" s="939"/>
      <c r="BS189" s="939"/>
      <c r="BV189" s="857">
        <f t="shared" ref="BV187:BV197" si="65">AT189+AU189+AY189</f>
        <v>0</v>
      </c>
      <c r="BW189" s="857">
        <f t="shared" ref="BW187:BW197" si="66">BF189+BG189+BI189</f>
        <v>0</v>
      </c>
      <c r="BX189" s="308">
        <f t="shared" si="42"/>
        <v>868587</v>
      </c>
      <c r="BY189" s="939"/>
      <c r="BZ189" s="939"/>
      <c r="CA189" s="939"/>
      <c r="CB189" s="939">
        <f t="shared" si="63"/>
        <v>431413</v>
      </c>
      <c r="CC189" s="939"/>
      <c r="CH189" s="940"/>
      <c r="CI189" s="940"/>
      <c r="CJ189" s="940"/>
      <c r="CK189" s="940"/>
      <c r="CL189" s="940"/>
      <c r="CM189" s="940"/>
      <c r="CN189" s="940"/>
      <c r="CO189" s="940"/>
      <c r="CP189" s="940"/>
      <c r="CQ189" s="940"/>
      <c r="CR189" s="940"/>
      <c r="CS189" s="940"/>
      <c r="CT189" s="940"/>
      <c r="CU189" s="940"/>
      <c r="CV189" s="940"/>
      <c r="CW189" s="940"/>
      <c r="CX189" s="940"/>
      <c r="CY189" s="940"/>
      <c r="CZ189" s="940"/>
      <c r="DA189" s="940"/>
      <c r="DB189" s="940"/>
      <c r="DC189" s="940"/>
    </row>
    <row r="190" s="857" customFormat="1" ht="31" customHeight="1" spans="1:107">
      <c r="A190" s="923">
        <v>46021</v>
      </c>
      <c r="B190" s="924" t="s">
        <v>733</v>
      </c>
      <c r="C190" s="925" t="s">
        <v>720</v>
      </c>
      <c r="D190" s="857">
        <v>4500190234</v>
      </c>
      <c r="E190" s="926"/>
      <c r="F190" s="857" t="s">
        <v>2266</v>
      </c>
      <c r="G190" s="927" t="s">
        <v>1523</v>
      </c>
      <c r="H190" s="928" t="s">
        <v>1524</v>
      </c>
      <c r="I190" s="928">
        <v>750</v>
      </c>
      <c r="J190" s="928">
        <v>0</v>
      </c>
      <c r="K190" s="928">
        <v>50</v>
      </c>
      <c r="L190" s="929">
        <f t="shared" si="52"/>
        <v>15</v>
      </c>
      <c r="M190" s="930">
        <v>46052</v>
      </c>
      <c r="N190" s="930">
        <v>46048</v>
      </c>
      <c r="O190" s="926"/>
      <c r="P190" s="931" t="s">
        <v>86</v>
      </c>
      <c r="Q190" s="926"/>
      <c r="R190" s="932">
        <v>46021</v>
      </c>
      <c r="S190" s="932" t="s">
        <v>98</v>
      </c>
      <c r="T190" s="932" t="s">
        <v>2267</v>
      </c>
      <c r="U190" s="932"/>
      <c r="V190" s="933" t="s">
        <v>2268</v>
      </c>
      <c r="W190" s="934" t="s">
        <v>723</v>
      </c>
      <c r="X190" s="935">
        <v>1.9154</v>
      </c>
      <c r="Y190" s="936">
        <f t="shared" si="59"/>
        <v>1436.55</v>
      </c>
      <c r="Z190" s="936"/>
      <c r="AA190" s="926"/>
      <c r="AB190" s="1004" t="s">
        <v>1727</v>
      </c>
      <c r="AC190" s="928" t="s">
        <v>93</v>
      </c>
      <c r="AD190" s="928" t="s">
        <v>94</v>
      </c>
      <c r="AE190" s="926"/>
      <c r="AF190" s="946">
        <v>750</v>
      </c>
      <c r="AG190" s="946">
        <f t="shared" si="54"/>
        <v>0</v>
      </c>
      <c r="AH190" s="947"/>
      <c r="AI190" s="926" t="s">
        <v>95</v>
      </c>
      <c r="AJ190" s="926"/>
      <c r="AK190" s="926">
        <f t="shared" si="61"/>
        <v>750</v>
      </c>
      <c r="AL190" s="858"/>
      <c r="AM190" s="858"/>
      <c r="AN190" s="858">
        <f t="shared" si="64"/>
        <v>750</v>
      </c>
      <c r="AO190" s="858">
        <f t="shared" si="62"/>
        <v>750</v>
      </c>
      <c r="AU190" s="857">
        <f>L190*2</f>
        <v>30</v>
      </c>
      <c r="BE190" s="925"/>
      <c r="BF190" s="925"/>
      <c r="BG190" s="925"/>
      <c r="BH190" s="925"/>
      <c r="BI190" s="925"/>
      <c r="BN190" s="939"/>
      <c r="BO190" s="939"/>
      <c r="BP190" s="939"/>
      <c r="BQ190" s="939"/>
      <c r="BR190" s="939"/>
      <c r="BS190" s="939"/>
      <c r="BV190" s="857">
        <f t="shared" si="65"/>
        <v>30</v>
      </c>
      <c r="BW190" s="857">
        <f t="shared" si="66"/>
        <v>0</v>
      </c>
      <c r="BX190" s="308">
        <f t="shared" si="42"/>
        <v>869337</v>
      </c>
      <c r="BY190" s="939"/>
      <c r="BZ190" s="939"/>
      <c r="CA190" s="939"/>
      <c r="CB190" s="939">
        <f t="shared" si="63"/>
        <v>430663</v>
      </c>
      <c r="CC190" s="939"/>
      <c r="CH190" s="940"/>
      <c r="CI190" s="940"/>
      <c r="CJ190" s="940"/>
      <c r="CK190" s="940"/>
      <c r="CL190" s="940"/>
      <c r="CM190" s="940"/>
      <c r="CN190" s="940"/>
      <c r="CO190" s="940"/>
      <c r="CP190" s="940"/>
      <c r="CQ190" s="940"/>
      <c r="CR190" s="940"/>
      <c r="CS190" s="940"/>
      <c r="CT190" s="940"/>
      <c r="CU190" s="940"/>
      <c r="CV190" s="940"/>
      <c r="CW190" s="940"/>
      <c r="CX190" s="940"/>
      <c r="CY190" s="940"/>
      <c r="CZ190" s="940"/>
      <c r="DA190" s="940"/>
      <c r="DB190" s="940"/>
      <c r="DC190" s="940"/>
    </row>
    <row r="191" s="857" customFormat="1" ht="31" customHeight="1" spans="1:107">
      <c r="A191" s="923">
        <v>46014</v>
      </c>
      <c r="B191" s="924" t="s">
        <v>733</v>
      </c>
      <c r="C191" s="925" t="s">
        <v>720</v>
      </c>
      <c r="D191" s="857">
        <v>4500189691</v>
      </c>
      <c r="E191" s="926"/>
      <c r="F191" s="857" t="s">
        <v>2269</v>
      </c>
      <c r="G191" s="927" t="s">
        <v>1523</v>
      </c>
      <c r="H191" s="928" t="s">
        <v>1524</v>
      </c>
      <c r="I191" s="928">
        <v>600</v>
      </c>
      <c r="J191" s="928">
        <v>0</v>
      </c>
      <c r="K191" s="928">
        <v>50</v>
      </c>
      <c r="L191" s="929">
        <f t="shared" si="52"/>
        <v>12</v>
      </c>
      <c r="M191" s="930">
        <v>46052</v>
      </c>
      <c r="N191" s="930">
        <v>46048</v>
      </c>
      <c r="O191" s="926"/>
      <c r="P191" s="931" t="s">
        <v>86</v>
      </c>
      <c r="Q191" s="926"/>
      <c r="R191" s="932">
        <v>46021</v>
      </c>
      <c r="S191" s="932" t="s">
        <v>98</v>
      </c>
      <c r="T191" s="932" t="s">
        <v>1201</v>
      </c>
      <c r="U191" s="932"/>
      <c r="V191" s="933" t="s">
        <v>2270</v>
      </c>
      <c r="W191" s="934" t="s">
        <v>723</v>
      </c>
      <c r="X191" s="935">
        <v>1.9266</v>
      </c>
      <c r="Y191" s="936">
        <f t="shared" si="59"/>
        <v>1155.96</v>
      </c>
      <c r="Z191" s="936"/>
      <c r="AA191" s="926"/>
      <c r="AB191" s="1004" t="s">
        <v>1727</v>
      </c>
      <c r="AC191" s="928" t="s">
        <v>93</v>
      </c>
      <c r="AD191" s="928" t="s">
        <v>94</v>
      </c>
      <c r="AE191" s="926"/>
      <c r="AF191" s="946">
        <v>600</v>
      </c>
      <c r="AG191" s="946">
        <f t="shared" si="54"/>
        <v>0</v>
      </c>
      <c r="AH191" s="947"/>
      <c r="AI191" s="926" t="s">
        <v>95</v>
      </c>
      <c r="AJ191" s="926"/>
      <c r="AK191" s="926">
        <f t="shared" si="61"/>
        <v>600</v>
      </c>
      <c r="AL191" s="858"/>
      <c r="AM191" s="858"/>
      <c r="AN191" s="858">
        <f t="shared" si="64"/>
        <v>600</v>
      </c>
      <c r="AO191" s="858">
        <f t="shared" si="62"/>
        <v>600</v>
      </c>
      <c r="AU191" s="857">
        <f>L191*2</f>
        <v>24</v>
      </c>
      <c r="BE191" s="925"/>
      <c r="BF191" s="925"/>
      <c r="BG191" s="925"/>
      <c r="BH191" s="925"/>
      <c r="BI191" s="925"/>
      <c r="BN191" s="939"/>
      <c r="BO191" s="939"/>
      <c r="BP191" s="939"/>
      <c r="BQ191" s="939"/>
      <c r="BR191" s="939"/>
      <c r="BS191" s="939"/>
      <c r="BV191" s="857">
        <f t="shared" si="65"/>
        <v>24</v>
      </c>
      <c r="BW191" s="857">
        <f t="shared" si="66"/>
        <v>0</v>
      </c>
      <c r="BX191" s="308">
        <f t="shared" si="42"/>
        <v>869937</v>
      </c>
      <c r="BY191" s="939"/>
      <c r="BZ191" s="939"/>
      <c r="CA191" s="939"/>
      <c r="CB191" s="939">
        <f t="shared" si="63"/>
        <v>430063</v>
      </c>
      <c r="CC191" s="939"/>
      <c r="CH191" s="940"/>
      <c r="CI191" s="940"/>
      <c r="CJ191" s="940"/>
      <c r="CK191" s="940"/>
      <c r="CL191" s="940"/>
      <c r="CM191" s="940"/>
      <c r="CN191" s="940"/>
      <c r="CO191" s="940"/>
      <c r="CP191" s="940"/>
      <c r="CQ191" s="940"/>
      <c r="CR191" s="940"/>
      <c r="CS191" s="940"/>
      <c r="CT191" s="940"/>
      <c r="CU191" s="940"/>
      <c r="CV191" s="940"/>
      <c r="CW191" s="940"/>
      <c r="CX191" s="940"/>
      <c r="CY191" s="940"/>
      <c r="CZ191" s="940"/>
      <c r="DA191" s="940"/>
      <c r="DB191" s="940"/>
      <c r="DC191" s="940"/>
    </row>
    <row r="192" s="857" customFormat="1" ht="31" customHeight="1" spans="1:107">
      <c r="A192" s="923">
        <v>46008</v>
      </c>
      <c r="B192" s="924" t="s">
        <v>733</v>
      </c>
      <c r="C192" s="925" t="s">
        <v>720</v>
      </c>
      <c r="D192" s="857">
        <v>4500189203</v>
      </c>
      <c r="E192" s="926"/>
      <c r="F192" s="857" t="s">
        <v>2271</v>
      </c>
      <c r="G192" s="927" t="s">
        <v>1523</v>
      </c>
      <c r="H192" s="928" t="s">
        <v>1524</v>
      </c>
      <c r="I192" s="928">
        <v>600</v>
      </c>
      <c r="J192" s="928">
        <v>0</v>
      </c>
      <c r="K192" s="928">
        <v>50</v>
      </c>
      <c r="L192" s="929">
        <f t="shared" si="52"/>
        <v>12</v>
      </c>
      <c r="M192" s="930">
        <v>46052</v>
      </c>
      <c r="N192" s="930">
        <v>46048</v>
      </c>
      <c r="O192" s="926"/>
      <c r="P192" s="931" t="s">
        <v>86</v>
      </c>
      <c r="Q192" s="926"/>
      <c r="R192" s="932">
        <v>46021</v>
      </c>
      <c r="S192" s="932" t="s">
        <v>98</v>
      </c>
      <c r="T192" s="932" t="s">
        <v>1201</v>
      </c>
      <c r="U192" s="932"/>
      <c r="V192" s="933" t="s">
        <v>2272</v>
      </c>
      <c r="W192" s="934" t="s">
        <v>723</v>
      </c>
      <c r="X192" s="935">
        <v>1.9154</v>
      </c>
      <c r="Y192" s="936">
        <f t="shared" si="59"/>
        <v>1149.24</v>
      </c>
      <c r="Z192" s="936"/>
      <c r="AA192" s="926"/>
      <c r="AB192" s="1004" t="s">
        <v>1727</v>
      </c>
      <c r="AC192" s="928" t="s">
        <v>93</v>
      </c>
      <c r="AD192" s="928" t="s">
        <v>94</v>
      </c>
      <c r="AE192" s="926"/>
      <c r="AF192" s="946">
        <v>600</v>
      </c>
      <c r="AG192" s="946">
        <f t="shared" si="54"/>
        <v>0</v>
      </c>
      <c r="AH192" s="947"/>
      <c r="AI192" s="926" t="s">
        <v>95</v>
      </c>
      <c r="AJ192" s="926"/>
      <c r="AK192" s="926">
        <f t="shared" si="61"/>
        <v>600</v>
      </c>
      <c r="AL192" s="858"/>
      <c r="AM192" s="858"/>
      <c r="AN192" s="858">
        <f t="shared" si="64"/>
        <v>600</v>
      </c>
      <c r="AO192" s="858">
        <f t="shared" si="62"/>
        <v>600</v>
      </c>
      <c r="AU192" s="857">
        <f>L192*2</f>
        <v>24</v>
      </c>
      <c r="BE192" s="925"/>
      <c r="BF192" s="925"/>
      <c r="BG192" s="925"/>
      <c r="BH192" s="925"/>
      <c r="BI192" s="925"/>
      <c r="BN192" s="939"/>
      <c r="BO192" s="939"/>
      <c r="BP192" s="939"/>
      <c r="BQ192" s="939"/>
      <c r="BR192" s="939"/>
      <c r="BS192" s="939"/>
      <c r="BV192" s="857">
        <f t="shared" si="65"/>
        <v>24</v>
      </c>
      <c r="BW192" s="857">
        <f t="shared" si="66"/>
        <v>0</v>
      </c>
      <c r="BX192" s="308">
        <f t="shared" si="42"/>
        <v>870537</v>
      </c>
      <c r="BY192" s="939"/>
      <c r="BZ192" s="939"/>
      <c r="CA192" s="939"/>
      <c r="CB192" s="939">
        <f t="shared" si="63"/>
        <v>429463</v>
      </c>
      <c r="CC192" s="939"/>
      <c r="CH192" s="940"/>
      <c r="CI192" s="940"/>
      <c r="CJ192" s="940"/>
      <c r="CK192" s="940"/>
      <c r="CL192" s="940"/>
      <c r="CM192" s="940"/>
      <c r="CN192" s="940"/>
      <c r="CO192" s="940"/>
      <c r="CP192" s="940"/>
      <c r="CQ192" s="940"/>
      <c r="CR192" s="940"/>
      <c r="CS192" s="940"/>
      <c r="CT192" s="940"/>
      <c r="CU192" s="940"/>
      <c r="CV192" s="940"/>
      <c r="CW192" s="940"/>
      <c r="CX192" s="940"/>
      <c r="CY192" s="940"/>
      <c r="CZ192" s="940"/>
      <c r="DA192" s="940"/>
      <c r="DB192" s="940"/>
      <c r="DC192" s="940"/>
    </row>
    <row r="193" s="857" customFormat="1" ht="31" customHeight="1" spans="1:107">
      <c r="A193" s="923">
        <v>45999</v>
      </c>
      <c r="B193" s="924" t="s">
        <v>733</v>
      </c>
      <c r="C193" s="925" t="s">
        <v>720</v>
      </c>
      <c r="D193" s="857">
        <v>4500188248</v>
      </c>
      <c r="E193" s="926"/>
      <c r="F193" s="857" t="s">
        <v>2273</v>
      </c>
      <c r="G193" s="927" t="s">
        <v>1523</v>
      </c>
      <c r="H193" s="928" t="s">
        <v>1524</v>
      </c>
      <c r="I193" s="928">
        <v>3000</v>
      </c>
      <c r="J193" s="928">
        <v>0</v>
      </c>
      <c r="K193" s="928">
        <v>50</v>
      </c>
      <c r="L193" s="929">
        <f t="shared" si="52"/>
        <v>60</v>
      </c>
      <c r="M193" s="930">
        <v>46052</v>
      </c>
      <c r="N193" s="930">
        <v>46048</v>
      </c>
      <c r="O193" s="926"/>
      <c r="P193" s="931" t="s">
        <v>86</v>
      </c>
      <c r="Q193" s="926"/>
      <c r="R193" s="932">
        <v>46021</v>
      </c>
      <c r="S193" s="932" t="s">
        <v>98</v>
      </c>
      <c r="T193" s="932" t="s">
        <v>1201</v>
      </c>
      <c r="U193" s="932"/>
      <c r="V193" s="933" t="s">
        <v>2274</v>
      </c>
      <c r="W193" s="934" t="s">
        <v>723</v>
      </c>
      <c r="X193" s="935">
        <v>1.9266</v>
      </c>
      <c r="Y193" s="936">
        <f t="shared" si="59"/>
        <v>5779.8</v>
      </c>
      <c r="Z193" s="936"/>
      <c r="AA193" s="926"/>
      <c r="AB193" s="1004" t="s">
        <v>1727</v>
      </c>
      <c r="AC193" s="928" t="s">
        <v>93</v>
      </c>
      <c r="AD193" s="928" t="s">
        <v>94</v>
      </c>
      <c r="AE193" s="926"/>
      <c r="AF193" s="946">
        <v>3000</v>
      </c>
      <c r="AG193" s="946">
        <f t="shared" si="54"/>
        <v>0</v>
      </c>
      <c r="AH193" s="947"/>
      <c r="AI193" s="926" t="s">
        <v>95</v>
      </c>
      <c r="AJ193" s="926"/>
      <c r="AK193" s="926">
        <f t="shared" si="61"/>
        <v>3000</v>
      </c>
      <c r="AL193" s="858"/>
      <c r="AM193" s="858"/>
      <c r="AN193" s="858">
        <f t="shared" si="64"/>
        <v>3000</v>
      </c>
      <c r="AO193" s="858">
        <f t="shared" si="62"/>
        <v>3000</v>
      </c>
      <c r="AU193" s="857">
        <f>L193*2</f>
        <v>120</v>
      </c>
      <c r="BE193" s="925"/>
      <c r="BF193" s="925"/>
      <c r="BG193" s="925"/>
      <c r="BH193" s="925"/>
      <c r="BI193" s="925"/>
      <c r="BN193" s="939"/>
      <c r="BO193" s="939"/>
      <c r="BP193" s="939"/>
      <c r="BQ193" s="939"/>
      <c r="BR193" s="939"/>
      <c r="BS193" s="939"/>
      <c r="BV193" s="857">
        <f t="shared" si="65"/>
        <v>120</v>
      </c>
      <c r="BW193" s="857">
        <f t="shared" si="66"/>
        <v>0</v>
      </c>
      <c r="BX193" s="308">
        <f t="shared" si="42"/>
        <v>873537</v>
      </c>
      <c r="BY193" s="939"/>
      <c r="BZ193" s="939"/>
      <c r="CA193" s="939"/>
      <c r="CB193" s="939">
        <f t="shared" si="63"/>
        <v>426463</v>
      </c>
      <c r="CC193" s="939"/>
      <c r="CH193" s="940"/>
      <c r="CI193" s="940"/>
      <c r="CJ193" s="940"/>
      <c r="CK193" s="940"/>
      <c r="CL193" s="940"/>
      <c r="CM193" s="940"/>
      <c r="CN193" s="940"/>
      <c r="CO193" s="940"/>
      <c r="CP193" s="940"/>
      <c r="CQ193" s="940"/>
      <c r="CR193" s="940"/>
      <c r="CS193" s="940"/>
      <c r="CT193" s="940"/>
      <c r="CU193" s="940"/>
      <c r="CV193" s="940"/>
      <c r="CW193" s="940"/>
      <c r="CX193" s="940"/>
      <c r="CY193" s="940"/>
      <c r="CZ193" s="940"/>
      <c r="DA193" s="940"/>
      <c r="DB193" s="940"/>
      <c r="DC193" s="940"/>
    </row>
    <row r="194" s="857" customFormat="1" ht="31" customHeight="1" spans="1:107">
      <c r="A194" s="923">
        <v>46014</v>
      </c>
      <c r="B194" s="924" t="s">
        <v>733</v>
      </c>
      <c r="C194" s="925" t="s">
        <v>720</v>
      </c>
      <c r="D194" s="857">
        <v>4500188307</v>
      </c>
      <c r="E194" s="926"/>
      <c r="F194" s="857" t="s">
        <v>2275</v>
      </c>
      <c r="G194" s="927" t="s">
        <v>1523</v>
      </c>
      <c r="H194" s="928" t="s">
        <v>1524</v>
      </c>
      <c r="I194" s="928">
        <v>500</v>
      </c>
      <c r="J194" s="928">
        <v>0</v>
      </c>
      <c r="K194" s="928">
        <v>50</v>
      </c>
      <c r="L194" s="929">
        <f t="shared" si="52"/>
        <v>10</v>
      </c>
      <c r="M194" s="930">
        <v>46052</v>
      </c>
      <c r="N194" s="930">
        <v>46048</v>
      </c>
      <c r="O194" s="926"/>
      <c r="P194" s="931" t="s">
        <v>86</v>
      </c>
      <c r="Q194" s="926"/>
      <c r="R194" s="932">
        <v>46021</v>
      </c>
      <c r="S194" s="932" t="s">
        <v>98</v>
      </c>
      <c r="T194" s="932" t="s">
        <v>2276</v>
      </c>
      <c r="U194" s="932"/>
      <c r="V194" s="933" t="s">
        <v>2277</v>
      </c>
      <c r="W194" s="934" t="s">
        <v>723</v>
      </c>
      <c r="X194" s="935">
        <v>1.9266</v>
      </c>
      <c r="Y194" s="936">
        <f t="shared" si="59"/>
        <v>963.3</v>
      </c>
      <c r="Z194" s="936"/>
      <c r="AA194" s="926"/>
      <c r="AB194" s="1004" t="s">
        <v>1727</v>
      </c>
      <c r="AC194" s="928" t="s">
        <v>93</v>
      </c>
      <c r="AD194" s="928" t="s">
        <v>94</v>
      </c>
      <c r="AE194" s="926"/>
      <c r="AF194" s="946">
        <v>500</v>
      </c>
      <c r="AG194" s="946">
        <f t="shared" si="54"/>
        <v>0</v>
      </c>
      <c r="AH194" s="947"/>
      <c r="AI194" s="926" t="s">
        <v>95</v>
      </c>
      <c r="AJ194" s="926"/>
      <c r="AK194" s="926">
        <f t="shared" si="61"/>
        <v>500</v>
      </c>
      <c r="AL194" s="858"/>
      <c r="AM194" s="858"/>
      <c r="AN194" s="858">
        <f t="shared" si="64"/>
        <v>500</v>
      </c>
      <c r="AO194" s="858">
        <f t="shared" si="62"/>
        <v>500</v>
      </c>
      <c r="AU194" s="857">
        <f>L194*2</f>
        <v>20</v>
      </c>
      <c r="BE194" s="925"/>
      <c r="BF194" s="925"/>
      <c r="BG194" s="925"/>
      <c r="BH194" s="925"/>
      <c r="BI194" s="925"/>
      <c r="BN194" s="939"/>
      <c r="BO194" s="939"/>
      <c r="BP194" s="939"/>
      <c r="BQ194" s="939"/>
      <c r="BR194" s="939"/>
      <c r="BS194" s="939"/>
      <c r="BV194" s="857">
        <f t="shared" si="65"/>
        <v>20</v>
      </c>
      <c r="BW194" s="857">
        <f t="shared" si="66"/>
        <v>0</v>
      </c>
      <c r="BX194" s="308">
        <f t="shared" si="42"/>
        <v>874037</v>
      </c>
      <c r="BY194" s="939"/>
      <c r="BZ194" s="939"/>
      <c r="CA194" s="939"/>
      <c r="CB194" s="939">
        <f t="shared" si="63"/>
        <v>425963</v>
      </c>
      <c r="CC194" s="939"/>
      <c r="CH194" s="940"/>
      <c r="CI194" s="940"/>
      <c r="CJ194" s="940"/>
      <c r="CK194" s="940"/>
      <c r="CL194" s="940"/>
      <c r="CM194" s="940"/>
      <c r="CN194" s="940"/>
      <c r="CO194" s="940"/>
      <c r="CP194" s="940"/>
      <c r="CQ194" s="940"/>
      <c r="CR194" s="940"/>
      <c r="CS194" s="940"/>
      <c r="CT194" s="940"/>
      <c r="CU194" s="940"/>
      <c r="CV194" s="940"/>
      <c r="CW194" s="940"/>
      <c r="CX194" s="940"/>
      <c r="CY194" s="940"/>
      <c r="CZ194" s="940"/>
      <c r="DA194" s="940"/>
      <c r="DB194" s="940"/>
      <c r="DC194" s="940"/>
    </row>
    <row r="195" s="857" customFormat="1" ht="31" customHeight="1" spans="1:107">
      <c r="A195" s="923">
        <v>46015</v>
      </c>
      <c r="B195" s="924" t="s">
        <v>2278</v>
      </c>
      <c r="C195" s="925" t="s">
        <v>632</v>
      </c>
      <c r="D195" s="857">
        <v>4500189941</v>
      </c>
      <c r="E195" s="926" t="s">
        <v>2279</v>
      </c>
      <c r="F195" s="857" t="s">
        <v>2280</v>
      </c>
      <c r="G195" s="927" t="s">
        <v>1537</v>
      </c>
      <c r="H195" s="928" t="s">
        <v>1538</v>
      </c>
      <c r="I195" s="928">
        <v>442</v>
      </c>
      <c r="J195" s="928">
        <v>0</v>
      </c>
      <c r="K195" s="928">
        <v>13</v>
      </c>
      <c r="L195" s="929">
        <f t="shared" si="52"/>
        <v>34</v>
      </c>
      <c r="M195" s="930">
        <v>46055</v>
      </c>
      <c r="N195" s="930">
        <f>M195-4</f>
        <v>46051</v>
      </c>
      <c r="O195" s="926"/>
      <c r="P195" s="931" t="s">
        <v>86</v>
      </c>
      <c r="Q195" s="926"/>
      <c r="R195" s="932">
        <v>46027</v>
      </c>
      <c r="S195" s="932" t="s">
        <v>98</v>
      </c>
      <c r="T195" s="932" t="s">
        <v>2281</v>
      </c>
      <c r="U195" s="932"/>
      <c r="V195" s="933" t="s">
        <v>2282</v>
      </c>
      <c r="W195" s="934" t="s">
        <v>2283</v>
      </c>
      <c r="X195" s="935">
        <v>1.8375</v>
      </c>
      <c r="Y195" s="936">
        <f t="shared" si="59"/>
        <v>812.175</v>
      </c>
      <c r="Z195" s="936"/>
      <c r="AA195" s="926"/>
      <c r="AB195" s="1004" t="s">
        <v>1537</v>
      </c>
      <c r="AC195" s="928" t="s">
        <v>93</v>
      </c>
      <c r="AD195" s="928" t="s">
        <v>94</v>
      </c>
      <c r="AE195" s="926"/>
      <c r="AF195" s="946">
        <v>442</v>
      </c>
      <c r="AG195" s="946">
        <f t="shared" si="54"/>
        <v>0</v>
      </c>
      <c r="AH195" s="947"/>
      <c r="AI195" s="926" t="s">
        <v>95</v>
      </c>
      <c r="AJ195" s="926"/>
      <c r="AK195" s="926">
        <f t="shared" si="61"/>
        <v>442</v>
      </c>
      <c r="AL195" s="858">
        <f>I195</f>
        <v>442</v>
      </c>
      <c r="AM195" s="858"/>
      <c r="AN195" s="858"/>
      <c r="AO195" s="858">
        <f t="shared" si="62"/>
        <v>442</v>
      </c>
      <c r="AR195" s="857">
        <f>I195/13</f>
        <v>34</v>
      </c>
      <c r="BE195" s="925"/>
      <c r="BF195" s="925"/>
      <c r="BG195" s="925"/>
      <c r="BH195" s="925"/>
      <c r="BI195" s="925"/>
      <c r="BN195" s="939"/>
      <c r="BO195" s="939"/>
      <c r="BP195" s="939"/>
      <c r="BQ195" s="939"/>
      <c r="BR195" s="939"/>
      <c r="BS195" s="939"/>
      <c r="BV195" s="857">
        <f t="shared" si="65"/>
        <v>0</v>
      </c>
      <c r="BW195" s="857">
        <f t="shared" si="66"/>
        <v>0</v>
      </c>
      <c r="BX195" s="308">
        <f t="shared" si="42"/>
        <v>874479</v>
      </c>
      <c r="BY195" s="939"/>
      <c r="BZ195" s="939"/>
      <c r="CA195" s="939"/>
      <c r="CB195" s="939">
        <f t="shared" si="63"/>
        <v>425521</v>
      </c>
      <c r="CC195" s="939"/>
      <c r="CH195" s="940"/>
      <c r="CI195" s="940"/>
      <c r="CJ195" s="940"/>
      <c r="CK195" s="940"/>
      <c r="CL195" s="940"/>
      <c r="CM195" s="940"/>
      <c r="CN195" s="940"/>
      <c r="CO195" s="940"/>
      <c r="CP195" s="940"/>
      <c r="CQ195" s="940"/>
      <c r="CR195" s="940"/>
      <c r="CS195" s="940"/>
      <c r="CT195" s="940"/>
      <c r="CU195" s="940"/>
      <c r="CV195" s="940"/>
      <c r="CW195" s="940"/>
      <c r="CX195" s="940"/>
      <c r="CY195" s="940"/>
      <c r="CZ195" s="940"/>
      <c r="DA195" s="940"/>
      <c r="DB195" s="940"/>
      <c r="DC195" s="940"/>
    </row>
    <row r="196" s="857" customFormat="1" ht="31" customHeight="1" spans="1:107">
      <c r="A196" s="923">
        <v>46016</v>
      </c>
      <c r="B196" s="924" t="s">
        <v>903</v>
      </c>
      <c r="C196" s="925" t="s">
        <v>81</v>
      </c>
      <c r="D196" s="857">
        <v>4500190045</v>
      </c>
      <c r="E196" s="926"/>
      <c r="F196" s="857" t="s">
        <v>2284</v>
      </c>
      <c r="G196" s="927" t="s">
        <v>1523</v>
      </c>
      <c r="H196" s="928" t="s">
        <v>1524</v>
      </c>
      <c r="I196" s="928">
        <v>1500</v>
      </c>
      <c r="J196" s="928">
        <v>0</v>
      </c>
      <c r="K196" s="928">
        <v>50</v>
      </c>
      <c r="L196" s="929">
        <f t="shared" si="52"/>
        <v>30</v>
      </c>
      <c r="M196" s="930">
        <v>46055</v>
      </c>
      <c r="N196" s="930">
        <f>M196-4</f>
        <v>46051</v>
      </c>
      <c r="O196" s="926"/>
      <c r="P196" s="931" t="s">
        <v>86</v>
      </c>
      <c r="Q196" s="926"/>
      <c r="R196" s="932">
        <v>46022</v>
      </c>
      <c r="S196" s="932" t="s">
        <v>98</v>
      </c>
      <c r="T196" s="932" t="s">
        <v>2285</v>
      </c>
      <c r="U196" s="932"/>
      <c r="V196" s="933" t="s">
        <v>2286</v>
      </c>
      <c r="W196" s="934" t="s">
        <v>119</v>
      </c>
      <c r="X196" s="935">
        <v>1.9266</v>
      </c>
      <c r="Y196" s="936">
        <f t="shared" si="59"/>
        <v>2889.9</v>
      </c>
      <c r="Z196" s="936"/>
      <c r="AA196" s="926"/>
      <c r="AB196" s="1004" t="s">
        <v>1727</v>
      </c>
      <c r="AC196" s="928" t="s">
        <v>93</v>
      </c>
      <c r="AD196" s="928" t="s">
        <v>94</v>
      </c>
      <c r="AE196" s="926"/>
      <c r="AF196" s="946">
        <v>1500</v>
      </c>
      <c r="AG196" s="946">
        <f t="shared" si="54"/>
        <v>0</v>
      </c>
      <c r="AH196" s="947"/>
      <c r="AI196" s="926" t="s">
        <v>95</v>
      </c>
      <c r="AJ196" s="926"/>
      <c r="AK196" s="926">
        <f t="shared" si="61"/>
        <v>1500</v>
      </c>
      <c r="AL196" s="858"/>
      <c r="AM196" s="858"/>
      <c r="AN196" s="858">
        <f>I196</f>
        <v>1500</v>
      </c>
      <c r="AO196" s="858">
        <f t="shared" si="62"/>
        <v>1500</v>
      </c>
      <c r="AU196" s="857">
        <f>L196*2</f>
        <v>60</v>
      </c>
      <c r="BE196" s="925"/>
      <c r="BF196" s="925"/>
      <c r="BG196" s="925"/>
      <c r="BH196" s="925"/>
      <c r="BI196" s="925"/>
      <c r="BN196" s="939"/>
      <c r="BO196" s="939"/>
      <c r="BP196" s="939"/>
      <c r="BQ196" s="939"/>
      <c r="BR196" s="939"/>
      <c r="BS196" s="939"/>
      <c r="BV196" s="857">
        <f t="shared" si="65"/>
        <v>60</v>
      </c>
      <c r="BW196" s="857">
        <f t="shared" si="66"/>
        <v>0</v>
      </c>
      <c r="BX196" s="308">
        <f t="shared" ref="BX196:BX248" si="67">AK196+BX195</f>
        <v>875979</v>
      </c>
      <c r="BY196" s="939"/>
      <c r="BZ196" s="939"/>
      <c r="CA196" s="939"/>
      <c r="CB196" s="939">
        <f t="shared" si="63"/>
        <v>424021</v>
      </c>
      <c r="CC196" s="939"/>
      <c r="CH196" s="940"/>
      <c r="CI196" s="940"/>
      <c r="CJ196" s="940"/>
      <c r="CK196" s="940"/>
      <c r="CL196" s="940"/>
      <c r="CM196" s="940"/>
      <c r="CN196" s="940"/>
      <c r="CO196" s="940"/>
      <c r="CP196" s="940"/>
      <c r="CQ196" s="940"/>
      <c r="CR196" s="940"/>
      <c r="CS196" s="940"/>
      <c r="CT196" s="940"/>
      <c r="CU196" s="940"/>
      <c r="CV196" s="940"/>
      <c r="CW196" s="940"/>
      <c r="CX196" s="940"/>
      <c r="CY196" s="940"/>
      <c r="CZ196" s="940"/>
      <c r="DA196" s="940"/>
      <c r="DB196" s="940"/>
      <c r="DC196" s="940"/>
    </row>
    <row r="197" s="857" customFormat="1" ht="31" customHeight="1" spans="1:107">
      <c r="A197" s="923">
        <v>46027</v>
      </c>
      <c r="B197" s="924" t="s">
        <v>2287</v>
      </c>
      <c r="C197" s="925" t="s">
        <v>81</v>
      </c>
      <c r="D197" s="857">
        <v>4500190462</v>
      </c>
      <c r="E197" s="926"/>
      <c r="F197" s="857" t="s">
        <v>2288</v>
      </c>
      <c r="G197" s="927" t="s">
        <v>1523</v>
      </c>
      <c r="H197" s="928" t="s">
        <v>1524</v>
      </c>
      <c r="I197" s="928">
        <v>4000</v>
      </c>
      <c r="J197" s="928">
        <v>0</v>
      </c>
      <c r="K197" s="928">
        <v>50</v>
      </c>
      <c r="L197" s="929">
        <f t="shared" si="52"/>
        <v>80</v>
      </c>
      <c r="M197" s="930">
        <v>46058</v>
      </c>
      <c r="N197" s="930">
        <v>46055</v>
      </c>
      <c r="O197" s="926" t="s">
        <v>2289</v>
      </c>
      <c r="P197" s="931" t="s">
        <v>86</v>
      </c>
      <c r="Q197" s="926"/>
      <c r="R197" s="932">
        <v>46035</v>
      </c>
      <c r="S197" s="932" t="s">
        <v>98</v>
      </c>
      <c r="T197" s="932" t="s">
        <v>2290</v>
      </c>
      <c r="U197" s="932"/>
      <c r="V197" s="933" t="s">
        <v>2291</v>
      </c>
      <c r="W197" s="934" t="s">
        <v>723</v>
      </c>
      <c r="X197" s="935">
        <v>1.9266</v>
      </c>
      <c r="Y197" s="936">
        <f t="shared" si="59"/>
        <v>7706.4</v>
      </c>
      <c r="Z197" s="936"/>
      <c r="AA197" s="926"/>
      <c r="AB197" s="1004" t="s">
        <v>1727</v>
      </c>
      <c r="AC197" s="928" t="s">
        <v>93</v>
      </c>
      <c r="AD197" s="928" t="s">
        <v>94</v>
      </c>
      <c r="AE197" s="926"/>
      <c r="AF197" s="946">
        <v>4000</v>
      </c>
      <c r="AG197" s="946">
        <f t="shared" si="54"/>
        <v>0</v>
      </c>
      <c r="AH197" s="947"/>
      <c r="AI197" s="926" t="s">
        <v>2292</v>
      </c>
      <c r="AJ197" s="926"/>
      <c r="AK197" s="926">
        <f t="shared" si="61"/>
        <v>4000</v>
      </c>
      <c r="AL197" s="858"/>
      <c r="AM197" s="858"/>
      <c r="AN197" s="858">
        <f>I197</f>
        <v>4000</v>
      </c>
      <c r="AO197" s="858">
        <f t="shared" si="62"/>
        <v>4000</v>
      </c>
      <c r="AU197" s="857">
        <f>L197*2</f>
        <v>160</v>
      </c>
      <c r="BE197" s="925"/>
      <c r="BF197" s="925"/>
      <c r="BG197" s="925"/>
      <c r="BH197" s="925"/>
      <c r="BI197" s="925"/>
      <c r="BN197" s="939"/>
      <c r="BO197" s="939"/>
      <c r="BP197" s="939"/>
      <c r="BQ197" s="939"/>
      <c r="BR197" s="939"/>
      <c r="BS197" s="939"/>
      <c r="BV197" s="857">
        <f t="shared" si="65"/>
        <v>160</v>
      </c>
      <c r="BW197" s="857">
        <f t="shared" si="66"/>
        <v>0</v>
      </c>
      <c r="BX197" s="308">
        <f t="shared" si="67"/>
        <v>879979</v>
      </c>
      <c r="BY197" s="939"/>
      <c r="BZ197" s="939"/>
      <c r="CA197" s="939"/>
      <c r="CB197" s="939">
        <f t="shared" si="63"/>
        <v>420021</v>
      </c>
      <c r="CC197" s="939"/>
      <c r="CH197" s="940"/>
      <c r="CI197" s="940"/>
      <c r="CJ197" s="940"/>
      <c r="CK197" s="940"/>
      <c r="CL197" s="940"/>
      <c r="CM197" s="940"/>
      <c r="CN197" s="940"/>
      <c r="CO197" s="940"/>
      <c r="CP197" s="940"/>
      <c r="CQ197" s="940"/>
      <c r="CR197" s="940"/>
      <c r="CS197" s="940"/>
      <c r="CT197" s="940"/>
      <c r="CU197" s="940"/>
      <c r="CV197" s="940"/>
      <c r="CW197" s="940"/>
      <c r="CX197" s="940"/>
      <c r="CY197" s="940"/>
      <c r="CZ197" s="940"/>
      <c r="DA197" s="940"/>
      <c r="DB197" s="940"/>
      <c r="DC197" s="940"/>
    </row>
    <row r="198" s="857" customFormat="1" ht="31" customHeight="1" spans="1:107">
      <c r="A198" s="923">
        <v>46016</v>
      </c>
      <c r="B198" s="924" t="s">
        <v>578</v>
      </c>
      <c r="C198" s="925" t="s">
        <v>125</v>
      </c>
      <c r="D198" s="857">
        <v>4500189982</v>
      </c>
      <c r="E198" s="1424" t="s">
        <v>2293</v>
      </c>
      <c r="F198" s="857" t="s">
        <v>2294</v>
      </c>
      <c r="G198" s="927" t="s">
        <v>1584</v>
      </c>
      <c r="H198" s="928" t="s">
        <v>1585</v>
      </c>
      <c r="I198" s="928">
        <v>960</v>
      </c>
      <c r="J198" s="928">
        <v>0</v>
      </c>
      <c r="K198" s="928">
        <v>16</v>
      </c>
      <c r="L198" s="929">
        <f t="shared" si="52"/>
        <v>60</v>
      </c>
      <c r="M198" s="930">
        <v>46059</v>
      </c>
      <c r="N198" s="930">
        <v>46055</v>
      </c>
      <c r="O198" s="926" t="s">
        <v>2295</v>
      </c>
      <c r="P198" s="931" t="s">
        <v>86</v>
      </c>
      <c r="Q198" s="926"/>
      <c r="R198" s="932" t="s">
        <v>395</v>
      </c>
      <c r="S198" s="932" t="s">
        <v>98</v>
      </c>
      <c r="T198" s="932" t="s">
        <v>582</v>
      </c>
      <c r="U198" s="932"/>
      <c r="V198" s="933" t="s">
        <v>2296</v>
      </c>
      <c r="W198" s="934" t="s">
        <v>247</v>
      </c>
      <c r="X198" s="935">
        <v>1.2079</v>
      </c>
      <c r="Y198" s="936">
        <f t="shared" si="59"/>
        <v>1159.584</v>
      </c>
      <c r="Z198" s="936"/>
      <c r="AA198" s="926"/>
      <c r="AB198" s="1004" t="s">
        <v>1584</v>
      </c>
      <c r="AC198" s="928" t="s">
        <v>93</v>
      </c>
      <c r="AD198" s="928" t="s">
        <v>94</v>
      </c>
      <c r="AE198" s="926"/>
      <c r="AF198" s="946">
        <v>960</v>
      </c>
      <c r="AG198" s="946">
        <f t="shared" ref="AG198:AG216" si="68">AF198-I198</f>
        <v>0</v>
      </c>
      <c r="AH198" s="947"/>
      <c r="AI198" s="926" t="s">
        <v>95</v>
      </c>
      <c r="AJ198" s="926"/>
      <c r="AK198" s="926">
        <f t="shared" ref="AK198:AK203" si="69">I198</f>
        <v>960</v>
      </c>
      <c r="AL198" s="858">
        <f t="shared" ref="AL198:AL203" si="70">I198</f>
        <v>960</v>
      </c>
      <c r="AM198" s="858"/>
      <c r="AN198" s="858"/>
      <c r="AO198" s="858">
        <f t="shared" ref="AO198:AO203" si="71">I198</f>
        <v>960</v>
      </c>
      <c r="AY198" s="857">
        <f t="shared" ref="AY198:AY203" si="72">I198/16</f>
        <v>60</v>
      </c>
      <c r="BE198" s="925"/>
      <c r="BF198" s="925"/>
      <c r="BG198" s="925"/>
      <c r="BH198" s="925"/>
      <c r="BI198" s="925"/>
      <c r="BN198" s="939"/>
      <c r="BO198" s="939"/>
      <c r="BP198" s="939"/>
      <c r="BQ198" s="939"/>
      <c r="BR198" s="939"/>
      <c r="BS198" s="939"/>
      <c r="BV198" s="857">
        <f t="shared" ref="BV198:BV216" si="73">AT198+AU198+AY198</f>
        <v>60</v>
      </c>
      <c r="BW198" s="857">
        <f t="shared" ref="BW198:BW216" si="74">BF198+BG198+BI198</f>
        <v>0</v>
      </c>
      <c r="BX198" s="308">
        <f t="shared" si="67"/>
        <v>880939</v>
      </c>
      <c r="BY198" s="939"/>
      <c r="BZ198" s="939"/>
      <c r="CA198" s="939"/>
      <c r="CB198" s="939">
        <f t="shared" si="63"/>
        <v>419061</v>
      </c>
      <c r="CC198" s="939"/>
      <c r="CH198" s="940"/>
      <c r="CI198" s="940"/>
      <c r="CJ198" s="940"/>
      <c r="CK198" s="940"/>
      <c r="CL198" s="940"/>
      <c r="CM198" s="940"/>
      <c r="CN198" s="940"/>
      <c r="CO198" s="940"/>
      <c r="CP198" s="940"/>
      <c r="CQ198" s="940"/>
      <c r="CR198" s="940"/>
      <c r="CS198" s="940"/>
      <c r="CT198" s="940"/>
      <c r="CU198" s="940"/>
      <c r="CV198" s="940"/>
      <c r="CW198" s="940"/>
      <c r="CX198" s="940"/>
      <c r="CY198" s="940"/>
      <c r="CZ198" s="940"/>
      <c r="DA198" s="940"/>
      <c r="DB198" s="940"/>
      <c r="DC198" s="940"/>
    </row>
    <row r="199" s="857" customFormat="1" ht="31" customHeight="1" spans="1:107">
      <c r="A199" s="923">
        <v>46016</v>
      </c>
      <c r="B199" s="924" t="s">
        <v>578</v>
      </c>
      <c r="C199" s="925" t="s">
        <v>125</v>
      </c>
      <c r="D199" s="857">
        <v>4500189982</v>
      </c>
      <c r="E199" s="1424" t="s">
        <v>2297</v>
      </c>
      <c r="F199" s="857" t="s">
        <v>2298</v>
      </c>
      <c r="G199" s="927" t="s">
        <v>1584</v>
      </c>
      <c r="H199" s="928" t="s">
        <v>1585</v>
      </c>
      <c r="I199" s="928">
        <v>960</v>
      </c>
      <c r="J199" s="928">
        <v>0</v>
      </c>
      <c r="K199" s="928">
        <v>16</v>
      </c>
      <c r="L199" s="929">
        <f t="shared" si="52"/>
        <v>60</v>
      </c>
      <c r="M199" s="930">
        <v>46059</v>
      </c>
      <c r="N199" s="930">
        <v>46055</v>
      </c>
      <c r="O199" s="926" t="s">
        <v>2299</v>
      </c>
      <c r="P199" s="931" t="s">
        <v>86</v>
      </c>
      <c r="Q199" s="926"/>
      <c r="R199" s="932" t="s">
        <v>395</v>
      </c>
      <c r="S199" s="932" t="s">
        <v>98</v>
      </c>
      <c r="T199" s="932" t="s">
        <v>582</v>
      </c>
      <c r="U199" s="932"/>
      <c r="V199" s="933" t="s">
        <v>2296</v>
      </c>
      <c r="W199" s="934" t="s">
        <v>247</v>
      </c>
      <c r="X199" s="935">
        <v>1.2079</v>
      </c>
      <c r="Y199" s="936">
        <f t="shared" si="59"/>
        <v>1159.584</v>
      </c>
      <c r="Z199" s="936"/>
      <c r="AA199" s="926"/>
      <c r="AB199" s="1004" t="s">
        <v>1584</v>
      </c>
      <c r="AC199" s="928" t="s">
        <v>93</v>
      </c>
      <c r="AD199" s="928" t="s">
        <v>94</v>
      </c>
      <c r="AE199" s="926"/>
      <c r="AF199" s="946">
        <v>960</v>
      </c>
      <c r="AG199" s="946">
        <f t="shared" si="68"/>
        <v>0</v>
      </c>
      <c r="AH199" s="947"/>
      <c r="AI199" s="926" t="s">
        <v>95</v>
      </c>
      <c r="AJ199" s="926"/>
      <c r="AK199" s="926">
        <f t="shared" si="69"/>
        <v>960</v>
      </c>
      <c r="AL199" s="858">
        <f t="shared" si="70"/>
        <v>960</v>
      </c>
      <c r="AM199" s="858"/>
      <c r="AN199" s="858"/>
      <c r="AO199" s="858">
        <f t="shared" si="71"/>
        <v>960</v>
      </c>
      <c r="AY199" s="857">
        <f t="shared" si="72"/>
        <v>60</v>
      </c>
      <c r="BE199" s="925"/>
      <c r="BF199" s="925"/>
      <c r="BG199" s="925"/>
      <c r="BH199" s="925"/>
      <c r="BI199" s="925"/>
      <c r="BN199" s="939"/>
      <c r="BO199" s="939"/>
      <c r="BP199" s="939"/>
      <c r="BQ199" s="939"/>
      <c r="BR199" s="939"/>
      <c r="BS199" s="939"/>
      <c r="BV199" s="857">
        <f t="shared" si="73"/>
        <v>60</v>
      </c>
      <c r="BW199" s="857">
        <f t="shared" si="74"/>
        <v>0</v>
      </c>
      <c r="BX199" s="308">
        <f t="shared" si="67"/>
        <v>881899</v>
      </c>
      <c r="BY199" s="939"/>
      <c r="BZ199" s="939"/>
      <c r="CA199" s="939"/>
      <c r="CB199" s="939">
        <f t="shared" si="63"/>
        <v>418101</v>
      </c>
      <c r="CC199" s="939"/>
      <c r="CH199" s="940"/>
      <c r="CI199" s="940"/>
      <c r="CJ199" s="940"/>
      <c r="CK199" s="940"/>
      <c r="CL199" s="940"/>
      <c r="CM199" s="940"/>
      <c r="CN199" s="940"/>
      <c r="CO199" s="940"/>
      <c r="CP199" s="940"/>
      <c r="CQ199" s="940"/>
      <c r="CR199" s="940"/>
      <c r="CS199" s="940"/>
      <c r="CT199" s="940"/>
      <c r="CU199" s="940"/>
      <c r="CV199" s="940"/>
      <c r="CW199" s="940"/>
      <c r="CX199" s="940"/>
      <c r="CY199" s="940"/>
      <c r="CZ199" s="940"/>
      <c r="DA199" s="940"/>
      <c r="DB199" s="940"/>
      <c r="DC199" s="940"/>
    </row>
    <row r="200" s="857" customFormat="1" ht="31" customHeight="1" spans="1:107">
      <c r="A200" s="923">
        <v>46016</v>
      </c>
      <c r="B200" s="924" t="s">
        <v>578</v>
      </c>
      <c r="C200" s="925" t="s">
        <v>125</v>
      </c>
      <c r="D200" s="857">
        <v>4500189982</v>
      </c>
      <c r="E200" s="1424" t="s">
        <v>2300</v>
      </c>
      <c r="F200" s="857" t="s">
        <v>2301</v>
      </c>
      <c r="G200" s="927" t="s">
        <v>1584</v>
      </c>
      <c r="H200" s="928" t="s">
        <v>1585</v>
      </c>
      <c r="I200" s="928">
        <v>960</v>
      </c>
      <c r="J200" s="928">
        <v>0</v>
      </c>
      <c r="K200" s="928">
        <v>16</v>
      </c>
      <c r="L200" s="929">
        <f t="shared" si="52"/>
        <v>60</v>
      </c>
      <c r="M200" s="930">
        <v>46059</v>
      </c>
      <c r="N200" s="930">
        <v>46055</v>
      </c>
      <c r="O200" s="926" t="s">
        <v>2295</v>
      </c>
      <c r="P200" s="931" t="s">
        <v>86</v>
      </c>
      <c r="Q200" s="926"/>
      <c r="R200" s="932" t="s">
        <v>395</v>
      </c>
      <c r="S200" s="932" t="s">
        <v>98</v>
      </c>
      <c r="T200" s="932" t="s">
        <v>582</v>
      </c>
      <c r="U200" s="932"/>
      <c r="V200" s="933" t="s">
        <v>2296</v>
      </c>
      <c r="W200" s="934" t="s">
        <v>247</v>
      </c>
      <c r="X200" s="935">
        <v>1.2079</v>
      </c>
      <c r="Y200" s="936">
        <f t="shared" si="59"/>
        <v>1159.584</v>
      </c>
      <c r="Z200" s="936"/>
      <c r="AA200" s="926"/>
      <c r="AB200" s="1004" t="s">
        <v>1584</v>
      </c>
      <c r="AC200" s="928" t="s">
        <v>93</v>
      </c>
      <c r="AD200" s="928" t="s">
        <v>94</v>
      </c>
      <c r="AE200" s="926"/>
      <c r="AF200" s="946">
        <v>960</v>
      </c>
      <c r="AG200" s="946">
        <f t="shared" si="68"/>
        <v>0</v>
      </c>
      <c r="AH200" s="947"/>
      <c r="AI200" s="926" t="s">
        <v>95</v>
      </c>
      <c r="AJ200" s="926"/>
      <c r="AK200" s="926">
        <f t="shared" si="69"/>
        <v>960</v>
      </c>
      <c r="AL200" s="858">
        <f t="shared" si="70"/>
        <v>960</v>
      </c>
      <c r="AM200" s="858"/>
      <c r="AN200" s="858"/>
      <c r="AO200" s="858">
        <f t="shared" si="71"/>
        <v>960</v>
      </c>
      <c r="AY200" s="857">
        <f t="shared" si="72"/>
        <v>60</v>
      </c>
      <c r="BE200" s="925"/>
      <c r="BF200" s="925"/>
      <c r="BG200" s="925"/>
      <c r="BH200" s="925"/>
      <c r="BI200" s="925"/>
      <c r="BN200" s="939"/>
      <c r="BO200" s="939"/>
      <c r="BP200" s="939"/>
      <c r="BQ200" s="939"/>
      <c r="BR200" s="939"/>
      <c r="BS200" s="939"/>
      <c r="BV200" s="857">
        <f t="shared" si="73"/>
        <v>60</v>
      </c>
      <c r="BW200" s="857">
        <f t="shared" si="74"/>
        <v>0</v>
      </c>
      <c r="BX200" s="308">
        <f t="shared" si="67"/>
        <v>882859</v>
      </c>
      <c r="BY200" s="939"/>
      <c r="BZ200" s="939"/>
      <c r="CA200" s="939"/>
      <c r="CB200" s="939">
        <f t="shared" si="63"/>
        <v>417141</v>
      </c>
      <c r="CC200" s="939"/>
      <c r="CH200" s="940"/>
      <c r="CI200" s="940"/>
      <c r="CJ200" s="940"/>
      <c r="CK200" s="940"/>
      <c r="CL200" s="940"/>
      <c r="CM200" s="940"/>
      <c r="CN200" s="940"/>
      <c r="CO200" s="940"/>
      <c r="CP200" s="940"/>
      <c r="CQ200" s="940"/>
      <c r="CR200" s="940"/>
      <c r="CS200" s="940"/>
      <c r="CT200" s="940"/>
      <c r="CU200" s="940"/>
      <c r="CV200" s="940"/>
      <c r="CW200" s="940"/>
      <c r="CX200" s="940"/>
      <c r="CY200" s="940"/>
      <c r="CZ200" s="940"/>
      <c r="DA200" s="940"/>
      <c r="DB200" s="940"/>
      <c r="DC200" s="940"/>
    </row>
    <row r="201" s="857" customFormat="1" ht="31" customHeight="1" spans="1:107">
      <c r="A201" s="923">
        <v>46016</v>
      </c>
      <c r="B201" s="924" t="s">
        <v>578</v>
      </c>
      <c r="C201" s="925" t="s">
        <v>125</v>
      </c>
      <c r="D201" s="857">
        <v>4500189982</v>
      </c>
      <c r="E201" s="1424" t="s">
        <v>2302</v>
      </c>
      <c r="F201" s="857" t="s">
        <v>2303</v>
      </c>
      <c r="G201" s="927" t="s">
        <v>1584</v>
      </c>
      <c r="H201" s="928" t="s">
        <v>1585</v>
      </c>
      <c r="I201" s="928">
        <v>960</v>
      </c>
      <c r="J201" s="928">
        <v>0</v>
      </c>
      <c r="K201" s="928">
        <v>16</v>
      </c>
      <c r="L201" s="929">
        <f t="shared" si="52"/>
        <v>60</v>
      </c>
      <c r="M201" s="930">
        <v>46059</v>
      </c>
      <c r="N201" s="930">
        <v>46055</v>
      </c>
      <c r="O201" s="926" t="s">
        <v>2304</v>
      </c>
      <c r="P201" s="931" t="s">
        <v>86</v>
      </c>
      <c r="Q201" s="926"/>
      <c r="R201" s="932" t="s">
        <v>395</v>
      </c>
      <c r="S201" s="932" t="s">
        <v>98</v>
      </c>
      <c r="T201" s="932" t="s">
        <v>582</v>
      </c>
      <c r="U201" s="932"/>
      <c r="V201" s="933" t="s">
        <v>2296</v>
      </c>
      <c r="W201" s="934" t="s">
        <v>247</v>
      </c>
      <c r="X201" s="935">
        <v>1.2079</v>
      </c>
      <c r="Y201" s="936">
        <f t="shared" si="59"/>
        <v>1159.584</v>
      </c>
      <c r="Z201" s="936"/>
      <c r="AA201" s="926"/>
      <c r="AB201" s="1004" t="s">
        <v>1584</v>
      </c>
      <c r="AC201" s="928" t="s">
        <v>93</v>
      </c>
      <c r="AD201" s="928" t="s">
        <v>94</v>
      </c>
      <c r="AE201" s="926"/>
      <c r="AF201" s="946">
        <v>960</v>
      </c>
      <c r="AG201" s="946">
        <f t="shared" si="68"/>
        <v>0</v>
      </c>
      <c r="AH201" s="947"/>
      <c r="AI201" s="926" t="s">
        <v>95</v>
      </c>
      <c r="AJ201" s="926"/>
      <c r="AK201" s="926">
        <f t="shared" si="69"/>
        <v>960</v>
      </c>
      <c r="AL201" s="858">
        <f t="shared" si="70"/>
        <v>960</v>
      </c>
      <c r="AM201" s="858"/>
      <c r="AN201" s="858"/>
      <c r="AO201" s="858">
        <f t="shared" si="71"/>
        <v>960</v>
      </c>
      <c r="AY201" s="857">
        <f t="shared" si="72"/>
        <v>60</v>
      </c>
      <c r="BE201" s="925"/>
      <c r="BF201" s="925"/>
      <c r="BG201" s="925"/>
      <c r="BH201" s="925"/>
      <c r="BI201" s="925"/>
      <c r="BN201" s="939"/>
      <c r="BO201" s="939"/>
      <c r="BP201" s="939"/>
      <c r="BQ201" s="939"/>
      <c r="BR201" s="939"/>
      <c r="BS201" s="939"/>
      <c r="BV201" s="857">
        <f t="shared" si="73"/>
        <v>60</v>
      </c>
      <c r="BW201" s="857">
        <f t="shared" si="74"/>
        <v>0</v>
      </c>
      <c r="BX201" s="308">
        <f t="shared" si="67"/>
        <v>883819</v>
      </c>
      <c r="BY201" s="939"/>
      <c r="BZ201" s="939"/>
      <c r="CA201" s="939"/>
      <c r="CB201" s="939">
        <f t="shared" si="63"/>
        <v>416181</v>
      </c>
      <c r="CC201" s="939"/>
      <c r="CH201" s="940"/>
      <c r="CI201" s="940"/>
      <c r="CJ201" s="940"/>
      <c r="CK201" s="940"/>
      <c r="CL201" s="940"/>
      <c r="CM201" s="940"/>
      <c r="CN201" s="940"/>
      <c r="CO201" s="940"/>
      <c r="CP201" s="940"/>
      <c r="CQ201" s="940"/>
      <c r="CR201" s="940"/>
      <c r="CS201" s="940"/>
      <c r="CT201" s="940"/>
      <c r="CU201" s="940"/>
      <c r="CV201" s="940"/>
      <c r="CW201" s="940"/>
      <c r="CX201" s="940"/>
      <c r="CY201" s="940"/>
      <c r="CZ201" s="940"/>
      <c r="DA201" s="940"/>
      <c r="DB201" s="940"/>
      <c r="DC201" s="940"/>
    </row>
    <row r="202" s="857" customFormat="1" ht="31" customHeight="1" spans="1:107">
      <c r="A202" s="923">
        <v>46016</v>
      </c>
      <c r="B202" s="924" t="s">
        <v>578</v>
      </c>
      <c r="C202" s="925" t="s">
        <v>125</v>
      </c>
      <c r="D202" s="857">
        <v>4500189982</v>
      </c>
      <c r="E202" s="1424" t="s">
        <v>2305</v>
      </c>
      <c r="F202" s="857" t="s">
        <v>2306</v>
      </c>
      <c r="G202" s="927" t="s">
        <v>1584</v>
      </c>
      <c r="H202" s="928" t="s">
        <v>1585</v>
      </c>
      <c r="I202" s="928">
        <v>960</v>
      </c>
      <c r="J202" s="928">
        <v>0</v>
      </c>
      <c r="K202" s="928">
        <v>16</v>
      </c>
      <c r="L202" s="929">
        <f t="shared" si="52"/>
        <v>60</v>
      </c>
      <c r="M202" s="930">
        <v>46059</v>
      </c>
      <c r="N202" s="930">
        <v>46055</v>
      </c>
      <c r="O202" s="926" t="s">
        <v>2304</v>
      </c>
      <c r="P202" s="931" t="s">
        <v>86</v>
      </c>
      <c r="Q202" s="926"/>
      <c r="R202" s="932" t="s">
        <v>395</v>
      </c>
      <c r="S202" s="932" t="s">
        <v>98</v>
      </c>
      <c r="T202" s="932" t="s">
        <v>582</v>
      </c>
      <c r="U202" s="932"/>
      <c r="V202" s="933" t="s">
        <v>2296</v>
      </c>
      <c r="W202" s="934" t="s">
        <v>247</v>
      </c>
      <c r="X202" s="935">
        <v>1.2079</v>
      </c>
      <c r="Y202" s="936">
        <f t="shared" si="59"/>
        <v>1159.584</v>
      </c>
      <c r="Z202" s="936"/>
      <c r="AA202" s="926"/>
      <c r="AB202" s="1004" t="s">
        <v>1584</v>
      </c>
      <c r="AC202" s="928" t="s">
        <v>93</v>
      </c>
      <c r="AD202" s="928" t="s">
        <v>94</v>
      </c>
      <c r="AE202" s="926"/>
      <c r="AF202" s="946">
        <v>960</v>
      </c>
      <c r="AG202" s="946">
        <f t="shared" si="68"/>
        <v>0</v>
      </c>
      <c r="AH202" s="947"/>
      <c r="AI202" s="926" t="s">
        <v>95</v>
      </c>
      <c r="AJ202" s="926"/>
      <c r="AK202" s="926">
        <f t="shared" si="69"/>
        <v>960</v>
      </c>
      <c r="AL202" s="858">
        <f t="shared" si="70"/>
        <v>960</v>
      </c>
      <c r="AM202" s="858"/>
      <c r="AN202" s="858"/>
      <c r="AO202" s="858">
        <f t="shared" si="71"/>
        <v>960</v>
      </c>
      <c r="AY202" s="857">
        <f t="shared" si="72"/>
        <v>60</v>
      </c>
      <c r="BE202" s="925"/>
      <c r="BF202" s="925"/>
      <c r="BG202" s="925"/>
      <c r="BH202" s="925"/>
      <c r="BI202" s="925"/>
      <c r="BN202" s="939"/>
      <c r="BO202" s="939"/>
      <c r="BP202" s="939"/>
      <c r="BQ202" s="939"/>
      <c r="BR202" s="939"/>
      <c r="BS202" s="939"/>
      <c r="BV202" s="857">
        <f t="shared" si="73"/>
        <v>60</v>
      </c>
      <c r="BW202" s="857">
        <f t="shared" si="74"/>
        <v>0</v>
      </c>
      <c r="BX202" s="308">
        <f t="shared" si="67"/>
        <v>884779</v>
      </c>
      <c r="BY202" s="939"/>
      <c r="BZ202" s="939"/>
      <c r="CA202" s="939"/>
      <c r="CB202" s="939">
        <f t="shared" si="63"/>
        <v>415221</v>
      </c>
      <c r="CC202" s="939"/>
      <c r="CH202" s="940"/>
      <c r="CI202" s="940"/>
      <c r="CJ202" s="940"/>
      <c r="CK202" s="940"/>
      <c r="CL202" s="940"/>
      <c r="CM202" s="940"/>
      <c r="CN202" s="940"/>
      <c r="CO202" s="940"/>
      <c r="CP202" s="940"/>
      <c r="CQ202" s="940"/>
      <c r="CR202" s="940"/>
      <c r="CS202" s="940"/>
      <c r="CT202" s="940"/>
      <c r="CU202" s="940"/>
      <c r="CV202" s="940"/>
      <c r="CW202" s="940"/>
      <c r="CX202" s="940"/>
      <c r="CY202" s="940"/>
      <c r="CZ202" s="940"/>
      <c r="DA202" s="940"/>
      <c r="DB202" s="940"/>
      <c r="DC202" s="940"/>
    </row>
    <row r="203" s="857" customFormat="1" ht="31" customHeight="1" spans="1:107">
      <c r="A203" s="923">
        <v>46016</v>
      </c>
      <c r="B203" s="924" t="s">
        <v>578</v>
      </c>
      <c r="C203" s="925" t="s">
        <v>125</v>
      </c>
      <c r="D203" s="857">
        <v>4500189983</v>
      </c>
      <c r="E203" s="1424" t="s">
        <v>2307</v>
      </c>
      <c r="F203" s="857" t="s">
        <v>2308</v>
      </c>
      <c r="G203" s="927" t="s">
        <v>1584</v>
      </c>
      <c r="H203" s="928" t="s">
        <v>1585</v>
      </c>
      <c r="I203" s="928">
        <v>960</v>
      </c>
      <c r="J203" s="928">
        <v>0</v>
      </c>
      <c r="K203" s="928">
        <v>16</v>
      </c>
      <c r="L203" s="929">
        <f t="shared" si="52"/>
        <v>60</v>
      </c>
      <c r="M203" s="930">
        <v>46076</v>
      </c>
      <c r="N203" s="930">
        <f>M203-4</f>
        <v>46072</v>
      </c>
      <c r="O203" s="926" t="s">
        <v>2309</v>
      </c>
      <c r="P203" s="931" t="s">
        <v>86</v>
      </c>
      <c r="Q203" s="926"/>
      <c r="R203" s="932" t="s">
        <v>395</v>
      </c>
      <c r="S203" s="932" t="s">
        <v>98</v>
      </c>
      <c r="T203" s="932" t="s">
        <v>582</v>
      </c>
      <c r="U203" s="932"/>
      <c r="V203" s="933" t="s">
        <v>1626</v>
      </c>
      <c r="W203" s="934" t="s">
        <v>247</v>
      </c>
      <c r="X203" s="935">
        <v>1.2079</v>
      </c>
      <c r="Y203" s="936">
        <f t="shared" si="59"/>
        <v>1159.584</v>
      </c>
      <c r="Z203" s="936"/>
      <c r="AA203" s="926"/>
      <c r="AB203" s="1004" t="s">
        <v>1584</v>
      </c>
      <c r="AC203" s="928" t="s">
        <v>93</v>
      </c>
      <c r="AD203" s="928" t="s">
        <v>94</v>
      </c>
      <c r="AE203" s="926"/>
      <c r="AF203" s="946">
        <v>960</v>
      </c>
      <c r="AG203" s="946">
        <f t="shared" si="68"/>
        <v>0</v>
      </c>
      <c r="AH203" s="947"/>
      <c r="AI203" s="926" t="s">
        <v>95</v>
      </c>
      <c r="AJ203" s="926"/>
      <c r="AK203" s="926">
        <f t="shared" si="69"/>
        <v>960</v>
      </c>
      <c r="AL203" s="858">
        <f t="shared" si="70"/>
        <v>960</v>
      </c>
      <c r="AM203" s="858"/>
      <c r="AN203" s="858"/>
      <c r="AO203" s="858">
        <f t="shared" si="71"/>
        <v>960</v>
      </c>
      <c r="AY203" s="857">
        <f t="shared" si="72"/>
        <v>60</v>
      </c>
      <c r="BE203" s="925"/>
      <c r="BF203" s="925"/>
      <c r="BG203" s="925"/>
      <c r="BH203" s="925"/>
      <c r="BI203" s="925"/>
      <c r="BN203" s="939"/>
      <c r="BO203" s="939"/>
      <c r="BP203" s="939"/>
      <c r="BQ203" s="939"/>
      <c r="BR203" s="939"/>
      <c r="BS203" s="939"/>
      <c r="BV203" s="857">
        <f t="shared" si="73"/>
        <v>60</v>
      </c>
      <c r="BW203" s="857">
        <f t="shared" si="74"/>
        <v>0</v>
      </c>
      <c r="BX203" s="308">
        <f t="shared" si="67"/>
        <v>885739</v>
      </c>
      <c r="BY203" s="939"/>
      <c r="BZ203" s="939"/>
      <c r="CA203" s="939"/>
      <c r="CB203" s="939">
        <f t="shared" si="63"/>
        <v>414261</v>
      </c>
      <c r="CC203" s="939"/>
      <c r="CH203" s="940"/>
      <c r="CI203" s="940"/>
      <c r="CJ203" s="940"/>
      <c r="CK203" s="940"/>
      <c r="CL203" s="940"/>
      <c r="CM203" s="940"/>
      <c r="CN203" s="940"/>
      <c r="CO203" s="940"/>
      <c r="CP203" s="940"/>
      <c r="CQ203" s="940"/>
      <c r="CR203" s="940"/>
      <c r="CS203" s="940"/>
      <c r="CT203" s="940"/>
      <c r="CU203" s="940"/>
      <c r="CV203" s="940"/>
      <c r="CW203" s="940"/>
      <c r="CX203" s="940"/>
      <c r="CY203" s="940"/>
      <c r="CZ203" s="940"/>
      <c r="DA203" s="940"/>
      <c r="DB203" s="940"/>
      <c r="DC203" s="940"/>
    </row>
    <row r="204" s="857" customFormat="1" ht="31" customHeight="1" spans="1:107">
      <c r="A204" s="923">
        <v>46009</v>
      </c>
      <c r="B204" s="924" t="s">
        <v>1956</v>
      </c>
      <c r="C204" s="925" t="s">
        <v>329</v>
      </c>
      <c r="D204" s="857">
        <v>4500189248</v>
      </c>
      <c r="E204" s="926" t="s">
        <v>2310</v>
      </c>
      <c r="F204" s="857" t="s">
        <v>2311</v>
      </c>
      <c r="G204" s="927" t="s">
        <v>1746</v>
      </c>
      <c r="H204" s="928" t="s">
        <v>1747</v>
      </c>
      <c r="I204" s="928">
        <v>504</v>
      </c>
      <c r="J204" s="928">
        <v>0</v>
      </c>
      <c r="K204" s="928">
        <v>12</v>
      </c>
      <c r="L204" s="929">
        <f t="shared" si="52"/>
        <v>42</v>
      </c>
      <c r="M204" s="930">
        <v>46079</v>
      </c>
      <c r="N204" s="930">
        <v>46076</v>
      </c>
      <c r="O204" s="926"/>
      <c r="P204" s="931" t="s">
        <v>86</v>
      </c>
      <c r="Q204" s="926"/>
      <c r="R204" s="932" t="s">
        <v>2312</v>
      </c>
      <c r="S204" s="932" t="s">
        <v>2313</v>
      </c>
      <c r="T204" s="932" t="s">
        <v>1959</v>
      </c>
      <c r="U204" s="932"/>
      <c r="V204" s="933" t="s">
        <v>2314</v>
      </c>
      <c r="W204" s="934" t="s">
        <v>1391</v>
      </c>
      <c r="X204" s="935">
        <v>2.7354</v>
      </c>
      <c r="Y204" s="936">
        <f t="shared" si="59"/>
        <v>1378.6416</v>
      </c>
      <c r="Z204" s="936"/>
      <c r="AA204" s="926"/>
      <c r="AB204" s="1004" t="s">
        <v>1746</v>
      </c>
      <c r="AC204" s="928" t="s">
        <v>93</v>
      </c>
      <c r="AD204" s="928" t="s">
        <v>94</v>
      </c>
      <c r="AE204" s="926"/>
      <c r="AF204" s="946">
        <v>504</v>
      </c>
      <c r="AG204" s="946">
        <f t="shared" si="68"/>
        <v>0</v>
      </c>
      <c r="AH204" s="947"/>
      <c r="AI204" s="926" t="s">
        <v>95</v>
      </c>
      <c r="AJ204" s="926"/>
      <c r="AK204" s="951">
        <f>I204*2</f>
        <v>1008</v>
      </c>
      <c r="AL204" s="858"/>
      <c r="AM204" s="858">
        <f>I204*2</f>
        <v>1008</v>
      </c>
      <c r="AN204" s="858"/>
      <c r="AO204" s="856">
        <f>I204*2</f>
        <v>1008</v>
      </c>
      <c r="BE204" s="925"/>
      <c r="BF204" s="925"/>
      <c r="BG204" s="925"/>
      <c r="BH204" s="925"/>
      <c r="BI204" s="925"/>
      <c r="BJ204" s="857">
        <f>I204</f>
        <v>504</v>
      </c>
      <c r="BK204" s="857">
        <f>I204</f>
        <v>504</v>
      </c>
      <c r="BL204" s="857">
        <f>I204</f>
        <v>504</v>
      </c>
      <c r="BN204" s="939"/>
      <c r="BO204" s="939"/>
      <c r="BP204" s="939"/>
      <c r="BQ204" s="939"/>
      <c r="BR204" s="939"/>
      <c r="BS204" s="939"/>
      <c r="BV204" s="857">
        <f t="shared" si="73"/>
        <v>0</v>
      </c>
      <c r="BW204" s="857">
        <f t="shared" si="74"/>
        <v>0</v>
      </c>
      <c r="BX204" s="308">
        <f t="shared" si="67"/>
        <v>886747</v>
      </c>
      <c r="BY204" s="939"/>
      <c r="BZ204" s="939"/>
      <c r="CA204" s="939"/>
      <c r="CB204" s="939">
        <f t="shared" si="63"/>
        <v>413253</v>
      </c>
      <c r="CC204" s="939"/>
      <c r="CH204" s="940"/>
      <c r="CI204" s="940"/>
      <c r="CJ204" s="940"/>
      <c r="CK204" s="940"/>
      <c r="CL204" s="940"/>
      <c r="CM204" s="940"/>
      <c r="CN204" s="940"/>
      <c r="CO204" s="940"/>
      <c r="CP204" s="940"/>
      <c r="CQ204" s="940"/>
      <c r="CR204" s="940"/>
      <c r="CS204" s="940"/>
      <c r="CT204" s="940"/>
      <c r="CU204" s="940"/>
      <c r="CV204" s="940"/>
      <c r="CW204" s="940"/>
      <c r="CX204" s="940"/>
      <c r="CY204" s="940"/>
      <c r="CZ204" s="940"/>
      <c r="DA204" s="940"/>
      <c r="DB204" s="940"/>
      <c r="DC204" s="940"/>
    </row>
    <row r="205" s="857" customFormat="1" ht="31" customHeight="1" spans="1:107">
      <c r="A205" s="923">
        <v>46016</v>
      </c>
      <c r="B205" s="924" t="s">
        <v>578</v>
      </c>
      <c r="C205" s="925" t="s">
        <v>125</v>
      </c>
      <c r="D205" s="857">
        <v>4500189985</v>
      </c>
      <c r="E205" s="1424" t="s">
        <v>2315</v>
      </c>
      <c r="F205" s="857" t="s">
        <v>2316</v>
      </c>
      <c r="G205" s="927" t="s">
        <v>1584</v>
      </c>
      <c r="H205" s="928" t="s">
        <v>1585</v>
      </c>
      <c r="I205" s="928">
        <v>960</v>
      </c>
      <c r="J205" s="928">
        <v>0</v>
      </c>
      <c r="K205" s="928">
        <v>16</v>
      </c>
      <c r="L205" s="929">
        <f t="shared" si="52"/>
        <v>60</v>
      </c>
      <c r="M205" s="930">
        <v>46079</v>
      </c>
      <c r="N205" s="930">
        <f>M205-3</f>
        <v>46076</v>
      </c>
      <c r="O205" s="926" t="s">
        <v>2317</v>
      </c>
      <c r="P205" s="931" t="s">
        <v>86</v>
      </c>
      <c r="Q205" s="926"/>
      <c r="R205" s="932" t="s">
        <v>395</v>
      </c>
      <c r="S205" s="932" t="s">
        <v>98</v>
      </c>
      <c r="T205" s="932" t="s">
        <v>582</v>
      </c>
      <c r="U205" s="932"/>
      <c r="V205" s="933" t="s">
        <v>1626</v>
      </c>
      <c r="W205" s="934" t="s">
        <v>247</v>
      </c>
      <c r="X205" s="935">
        <v>1.2079</v>
      </c>
      <c r="Y205" s="936">
        <f t="shared" si="59"/>
        <v>1159.584</v>
      </c>
      <c r="Z205" s="936"/>
      <c r="AA205" s="926"/>
      <c r="AB205" s="1004" t="s">
        <v>1584</v>
      </c>
      <c r="AC205" s="928" t="s">
        <v>93</v>
      </c>
      <c r="AD205" s="928" t="s">
        <v>94</v>
      </c>
      <c r="AE205" s="926"/>
      <c r="AF205" s="946">
        <v>960</v>
      </c>
      <c r="AG205" s="946">
        <f t="shared" si="68"/>
        <v>0</v>
      </c>
      <c r="AH205" s="947"/>
      <c r="AI205" s="926" t="s">
        <v>95</v>
      </c>
      <c r="AJ205" s="926"/>
      <c r="AK205" s="926">
        <f t="shared" ref="AK205:AK211" si="75">I205</f>
        <v>960</v>
      </c>
      <c r="AL205" s="858">
        <f>I205</f>
        <v>960</v>
      </c>
      <c r="AM205" s="858"/>
      <c r="AN205" s="858"/>
      <c r="AO205" s="858">
        <f t="shared" ref="AO205:AO211" si="76">I205</f>
        <v>960</v>
      </c>
      <c r="AY205" s="857">
        <f>I205/16</f>
        <v>60</v>
      </c>
      <c r="BE205" s="925"/>
      <c r="BF205" s="925"/>
      <c r="BG205" s="925"/>
      <c r="BH205" s="925"/>
      <c r="BI205" s="925"/>
      <c r="BN205" s="939"/>
      <c r="BO205" s="939"/>
      <c r="BP205" s="939"/>
      <c r="BQ205" s="939"/>
      <c r="BR205" s="939"/>
      <c r="BS205" s="939"/>
      <c r="BV205" s="857">
        <f t="shared" si="73"/>
        <v>60</v>
      </c>
      <c r="BW205" s="857">
        <f t="shared" si="74"/>
        <v>0</v>
      </c>
      <c r="BX205" s="308">
        <f t="shared" si="67"/>
        <v>887707</v>
      </c>
      <c r="BY205" s="939"/>
      <c r="BZ205" s="939"/>
      <c r="CA205" s="939"/>
      <c r="CB205" s="939">
        <f t="shared" si="63"/>
        <v>412293</v>
      </c>
      <c r="CC205" s="939"/>
      <c r="CH205" s="940"/>
      <c r="CI205" s="940"/>
      <c r="CJ205" s="940"/>
      <c r="CK205" s="940"/>
      <c r="CL205" s="940"/>
      <c r="CM205" s="940"/>
      <c r="CN205" s="940"/>
      <c r="CO205" s="940"/>
      <c r="CP205" s="940"/>
      <c r="CQ205" s="940"/>
      <c r="CR205" s="940"/>
      <c r="CS205" s="940"/>
      <c r="CT205" s="940"/>
      <c r="CU205" s="940"/>
      <c r="CV205" s="940"/>
      <c r="CW205" s="940"/>
      <c r="CX205" s="940"/>
      <c r="CY205" s="940"/>
      <c r="CZ205" s="940"/>
      <c r="DA205" s="940"/>
      <c r="DB205" s="940"/>
      <c r="DC205" s="940"/>
    </row>
    <row r="206" s="857" customFormat="1" ht="31" customHeight="1" spans="1:107">
      <c r="A206" s="923">
        <v>46016</v>
      </c>
      <c r="B206" s="924" t="s">
        <v>578</v>
      </c>
      <c r="C206" s="925" t="s">
        <v>125</v>
      </c>
      <c r="D206" s="857">
        <v>4500189985</v>
      </c>
      <c r="E206" s="1424" t="s">
        <v>2318</v>
      </c>
      <c r="F206" s="857" t="s">
        <v>2319</v>
      </c>
      <c r="G206" s="927" t="s">
        <v>1584</v>
      </c>
      <c r="H206" s="928" t="s">
        <v>1585</v>
      </c>
      <c r="I206" s="928">
        <v>960</v>
      </c>
      <c r="J206" s="928">
        <v>0</v>
      </c>
      <c r="K206" s="928">
        <v>16</v>
      </c>
      <c r="L206" s="929">
        <f t="shared" si="52"/>
        <v>60</v>
      </c>
      <c r="M206" s="930">
        <v>46079</v>
      </c>
      <c r="N206" s="930">
        <f>M206-3</f>
        <v>46076</v>
      </c>
      <c r="O206" s="926" t="s">
        <v>2317</v>
      </c>
      <c r="P206" s="931" t="s">
        <v>86</v>
      </c>
      <c r="Q206" s="926"/>
      <c r="R206" s="932" t="s">
        <v>395</v>
      </c>
      <c r="S206" s="932" t="s">
        <v>98</v>
      </c>
      <c r="T206" s="932" t="s">
        <v>582</v>
      </c>
      <c r="U206" s="932"/>
      <c r="V206" s="933" t="s">
        <v>1626</v>
      </c>
      <c r="W206" s="934" t="s">
        <v>247</v>
      </c>
      <c r="X206" s="935">
        <v>1.2079</v>
      </c>
      <c r="Y206" s="936">
        <f t="shared" si="59"/>
        <v>1159.584</v>
      </c>
      <c r="Z206" s="936"/>
      <c r="AA206" s="926"/>
      <c r="AB206" s="1004" t="s">
        <v>1584</v>
      </c>
      <c r="AC206" s="928" t="s">
        <v>93</v>
      </c>
      <c r="AD206" s="928" t="s">
        <v>94</v>
      </c>
      <c r="AE206" s="926"/>
      <c r="AF206" s="946">
        <v>960</v>
      </c>
      <c r="AG206" s="946">
        <f t="shared" si="68"/>
        <v>0</v>
      </c>
      <c r="AH206" s="947"/>
      <c r="AI206" s="926" t="s">
        <v>95</v>
      </c>
      <c r="AJ206" s="926"/>
      <c r="AK206" s="926">
        <f t="shared" si="75"/>
        <v>960</v>
      </c>
      <c r="AL206" s="858">
        <f>I206</f>
        <v>960</v>
      </c>
      <c r="AM206" s="858"/>
      <c r="AN206" s="858"/>
      <c r="AO206" s="858">
        <f t="shared" si="76"/>
        <v>960</v>
      </c>
      <c r="AY206" s="857">
        <f>I206/16</f>
        <v>60</v>
      </c>
      <c r="BE206" s="925"/>
      <c r="BF206" s="925"/>
      <c r="BG206" s="925"/>
      <c r="BH206" s="925"/>
      <c r="BI206" s="925"/>
      <c r="BN206" s="939"/>
      <c r="BO206" s="939"/>
      <c r="BP206" s="939"/>
      <c r="BQ206" s="939"/>
      <c r="BR206" s="939"/>
      <c r="BS206" s="939"/>
      <c r="BV206" s="857">
        <f t="shared" si="73"/>
        <v>60</v>
      </c>
      <c r="BW206" s="857">
        <f t="shared" si="74"/>
        <v>0</v>
      </c>
      <c r="BX206" s="308">
        <f t="shared" si="67"/>
        <v>888667</v>
      </c>
      <c r="BY206" s="939"/>
      <c r="BZ206" s="939"/>
      <c r="CA206" s="939"/>
      <c r="CB206" s="939">
        <f t="shared" si="63"/>
        <v>411333</v>
      </c>
      <c r="CC206" s="939"/>
      <c r="CH206" s="940"/>
      <c r="CI206" s="940"/>
      <c r="CJ206" s="940"/>
      <c r="CK206" s="940"/>
      <c r="CL206" s="940"/>
      <c r="CM206" s="940"/>
      <c r="CN206" s="940"/>
      <c r="CO206" s="940"/>
      <c r="CP206" s="940"/>
      <c r="CQ206" s="940"/>
      <c r="CR206" s="940"/>
      <c r="CS206" s="940"/>
      <c r="CT206" s="940"/>
      <c r="CU206" s="940"/>
      <c r="CV206" s="940"/>
      <c r="CW206" s="940"/>
      <c r="CX206" s="940"/>
      <c r="CY206" s="940"/>
      <c r="CZ206" s="940"/>
      <c r="DA206" s="940"/>
      <c r="DB206" s="940"/>
      <c r="DC206" s="940"/>
    </row>
    <row r="207" s="857" customFormat="1" ht="31" customHeight="1" spans="1:107">
      <c r="A207" s="923">
        <v>46003</v>
      </c>
      <c r="B207" s="924" t="s">
        <v>1535</v>
      </c>
      <c r="C207" s="925" t="s">
        <v>377</v>
      </c>
      <c r="D207" s="857">
        <v>4500188871</v>
      </c>
      <c r="E207" s="926">
        <v>21336517</v>
      </c>
      <c r="F207" s="857" t="s">
        <v>2320</v>
      </c>
      <c r="G207" s="927" t="s">
        <v>1537</v>
      </c>
      <c r="H207" s="928" t="s">
        <v>1538</v>
      </c>
      <c r="I207" s="928">
        <v>1508</v>
      </c>
      <c r="J207" s="928">
        <v>0</v>
      </c>
      <c r="K207" s="928">
        <v>13</v>
      </c>
      <c r="L207" s="929">
        <f t="shared" si="52"/>
        <v>116</v>
      </c>
      <c r="M207" s="930">
        <v>46083</v>
      </c>
      <c r="N207" s="930">
        <f>M207-4</f>
        <v>46079</v>
      </c>
      <c r="O207" s="926"/>
      <c r="P207" s="931" t="s">
        <v>86</v>
      </c>
      <c r="Q207" s="926"/>
      <c r="R207" s="932">
        <v>46017</v>
      </c>
      <c r="S207" s="932" t="s">
        <v>1639</v>
      </c>
      <c r="T207" s="932" t="s">
        <v>2321</v>
      </c>
      <c r="U207" s="932"/>
      <c r="V207" s="933" t="s">
        <v>2322</v>
      </c>
      <c r="W207" s="934" t="s">
        <v>2323</v>
      </c>
      <c r="X207" s="935">
        <v>1.8728</v>
      </c>
      <c r="Y207" s="936">
        <f t="shared" si="59"/>
        <v>2824.1824</v>
      </c>
      <c r="Z207" s="936"/>
      <c r="AA207" s="926"/>
      <c r="AB207" s="1004" t="s">
        <v>1537</v>
      </c>
      <c r="AC207" s="928" t="s">
        <v>93</v>
      </c>
      <c r="AD207" s="928" t="s">
        <v>94</v>
      </c>
      <c r="AE207" s="926"/>
      <c r="AF207" s="946">
        <v>1508</v>
      </c>
      <c r="AG207" s="946">
        <f t="shared" si="68"/>
        <v>0</v>
      </c>
      <c r="AH207" s="947"/>
      <c r="AI207" s="926" t="s">
        <v>95</v>
      </c>
      <c r="AJ207" s="926"/>
      <c r="AK207" s="926">
        <f t="shared" si="75"/>
        <v>1508</v>
      </c>
      <c r="AL207" s="858">
        <f>I207</f>
        <v>1508</v>
      </c>
      <c r="AM207" s="858"/>
      <c r="AN207" s="858"/>
      <c r="AO207" s="858">
        <f t="shared" si="76"/>
        <v>1508</v>
      </c>
      <c r="AR207" s="857">
        <f>I207/13</f>
        <v>116</v>
      </c>
      <c r="BE207" s="925"/>
      <c r="BF207" s="925"/>
      <c r="BG207" s="925"/>
      <c r="BH207" s="925"/>
      <c r="BI207" s="925"/>
      <c r="BN207" s="939"/>
      <c r="BO207" s="939"/>
      <c r="BP207" s="939"/>
      <c r="BQ207" s="939"/>
      <c r="BR207" s="939"/>
      <c r="BS207" s="939"/>
      <c r="BV207" s="857">
        <f t="shared" si="73"/>
        <v>0</v>
      </c>
      <c r="BW207" s="857">
        <f t="shared" si="74"/>
        <v>0</v>
      </c>
      <c r="BX207" s="308">
        <f t="shared" si="67"/>
        <v>890175</v>
      </c>
      <c r="BY207" s="939"/>
      <c r="BZ207" s="939"/>
      <c r="CA207" s="939"/>
      <c r="CB207" s="939">
        <f t="shared" si="63"/>
        <v>409825</v>
      </c>
      <c r="CC207" s="939"/>
      <c r="CH207" s="940"/>
      <c r="CI207" s="940"/>
      <c r="CJ207" s="940"/>
      <c r="CK207" s="940"/>
      <c r="CL207" s="940"/>
      <c r="CM207" s="940"/>
      <c r="CN207" s="940"/>
      <c r="CO207" s="940"/>
      <c r="CP207" s="940"/>
      <c r="CQ207" s="940"/>
      <c r="CR207" s="940"/>
      <c r="CS207" s="940"/>
      <c r="CT207" s="940"/>
      <c r="CU207" s="940"/>
      <c r="CV207" s="940"/>
      <c r="CW207" s="940"/>
      <c r="CX207" s="940"/>
      <c r="CY207" s="940"/>
      <c r="CZ207" s="940"/>
      <c r="DA207" s="940"/>
      <c r="DB207" s="940"/>
      <c r="DC207" s="940"/>
    </row>
    <row r="208" s="857" customFormat="1" ht="31" customHeight="1" spans="1:107">
      <c r="A208" s="923">
        <v>45980</v>
      </c>
      <c r="B208" s="924" t="s">
        <v>2324</v>
      </c>
      <c r="C208" s="925" t="s">
        <v>81</v>
      </c>
      <c r="D208" s="857">
        <v>4500186204</v>
      </c>
      <c r="E208" s="926"/>
      <c r="F208" s="857" t="s">
        <v>2325</v>
      </c>
      <c r="G208" s="927" t="s">
        <v>1523</v>
      </c>
      <c r="H208" s="928" t="s">
        <v>1524</v>
      </c>
      <c r="I208" s="928">
        <v>1250</v>
      </c>
      <c r="J208" s="928">
        <v>0</v>
      </c>
      <c r="K208" s="928">
        <v>50</v>
      </c>
      <c r="L208" s="929">
        <f t="shared" si="52"/>
        <v>25</v>
      </c>
      <c r="M208" s="930">
        <v>46083</v>
      </c>
      <c r="N208" s="930">
        <f>M208-4</f>
        <v>46079</v>
      </c>
      <c r="O208" s="926"/>
      <c r="P208" s="931" t="s">
        <v>86</v>
      </c>
      <c r="Q208" s="926"/>
      <c r="R208" s="932" t="s">
        <v>89</v>
      </c>
      <c r="S208" s="932" t="s">
        <v>98</v>
      </c>
      <c r="T208" s="932" t="s">
        <v>2326</v>
      </c>
      <c r="U208" s="932"/>
      <c r="V208" s="933" t="s">
        <v>2327</v>
      </c>
      <c r="W208" s="934" t="s">
        <v>723</v>
      </c>
      <c r="X208" s="935">
        <v>1.9154</v>
      </c>
      <c r="Y208" s="936">
        <f t="shared" si="59"/>
        <v>2394.25</v>
      </c>
      <c r="Z208" s="936"/>
      <c r="AA208" s="926"/>
      <c r="AB208" s="1004" t="s">
        <v>1727</v>
      </c>
      <c r="AC208" s="928" t="s">
        <v>93</v>
      </c>
      <c r="AD208" s="928" t="s">
        <v>94</v>
      </c>
      <c r="AE208" s="926"/>
      <c r="AF208" s="946">
        <v>1250</v>
      </c>
      <c r="AG208" s="946">
        <f t="shared" si="68"/>
        <v>0</v>
      </c>
      <c r="AH208" s="947"/>
      <c r="AI208" s="926" t="s">
        <v>95</v>
      </c>
      <c r="AJ208" s="926"/>
      <c r="AK208" s="926">
        <f t="shared" si="75"/>
        <v>1250</v>
      </c>
      <c r="AL208" s="858"/>
      <c r="AM208" s="858"/>
      <c r="AN208" s="858">
        <f>I208</f>
        <v>1250</v>
      </c>
      <c r="AO208" s="858">
        <f t="shared" si="76"/>
        <v>1250</v>
      </c>
      <c r="AU208" s="857">
        <f>L208*2</f>
        <v>50</v>
      </c>
      <c r="BE208" s="925"/>
      <c r="BF208" s="925"/>
      <c r="BG208" s="925"/>
      <c r="BH208" s="925"/>
      <c r="BI208" s="925"/>
      <c r="BN208" s="939"/>
      <c r="BO208" s="939"/>
      <c r="BP208" s="939"/>
      <c r="BQ208" s="939"/>
      <c r="BR208" s="939"/>
      <c r="BS208" s="939"/>
      <c r="BV208" s="857">
        <f t="shared" si="73"/>
        <v>50</v>
      </c>
      <c r="BW208" s="857">
        <f t="shared" si="74"/>
        <v>0</v>
      </c>
      <c r="BX208" s="308">
        <f t="shared" si="67"/>
        <v>891425</v>
      </c>
      <c r="BY208" s="939"/>
      <c r="BZ208" s="939"/>
      <c r="CA208" s="939"/>
      <c r="CB208" s="939">
        <f t="shared" si="63"/>
        <v>408575</v>
      </c>
      <c r="CC208" s="939"/>
      <c r="CH208" s="940"/>
      <c r="CI208" s="940"/>
      <c r="CJ208" s="940"/>
      <c r="CK208" s="940"/>
      <c r="CL208" s="940"/>
      <c r="CM208" s="940"/>
      <c r="CN208" s="940"/>
      <c r="CO208" s="940"/>
      <c r="CP208" s="940"/>
      <c r="CQ208" s="940"/>
      <c r="CR208" s="940"/>
      <c r="CS208" s="940"/>
      <c r="CT208" s="940"/>
      <c r="CU208" s="940"/>
      <c r="CV208" s="940"/>
      <c r="CW208" s="940"/>
      <c r="CX208" s="940"/>
      <c r="CY208" s="940"/>
      <c r="CZ208" s="940"/>
      <c r="DA208" s="940"/>
      <c r="DB208" s="940"/>
      <c r="DC208" s="940"/>
    </row>
    <row r="209" s="857" customFormat="1" ht="31" customHeight="1" spans="1:107">
      <c r="A209" s="923">
        <v>46016</v>
      </c>
      <c r="B209" s="924" t="s">
        <v>578</v>
      </c>
      <c r="C209" s="925" t="s">
        <v>125</v>
      </c>
      <c r="D209" s="857">
        <v>4500190002</v>
      </c>
      <c r="E209" s="1424" t="s">
        <v>2328</v>
      </c>
      <c r="F209" s="857" t="s">
        <v>2329</v>
      </c>
      <c r="G209" s="927" t="s">
        <v>1584</v>
      </c>
      <c r="H209" s="928" t="s">
        <v>1585</v>
      </c>
      <c r="I209" s="928">
        <v>960</v>
      </c>
      <c r="J209" s="928">
        <v>0</v>
      </c>
      <c r="K209" s="928">
        <v>16</v>
      </c>
      <c r="L209" s="929">
        <f t="shared" si="52"/>
        <v>60</v>
      </c>
      <c r="M209" s="930">
        <v>46086</v>
      </c>
      <c r="N209" s="930">
        <v>46083</v>
      </c>
      <c r="O209" s="926" t="s">
        <v>2330</v>
      </c>
      <c r="P209" s="931" t="s">
        <v>86</v>
      </c>
      <c r="Q209" s="926"/>
      <c r="R209" s="932" t="s">
        <v>395</v>
      </c>
      <c r="S209" s="932" t="s">
        <v>98</v>
      </c>
      <c r="T209" s="932" t="s">
        <v>582</v>
      </c>
      <c r="U209" s="932"/>
      <c r="V209" s="933" t="s">
        <v>1792</v>
      </c>
      <c r="W209" s="934" t="s">
        <v>247</v>
      </c>
      <c r="X209" s="935">
        <v>1.2079</v>
      </c>
      <c r="Y209" s="936">
        <f t="shared" si="59"/>
        <v>1159.584</v>
      </c>
      <c r="Z209" s="936"/>
      <c r="AA209" s="926"/>
      <c r="AB209" s="1004" t="s">
        <v>1584</v>
      </c>
      <c r="AC209" s="928" t="s">
        <v>93</v>
      </c>
      <c r="AD209" s="928" t="s">
        <v>94</v>
      </c>
      <c r="AE209" s="926"/>
      <c r="AF209" s="946">
        <v>960</v>
      </c>
      <c r="AG209" s="946">
        <f t="shared" si="68"/>
        <v>0</v>
      </c>
      <c r="AH209" s="947"/>
      <c r="AI209" s="926" t="s">
        <v>95</v>
      </c>
      <c r="AJ209" s="926"/>
      <c r="AK209" s="926">
        <f t="shared" si="75"/>
        <v>960</v>
      </c>
      <c r="AL209" s="858">
        <f>I209</f>
        <v>960</v>
      </c>
      <c r="AM209" s="858"/>
      <c r="AN209" s="858"/>
      <c r="AO209" s="858">
        <f t="shared" si="76"/>
        <v>960</v>
      </c>
      <c r="AY209" s="857">
        <f>I209/16</f>
        <v>60</v>
      </c>
      <c r="BE209" s="925"/>
      <c r="BF209" s="925"/>
      <c r="BG209" s="925"/>
      <c r="BH209" s="925"/>
      <c r="BI209" s="925"/>
      <c r="BN209" s="939"/>
      <c r="BO209" s="939"/>
      <c r="BP209" s="939"/>
      <c r="BQ209" s="939"/>
      <c r="BR209" s="939"/>
      <c r="BS209" s="939"/>
      <c r="BV209" s="857">
        <f t="shared" si="73"/>
        <v>60</v>
      </c>
      <c r="BW209" s="857">
        <f t="shared" si="74"/>
        <v>0</v>
      </c>
      <c r="BX209" s="308">
        <f t="shared" si="67"/>
        <v>892385</v>
      </c>
      <c r="BY209" s="939"/>
      <c r="BZ209" s="939"/>
      <c r="CA209" s="939"/>
      <c r="CB209" s="939">
        <f t="shared" si="63"/>
        <v>407615</v>
      </c>
      <c r="CC209" s="939"/>
      <c r="CH209" s="940"/>
      <c r="CI209" s="940"/>
      <c r="CJ209" s="940"/>
      <c r="CK209" s="940"/>
      <c r="CL209" s="940"/>
      <c r="CM209" s="940"/>
      <c r="CN209" s="940"/>
      <c r="CO209" s="940"/>
      <c r="CP209" s="940"/>
      <c r="CQ209" s="940"/>
      <c r="CR209" s="940"/>
      <c r="CS209" s="940"/>
      <c r="CT209" s="940"/>
      <c r="CU209" s="940"/>
      <c r="CV209" s="940"/>
      <c r="CW209" s="940"/>
      <c r="CX209" s="940"/>
      <c r="CY209" s="940"/>
      <c r="CZ209" s="940"/>
      <c r="DA209" s="940"/>
      <c r="DB209" s="940"/>
      <c r="DC209" s="940"/>
    </row>
    <row r="210" s="857" customFormat="1" ht="31" customHeight="1" spans="1:107">
      <c r="A210" s="923">
        <v>46016</v>
      </c>
      <c r="B210" s="924" t="s">
        <v>578</v>
      </c>
      <c r="C210" s="925" t="s">
        <v>125</v>
      </c>
      <c r="D210" s="857">
        <v>4500190002</v>
      </c>
      <c r="E210" s="1424" t="s">
        <v>2331</v>
      </c>
      <c r="F210" s="857" t="s">
        <v>2332</v>
      </c>
      <c r="G210" s="927" t="s">
        <v>1584</v>
      </c>
      <c r="H210" s="928" t="s">
        <v>1585</v>
      </c>
      <c r="I210" s="928">
        <v>960</v>
      </c>
      <c r="J210" s="928">
        <v>0</v>
      </c>
      <c r="K210" s="928">
        <v>16</v>
      </c>
      <c r="L210" s="929">
        <f t="shared" si="52"/>
        <v>60</v>
      </c>
      <c r="M210" s="930">
        <v>46086</v>
      </c>
      <c r="N210" s="930">
        <v>46083</v>
      </c>
      <c r="O210" s="926" t="s">
        <v>2333</v>
      </c>
      <c r="P210" s="931" t="s">
        <v>86</v>
      </c>
      <c r="Q210" s="926"/>
      <c r="R210" s="932" t="s">
        <v>395</v>
      </c>
      <c r="S210" s="932" t="s">
        <v>98</v>
      </c>
      <c r="T210" s="932" t="s">
        <v>582</v>
      </c>
      <c r="U210" s="932"/>
      <c r="V210" s="933" t="s">
        <v>1792</v>
      </c>
      <c r="W210" s="934" t="s">
        <v>247</v>
      </c>
      <c r="X210" s="935">
        <v>1.2079</v>
      </c>
      <c r="Y210" s="936">
        <f t="shared" si="59"/>
        <v>1159.584</v>
      </c>
      <c r="Z210" s="936"/>
      <c r="AA210" s="926"/>
      <c r="AB210" s="1004" t="s">
        <v>1584</v>
      </c>
      <c r="AC210" s="928" t="s">
        <v>93</v>
      </c>
      <c r="AD210" s="928" t="s">
        <v>94</v>
      </c>
      <c r="AE210" s="926"/>
      <c r="AF210" s="946">
        <v>960</v>
      </c>
      <c r="AG210" s="946">
        <f t="shared" si="68"/>
        <v>0</v>
      </c>
      <c r="AH210" s="947"/>
      <c r="AI210" s="926" t="s">
        <v>95</v>
      </c>
      <c r="AJ210" s="926"/>
      <c r="AK210" s="926">
        <f t="shared" si="75"/>
        <v>960</v>
      </c>
      <c r="AL210" s="858">
        <f>I210</f>
        <v>960</v>
      </c>
      <c r="AM210" s="858"/>
      <c r="AN210" s="858"/>
      <c r="AO210" s="858">
        <f t="shared" si="76"/>
        <v>960</v>
      </c>
      <c r="AY210" s="857">
        <f>I210/16</f>
        <v>60</v>
      </c>
      <c r="BE210" s="925"/>
      <c r="BF210" s="925"/>
      <c r="BG210" s="925"/>
      <c r="BH210" s="925"/>
      <c r="BI210" s="925"/>
      <c r="BN210" s="939"/>
      <c r="BO210" s="939"/>
      <c r="BP210" s="939"/>
      <c r="BQ210" s="939"/>
      <c r="BR210" s="939"/>
      <c r="BS210" s="939"/>
      <c r="BV210" s="857">
        <f t="shared" si="73"/>
        <v>60</v>
      </c>
      <c r="BW210" s="857">
        <f t="shared" si="74"/>
        <v>0</v>
      </c>
      <c r="BX210" s="308">
        <f t="shared" si="67"/>
        <v>893345</v>
      </c>
      <c r="BY210" s="939"/>
      <c r="BZ210" s="939"/>
      <c r="CA210" s="939"/>
      <c r="CB210" s="939">
        <f t="shared" si="63"/>
        <v>406655</v>
      </c>
      <c r="CC210" s="939"/>
      <c r="CH210" s="940"/>
      <c r="CI210" s="940"/>
      <c r="CJ210" s="940"/>
      <c r="CK210" s="940"/>
      <c r="CL210" s="940"/>
      <c r="CM210" s="940"/>
      <c r="CN210" s="940"/>
      <c r="CO210" s="940"/>
      <c r="CP210" s="940"/>
      <c r="CQ210" s="940"/>
      <c r="CR210" s="940"/>
      <c r="CS210" s="940"/>
      <c r="CT210" s="940"/>
      <c r="CU210" s="940"/>
      <c r="CV210" s="940"/>
      <c r="CW210" s="940"/>
      <c r="CX210" s="940"/>
      <c r="CY210" s="940"/>
      <c r="CZ210" s="940"/>
      <c r="DA210" s="940"/>
      <c r="DB210" s="940"/>
      <c r="DC210" s="940"/>
    </row>
    <row r="211" s="857" customFormat="1" ht="31" customHeight="1" spans="1:107">
      <c r="A211" s="923">
        <v>46016</v>
      </c>
      <c r="B211" s="924" t="s">
        <v>578</v>
      </c>
      <c r="C211" s="925" t="s">
        <v>125</v>
      </c>
      <c r="D211" s="857">
        <v>4500190002</v>
      </c>
      <c r="E211" s="1424" t="s">
        <v>2334</v>
      </c>
      <c r="F211" s="857" t="s">
        <v>2335</v>
      </c>
      <c r="G211" s="927" t="s">
        <v>1584</v>
      </c>
      <c r="H211" s="928" t="s">
        <v>1585</v>
      </c>
      <c r="I211" s="928">
        <v>960</v>
      </c>
      <c r="J211" s="928">
        <v>0</v>
      </c>
      <c r="K211" s="928">
        <v>16</v>
      </c>
      <c r="L211" s="929">
        <f t="shared" si="52"/>
        <v>60</v>
      </c>
      <c r="M211" s="930">
        <v>46086</v>
      </c>
      <c r="N211" s="930">
        <v>46083</v>
      </c>
      <c r="O211" s="926" t="s">
        <v>2330</v>
      </c>
      <c r="P211" s="931" t="s">
        <v>86</v>
      </c>
      <c r="Q211" s="926"/>
      <c r="R211" s="932" t="s">
        <v>395</v>
      </c>
      <c r="S211" s="932" t="s">
        <v>98</v>
      </c>
      <c r="T211" s="932" t="s">
        <v>582</v>
      </c>
      <c r="U211" s="932"/>
      <c r="V211" s="933" t="s">
        <v>1792</v>
      </c>
      <c r="W211" s="934" t="s">
        <v>247</v>
      </c>
      <c r="X211" s="935">
        <v>1.2079</v>
      </c>
      <c r="Y211" s="936">
        <f t="shared" si="59"/>
        <v>1159.584</v>
      </c>
      <c r="Z211" s="936"/>
      <c r="AA211" s="926"/>
      <c r="AB211" s="1004" t="s">
        <v>1584</v>
      </c>
      <c r="AC211" s="928" t="s">
        <v>93</v>
      </c>
      <c r="AD211" s="928" t="s">
        <v>94</v>
      </c>
      <c r="AE211" s="926"/>
      <c r="AF211" s="946">
        <v>960</v>
      </c>
      <c r="AG211" s="946">
        <f t="shared" si="68"/>
        <v>0</v>
      </c>
      <c r="AH211" s="947"/>
      <c r="AI211" s="926" t="s">
        <v>95</v>
      </c>
      <c r="AJ211" s="926"/>
      <c r="AK211" s="926">
        <f t="shared" si="75"/>
        <v>960</v>
      </c>
      <c r="AL211" s="858">
        <f>I211</f>
        <v>960</v>
      </c>
      <c r="AM211" s="858"/>
      <c r="AN211" s="858"/>
      <c r="AO211" s="858">
        <f t="shared" si="76"/>
        <v>960</v>
      </c>
      <c r="AY211" s="857">
        <f>I211/16</f>
        <v>60</v>
      </c>
      <c r="BE211" s="925"/>
      <c r="BF211" s="925"/>
      <c r="BG211" s="925"/>
      <c r="BH211" s="925"/>
      <c r="BI211" s="925"/>
      <c r="BN211" s="939"/>
      <c r="BO211" s="939"/>
      <c r="BP211" s="939"/>
      <c r="BQ211" s="939"/>
      <c r="BR211" s="939"/>
      <c r="BS211" s="939"/>
      <c r="BV211" s="857">
        <f t="shared" si="73"/>
        <v>60</v>
      </c>
      <c r="BW211" s="857">
        <f t="shared" si="74"/>
        <v>0</v>
      </c>
      <c r="BX211" s="308">
        <f t="shared" si="67"/>
        <v>894305</v>
      </c>
      <c r="BY211" s="939"/>
      <c r="BZ211" s="939"/>
      <c r="CA211" s="939"/>
      <c r="CB211" s="939">
        <f t="shared" si="63"/>
        <v>405695</v>
      </c>
      <c r="CC211" s="939"/>
      <c r="CH211" s="940"/>
      <c r="CI211" s="940"/>
      <c r="CJ211" s="940"/>
      <c r="CK211" s="940"/>
      <c r="CL211" s="940"/>
      <c r="CM211" s="940"/>
      <c r="CN211" s="940"/>
      <c r="CO211" s="940"/>
      <c r="CP211" s="940"/>
      <c r="CQ211" s="940"/>
      <c r="CR211" s="940"/>
      <c r="CS211" s="940"/>
      <c r="CT211" s="940"/>
      <c r="CU211" s="940"/>
      <c r="CV211" s="940"/>
      <c r="CW211" s="940"/>
      <c r="CX211" s="940"/>
      <c r="CY211" s="940"/>
      <c r="CZ211" s="940"/>
      <c r="DA211" s="940"/>
      <c r="DB211" s="940"/>
      <c r="DC211" s="940"/>
    </row>
    <row r="212" s="857" customFormat="1" ht="31" customHeight="1" spans="1:107">
      <c r="A212" s="923">
        <v>46034</v>
      </c>
      <c r="B212" s="924" t="s">
        <v>124</v>
      </c>
      <c r="C212" s="925" t="s">
        <v>125</v>
      </c>
      <c r="D212" s="857">
        <v>4500191164</v>
      </c>
      <c r="E212" s="926">
        <v>5200008683</v>
      </c>
      <c r="F212" s="857" t="s">
        <v>2336</v>
      </c>
      <c r="G212" s="927" t="s">
        <v>2337</v>
      </c>
      <c r="H212" s="928" t="s">
        <v>1747</v>
      </c>
      <c r="I212" s="928">
        <v>6000</v>
      </c>
      <c r="J212" s="928">
        <v>0</v>
      </c>
      <c r="K212" s="928">
        <v>12</v>
      </c>
      <c r="L212" s="929">
        <f t="shared" si="52"/>
        <v>500</v>
      </c>
      <c r="M212" s="930">
        <v>46090</v>
      </c>
      <c r="N212" s="930">
        <v>46086</v>
      </c>
      <c r="O212" s="926"/>
      <c r="P212" s="931" t="s">
        <v>86</v>
      </c>
      <c r="Q212" s="926"/>
      <c r="R212" s="932">
        <v>46034</v>
      </c>
      <c r="S212" s="932" t="s">
        <v>98</v>
      </c>
      <c r="T212" s="932" t="s">
        <v>2338</v>
      </c>
      <c r="U212" s="932"/>
      <c r="V212" s="933" t="s">
        <v>2339</v>
      </c>
      <c r="W212" s="934" t="s">
        <v>2340</v>
      </c>
      <c r="X212" s="935">
        <v>1.6054</v>
      </c>
      <c r="Y212" s="936">
        <f t="shared" si="59"/>
        <v>9632.4</v>
      </c>
      <c r="Z212" s="936"/>
      <c r="AA212" s="926"/>
      <c r="AB212" s="1004" t="s">
        <v>2337</v>
      </c>
      <c r="AC212" s="928" t="s">
        <v>93</v>
      </c>
      <c r="AD212" s="928" t="s">
        <v>94</v>
      </c>
      <c r="AE212" s="926"/>
      <c r="AF212" s="946">
        <v>6000</v>
      </c>
      <c r="AG212" s="946">
        <f t="shared" si="68"/>
        <v>0</v>
      </c>
      <c r="AH212" s="947"/>
      <c r="AI212" s="926" t="s">
        <v>95</v>
      </c>
      <c r="AJ212" s="926"/>
      <c r="AK212" s="951">
        <f>I212*2</f>
        <v>12000</v>
      </c>
      <c r="AL212" s="858">
        <f>I212*2</f>
        <v>12000</v>
      </c>
      <c r="AM212" s="858"/>
      <c r="AN212" s="858"/>
      <c r="AO212" s="856">
        <f>I212*2</f>
        <v>12000</v>
      </c>
      <c r="BE212" s="925"/>
      <c r="BF212" s="925"/>
      <c r="BG212" s="925"/>
      <c r="BH212" s="925"/>
      <c r="BI212" s="925"/>
      <c r="BJ212" s="857">
        <f>I212</f>
        <v>6000</v>
      </c>
      <c r="BK212" s="857">
        <f>I212</f>
        <v>6000</v>
      </c>
      <c r="BL212" s="857">
        <f>I212</f>
        <v>6000</v>
      </c>
      <c r="BN212" s="939"/>
      <c r="BO212" s="939"/>
      <c r="BP212" s="939"/>
      <c r="BQ212" s="939"/>
      <c r="BR212" s="939"/>
      <c r="BS212" s="939"/>
      <c r="BV212" s="857">
        <f t="shared" si="73"/>
        <v>0</v>
      </c>
      <c r="BW212" s="857">
        <f t="shared" si="74"/>
        <v>0</v>
      </c>
      <c r="BX212" s="308">
        <f t="shared" si="67"/>
        <v>906305</v>
      </c>
      <c r="BY212" s="939"/>
      <c r="BZ212" s="939"/>
      <c r="CA212" s="939"/>
      <c r="CB212" s="939">
        <f t="shared" si="63"/>
        <v>393695</v>
      </c>
      <c r="CC212" s="939"/>
      <c r="CH212" s="940"/>
      <c r="CI212" s="940"/>
      <c r="CJ212" s="940"/>
      <c r="CK212" s="940"/>
      <c r="CL212" s="940"/>
      <c r="CM212" s="940"/>
      <c r="CN212" s="940"/>
      <c r="CO212" s="940"/>
      <c r="CP212" s="940"/>
      <c r="CQ212" s="940"/>
      <c r="CR212" s="940"/>
      <c r="CS212" s="940"/>
      <c r="CT212" s="940"/>
      <c r="CU212" s="940"/>
      <c r="CV212" s="940"/>
      <c r="CW212" s="940"/>
      <c r="CX212" s="940"/>
      <c r="CY212" s="940"/>
      <c r="CZ212" s="940"/>
      <c r="DA212" s="940"/>
      <c r="DB212" s="940"/>
      <c r="DC212" s="940"/>
    </row>
    <row r="213" s="857" customFormat="1" ht="31" customHeight="1" spans="1:107">
      <c r="A213" s="923">
        <v>46038</v>
      </c>
      <c r="B213" s="924" t="s">
        <v>785</v>
      </c>
      <c r="C213" s="925" t="s">
        <v>125</v>
      </c>
      <c r="D213" s="857">
        <v>4500191631</v>
      </c>
      <c r="E213" s="926" t="s">
        <v>2341</v>
      </c>
      <c r="F213" s="857" t="s">
        <v>2342</v>
      </c>
      <c r="G213" s="927" t="s">
        <v>1746</v>
      </c>
      <c r="H213" s="928" t="s">
        <v>1747</v>
      </c>
      <c r="I213" s="928">
        <v>4404</v>
      </c>
      <c r="J213" s="928">
        <v>0</v>
      </c>
      <c r="K213" s="928">
        <v>12</v>
      </c>
      <c r="L213" s="929">
        <f t="shared" si="52"/>
        <v>367</v>
      </c>
      <c r="M213" s="930">
        <v>46090</v>
      </c>
      <c r="N213" s="930">
        <v>46086</v>
      </c>
      <c r="O213" s="926"/>
      <c r="P213" s="931" t="s">
        <v>86</v>
      </c>
      <c r="Q213" s="926"/>
      <c r="R213" s="932">
        <v>46038</v>
      </c>
      <c r="S213" s="932" t="s">
        <v>88</v>
      </c>
      <c r="T213" s="932" t="s">
        <v>2343</v>
      </c>
      <c r="U213" s="932"/>
      <c r="V213" s="933" t="s">
        <v>2344</v>
      </c>
      <c r="W213" s="934" t="s">
        <v>130</v>
      </c>
      <c r="X213" s="935">
        <v>1.6343</v>
      </c>
      <c r="Y213" s="936">
        <f t="shared" si="59"/>
        <v>7197.4572</v>
      </c>
      <c r="Z213" s="936"/>
      <c r="AA213" s="926"/>
      <c r="AB213" s="1004" t="s">
        <v>1746</v>
      </c>
      <c r="AC213" s="928" t="s">
        <v>93</v>
      </c>
      <c r="AD213" s="928" t="s">
        <v>94</v>
      </c>
      <c r="AE213" s="926"/>
      <c r="AF213" s="946">
        <v>4404</v>
      </c>
      <c r="AG213" s="946">
        <f t="shared" si="68"/>
        <v>0</v>
      </c>
      <c r="AH213" s="947"/>
      <c r="AI213" s="926" t="s">
        <v>95</v>
      </c>
      <c r="AJ213" s="926"/>
      <c r="AK213" s="951">
        <f>I213*2</f>
        <v>8808</v>
      </c>
      <c r="AL213" s="858">
        <f>I213*2</f>
        <v>8808</v>
      </c>
      <c r="AM213" s="858"/>
      <c r="AN213" s="858"/>
      <c r="AO213" s="856">
        <f>I213*2</f>
        <v>8808</v>
      </c>
      <c r="BE213" s="925"/>
      <c r="BF213" s="925"/>
      <c r="BG213" s="925"/>
      <c r="BH213" s="925"/>
      <c r="BI213" s="925"/>
      <c r="BJ213" s="857">
        <f>I213</f>
        <v>4404</v>
      </c>
      <c r="BK213" s="857">
        <f>I213</f>
        <v>4404</v>
      </c>
      <c r="BL213" s="857">
        <f>I213</f>
        <v>4404</v>
      </c>
      <c r="BN213" s="939"/>
      <c r="BO213" s="939"/>
      <c r="BP213" s="939"/>
      <c r="BQ213" s="939"/>
      <c r="BR213" s="939"/>
      <c r="BS213" s="939"/>
      <c r="BV213" s="857">
        <f t="shared" si="73"/>
        <v>0</v>
      </c>
      <c r="BW213" s="857">
        <f t="shared" si="74"/>
        <v>0</v>
      </c>
      <c r="BX213" s="308">
        <f t="shared" si="67"/>
        <v>915113</v>
      </c>
      <c r="BY213" s="939"/>
      <c r="BZ213" s="939"/>
      <c r="CA213" s="939"/>
      <c r="CB213" s="939">
        <f t="shared" si="63"/>
        <v>384887</v>
      </c>
      <c r="CC213" s="939"/>
      <c r="CH213" s="940"/>
      <c r="CI213" s="940"/>
      <c r="CJ213" s="940"/>
      <c r="CK213" s="940"/>
      <c r="CL213" s="940"/>
      <c r="CM213" s="940"/>
      <c r="CN213" s="940"/>
      <c r="CO213" s="940"/>
      <c r="CP213" s="940"/>
      <c r="CQ213" s="940"/>
      <c r="CR213" s="940"/>
      <c r="CS213" s="940"/>
      <c r="CT213" s="940"/>
      <c r="CU213" s="940"/>
      <c r="CV213" s="940"/>
      <c r="CW213" s="940"/>
      <c r="CX213" s="940"/>
      <c r="CY213" s="940"/>
      <c r="CZ213" s="940"/>
      <c r="DA213" s="940"/>
      <c r="DB213" s="940"/>
      <c r="DC213" s="940"/>
    </row>
    <row r="214" s="857" customFormat="1" ht="31" customHeight="1" spans="1:107">
      <c r="A214" s="923">
        <v>46035</v>
      </c>
      <c r="B214" s="924" t="s">
        <v>761</v>
      </c>
      <c r="C214" s="925" t="s">
        <v>632</v>
      </c>
      <c r="D214" s="857">
        <v>4500191202</v>
      </c>
      <c r="E214" s="926" t="s">
        <v>2345</v>
      </c>
      <c r="F214" s="857" t="s">
        <v>2346</v>
      </c>
      <c r="G214" s="927" t="s">
        <v>1746</v>
      </c>
      <c r="H214" s="928" t="s">
        <v>1747</v>
      </c>
      <c r="I214" s="928">
        <v>12</v>
      </c>
      <c r="J214" s="928">
        <v>0</v>
      </c>
      <c r="K214" s="928">
        <v>12</v>
      </c>
      <c r="L214" s="929">
        <f t="shared" si="52"/>
        <v>1</v>
      </c>
      <c r="M214" s="930">
        <v>46092</v>
      </c>
      <c r="N214" s="930">
        <v>46088</v>
      </c>
      <c r="O214" s="926"/>
      <c r="P214" s="931" t="s">
        <v>86</v>
      </c>
      <c r="Q214" s="926"/>
      <c r="R214" s="932">
        <v>46035</v>
      </c>
      <c r="S214" s="932" t="s">
        <v>88</v>
      </c>
      <c r="T214" s="932" t="s">
        <v>2343</v>
      </c>
      <c r="U214" s="932"/>
      <c r="V214" s="933" t="s">
        <v>2347</v>
      </c>
      <c r="W214" s="934" t="s">
        <v>731</v>
      </c>
      <c r="X214" s="935">
        <v>2.8135</v>
      </c>
      <c r="Y214" s="936">
        <f t="shared" si="59"/>
        <v>33.762</v>
      </c>
      <c r="Z214" s="936"/>
      <c r="AA214" s="926"/>
      <c r="AB214" s="1004" t="s">
        <v>1746</v>
      </c>
      <c r="AC214" s="928" t="s">
        <v>93</v>
      </c>
      <c r="AD214" s="928" t="s">
        <v>94</v>
      </c>
      <c r="AE214" s="926"/>
      <c r="AF214" s="946">
        <v>12</v>
      </c>
      <c r="AG214" s="946">
        <f t="shared" si="68"/>
        <v>0</v>
      </c>
      <c r="AH214" s="947"/>
      <c r="AI214" s="926" t="s">
        <v>95</v>
      </c>
      <c r="AJ214" s="926"/>
      <c r="AK214" s="951">
        <f>I214*2</f>
        <v>24</v>
      </c>
      <c r="AL214" s="858"/>
      <c r="AM214" s="858">
        <f>I214*2</f>
        <v>24</v>
      </c>
      <c r="AN214" s="858"/>
      <c r="AO214" s="856">
        <f>I214*2</f>
        <v>24</v>
      </c>
      <c r="BE214" s="925"/>
      <c r="BF214" s="925"/>
      <c r="BG214" s="925"/>
      <c r="BH214" s="925"/>
      <c r="BI214" s="925"/>
      <c r="BJ214" s="857">
        <f>I214</f>
        <v>12</v>
      </c>
      <c r="BK214" s="857">
        <f>I214</f>
        <v>12</v>
      </c>
      <c r="BL214" s="857">
        <f>I214</f>
        <v>12</v>
      </c>
      <c r="BN214" s="939"/>
      <c r="BO214" s="939"/>
      <c r="BP214" s="939"/>
      <c r="BQ214" s="939"/>
      <c r="BR214" s="939"/>
      <c r="BS214" s="939"/>
      <c r="BV214" s="857">
        <f t="shared" si="73"/>
        <v>0</v>
      </c>
      <c r="BW214" s="857">
        <f t="shared" si="74"/>
        <v>0</v>
      </c>
      <c r="BX214" s="308">
        <f t="shared" si="67"/>
        <v>915137</v>
      </c>
      <c r="BY214" s="939"/>
      <c r="BZ214" s="939"/>
      <c r="CA214" s="939"/>
      <c r="CB214" s="939">
        <f t="shared" si="63"/>
        <v>384863</v>
      </c>
      <c r="CC214" s="939"/>
      <c r="CH214" s="940"/>
      <c r="CI214" s="940"/>
      <c r="CJ214" s="940"/>
      <c r="CK214" s="940"/>
      <c r="CL214" s="940"/>
      <c r="CM214" s="940"/>
      <c r="CN214" s="940"/>
      <c r="CO214" s="940"/>
      <c r="CP214" s="940"/>
      <c r="CQ214" s="940"/>
      <c r="CR214" s="940"/>
      <c r="CS214" s="940"/>
      <c r="CT214" s="940"/>
      <c r="CU214" s="940"/>
      <c r="CV214" s="940"/>
      <c r="CW214" s="940"/>
      <c r="CX214" s="940"/>
      <c r="CY214" s="940"/>
      <c r="CZ214" s="940"/>
      <c r="DA214" s="940"/>
      <c r="DB214" s="940"/>
      <c r="DC214" s="940"/>
    </row>
    <row r="215" s="857" customFormat="1" ht="31" customHeight="1" spans="1:107">
      <c r="A215" s="923">
        <v>46035</v>
      </c>
      <c r="B215" s="924" t="s">
        <v>761</v>
      </c>
      <c r="C215" s="925" t="s">
        <v>632</v>
      </c>
      <c r="D215" s="857">
        <v>4500191202</v>
      </c>
      <c r="E215" s="926" t="s">
        <v>2348</v>
      </c>
      <c r="F215" s="857" t="s">
        <v>2349</v>
      </c>
      <c r="G215" s="927" t="s">
        <v>1746</v>
      </c>
      <c r="H215" s="928" t="s">
        <v>1747</v>
      </c>
      <c r="I215" s="928">
        <v>12</v>
      </c>
      <c r="J215" s="928">
        <v>0</v>
      </c>
      <c r="K215" s="928">
        <v>12</v>
      </c>
      <c r="L215" s="929">
        <f t="shared" si="52"/>
        <v>1</v>
      </c>
      <c r="M215" s="930">
        <v>46092</v>
      </c>
      <c r="N215" s="930">
        <v>46088</v>
      </c>
      <c r="O215" s="926"/>
      <c r="P215" s="931" t="s">
        <v>86</v>
      </c>
      <c r="Q215" s="926"/>
      <c r="R215" s="932">
        <v>46035</v>
      </c>
      <c r="S215" s="932" t="s">
        <v>88</v>
      </c>
      <c r="T215" s="932" t="s">
        <v>2343</v>
      </c>
      <c r="U215" s="932"/>
      <c r="V215" s="933" t="s">
        <v>2347</v>
      </c>
      <c r="W215" s="934" t="s">
        <v>731</v>
      </c>
      <c r="X215" s="935">
        <v>2.8135</v>
      </c>
      <c r="Y215" s="936">
        <f t="shared" si="59"/>
        <v>33.762</v>
      </c>
      <c r="Z215" s="936"/>
      <c r="AA215" s="926"/>
      <c r="AB215" s="1004" t="s">
        <v>1746</v>
      </c>
      <c r="AC215" s="928" t="s">
        <v>93</v>
      </c>
      <c r="AD215" s="928" t="s">
        <v>94</v>
      </c>
      <c r="AE215" s="926"/>
      <c r="AF215" s="946">
        <v>12</v>
      </c>
      <c r="AG215" s="946">
        <f t="shared" si="68"/>
        <v>0</v>
      </c>
      <c r="AH215" s="947"/>
      <c r="AI215" s="926" t="s">
        <v>95</v>
      </c>
      <c r="AJ215" s="926"/>
      <c r="AK215" s="951">
        <f>I215*2</f>
        <v>24</v>
      </c>
      <c r="AL215" s="858"/>
      <c r="AM215" s="858">
        <f>I215*2</f>
        <v>24</v>
      </c>
      <c r="AN215" s="858"/>
      <c r="AO215" s="856">
        <f>I215*2</f>
        <v>24</v>
      </c>
      <c r="BE215" s="925"/>
      <c r="BF215" s="925"/>
      <c r="BG215" s="925"/>
      <c r="BH215" s="925"/>
      <c r="BI215" s="925"/>
      <c r="BJ215" s="857">
        <f>I215</f>
        <v>12</v>
      </c>
      <c r="BK215" s="857">
        <f>I215</f>
        <v>12</v>
      </c>
      <c r="BL215" s="857">
        <f>I215</f>
        <v>12</v>
      </c>
      <c r="BN215" s="939"/>
      <c r="BO215" s="939"/>
      <c r="BP215" s="939"/>
      <c r="BQ215" s="939"/>
      <c r="BR215" s="939"/>
      <c r="BS215" s="939"/>
      <c r="BV215" s="857">
        <f t="shared" si="73"/>
        <v>0</v>
      </c>
      <c r="BW215" s="857">
        <f t="shared" si="74"/>
        <v>0</v>
      </c>
      <c r="BX215" s="308">
        <f t="shared" si="67"/>
        <v>915161</v>
      </c>
      <c r="BY215" s="939"/>
      <c r="BZ215" s="939"/>
      <c r="CA215" s="939"/>
      <c r="CB215" s="939">
        <f t="shared" si="63"/>
        <v>384839</v>
      </c>
      <c r="CC215" s="939"/>
      <c r="CH215" s="940"/>
      <c r="CI215" s="940"/>
      <c r="CJ215" s="940"/>
      <c r="CK215" s="940"/>
      <c r="CL215" s="940"/>
      <c r="CM215" s="940"/>
      <c r="CN215" s="940"/>
      <c r="CO215" s="940"/>
      <c r="CP215" s="940"/>
      <c r="CQ215" s="940"/>
      <c r="CR215" s="940"/>
      <c r="CS215" s="940"/>
      <c r="CT215" s="940"/>
      <c r="CU215" s="940"/>
      <c r="CV215" s="940"/>
      <c r="CW215" s="940"/>
      <c r="CX215" s="940"/>
      <c r="CY215" s="940"/>
      <c r="CZ215" s="940"/>
      <c r="DA215" s="940"/>
      <c r="DB215" s="940"/>
      <c r="DC215" s="940"/>
    </row>
    <row r="216" s="857" customFormat="1" ht="31" customHeight="1" spans="1:107">
      <c r="A216" s="923">
        <v>46035</v>
      </c>
      <c r="B216" s="924" t="s">
        <v>761</v>
      </c>
      <c r="C216" s="925" t="s">
        <v>632</v>
      </c>
      <c r="D216" s="857">
        <v>4500191202</v>
      </c>
      <c r="E216" s="926" t="s">
        <v>2350</v>
      </c>
      <c r="F216" s="1425" t="s">
        <v>2351</v>
      </c>
      <c r="G216" s="927" t="s">
        <v>1746</v>
      </c>
      <c r="H216" s="928" t="s">
        <v>1747</v>
      </c>
      <c r="I216" s="928">
        <v>12</v>
      </c>
      <c r="J216" s="928">
        <v>0</v>
      </c>
      <c r="K216" s="928">
        <v>12</v>
      </c>
      <c r="L216" s="929">
        <f t="shared" si="52"/>
        <v>1</v>
      </c>
      <c r="M216" s="930">
        <v>46092</v>
      </c>
      <c r="N216" s="930">
        <v>46088</v>
      </c>
      <c r="O216" s="926"/>
      <c r="P216" s="931" t="s">
        <v>86</v>
      </c>
      <c r="Q216" s="926"/>
      <c r="R216" s="932">
        <v>46035</v>
      </c>
      <c r="S216" s="932" t="s">
        <v>88</v>
      </c>
      <c r="T216" s="932" t="s">
        <v>2343</v>
      </c>
      <c r="U216" s="932"/>
      <c r="V216" s="933" t="s">
        <v>2347</v>
      </c>
      <c r="W216" s="934" t="s">
        <v>731</v>
      </c>
      <c r="X216" s="935">
        <v>2.8135</v>
      </c>
      <c r="Y216" s="936">
        <f t="shared" si="59"/>
        <v>33.762</v>
      </c>
      <c r="Z216" s="936"/>
      <c r="AA216" s="926"/>
      <c r="AB216" s="1004" t="s">
        <v>1746</v>
      </c>
      <c r="AC216" s="928" t="s">
        <v>93</v>
      </c>
      <c r="AD216" s="928" t="s">
        <v>94</v>
      </c>
      <c r="AE216" s="926"/>
      <c r="AF216" s="946">
        <v>12</v>
      </c>
      <c r="AG216" s="946">
        <f t="shared" si="68"/>
        <v>0</v>
      </c>
      <c r="AH216" s="947"/>
      <c r="AI216" s="926" t="s">
        <v>95</v>
      </c>
      <c r="AJ216" s="926"/>
      <c r="AK216" s="951">
        <f>I216*2</f>
        <v>24</v>
      </c>
      <c r="AL216" s="858"/>
      <c r="AM216" s="858">
        <f>I216*2</f>
        <v>24</v>
      </c>
      <c r="AN216" s="858"/>
      <c r="AO216" s="856">
        <f>I216*2</f>
        <v>24</v>
      </c>
      <c r="BE216" s="925"/>
      <c r="BF216" s="925"/>
      <c r="BG216" s="925"/>
      <c r="BH216" s="925"/>
      <c r="BI216" s="925"/>
      <c r="BJ216" s="857">
        <f>I216</f>
        <v>12</v>
      </c>
      <c r="BK216" s="857">
        <f>I216</f>
        <v>12</v>
      </c>
      <c r="BL216" s="857">
        <f>I216</f>
        <v>12</v>
      </c>
      <c r="BN216" s="939"/>
      <c r="BO216" s="939"/>
      <c r="BP216" s="939"/>
      <c r="BQ216" s="939"/>
      <c r="BR216" s="939"/>
      <c r="BS216" s="939"/>
      <c r="BV216" s="857">
        <f t="shared" si="73"/>
        <v>0</v>
      </c>
      <c r="BW216" s="857">
        <f t="shared" si="74"/>
        <v>0</v>
      </c>
      <c r="BX216" s="308">
        <f t="shared" si="67"/>
        <v>915185</v>
      </c>
      <c r="BY216" s="939"/>
      <c r="BZ216" s="939"/>
      <c r="CA216" s="939"/>
      <c r="CB216" s="939">
        <f t="shared" si="63"/>
        <v>384815</v>
      </c>
      <c r="CC216" s="939"/>
      <c r="CH216" s="940"/>
      <c r="CI216" s="940"/>
      <c r="CJ216" s="940"/>
      <c r="CK216" s="940"/>
      <c r="CL216" s="940"/>
      <c r="CM216" s="940"/>
      <c r="CN216" s="940"/>
      <c r="CO216" s="940"/>
      <c r="CP216" s="940"/>
      <c r="CQ216" s="940"/>
      <c r="CR216" s="940"/>
      <c r="CS216" s="940"/>
      <c r="CT216" s="940"/>
      <c r="CU216" s="940"/>
      <c r="CV216" s="940"/>
      <c r="CW216" s="940"/>
      <c r="CX216" s="940"/>
      <c r="CY216" s="940"/>
      <c r="CZ216" s="940"/>
      <c r="DA216" s="940"/>
      <c r="DB216" s="940"/>
      <c r="DC216" s="940"/>
    </row>
    <row r="217" s="857" customFormat="1" ht="31" customHeight="1" spans="1:107">
      <c r="A217" s="923">
        <v>46016</v>
      </c>
      <c r="B217" s="924" t="s">
        <v>578</v>
      </c>
      <c r="C217" s="925" t="s">
        <v>125</v>
      </c>
      <c r="D217" s="857">
        <v>4500190004</v>
      </c>
      <c r="E217" s="1424" t="s">
        <v>2352</v>
      </c>
      <c r="F217" s="857" t="s">
        <v>2353</v>
      </c>
      <c r="G217" s="927" t="s">
        <v>1584</v>
      </c>
      <c r="H217" s="928" t="s">
        <v>1585</v>
      </c>
      <c r="I217" s="928">
        <v>960</v>
      </c>
      <c r="J217" s="928">
        <v>0</v>
      </c>
      <c r="K217" s="928">
        <v>16</v>
      </c>
      <c r="L217" s="929">
        <f t="shared" si="52"/>
        <v>60</v>
      </c>
      <c r="M217" s="930">
        <v>46086</v>
      </c>
      <c r="N217" s="930">
        <v>46083</v>
      </c>
      <c r="O217" s="926" t="s">
        <v>2354</v>
      </c>
      <c r="P217" s="931" t="s">
        <v>86</v>
      </c>
      <c r="Q217" s="926"/>
      <c r="R217" s="932" t="s">
        <v>395</v>
      </c>
      <c r="S217" s="932" t="s">
        <v>98</v>
      </c>
      <c r="T217" s="932" t="s">
        <v>582</v>
      </c>
      <c r="U217" s="932"/>
      <c r="V217" s="933" t="s">
        <v>1792</v>
      </c>
      <c r="W217" s="934" t="s">
        <v>247</v>
      </c>
      <c r="X217" s="935">
        <v>1.2079</v>
      </c>
      <c r="Y217" s="936">
        <f t="shared" si="59"/>
        <v>1159.584</v>
      </c>
      <c r="Z217" s="936"/>
      <c r="AA217" s="926"/>
      <c r="AB217" s="1004" t="s">
        <v>1584</v>
      </c>
      <c r="AC217" s="928" t="s">
        <v>93</v>
      </c>
      <c r="AD217" s="928" t="s">
        <v>94</v>
      </c>
      <c r="AE217" s="926"/>
      <c r="AF217" s="946">
        <v>960</v>
      </c>
      <c r="AG217" s="946">
        <f t="shared" ref="AG217:AG229" si="77">AF217-I217</f>
        <v>0</v>
      </c>
      <c r="AH217" s="947"/>
      <c r="AI217" s="926" t="s">
        <v>95</v>
      </c>
      <c r="AJ217" s="926"/>
      <c r="AK217" s="926">
        <f t="shared" ref="AK217:AK227" si="78">I217</f>
        <v>960</v>
      </c>
      <c r="AL217" s="858">
        <f t="shared" ref="AL217:AL226" si="79">I217</f>
        <v>960</v>
      </c>
      <c r="AM217" s="858"/>
      <c r="AN217" s="858"/>
      <c r="AO217" s="858">
        <f t="shared" ref="AO217:AO227" si="80">I217</f>
        <v>960</v>
      </c>
      <c r="AY217" s="857">
        <f t="shared" ref="AY217:AY222" si="81">I217/16</f>
        <v>60</v>
      </c>
      <c r="BE217" s="925"/>
      <c r="BF217" s="925"/>
      <c r="BG217" s="925"/>
      <c r="BH217" s="925"/>
      <c r="BI217" s="925"/>
      <c r="BN217" s="939"/>
      <c r="BO217" s="939"/>
      <c r="BP217" s="939"/>
      <c r="BQ217" s="939"/>
      <c r="BR217" s="939"/>
      <c r="BS217" s="939"/>
      <c r="BV217" s="857">
        <f t="shared" ref="BV217:BV280" si="82">AT217+AU217+AY217</f>
        <v>60</v>
      </c>
      <c r="BW217" s="857">
        <f t="shared" ref="BW217:BW280" si="83">BF217+BG217+BI217</f>
        <v>0</v>
      </c>
      <c r="BX217" s="308">
        <f t="shared" si="67"/>
        <v>916145</v>
      </c>
      <c r="BY217" s="939"/>
      <c r="BZ217" s="939"/>
      <c r="CA217" s="939"/>
      <c r="CB217" s="939">
        <f t="shared" si="63"/>
        <v>383855</v>
      </c>
      <c r="CC217" s="939"/>
      <c r="CH217" s="940"/>
      <c r="CI217" s="940"/>
      <c r="CJ217" s="940"/>
      <c r="CK217" s="940"/>
      <c r="CL217" s="940"/>
      <c r="CM217" s="940"/>
      <c r="CN217" s="940"/>
      <c r="CO217" s="940"/>
      <c r="CP217" s="940"/>
      <c r="CQ217" s="940"/>
      <c r="CR217" s="940"/>
      <c r="CS217" s="940"/>
      <c r="CT217" s="940"/>
      <c r="CU217" s="940"/>
      <c r="CV217" s="940"/>
      <c r="CW217" s="940"/>
      <c r="CX217" s="940"/>
      <c r="CY217" s="940"/>
      <c r="CZ217" s="940"/>
      <c r="DA217" s="940"/>
      <c r="DB217" s="940"/>
      <c r="DC217" s="940"/>
    </row>
    <row r="218" s="857" customFormat="1" ht="31" customHeight="1" spans="1:107">
      <c r="A218" s="923">
        <v>46016</v>
      </c>
      <c r="B218" s="924" t="s">
        <v>578</v>
      </c>
      <c r="C218" s="925" t="s">
        <v>125</v>
      </c>
      <c r="D218" s="857">
        <v>4500190004</v>
      </c>
      <c r="E218" s="1424" t="s">
        <v>2355</v>
      </c>
      <c r="F218" s="857" t="s">
        <v>2356</v>
      </c>
      <c r="G218" s="927" t="s">
        <v>1584</v>
      </c>
      <c r="H218" s="928" t="s">
        <v>1585</v>
      </c>
      <c r="I218" s="928">
        <v>960</v>
      </c>
      <c r="J218" s="928">
        <v>0</v>
      </c>
      <c r="K218" s="928">
        <v>16</v>
      </c>
      <c r="L218" s="929">
        <f t="shared" ref="L218:L281" si="84">I218/K218</f>
        <v>60</v>
      </c>
      <c r="M218" s="930">
        <v>46086</v>
      </c>
      <c r="N218" s="930">
        <v>46083</v>
      </c>
      <c r="O218" s="926" t="s">
        <v>2354</v>
      </c>
      <c r="P218" s="931" t="s">
        <v>86</v>
      </c>
      <c r="Q218" s="926"/>
      <c r="R218" s="932" t="s">
        <v>395</v>
      </c>
      <c r="S218" s="932" t="s">
        <v>98</v>
      </c>
      <c r="T218" s="932" t="s">
        <v>582</v>
      </c>
      <c r="U218" s="932"/>
      <c r="V218" s="933" t="s">
        <v>1792</v>
      </c>
      <c r="W218" s="934" t="s">
        <v>247</v>
      </c>
      <c r="X218" s="935">
        <v>1.2079</v>
      </c>
      <c r="Y218" s="936">
        <f t="shared" si="59"/>
        <v>1159.584</v>
      </c>
      <c r="Z218" s="936"/>
      <c r="AA218" s="926"/>
      <c r="AB218" s="1004" t="s">
        <v>1584</v>
      </c>
      <c r="AC218" s="928" t="s">
        <v>93</v>
      </c>
      <c r="AD218" s="928" t="s">
        <v>94</v>
      </c>
      <c r="AE218" s="926"/>
      <c r="AF218" s="946">
        <v>960</v>
      </c>
      <c r="AG218" s="946">
        <f t="shared" si="77"/>
        <v>0</v>
      </c>
      <c r="AH218" s="947"/>
      <c r="AI218" s="926" t="s">
        <v>95</v>
      </c>
      <c r="AJ218" s="926"/>
      <c r="AK218" s="926">
        <f t="shared" si="78"/>
        <v>960</v>
      </c>
      <c r="AL218" s="858">
        <f t="shared" si="79"/>
        <v>960</v>
      </c>
      <c r="AM218" s="858"/>
      <c r="AN218" s="858"/>
      <c r="AO218" s="858">
        <f t="shared" si="80"/>
        <v>960</v>
      </c>
      <c r="AY218" s="857">
        <f t="shared" si="81"/>
        <v>60</v>
      </c>
      <c r="BE218" s="925"/>
      <c r="BF218" s="925"/>
      <c r="BG218" s="925"/>
      <c r="BH218" s="925"/>
      <c r="BI218" s="925"/>
      <c r="BN218" s="939"/>
      <c r="BO218" s="939"/>
      <c r="BP218" s="939"/>
      <c r="BQ218" s="939"/>
      <c r="BR218" s="939"/>
      <c r="BS218" s="939"/>
      <c r="BV218" s="857">
        <f t="shared" si="82"/>
        <v>60</v>
      </c>
      <c r="BW218" s="857">
        <f t="shared" si="83"/>
        <v>0</v>
      </c>
      <c r="BX218" s="308">
        <f t="shared" si="67"/>
        <v>917105</v>
      </c>
      <c r="BY218" s="939"/>
      <c r="BZ218" s="939"/>
      <c r="CA218" s="939"/>
      <c r="CB218" s="939">
        <f t="shared" si="63"/>
        <v>382895</v>
      </c>
      <c r="CC218" s="939"/>
      <c r="CH218" s="940"/>
      <c r="CI218" s="940"/>
      <c r="CJ218" s="940"/>
      <c r="CK218" s="940"/>
      <c r="CL218" s="940"/>
      <c r="CM218" s="940"/>
      <c r="CN218" s="940"/>
      <c r="CO218" s="940"/>
      <c r="CP218" s="940"/>
      <c r="CQ218" s="940"/>
      <c r="CR218" s="940"/>
      <c r="CS218" s="940"/>
      <c r="CT218" s="940"/>
      <c r="CU218" s="940"/>
      <c r="CV218" s="940"/>
      <c r="CW218" s="940"/>
      <c r="CX218" s="940"/>
      <c r="CY218" s="940"/>
      <c r="CZ218" s="940"/>
      <c r="DA218" s="940"/>
      <c r="DB218" s="940"/>
      <c r="DC218" s="940"/>
    </row>
    <row r="219" s="857" customFormat="1" ht="31" customHeight="1" spans="1:107">
      <c r="A219" s="923">
        <v>46016</v>
      </c>
      <c r="B219" s="924" t="s">
        <v>578</v>
      </c>
      <c r="C219" s="925" t="s">
        <v>125</v>
      </c>
      <c r="D219" s="857">
        <v>4500190004</v>
      </c>
      <c r="E219" s="1424" t="s">
        <v>2357</v>
      </c>
      <c r="F219" s="857" t="s">
        <v>2358</v>
      </c>
      <c r="G219" s="927" t="s">
        <v>1584</v>
      </c>
      <c r="H219" s="928" t="s">
        <v>1585</v>
      </c>
      <c r="I219" s="928">
        <v>960</v>
      </c>
      <c r="J219" s="928">
        <v>0</v>
      </c>
      <c r="K219" s="928">
        <v>16</v>
      </c>
      <c r="L219" s="929">
        <f t="shared" si="84"/>
        <v>60</v>
      </c>
      <c r="M219" s="930">
        <v>46086</v>
      </c>
      <c r="N219" s="930">
        <v>46083</v>
      </c>
      <c r="O219" s="926" t="s">
        <v>2354</v>
      </c>
      <c r="P219" s="931" t="s">
        <v>86</v>
      </c>
      <c r="Q219" s="926"/>
      <c r="R219" s="932" t="s">
        <v>395</v>
      </c>
      <c r="S219" s="932" t="s">
        <v>98</v>
      </c>
      <c r="T219" s="932" t="s">
        <v>582</v>
      </c>
      <c r="U219" s="932"/>
      <c r="V219" s="933" t="s">
        <v>1792</v>
      </c>
      <c r="W219" s="934" t="s">
        <v>247</v>
      </c>
      <c r="X219" s="935">
        <v>1.2079</v>
      </c>
      <c r="Y219" s="936">
        <f t="shared" si="59"/>
        <v>1159.584</v>
      </c>
      <c r="Z219" s="936"/>
      <c r="AA219" s="926"/>
      <c r="AB219" s="1004" t="s">
        <v>1584</v>
      </c>
      <c r="AC219" s="928" t="s">
        <v>93</v>
      </c>
      <c r="AD219" s="928" t="s">
        <v>94</v>
      </c>
      <c r="AE219" s="926"/>
      <c r="AF219" s="946">
        <v>960</v>
      </c>
      <c r="AG219" s="946">
        <f t="shared" si="77"/>
        <v>0</v>
      </c>
      <c r="AH219" s="947"/>
      <c r="AI219" s="926" t="s">
        <v>95</v>
      </c>
      <c r="AJ219" s="926"/>
      <c r="AK219" s="926">
        <f t="shared" si="78"/>
        <v>960</v>
      </c>
      <c r="AL219" s="858">
        <f t="shared" si="79"/>
        <v>960</v>
      </c>
      <c r="AM219" s="858"/>
      <c r="AN219" s="858"/>
      <c r="AO219" s="858">
        <f t="shared" si="80"/>
        <v>960</v>
      </c>
      <c r="AY219" s="857">
        <f t="shared" si="81"/>
        <v>60</v>
      </c>
      <c r="BE219" s="925"/>
      <c r="BF219" s="925"/>
      <c r="BG219" s="925"/>
      <c r="BH219" s="925"/>
      <c r="BI219" s="925"/>
      <c r="BN219" s="939"/>
      <c r="BO219" s="939"/>
      <c r="BP219" s="939"/>
      <c r="BQ219" s="939"/>
      <c r="BR219" s="939"/>
      <c r="BS219" s="939"/>
      <c r="BV219" s="857">
        <f t="shared" si="82"/>
        <v>60</v>
      </c>
      <c r="BW219" s="857">
        <f t="shared" si="83"/>
        <v>0</v>
      </c>
      <c r="BX219" s="308">
        <f t="shared" si="67"/>
        <v>918065</v>
      </c>
      <c r="BY219" s="939"/>
      <c r="BZ219" s="939"/>
      <c r="CA219" s="939"/>
      <c r="CB219" s="939">
        <f t="shared" ref="CB219:CB282" si="85">$BZ$1+$CA$1+$CB$1-BX219</f>
        <v>381935</v>
      </c>
      <c r="CC219" s="939"/>
      <c r="CH219" s="940"/>
      <c r="CI219" s="940"/>
      <c r="CJ219" s="940"/>
      <c r="CK219" s="940"/>
      <c r="CL219" s="940"/>
      <c r="CM219" s="940"/>
      <c r="CN219" s="940"/>
      <c r="CO219" s="940"/>
      <c r="CP219" s="940"/>
      <c r="CQ219" s="940"/>
      <c r="CR219" s="940"/>
      <c r="CS219" s="940"/>
      <c r="CT219" s="940"/>
      <c r="CU219" s="940"/>
      <c r="CV219" s="940"/>
      <c r="CW219" s="940"/>
      <c r="CX219" s="940"/>
      <c r="CY219" s="940"/>
      <c r="CZ219" s="940"/>
      <c r="DA219" s="940"/>
      <c r="DB219" s="940"/>
      <c r="DC219" s="940"/>
    </row>
    <row r="220" s="857" customFormat="1" ht="31" customHeight="1" spans="1:107">
      <c r="A220" s="923">
        <v>46016</v>
      </c>
      <c r="B220" s="924" t="s">
        <v>578</v>
      </c>
      <c r="C220" s="925" t="s">
        <v>125</v>
      </c>
      <c r="D220" s="857">
        <v>4500190004</v>
      </c>
      <c r="E220" s="1424" t="s">
        <v>2359</v>
      </c>
      <c r="F220" s="857" t="s">
        <v>2360</v>
      </c>
      <c r="G220" s="927" t="s">
        <v>1584</v>
      </c>
      <c r="H220" s="928" t="s">
        <v>1585</v>
      </c>
      <c r="I220" s="928">
        <v>960</v>
      </c>
      <c r="J220" s="928">
        <v>0</v>
      </c>
      <c r="K220" s="928">
        <v>16</v>
      </c>
      <c r="L220" s="929">
        <f t="shared" si="84"/>
        <v>60</v>
      </c>
      <c r="M220" s="930">
        <v>46086</v>
      </c>
      <c r="N220" s="930">
        <v>46083</v>
      </c>
      <c r="O220" s="926" t="s">
        <v>2354</v>
      </c>
      <c r="P220" s="931" t="s">
        <v>86</v>
      </c>
      <c r="Q220" s="926"/>
      <c r="R220" s="932" t="s">
        <v>395</v>
      </c>
      <c r="S220" s="932" t="s">
        <v>98</v>
      </c>
      <c r="T220" s="932" t="s">
        <v>582</v>
      </c>
      <c r="U220" s="932"/>
      <c r="V220" s="933" t="s">
        <v>1792</v>
      </c>
      <c r="W220" s="934" t="s">
        <v>247</v>
      </c>
      <c r="X220" s="935">
        <v>1.2079</v>
      </c>
      <c r="Y220" s="936">
        <f t="shared" si="59"/>
        <v>1159.584</v>
      </c>
      <c r="Z220" s="936"/>
      <c r="AA220" s="926"/>
      <c r="AB220" s="1004" t="s">
        <v>1584</v>
      </c>
      <c r="AC220" s="928" t="s">
        <v>93</v>
      </c>
      <c r="AD220" s="928" t="s">
        <v>94</v>
      </c>
      <c r="AE220" s="926"/>
      <c r="AF220" s="946">
        <v>960</v>
      </c>
      <c r="AG220" s="946">
        <f t="shared" si="77"/>
        <v>0</v>
      </c>
      <c r="AH220" s="947"/>
      <c r="AI220" s="926" t="s">
        <v>95</v>
      </c>
      <c r="AJ220" s="926"/>
      <c r="AK220" s="926">
        <f t="shared" si="78"/>
        <v>960</v>
      </c>
      <c r="AL220" s="858">
        <f t="shared" si="79"/>
        <v>960</v>
      </c>
      <c r="AM220" s="858"/>
      <c r="AN220" s="858"/>
      <c r="AO220" s="858">
        <f t="shared" si="80"/>
        <v>960</v>
      </c>
      <c r="AY220" s="857">
        <f t="shared" si="81"/>
        <v>60</v>
      </c>
      <c r="BE220" s="925"/>
      <c r="BF220" s="925"/>
      <c r="BG220" s="925"/>
      <c r="BH220" s="925"/>
      <c r="BI220" s="925"/>
      <c r="BN220" s="939"/>
      <c r="BO220" s="939"/>
      <c r="BP220" s="939"/>
      <c r="BQ220" s="939"/>
      <c r="BR220" s="939"/>
      <c r="BS220" s="939"/>
      <c r="BV220" s="857">
        <f t="shared" si="82"/>
        <v>60</v>
      </c>
      <c r="BW220" s="857">
        <f t="shared" si="83"/>
        <v>0</v>
      </c>
      <c r="BX220" s="308">
        <f t="shared" si="67"/>
        <v>919025</v>
      </c>
      <c r="BY220" s="939"/>
      <c r="BZ220" s="939"/>
      <c r="CA220" s="939"/>
      <c r="CB220" s="939">
        <f t="shared" si="85"/>
        <v>380975</v>
      </c>
      <c r="CC220" s="939"/>
      <c r="CH220" s="940"/>
      <c r="CI220" s="940"/>
      <c r="CJ220" s="940"/>
      <c r="CK220" s="940"/>
      <c r="CL220" s="940"/>
      <c r="CM220" s="940"/>
      <c r="CN220" s="940"/>
      <c r="CO220" s="940"/>
      <c r="CP220" s="940"/>
      <c r="CQ220" s="940"/>
      <c r="CR220" s="940"/>
      <c r="CS220" s="940"/>
      <c r="CT220" s="940"/>
      <c r="CU220" s="940"/>
      <c r="CV220" s="940"/>
      <c r="CW220" s="940"/>
      <c r="CX220" s="940"/>
      <c r="CY220" s="940"/>
      <c r="CZ220" s="940"/>
      <c r="DA220" s="940"/>
      <c r="DB220" s="940"/>
      <c r="DC220" s="940"/>
    </row>
    <row r="221" s="857" customFormat="1" ht="31" customHeight="1" spans="1:107">
      <c r="A221" s="923">
        <v>46029</v>
      </c>
      <c r="B221" s="924" t="s">
        <v>1867</v>
      </c>
      <c r="C221" s="925" t="s">
        <v>377</v>
      </c>
      <c r="D221" s="857">
        <v>4500190876</v>
      </c>
      <c r="E221" s="926">
        <v>47893449</v>
      </c>
      <c r="F221" s="857" t="s">
        <v>2361</v>
      </c>
      <c r="G221" s="927" t="s">
        <v>1532</v>
      </c>
      <c r="H221" s="928" t="s">
        <v>1524</v>
      </c>
      <c r="I221" s="928">
        <v>520</v>
      </c>
      <c r="J221" s="928">
        <v>0</v>
      </c>
      <c r="K221" s="928">
        <v>52</v>
      </c>
      <c r="L221" s="929">
        <f t="shared" si="84"/>
        <v>10</v>
      </c>
      <c r="M221" s="930">
        <v>46093</v>
      </c>
      <c r="N221" s="930">
        <f t="shared" ref="N217:N224" si="86">M221-3</f>
        <v>46090</v>
      </c>
      <c r="O221" s="926"/>
      <c r="P221" s="931" t="s">
        <v>86</v>
      </c>
      <c r="Q221" s="926"/>
      <c r="R221" s="932" t="s">
        <v>2362</v>
      </c>
      <c r="S221" s="932" t="s">
        <v>98</v>
      </c>
      <c r="T221" s="932" t="s">
        <v>2363</v>
      </c>
      <c r="U221" s="932"/>
      <c r="V221" s="933" t="s">
        <v>2364</v>
      </c>
      <c r="W221" s="934" t="s">
        <v>381</v>
      </c>
      <c r="X221" s="935">
        <v>1.8212</v>
      </c>
      <c r="Y221" s="936">
        <f t="shared" si="59"/>
        <v>947.024</v>
      </c>
      <c r="Z221" s="936"/>
      <c r="AA221" s="926"/>
      <c r="AB221" s="1004" t="s">
        <v>1532</v>
      </c>
      <c r="AC221" s="928" t="s">
        <v>93</v>
      </c>
      <c r="AD221" s="928" t="s">
        <v>94</v>
      </c>
      <c r="AE221" s="926"/>
      <c r="AF221" s="946">
        <v>520</v>
      </c>
      <c r="AG221" s="946">
        <f t="shared" si="77"/>
        <v>0</v>
      </c>
      <c r="AH221" s="947"/>
      <c r="AI221" s="924" t="s">
        <v>95</v>
      </c>
      <c r="AJ221" s="926"/>
      <c r="AK221" s="926">
        <f t="shared" si="78"/>
        <v>520</v>
      </c>
      <c r="AL221" s="858">
        <f t="shared" si="79"/>
        <v>520</v>
      </c>
      <c r="AM221" s="858"/>
      <c r="AN221" s="858"/>
      <c r="AO221" s="858">
        <f t="shared" si="80"/>
        <v>520</v>
      </c>
      <c r="AR221" s="857">
        <f>I221/13</f>
        <v>40</v>
      </c>
      <c r="BE221" s="925"/>
      <c r="BF221" s="925"/>
      <c r="BG221" s="925"/>
      <c r="BH221" s="925"/>
      <c r="BI221" s="925"/>
      <c r="BN221" s="939"/>
      <c r="BO221" s="939"/>
      <c r="BP221" s="939"/>
      <c r="BQ221" s="939"/>
      <c r="BR221" s="939"/>
      <c r="BS221" s="939"/>
      <c r="BV221" s="857">
        <f t="shared" si="82"/>
        <v>0</v>
      </c>
      <c r="BW221" s="857">
        <f t="shared" si="83"/>
        <v>0</v>
      </c>
      <c r="BX221" s="308">
        <f t="shared" si="67"/>
        <v>919545</v>
      </c>
      <c r="BY221" s="939"/>
      <c r="BZ221" s="939"/>
      <c r="CA221" s="939"/>
      <c r="CB221" s="939">
        <f t="shared" si="85"/>
        <v>380455</v>
      </c>
      <c r="CC221" s="939"/>
      <c r="CH221" s="940"/>
      <c r="CI221" s="940"/>
      <c r="CJ221" s="940"/>
      <c r="CK221" s="940"/>
      <c r="CL221" s="940"/>
      <c r="CM221" s="940"/>
      <c r="CN221" s="940"/>
      <c r="CO221" s="940"/>
      <c r="CP221" s="940"/>
      <c r="CQ221" s="940"/>
      <c r="CR221" s="940"/>
      <c r="CS221" s="940"/>
      <c r="CT221" s="940"/>
      <c r="CU221" s="940"/>
      <c r="CV221" s="940"/>
      <c r="CW221" s="940"/>
      <c r="CX221" s="940"/>
      <c r="CY221" s="940"/>
      <c r="CZ221" s="940"/>
      <c r="DA221" s="940"/>
      <c r="DB221" s="940"/>
      <c r="DC221" s="940"/>
    </row>
    <row r="222" s="857" customFormat="1" ht="31" customHeight="1" spans="1:107">
      <c r="A222" s="923">
        <v>46029</v>
      </c>
      <c r="B222" s="924" t="s">
        <v>1867</v>
      </c>
      <c r="C222" s="925" t="s">
        <v>377</v>
      </c>
      <c r="D222" s="857">
        <v>4500190876</v>
      </c>
      <c r="E222" s="926">
        <v>47893450</v>
      </c>
      <c r="F222" s="857" t="s">
        <v>2365</v>
      </c>
      <c r="G222" s="927" t="s">
        <v>1532</v>
      </c>
      <c r="H222" s="928" t="s">
        <v>1524</v>
      </c>
      <c r="I222" s="928">
        <v>468</v>
      </c>
      <c r="J222" s="928">
        <v>0</v>
      </c>
      <c r="K222" s="928">
        <v>52</v>
      </c>
      <c r="L222" s="929">
        <f t="shared" si="84"/>
        <v>9</v>
      </c>
      <c r="M222" s="930">
        <v>46093</v>
      </c>
      <c r="N222" s="930">
        <f t="shared" si="86"/>
        <v>46090</v>
      </c>
      <c r="O222" s="926"/>
      <c r="P222" s="931" t="s">
        <v>86</v>
      </c>
      <c r="Q222" s="926"/>
      <c r="R222" s="932" t="s">
        <v>2362</v>
      </c>
      <c r="S222" s="932" t="s">
        <v>98</v>
      </c>
      <c r="T222" s="932" t="s">
        <v>2363</v>
      </c>
      <c r="U222" s="932"/>
      <c r="V222" s="933" t="s">
        <v>2364</v>
      </c>
      <c r="W222" s="934" t="s">
        <v>381</v>
      </c>
      <c r="X222" s="935">
        <v>1.8769</v>
      </c>
      <c r="Y222" s="936">
        <f t="shared" si="59"/>
        <v>878.3892</v>
      </c>
      <c r="Z222" s="936"/>
      <c r="AA222" s="926"/>
      <c r="AB222" s="1004" t="s">
        <v>1532</v>
      </c>
      <c r="AC222" s="928" t="s">
        <v>93</v>
      </c>
      <c r="AD222" s="928" t="s">
        <v>94</v>
      </c>
      <c r="AE222" s="926"/>
      <c r="AF222" s="946">
        <v>468</v>
      </c>
      <c r="AG222" s="946">
        <f t="shared" si="77"/>
        <v>0</v>
      </c>
      <c r="AH222" s="947"/>
      <c r="AI222" s="1039"/>
      <c r="AJ222" s="926"/>
      <c r="AK222" s="926">
        <f t="shared" si="78"/>
        <v>468</v>
      </c>
      <c r="AL222" s="858">
        <f t="shared" si="79"/>
        <v>468</v>
      </c>
      <c r="AM222" s="858"/>
      <c r="AN222" s="858"/>
      <c r="AO222" s="858">
        <f t="shared" si="80"/>
        <v>468</v>
      </c>
      <c r="AR222" s="857">
        <f>I222/13</f>
        <v>36</v>
      </c>
      <c r="BE222" s="925"/>
      <c r="BF222" s="925"/>
      <c r="BG222" s="925"/>
      <c r="BH222" s="925"/>
      <c r="BI222" s="925"/>
      <c r="BN222" s="939"/>
      <c r="BO222" s="939"/>
      <c r="BP222" s="939"/>
      <c r="BQ222" s="939"/>
      <c r="BR222" s="939"/>
      <c r="BS222" s="939"/>
      <c r="BV222" s="857">
        <f t="shared" si="82"/>
        <v>0</v>
      </c>
      <c r="BW222" s="857">
        <f t="shared" si="83"/>
        <v>0</v>
      </c>
      <c r="BX222" s="308">
        <f t="shared" si="67"/>
        <v>920013</v>
      </c>
      <c r="BY222" s="939"/>
      <c r="BZ222" s="939"/>
      <c r="CA222" s="939"/>
      <c r="CB222" s="939">
        <f t="shared" si="85"/>
        <v>379987</v>
      </c>
      <c r="CC222" s="939"/>
      <c r="CH222" s="940"/>
      <c r="CI222" s="940"/>
      <c r="CJ222" s="940"/>
      <c r="CK222" s="940"/>
      <c r="CL222" s="940"/>
      <c r="CM222" s="940"/>
      <c r="CN222" s="940"/>
      <c r="CO222" s="940"/>
      <c r="CP222" s="940"/>
      <c r="CQ222" s="940"/>
      <c r="CR222" s="940"/>
      <c r="CS222" s="940"/>
      <c r="CT222" s="940"/>
      <c r="CU222" s="940"/>
      <c r="CV222" s="940"/>
      <c r="CW222" s="940"/>
      <c r="CX222" s="940"/>
      <c r="CY222" s="940"/>
      <c r="CZ222" s="940"/>
      <c r="DA222" s="940"/>
      <c r="DB222" s="940"/>
      <c r="DC222" s="940"/>
    </row>
    <row r="223" s="857" customFormat="1" ht="31" customHeight="1" spans="1:107">
      <c r="A223" s="923">
        <v>46029</v>
      </c>
      <c r="B223" s="924" t="s">
        <v>1867</v>
      </c>
      <c r="C223" s="925" t="s">
        <v>377</v>
      </c>
      <c r="D223" s="857">
        <v>4500190876</v>
      </c>
      <c r="E223" s="926">
        <v>47893451</v>
      </c>
      <c r="F223" s="857" t="s">
        <v>2366</v>
      </c>
      <c r="G223" s="927" t="s">
        <v>1532</v>
      </c>
      <c r="H223" s="928" t="s">
        <v>1524</v>
      </c>
      <c r="I223" s="928">
        <v>364</v>
      </c>
      <c r="J223" s="928">
        <v>0</v>
      </c>
      <c r="K223" s="928">
        <v>52</v>
      </c>
      <c r="L223" s="929">
        <f t="shared" si="84"/>
        <v>7</v>
      </c>
      <c r="M223" s="930">
        <v>46093</v>
      </c>
      <c r="N223" s="930">
        <f t="shared" si="86"/>
        <v>46090</v>
      </c>
      <c r="O223" s="926"/>
      <c r="P223" s="931" t="s">
        <v>86</v>
      </c>
      <c r="Q223" s="926"/>
      <c r="R223" s="932" t="s">
        <v>2362</v>
      </c>
      <c r="S223" s="932" t="s">
        <v>98</v>
      </c>
      <c r="T223" s="932" t="s">
        <v>2363</v>
      </c>
      <c r="U223" s="932"/>
      <c r="V223" s="933" t="s">
        <v>2364</v>
      </c>
      <c r="W223" s="934" t="s">
        <v>381</v>
      </c>
      <c r="X223" s="935">
        <v>1.8769</v>
      </c>
      <c r="Y223" s="936">
        <f t="shared" si="59"/>
        <v>683.1916</v>
      </c>
      <c r="Z223" s="936"/>
      <c r="AA223" s="926"/>
      <c r="AB223" s="1004" t="s">
        <v>1532</v>
      </c>
      <c r="AC223" s="928" t="s">
        <v>93</v>
      </c>
      <c r="AD223" s="928" t="s">
        <v>94</v>
      </c>
      <c r="AE223" s="926"/>
      <c r="AF223" s="946">
        <v>364</v>
      </c>
      <c r="AG223" s="946">
        <f t="shared" si="77"/>
        <v>0</v>
      </c>
      <c r="AH223" s="947"/>
      <c r="AI223" s="1039"/>
      <c r="AJ223" s="926"/>
      <c r="AK223" s="926">
        <f t="shared" si="78"/>
        <v>364</v>
      </c>
      <c r="AL223" s="858">
        <f t="shared" si="79"/>
        <v>364</v>
      </c>
      <c r="AM223" s="858"/>
      <c r="AN223" s="858"/>
      <c r="AO223" s="858">
        <f t="shared" si="80"/>
        <v>364</v>
      </c>
      <c r="AR223" s="857">
        <f>I223/13</f>
        <v>28</v>
      </c>
      <c r="BE223" s="925"/>
      <c r="BF223" s="925"/>
      <c r="BG223" s="925"/>
      <c r="BH223" s="925"/>
      <c r="BI223" s="925"/>
      <c r="BN223" s="939"/>
      <c r="BO223" s="939"/>
      <c r="BP223" s="939"/>
      <c r="BQ223" s="939"/>
      <c r="BR223" s="939"/>
      <c r="BS223" s="939"/>
      <c r="BV223" s="857">
        <f t="shared" si="82"/>
        <v>0</v>
      </c>
      <c r="BW223" s="857">
        <f t="shared" si="83"/>
        <v>0</v>
      </c>
      <c r="BX223" s="308">
        <f t="shared" si="67"/>
        <v>920377</v>
      </c>
      <c r="BY223" s="939"/>
      <c r="BZ223" s="939"/>
      <c r="CA223" s="939"/>
      <c r="CB223" s="939">
        <f t="shared" si="85"/>
        <v>379623</v>
      </c>
      <c r="CC223" s="939"/>
      <c r="CH223" s="940"/>
      <c r="CI223" s="940"/>
      <c r="CJ223" s="940"/>
      <c r="CK223" s="940"/>
      <c r="CL223" s="940"/>
      <c r="CM223" s="940"/>
      <c r="CN223" s="940"/>
      <c r="CO223" s="940"/>
      <c r="CP223" s="940"/>
      <c r="CQ223" s="940"/>
      <c r="CR223" s="940"/>
      <c r="CS223" s="940"/>
      <c r="CT223" s="940"/>
      <c r="CU223" s="940"/>
      <c r="CV223" s="940"/>
      <c r="CW223" s="940"/>
      <c r="CX223" s="940"/>
      <c r="CY223" s="940"/>
      <c r="CZ223" s="940"/>
      <c r="DA223" s="940"/>
      <c r="DB223" s="940"/>
      <c r="DC223" s="940"/>
    </row>
    <row r="224" s="857" customFormat="1" ht="31" customHeight="1" spans="1:107">
      <c r="A224" s="923">
        <v>46029</v>
      </c>
      <c r="B224" s="924" t="s">
        <v>1867</v>
      </c>
      <c r="C224" s="925" t="s">
        <v>377</v>
      </c>
      <c r="D224" s="857">
        <v>4500190876</v>
      </c>
      <c r="E224" s="926">
        <v>47893452</v>
      </c>
      <c r="F224" s="857" t="s">
        <v>2367</v>
      </c>
      <c r="G224" s="927" t="s">
        <v>1532</v>
      </c>
      <c r="H224" s="928" t="s">
        <v>1524</v>
      </c>
      <c r="I224" s="928">
        <v>156</v>
      </c>
      <c r="J224" s="928">
        <v>0</v>
      </c>
      <c r="K224" s="928">
        <v>52</v>
      </c>
      <c r="L224" s="929">
        <f t="shared" si="84"/>
        <v>3</v>
      </c>
      <c r="M224" s="930">
        <v>46093</v>
      </c>
      <c r="N224" s="930">
        <f t="shared" si="86"/>
        <v>46090</v>
      </c>
      <c r="O224" s="926"/>
      <c r="P224" s="931" t="s">
        <v>86</v>
      </c>
      <c r="Q224" s="926"/>
      <c r="R224" s="932" t="s">
        <v>2362</v>
      </c>
      <c r="S224" s="932" t="s">
        <v>98</v>
      </c>
      <c r="T224" s="932" t="s">
        <v>2363</v>
      </c>
      <c r="U224" s="932"/>
      <c r="V224" s="933" t="s">
        <v>2364</v>
      </c>
      <c r="W224" s="934" t="s">
        <v>381</v>
      </c>
      <c r="X224" s="935">
        <v>1.8769</v>
      </c>
      <c r="Y224" s="936">
        <f t="shared" si="59"/>
        <v>292.7964</v>
      </c>
      <c r="Z224" s="936"/>
      <c r="AA224" s="926"/>
      <c r="AB224" s="1004" t="s">
        <v>1532</v>
      </c>
      <c r="AC224" s="928" t="s">
        <v>93</v>
      </c>
      <c r="AD224" s="928" t="s">
        <v>94</v>
      </c>
      <c r="AE224" s="926"/>
      <c r="AF224" s="946">
        <v>156</v>
      </c>
      <c r="AG224" s="946">
        <f t="shared" si="77"/>
        <v>0</v>
      </c>
      <c r="AH224" s="947"/>
      <c r="AI224" s="1040"/>
      <c r="AJ224" s="926"/>
      <c r="AK224" s="926">
        <f t="shared" si="78"/>
        <v>156</v>
      </c>
      <c r="AL224" s="858">
        <f t="shared" si="79"/>
        <v>156</v>
      </c>
      <c r="AM224" s="858"/>
      <c r="AN224" s="858"/>
      <c r="AO224" s="858">
        <f t="shared" si="80"/>
        <v>156</v>
      </c>
      <c r="AR224" s="857">
        <f>I224/13</f>
        <v>12</v>
      </c>
      <c r="BE224" s="925"/>
      <c r="BF224" s="925"/>
      <c r="BG224" s="925"/>
      <c r="BH224" s="925"/>
      <c r="BI224" s="925"/>
      <c r="BN224" s="939"/>
      <c r="BO224" s="939"/>
      <c r="BP224" s="939"/>
      <c r="BQ224" s="939"/>
      <c r="BR224" s="939"/>
      <c r="BS224" s="939"/>
      <c r="BV224" s="857">
        <f t="shared" si="82"/>
        <v>0</v>
      </c>
      <c r="BW224" s="857">
        <f t="shared" si="83"/>
        <v>0</v>
      </c>
      <c r="BX224" s="308">
        <f t="shared" si="67"/>
        <v>920533</v>
      </c>
      <c r="BY224" s="939"/>
      <c r="BZ224" s="939"/>
      <c r="CA224" s="939"/>
      <c r="CB224" s="939">
        <f t="shared" si="85"/>
        <v>379467</v>
      </c>
      <c r="CC224" s="939"/>
      <c r="CH224" s="940"/>
      <c r="CI224" s="940"/>
      <c r="CJ224" s="940"/>
      <c r="CK224" s="940"/>
      <c r="CL224" s="940"/>
      <c r="CM224" s="940"/>
      <c r="CN224" s="940"/>
      <c r="CO224" s="940"/>
      <c r="CP224" s="940"/>
      <c r="CQ224" s="940"/>
      <c r="CR224" s="940"/>
      <c r="CS224" s="940"/>
      <c r="CT224" s="940"/>
      <c r="CU224" s="940"/>
      <c r="CV224" s="940"/>
      <c r="CW224" s="940"/>
      <c r="CX224" s="940"/>
      <c r="CY224" s="940"/>
      <c r="CZ224" s="940"/>
      <c r="DA224" s="940"/>
      <c r="DB224" s="940"/>
      <c r="DC224" s="940"/>
    </row>
    <row r="225" s="857" customFormat="1" ht="31" customHeight="1" spans="1:107">
      <c r="A225" s="923">
        <v>46037</v>
      </c>
      <c r="B225" s="924" t="s">
        <v>2368</v>
      </c>
      <c r="C225" s="925" t="s">
        <v>264</v>
      </c>
      <c r="D225" s="857">
        <v>4500191577</v>
      </c>
      <c r="E225" s="926"/>
      <c r="F225" s="857" t="s">
        <v>2369</v>
      </c>
      <c r="G225" s="927" t="s">
        <v>1523</v>
      </c>
      <c r="H225" s="928" t="s">
        <v>1524</v>
      </c>
      <c r="I225" s="928">
        <v>1000</v>
      </c>
      <c r="J225" s="928">
        <v>0</v>
      </c>
      <c r="K225" s="928">
        <v>50</v>
      </c>
      <c r="L225" s="929">
        <f t="shared" si="84"/>
        <v>20</v>
      </c>
      <c r="M225" s="930">
        <v>46101</v>
      </c>
      <c r="N225" s="930">
        <v>46097</v>
      </c>
      <c r="O225" s="926"/>
      <c r="P225" s="931" t="s">
        <v>86</v>
      </c>
      <c r="Q225" s="926"/>
      <c r="R225" s="932" t="s">
        <v>89</v>
      </c>
      <c r="S225" s="932" t="s">
        <v>98</v>
      </c>
      <c r="T225" s="932" t="s">
        <v>89</v>
      </c>
      <c r="U225" s="932"/>
      <c r="V225" s="933" t="s">
        <v>2370</v>
      </c>
      <c r="W225" s="934" t="s">
        <v>225</v>
      </c>
      <c r="X225" s="935">
        <v>1.9324</v>
      </c>
      <c r="Y225" s="936">
        <f t="shared" si="59"/>
        <v>1932.4</v>
      </c>
      <c r="Z225" s="936"/>
      <c r="AA225" s="926"/>
      <c r="AB225" s="1004" t="s">
        <v>1727</v>
      </c>
      <c r="AC225" s="928" t="s">
        <v>93</v>
      </c>
      <c r="AD225" s="928" t="s">
        <v>94</v>
      </c>
      <c r="AE225" s="926"/>
      <c r="AF225" s="946">
        <v>1000</v>
      </c>
      <c r="AG225" s="946">
        <f t="shared" si="77"/>
        <v>0</v>
      </c>
      <c r="AH225" s="947"/>
      <c r="AI225" s="1040" t="s">
        <v>95</v>
      </c>
      <c r="AJ225" s="926"/>
      <c r="AK225" s="926">
        <f t="shared" si="78"/>
        <v>1000</v>
      </c>
      <c r="AL225" s="858"/>
      <c r="AM225" s="858"/>
      <c r="AN225" s="858">
        <f>I225</f>
        <v>1000</v>
      </c>
      <c r="AO225" s="858">
        <f t="shared" si="80"/>
        <v>1000</v>
      </c>
      <c r="AU225" s="857">
        <f>I225/25</f>
        <v>40</v>
      </c>
      <c r="BE225" s="925"/>
      <c r="BF225" s="925"/>
      <c r="BG225" s="925"/>
      <c r="BH225" s="925"/>
      <c r="BI225" s="925"/>
      <c r="BN225" s="939"/>
      <c r="BO225" s="939"/>
      <c r="BP225" s="939"/>
      <c r="BQ225" s="939"/>
      <c r="BR225" s="939"/>
      <c r="BS225" s="939"/>
      <c r="BV225" s="857">
        <f t="shared" si="82"/>
        <v>40</v>
      </c>
      <c r="BW225" s="857">
        <f t="shared" si="83"/>
        <v>0</v>
      </c>
      <c r="BX225" s="308">
        <f t="shared" si="67"/>
        <v>921533</v>
      </c>
      <c r="BY225" s="939"/>
      <c r="BZ225" s="939"/>
      <c r="CA225" s="939"/>
      <c r="CB225" s="939">
        <f t="shared" si="85"/>
        <v>378467</v>
      </c>
      <c r="CC225" s="939"/>
      <c r="CH225" s="940"/>
      <c r="CI225" s="940"/>
      <c r="CJ225" s="940"/>
      <c r="CK225" s="940"/>
      <c r="CL225" s="940"/>
      <c r="CM225" s="940"/>
      <c r="CN225" s="940"/>
      <c r="CO225" s="940"/>
      <c r="CP225" s="940"/>
      <c r="CQ225" s="940"/>
      <c r="CR225" s="940"/>
      <c r="CS225" s="940"/>
      <c r="CT225" s="940"/>
      <c r="CU225" s="940"/>
      <c r="CV225" s="940"/>
      <c r="CW225" s="940"/>
      <c r="CX225" s="940"/>
      <c r="CY225" s="940"/>
      <c r="CZ225" s="940"/>
      <c r="DA225" s="940"/>
      <c r="DB225" s="940"/>
      <c r="DC225" s="940"/>
    </row>
    <row r="226" s="857" customFormat="1" ht="31" customHeight="1" spans="1:107">
      <c r="A226" s="923">
        <v>46044</v>
      </c>
      <c r="B226" s="924" t="s">
        <v>1956</v>
      </c>
      <c r="C226" s="925" t="s">
        <v>110</v>
      </c>
      <c r="D226" s="857">
        <v>4500191855</v>
      </c>
      <c r="E226" s="926" t="s">
        <v>2371</v>
      </c>
      <c r="F226" s="857" t="s">
        <v>2372</v>
      </c>
      <c r="G226" s="927" t="s">
        <v>1746</v>
      </c>
      <c r="H226" s="928" t="s">
        <v>1747</v>
      </c>
      <c r="I226" s="928">
        <v>504</v>
      </c>
      <c r="J226" s="928">
        <v>0</v>
      </c>
      <c r="K226" s="928">
        <v>12</v>
      </c>
      <c r="L226" s="929">
        <f t="shared" si="84"/>
        <v>42</v>
      </c>
      <c r="M226" s="930">
        <v>46101</v>
      </c>
      <c r="N226" s="930">
        <v>46097</v>
      </c>
      <c r="O226" s="926"/>
      <c r="P226" s="931" t="s">
        <v>86</v>
      </c>
      <c r="Q226" s="926"/>
      <c r="R226" s="932" t="s">
        <v>597</v>
      </c>
      <c r="S226" s="932" t="s">
        <v>88</v>
      </c>
      <c r="T226" s="932" t="s">
        <v>2373</v>
      </c>
      <c r="U226" s="932"/>
      <c r="V226" s="933" t="s">
        <v>2374</v>
      </c>
      <c r="W226" s="934" t="s">
        <v>1391</v>
      </c>
      <c r="X226" s="935">
        <v>2.7354</v>
      </c>
      <c r="Y226" s="936">
        <f t="shared" si="59"/>
        <v>1378.6416</v>
      </c>
      <c r="Z226" s="936"/>
      <c r="AA226" s="926"/>
      <c r="AB226" s="1004" t="s">
        <v>1746</v>
      </c>
      <c r="AC226" s="928" t="s">
        <v>93</v>
      </c>
      <c r="AD226" s="928" t="s">
        <v>94</v>
      </c>
      <c r="AE226" s="926"/>
      <c r="AF226" s="946">
        <v>504</v>
      </c>
      <c r="AG226" s="946">
        <f t="shared" si="77"/>
        <v>0</v>
      </c>
      <c r="AH226" s="947"/>
      <c r="AI226" s="1040" t="s">
        <v>95</v>
      </c>
      <c r="AJ226" s="926"/>
      <c r="AK226" s="951">
        <f>I226*2</f>
        <v>1008</v>
      </c>
      <c r="AL226" s="858"/>
      <c r="AM226" s="858">
        <f>I226*2</f>
        <v>1008</v>
      </c>
      <c r="AN226" s="858"/>
      <c r="AO226" s="856">
        <f>I226*2</f>
        <v>1008</v>
      </c>
      <c r="BE226" s="925"/>
      <c r="BF226" s="925"/>
      <c r="BG226" s="925"/>
      <c r="BH226" s="925"/>
      <c r="BI226" s="925"/>
      <c r="BJ226" s="857">
        <f>I226</f>
        <v>504</v>
      </c>
      <c r="BK226" s="857">
        <f>I226</f>
        <v>504</v>
      </c>
      <c r="BL226" s="857">
        <f>I226</f>
        <v>504</v>
      </c>
      <c r="BN226" s="939"/>
      <c r="BO226" s="939"/>
      <c r="BP226" s="939"/>
      <c r="BQ226" s="939"/>
      <c r="BR226" s="939"/>
      <c r="BS226" s="939"/>
      <c r="BV226" s="857">
        <f t="shared" si="82"/>
        <v>0</v>
      </c>
      <c r="BW226" s="857">
        <f t="shared" si="83"/>
        <v>0</v>
      </c>
      <c r="BX226" s="308">
        <f t="shared" si="67"/>
        <v>922541</v>
      </c>
      <c r="BY226" s="939"/>
      <c r="BZ226" s="939"/>
      <c r="CA226" s="939"/>
      <c r="CB226" s="939">
        <f t="shared" si="85"/>
        <v>377459</v>
      </c>
      <c r="CC226" s="939"/>
      <c r="CH226" s="940"/>
      <c r="CI226" s="940"/>
      <c r="CJ226" s="940"/>
      <c r="CK226" s="940"/>
      <c r="CL226" s="940"/>
      <c r="CM226" s="940"/>
      <c r="CN226" s="940"/>
      <c r="CO226" s="940"/>
      <c r="CP226" s="940"/>
      <c r="CQ226" s="940"/>
      <c r="CR226" s="940"/>
      <c r="CS226" s="940"/>
      <c r="CT226" s="940"/>
      <c r="CU226" s="940"/>
      <c r="CV226" s="940"/>
      <c r="CW226" s="940"/>
      <c r="CX226" s="940"/>
      <c r="CY226" s="940"/>
      <c r="CZ226" s="940"/>
      <c r="DA226" s="940"/>
      <c r="DB226" s="940"/>
      <c r="DC226" s="940"/>
    </row>
    <row r="227" s="857" customFormat="1" ht="31" customHeight="1" spans="1:107">
      <c r="A227" s="923">
        <v>46058</v>
      </c>
      <c r="B227" s="924" t="s">
        <v>578</v>
      </c>
      <c r="C227" s="925" t="s">
        <v>125</v>
      </c>
      <c r="D227" s="857">
        <v>4500193218</v>
      </c>
      <c r="E227" s="1424" t="s">
        <v>2375</v>
      </c>
      <c r="F227" s="857" t="s">
        <v>2376</v>
      </c>
      <c r="G227" s="927" t="s">
        <v>1584</v>
      </c>
      <c r="H227" s="928" t="s">
        <v>1585</v>
      </c>
      <c r="I227" s="928">
        <v>12336</v>
      </c>
      <c r="J227" s="928">
        <v>0</v>
      </c>
      <c r="K227" s="928">
        <v>16</v>
      </c>
      <c r="L227" s="929">
        <f t="shared" si="84"/>
        <v>771</v>
      </c>
      <c r="M227" s="930">
        <v>46106</v>
      </c>
      <c r="N227" s="930">
        <v>46102</v>
      </c>
      <c r="O227" s="1041" t="s">
        <v>2377</v>
      </c>
      <c r="P227" s="931" t="s">
        <v>86</v>
      </c>
      <c r="Q227" s="926"/>
      <c r="R227" s="932" t="s">
        <v>395</v>
      </c>
      <c r="S227" s="932" t="s">
        <v>98</v>
      </c>
      <c r="T227" s="932" t="s">
        <v>582</v>
      </c>
      <c r="U227" s="932"/>
      <c r="V227" s="933" t="s">
        <v>1792</v>
      </c>
      <c r="W227" s="934" t="s">
        <v>247</v>
      </c>
      <c r="X227" s="935">
        <v>1.1827</v>
      </c>
      <c r="Y227" s="936">
        <f t="shared" ref="Y227:Y259" si="87">X227*I227</f>
        <v>14589.7872</v>
      </c>
      <c r="Z227" s="936"/>
      <c r="AA227" s="926"/>
      <c r="AB227" s="927" t="s">
        <v>1584</v>
      </c>
      <c r="AC227" s="928" t="s">
        <v>93</v>
      </c>
      <c r="AD227" s="928" t="s">
        <v>94</v>
      </c>
      <c r="AE227" s="926"/>
      <c r="AF227" s="946">
        <v>12336</v>
      </c>
      <c r="AG227" s="946">
        <f t="shared" ref="AG227:AG240" si="88">AF227-I227</f>
        <v>0</v>
      </c>
      <c r="AH227" s="947"/>
      <c r="AI227" s="926" t="s">
        <v>95</v>
      </c>
      <c r="AJ227" s="926"/>
      <c r="AK227" s="926">
        <f t="shared" ref="AK227:AK240" si="89">I227</f>
        <v>12336</v>
      </c>
      <c r="AL227" s="858">
        <f t="shared" ref="AL227:AL240" si="90">I227</f>
        <v>12336</v>
      </c>
      <c r="AM227" s="858"/>
      <c r="AN227" s="858"/>
      <c r="AO227" s="857">
        <f t="shared" ref="AO227:AO245" si="91">I227</f>
        <v>12336</v>
      </c>
      <c r="AY227" s="857">
        <f t="shared" ref="AY227:AY238" si="92">I227/16</f>
        <v>771</v>
      </c>
      <c r="BE227" s="925"/>
      <c r="BF227" s="925"/>
      <c r="BG227" s="925"/>
      <c r="BH227" s="925"/>
      <c r="BI227" s="925"/>
      <c r="BN227" s="939"/>
      <c r="BO227" s="939"/>
      <c r="BP227" s="939"/>
      <c r="BQ227" s="939"/>
      <c r="BR227" s="939"/>
      <c r="BS227" s="939"/>
      <c r="BV227" s="857">
        <f t="shared" si="82"/>
        <v>771</v>
      </c>
      <c r="BW227" s="857">
        <f t="shared" si="83"/>
        <v>0</v>
      </c>
      <c r="BX227" s="939">
        <f>AK227+BX269</f>
        <v>936797</v>
      </c>
      <c r="BY227" s="939"/>
      <c r="BZ227" s="939"/>
      <c r="CA227" s="939"/>
      <c r="CB227" s="939">
        <f t="shared" si="85"/>
        <v>363203</v>
      </c>
      <c r="CC227" s="939"/>
      <c r="CH227" s="940"/>
      <c r="CI227" s="940"/>
      <c r="CJ227" s="940"/>
      <c r="CK227" s="940"/>
      <c r="CL227" s="940"/>
      <c r="CM227" s="940"/>
      <c r="CN227" s="940"/>
      <c r="CO227" s="940"/>
      <c r="CP227" s="940"/>
      <c r="CQ227" s="940"/>
      <c r="CR227" s="940"/>
      <c r="CS227" s="940"/>
      <c r="CT227" s="940"/>
      <c r="CU227" s="940"/>
      <c r="CV227" s="940"/>
      <c r="CW227" s="940"/>
      <c r="CX227" s="940"/>
      <c r="CY227" s="940"/>
      <c r="CZ227" s="940"/>
      <c r="DA227" s="940"/>
      <c r="DB227" s="940"/>
      <c r="DC227" s="940"/>
    </row>
    <row r="228" s="857" customFormat="1" ht="31" customHeight="1" spans="1:107">
      <c r="A228" s="923">
        <v>46058</v>
      </c>
      <c r="B228" s="924" t="s">
        <v>578</v>
      </c>
      <c r="C228" s="925" t="s">
        <v>125</v>
      </c>
      <c r="D228" s="857">
        <v>4500193218</v>
      </c>
      <c r="E228" s="1424" t="s">
        <v>2378</v>
      </c>
      <c r="F228" s="857" t="s">
        <v>2379</v>
      </c>
      <c r="G228" s="927" t="s">
        <v>1584</v>
      </c>
      <c r="H228" s="928" t="s">
        <v>1585</v>
      </c>
      <c r="I228" s="928">
        <v>6800</v>
      </c>
      <c r="J228" s="928">
        <v>0</v>
      </c>
      <c r="K228" s="928">
        <v>16</v>
      </c>
      <c r="L228" s="929">
        <f t="shared" si="84"/>
        <v>425</v>
      </c>
      <c r="M228" s="930">
        <v>46106</v>
      </c>
      <c r="N228" s="930">
        <v>46102</v>
      </c>
      <c r="O228" s="1041" t="s">
        <v>2377</v>
      </c>
      <c r="P228" s="931" t="s">
        <v>86</v>
      </c>
      <c r="Q228" s="926"/>
      <c r="R228" s="932" t="s">
        <v>395</v>
      </c>
      <c r="S228" s="932" t="s">
        <v>98</v>
      </c>
      <c r="T228" s="932" t="s">
        <v>582</v>
      </c>
      <c r="U228" s="932"/>
      <c r="V228" s="933" t="s">
        <v>1792</v>
      </c>
      <c r="W228" s="934" t="s">
        <v>247</v>
      </c>
      <c r="X228" s="935">
        <v>1.1827</v>
      </c>
      <c r="Y228" s="936">
        <f t="shared" si="87"/>
        <v>8042.36</v>
      </c>
      <c r="Z228" s="936"/>
      <c r="AA228" s="926"/>
      <c r="AB228" s="927" t="s">
        <v>1584</v>
      </c>
      <c r="AC228" s="928" t="s">
        <v>93</v>
      </c>
      <c r="AD228" s="928" t="s">
        <v>94</v>
      </c>
      <c r="AE228" s="926"/>
      <c r="AF228" s="946">
        <v>6800</v>
      </c>
      <c r="AG228" s="946">
        <f t="shared" si="88"/>
        <v>0</v>
      </c>
      <c r="AH228" s="947"/>
      <c r="AI228" s="926" t="s">
        <v>95</v>
      </c>
      <c r="AJ228" s="926"/>
      <c r="AK228" s="926">
        <f t="shared" si="89"/>
        <v>6800</v>
      </c>
      <c r="AL228" s="858">
        <f t="shared" si="90"/>
        <v>6800</v>
      </c>
      <c r="AM228" s="858"/>
      <c r="AN228" s="858"/>
      <c r="AO228" s="857">
        <f t="shared" si="91"/>
        <v>6800</v>
      </c>
      <c r="AY228" s="857">
        <f t="shared" si="92"/>
        <v>425</v>
      </c>
      <c r="BE228" s="925"/>
      <c r="BF228" s="925"/>
      <c r="BG228" s="925"/>
      <c r="BH228" s="925"/>
      <c r="BI228" s="925"/>
      <c r="BN228" s="939"/>
      <c r="BO228" s="939"/>
      <c r="BP228" s="939"/>
      <c r="BQ228" s="939"/>
      <c r="BR228" s="939"/>
      <c r="BS228" s="939"/>
      <c r="BV228" s="857">
        <f t="shared" si="82"/>
        <v>425</v>
      </c>
      <c r="BW228" s="857">
        <f t="shared" si="83"/>
        <v>0</v>
      </c>
      <c r="BX228" s="939">
        <f t="shared" ref="BX228:BX233" si="93">AK228+BX227</f>
        <v>943597</v>
      </c>
      <c r="BY228" s="939"/>
      <c r="BZ228" s="939"/>
      <c r="CA228" s="939"/>
      <c r="CB228" s="939">
        <f t="shared" si="85"/>
        <v>356403</v>
      </c>
      <c r="CC228" s="939"/>
      <c r="CH228" s="940"/>
      <c r="CI228" s="940"/>
      <c r="CJ228" s="940"/>
      <c r="CK228" s="940"/>
      <c r="CL228" s="940"/>
      <c r="CM228" s="940"/>
      <c r="CN228" s="940"/>
      <c r="CO228" s="940"/>
      <c r="CP228" s="940"/>
      <c r="CQ228" s="940"/>
      <c r="CR228" s="940"/>
      <c r="CS228" s="940"/>
      <c r="CT228" s="940"/>
      <c r="CU228" s="940"/>
      <c r="CV228" s="940"/>
      <c r="CW228" s="940"/>
      <c r="CX228" s="940"/>
      <c r="CY228" s="940"/>
      <c r="CZ228" s="940"/>
      <c r="DA228" s="940"/>
      <c r="DB228" s="940"/>
      <c r="DC228" s="940"/>
    </row>
    <row r="229" s="857" customFormat="1" ht="31" customHeight="1" spans="1:107">
      <c r="A229" s="923">
        <v>46058</v>
      </c>
      <c r="B229" s="924" t="s">
        <v>578</v>
      </c>
      <c r="C229" s="925" t="s">
        <v>125</v>
      </c>
      <c r="D229" s="857">
        <v>4500193218</v>
      </c>
      <c r="E229" s="1424" t="s">
        <v>2380</v>
      </c>
      <c r="F229" s="857" t="s">
        <v>2381</v>
      </c>
      <c r="G229" s="927" t="s">
        <v>1584</v>
      </c>
      <c r="H229" s="928" t="s">
        <v>1585</v>
      </c>
      <c r="I229" s="928">
        <v>12496</v>
      </c>
      <c r="J229" s="928">
        <v>0</v>
      </c>
      <c r="K229" s="928">
        <v>16</v>
      </c>
      <c r="L229" s="929">
        <f t="shared" si="84"/>
        <v>781</v>
      </c>
      <c r="M229" s="930">
        <v>46106</v>
      </c>
      <c r="N229" s="930">
        <v>46102</v>
      </c>
      <c r="O229" s="1041" t="s">
        <v>2377</v>
      </c>
      <c r="P229" s="931" t="s">
        <v>86</v>
      </c>
      <c r="Q229" s="926"/>
      <c r="R229" s="932" t="s">
        <v>395</v>
      </c>
      <c r="S229" s="932" t="s">
        <v>98</v>
      </c>
      <c r="T229" s="932" t="s">
        <v>582</v>
      </c>
      <c r="U229" s="932"/>
      <c r="V229" s="933" t="s">
        <v>1792</v>
      </c>
      <c r="W229" s="934" t="s">
        <v>247</v>
      </c>
      <c r="X229" s="935">
        <v>1.1827</v>
      </c>
      <c r="Y229" s="936">
        <f t="shared" si="87"/>
        <v>14779.0192</v>
      </c>
      <c r="Z229" s="936"/>
      <c r="AA229" s="926"/>
      <c r="AB229" s="927" t="s">
        <v>1584</v>
      </c>
      <c r="AC229" s="928" t="s">
        <v>93</v>
      </c>
      <c r="AD229" s="928" t="s">
        <v>94</v>
      </c>
      <c r="AE229" s="926"/>
      <c r="AF229" s="946">
        <v>12496</v>
      </c>
      <c r="AG229" s="946">
        <f t="shared" si="88"/>
        <v>0</v>
      </c>
      <c r="AH229" s="947"/>
      <c r="AI229" s="926" t="s">
        <v>95</v>
      </c>
      <c r="AJ229" s="926"/>
      <c r="AK229" s="926">
        <f t="shared" si="89"/>
        <v>12496</v>
      </c>
      <c r="AL229" s="858">
        <f t="shared" si="90"/>
        <v>12496</v>
      </c>
      <c r="AM229" s="858"/>
      <c r="AN229" s="858"/>
      <c r="AO229" s="857">
        <f t="shared" si="91"/>
        <v>12496</v>
      </c>
      <c r="AY229" s="857">
        <f t="shared" si="92"/>
        <v>781</v>
      </c>
      <c r="BE229" s="925"/>
      <c r="BF229" s="925"/>
      <c r="BG229" s="925"/>
      <c r="BH229" s="925"/>
      <c r="BI229" s="925"/>
      <c r="BN229" s="939"/>
      <c r="BO229" s="939"/>
      <c r="BP229" s="939"/>
      <c r="BQ229" s="939"/>
      <c r="BR229" s="939"/>
      <c r="BS229" s="939"/>
      <c r="BV229" s="857">
        <f t="shared" si="82"/>
        <v>781</v>
      </c>
      <c r="BW229" s="857">
        <f t="shared" si="83"/>
        <v>0</v>
      </c>
      <c r="BX229" s="939">
        <f t="shared" si="93"/>
        <v>956093</v>
      </c>
      <c r="BY229" s="939"/>
      <c r="BZ229" s="939"/>
      <c r="CA229" s="939"/>
      <c r="CB229" s="939">
        <f t="shared" si="85"/>
        <v>343907</v>
      </c>
      <c r="CC229" s="939"/>
      <c r="CH229" s="940"/>
      <c r="CI229" s="940"/>
      <c r="CJ229" s="940"/>
      <c r="CK229" s="940"/>
      <c r="CL229" s="940"/>
      <c r="CM229" s="940"/>
      <c r="CN229" s="940"/>
      <c r="CO229" s="940"/>
      <c r="CP229" s="940"/>
      <c r="CQ229" s="940"/>
      <c r="CR229" s="940"/>
      <c r="CS229" s="940"/>
      <c r="CT229" s="940"/>
      <c r="CU229" s="940"/>
      <c r="CV229" s="940"/>
      <c r="CW229" s="940"/>
      <c r="CX229" s="940"/>
      <c r="CY229" s="940"/>
      <c r="CZ229" s="940"/>
      <c r="DA229" s="940"/>
      <c r="DB229" s="940"/>
      <c r="DC229" s="940"/>
    </row>
    <row r="230" s="857" customFormat="1" ht="31" customHeight="1" spans="1:107">
      <c r="A230" s="923">
        <v>46058</v>
      </c>
      <c r="B230" s="924" t="s">
        <v>578</v>
      </c>
      <c r="C230" s="925" t="s">
        <v>125</v>
      </c>
      <c r="D230" s="857">
        <v>4500193218</v>
      </c>
      <c r="E230" s="1424" t="s">
        <v>2382</v>
      </c>
      <c r="F230" s="857" t="s">
        <v>2383</v>
      </c>
      <c r="G230" s="927" t="s">
        <v>1584</v>
      </c>
      <c r="H230" s="928" t="s">
        <v>1585</v>
      </c>
      <c r="I230" s="928">
        <v>7504</v>
      </c>
      <c r="J230" s="928">
        <v>0</v>
      </c>
      <c r="K230" s="928">
        <v>16</v>
      </c>
      <c r="L230" s="929">
        <f t="shared" si="84"/>
        <v>469</v>
      </c>
      <c r="M230" s="930">
        <v>46106</v>
      </c>
      <c r="N230" s="930">
        <v>46102</v>
      </c>
      <c r="O230" s="1041" t="s">
        <v>2377</v>
      </c>
      <c r="P230" s="931" t="s">
        <v>86</v>
      </c>
      <c r="Q230" s="926"/>
      <c r="R230" s="932" t="s">
        <v>395</v>
      </c>
      <c r="S230" s="932" t="s">
        <v>98</v>
      </c>
      <c r="T230" s="932" t="s">
        <v>582</v>
      </c>
      <c r="U230" s="932"/>
      <c r="V230" s="933" t="s">
        <v>1792</v>
      </c>
      <c r="W230" s="934" t="s">
        <v>247</v>
      </c>
      <c r="X230" s="935">
        <v>1.1827</v>
      </c>
      <c r="Y230" s="936">
        <f t="shared" si="87"/>
        <v>8874.9808</v>
      </c>
      <c r="Z230" s="936"/>
      <c r="AA230" s="926"/>
      <c r="AB230" s="927" t="s">
        <v>1584</v>
      </c>
      <c r="AC230" s="928" t="s">
        <v>93</v>
      </c>
      <c r="AD230" s="928" t="s">
        <v>94</v>
      </c>
      <c r="AE230" s="926"/>
      <c r="AF230" s="946">
        <v>7504</v>
      </c>
      <c r="AG230" s="946">
        <f t="shared" si="88"/>
        <v>0</v>
      </c>
      <c r="AH230" s="947"/>
      <c r="AI230" s="926" t="s">
        <v>95</v>
      </c>
      <c r="AJ230" s="926"/>
      <c r="AK230" s="926">
        <f t="shared" si="89"/>
        <v>7504</v>
      </c>
      <c r="AL230" s="858">
        <f t="shared" si="90"/>
        <v>7504</v>
      </c>
      <c r="AM230" s="858"/>
      <c r="AN230" s="858"/>
      <c r="AO230" s="857">
        <f t="shared" si="91"/>
        <v>7504</v>
      </c>
      <c r="AY230" s="857">
        <f t="shared" si="92"/>
        <v>469</v>
      </c>
      <c r="BE230" s="925"/>
      <c r="BF230" s="925"/>
      <c r="BG230" s="925"/>
      <c r="BH230" s="925"/>
      <c r="BI230" s="925"/>
      <c r="BN230" s="939"/>
      <c r="BO230" s="939"/>
      <c r="BP230" s="939"/>
      <c r="BQ230" s="939"/>
      <c r="BR230" s="939"/>
      <c r="BS230" s="939"/>
      <c r="BV230" s="857">
        <f t="shared" si="82"/>
        <v>469</v>
      </c>
      <c r="BW230" s="857">
        <f t="shared" si="83"/>
        <v>0</v>
      </c>
      <c r="BX230" s="939">
        <f t="shared" si="93"/>
        <v>963597</v>
      </c>
      <c r="BY230" s="939"/>
      <c r="BZ230" s="939"/>
      <c r="CA230" s="939"/>
      <c r="CB230" s="939">
        <f t="shared" si="85"/>
        <v>336403</v>
      </c>
      <c r="CC230" s="939"/>
      <c r="CH230" s="940"/>
      <c r="CI230" s="940"/>
      <c r="CJ230" s="940"/>
      <c r="CK230" s="940"/>
      <c r="CL230" s="940"/>
      <c r="CM230" s="940"/>
      <c r="CN230" s="940"/>
      <c r="CO230" s="940"/>
      <c r="CP230" s="940"/>
      <c r="CQ230" s="940"/>
      <c r="CR230" s="940"/>
      <c r="CS230" s="940"/>
      <c r="CT230" s="940"/>
      <c r="CU230" s="940"/>
      <c r="CV230" s="940"/>
      <c r="CW230" s="940"/>
      <c r="CX230" s="940"/>
      <c r="CY230" s="940"/>
      <c r="CZ230" s="940"/>
      <c r="DA230" s="940"/>
      <c r="DB230" s="940"/>
      <c r="DC230" s="940"/>
    </row>
    <row r="231" s="857" customFormat="1" ht="31" customHeight="1" spans="1:107">
      <c r="A231" s="923">
        <v>46058</v>
      </c>
      <c r="B231" s="924" t="s">
        <v>578</v>
      </c>
      <c r="C231" s="925" t="s">
        <v>125</v>
      </c>
      <c r="D231" s="857">
        <v>4500193218</v>
      </c>
      <c r="E231" s="1424" t="s">
        <v>2384</v>
      </c>
      <c r="F231" s="857" t="s">
        <v>2385</v>
      </c>
      <c r="G231" s="927" t="s">
        <v>1584</v>
      </c>
      <c r="H231" s="928" t="s">
        <v>1585</v>
      </c>
      <c r="I231" s="928">
        <v>9024</v>
      </c>
      <c r="J231" s="928">
        <v>0</v>
      </c>
      <c r="K231" s="928">
        <v>16</v>
      </c>
      <c r="L231" s="929">
        <f t="shared" si="84"/>
        <v>564</v>
      </c>
      <c r="M231" s="930">
        <v>46106</v>
      </c>
      <c r="N231" s="930">
        <v>46102</v>
      </c>
      <c r="O231" s="1041" t="s">
        <v>2377</v>
      </c>
      <c r="P231" s="931" t="s">
        <v>86</v>
      </c>
      <c r="Q231" s="926"/>
      <c r="R231" s="932" t="s">
        <v>395</v>
      </c>
      <c r="S231" s="932" t="s">
        <v>98</v>
      </c>
      <c r="T231" s="932" t="s">
        <v>582</v>
      </c>
      <c r="U231" s="932"/>
      <c r="V231" s="933" t="s">
        <v>1792</v>
      </c>
      <c r="W231" s="934" t="s">
        <v>247</v>
      </c>
      <c r="X231" s="935">
        <v>1.1827</v>
      </c>
      <c r="Y231" s="936">
        <f t="shared" si="87"/>
        <v>10672.6848</v>
      </c>
      <c r="Z231" s="936"/>
      <c r="AA231" s="926"/>
      <c r="AB231" s="927" t="s">
        <v>1584</v>
      </c>
      <c r="AC231" s="928" t="s">
        <v>93</v>
      </c>
      <c r="AD231" s="928" t="s">
        <v>94</v>
      </c>
      <c r="AE231" s="926"/>
      <c r="AF231" s="946">
        <v>9024</v>
      </c>
      <c r="AG231" s="946">
        <f t="shared" si="88"/>
        <v>0</v>
      </c>
      <c r="AH231" s="947"/>
      <c r="AI231" s="926" t="s">
        <v>95</v>
      </c>
      <c r="AJ231" s="926"/>
      <c r="AK231" s="926">
        <f t="shared" si="89"/>
        <v>9024</v>
      </c>
      <c r="AL231" s="858">
        <f t="shared" si="90"/>
        <v>9024</v>
      </c>
      <c r="AM231" s="858"/>
      <c r="AN231" s="858"/>
      <c r="AO231" s="857">
        <f t="shared" si="91"/>
        <v>9024</v>
      </c>
      <c r="AY231" s="857">
        <f t="shared" si="92"/>
        <v>564</v>
      </c>
      <c r="BE231" s="925"/>
      <c r="BF231" s="925"/>
      <c r="BG231" s="925"/>
      <c r="BH231" s="925"/>
      <c r="BI231" s="925"/>
      <c r="BN231" s="939"/>
      <c r="BO231" s="939"/>
      <c r="BP231" s="939"/>
      <c r="BQ231" s="939"/>
      <c r="BR231" s="939"/>
      <c r="BS231" s="939"/>
      <c r="BV231" s="857">
        <f t="shared" si="82"/>
        <v>564</v>
      </c>
      <c r="BW231" s="857">
        <f t="shared" si="83"/>
        <v>0</v>
      </c>
      <c r="BX231" s="939">
        <f t="shared" si="93"/>
        <v>972621</v>
      </c>
      <c r="BY231" s="939"/>
      <c r="BZ231" s="939"/>
      <c r="CA231" s="939"/>
      <c r="CB231" s="939">
        <f t="shared" si="85"/>
        <v>327379</v>
      </c>
      <c r="CC231" s="939"/>
      <c r="CH231" s="940"/>
      <c r="CI231" s="940"/>
      <c r="CJ231" s="940"/>
      <c r="CK231" s="940"/>
      <c r="CL231" s="940"/>
      <c r="CM231" s="940"/>
      <c r="CN231" s="940"/>
      <c r="CO231" s="940"/>
      <c r="CP231" s="940"/>
      <c r="CQ231" s="940"/>
      <c r="CR231" s="940"/>
      <c r="CS231" s="940"/>
      <c r="CT231" s="940"/>
      <c r="CU231" s="940"/>
      <c r="CV231" s="940"/>
      <c r="CW231" s="940"/>
      <c r="CX231" s="940"/>
      <c r="CY231" s="940"/>
      <c r="CZ231" s="940"/>
      <c r="DA231" s="940"/>
      <c r="DB231" s="940"/>
      <c r="DC231" s="940"/>
    </row>
    <row r="232" s="857" customFormat="1" ht="31" customHeight="1" spans="1:107">
      <c r="A232" s="923">
        <v>46058</v>
      </c>
      <c r="B232" s="924" t="s">
        <v>578</v>
      </c>
      <c r="C232" s="925" t="s">
        <v>125</v>
      </c>
      <c r="D232" s="857">
        <v>4500193218</v>
      </c>
      <c r="E232" s="1424" t="s">
        <v>2386</v>
      </c>
      <c r="F232" s="857" t="s">
        <v>2387</v>
      </c>
      <c r="G232" s="927" t="s">
        <v>1584</v>
      </c>
      <c r="H232" s="928" t="s">
        <v>1585</v>
      </c>
      <c r="I232" s="928">
        <v>4848</v>
      </c>
      <c r="J232" s="928">
        <v>0</v>
      </c>
      <c r="K232" s="928">
        <v>16</v>
      </c>
      <c r="L232" s="929">
        <f t="shared" si="84"/>
        <v>303</v>
      </c>
      <c r="M232" s="930">
        <v>46106</v>
      </c>
      <c r="N232" s="930">
        <v>46102</v>
      </c>
      <c r="O232" s="1041" t="s">
        <v>2377</v>
      </c>
      <c r="P232" s="931" t="s">
        <v>86</v>
      </c>
      <c r="Q232" s="926"/>
      <c r="R232" s="932" t="s">
        <v>395</v>
      </c>
      <c r="S232" s="932" t="s">
        <v>98</v>
      </c>
      <c r="T232" s="932" t="s">
        <v>582</v>
      </c>
      <c r="U232" s="932"/>
      <c r="V232" s="933" t="s">
        <v>1792</v>
      </c>
      <c r="W232" s="934" t="s">
        <v>247</v>
      </c>
      <c r="X232" s="935">
        <v>1.1827</v>
      </c>
      <c r="Y232" s="936">
        <f t="shared" si="87"/>
        <v>5733.7296</v>
      </c>
      <c r="Z232" s="936"/>
      <c r="AA232" s="926"/>
      <c r="AB232" s="927" t="s">
        <v>1584</v>
      </c>
      <c r="AC232" s="928" t="s">
        <v>93</v>
      </c>
      <c r="AD232" s="928" t="s">
        <v>94</v>
      </c>
      <c r="AE232" s="926"/>
      <c r="AF232" s="946">
        <v>4848</v>
      </c>
      <c r="AG232" s="946">
        <f t="shared" si="88"/>
        <v>0</v>
      </c>
      <c r="AH232" s="947"/>
      <c r="AI232" s="926" t="s">
        <v>95</v>
      </c>
      <c r="AJ232" s="926"/>
      <c r="AK232" s="926">
        <f t="shared" si="89"/>
        <v>4848</v>
      </c>
      <c r="AL232" s="858">
        <f t="shared" si="90"/>
        <v>4848</v>
      </c>
      <c r="AM232" s="858"/>
      <c r="AN232" s="858"/>
      <c r="AO232" s="857">
        <f t="shared" si="91"/>
        <v>4848</v>
      </c>
      <c r="AY232" s="857">
        <f t="shared" si="92"/>
        <v>303</v>
      </c>
      <c r="BE232" s="925"/>
      <c r="BF232" s="925"/>
      <c r="BG232" s="925"/>
      <c r="BH232" s="925"/>
      <c r="BI232" s="925"/>
      <c r="BN232" s="939"/>
      <c r="BO232" s="939"/>
      <c r="BP232" s="939"/>
      <c r="BQ232" s="939"/>
      <c r="BR232" s="939"/>
      <c r="BS232" s="939"/>
      <c r="BV232" s="857">
        <f t="shared" si="82"/>
        <v>303</v>
      </c>
      <c r="BW232" s="857">
        <f t="shared" si="83"/>
        <v>0</v>
      </c>
      <c r="BX232" s="939">
        <f t="shared" si="93"/>
        <v>977469</v>
      </c>
      <c r="BY232" s="939"/>
      <c r="BZ232" s="939"/>
      <c r="CA232" s="939"/>
      <c r="CB232" s="939">
        <f t="shared" si="85"/>
        <v>322531</v>
      </c>
      <c r="CC232" s="939"/>
      <c r="CH232" s="940"/>
      <c r="CI232" s="940"/>
      <c r="CJ232" s="940"/>
      <c r="CK232" s="940"/>
      <c r="CL232" s="940"/>
      <c r="CM232" s="940"/>
      <c r="CN232" s="940"/>
      <c r="CO232" s="940"/>
      <c r="CP232" s="940"/>
      <c r="CQ232" s="940"/>
      <c r="CR232" s="940"/>
      <c r="CS232" s="940"/>
      <c r="CT232" s="940"/>
      <c r="CU232" s="940"/>
      <c r="CV232" s="940"/>
      <c r="CW232" s="940"/>
      <c r="CX232" s="940"/>
      <c r="CY232" s="940"/>
      <c r="CZ232" s="940"/>
      <c r="DA232" s="940"/>
      <c r="DB232" s="940"/>
      <c r="DC232" s="940"/>
    </row>
    <row r="233" s="857" customFormat="1" ht="31" customHeight="1" spans="1:107">
      <c r="A233" s="923">
        <v>46058</v>
      </c>
      <c r="B233" s="924" t="s">
        <v>578</v>
      </c>
      <c r="C233" s="925" t="s">
        <v>125</v>
      </c>
      <c r="D233" s="857">
        <v>4500193218</v>
      </c>
      <c r="E233" s="1424" t="s">
        <v>2388</v>
      </c>
      <c r="F233" s="857" t="s">
        <v>2389</v>
      </c>
      <c r="G233" s="927" t="s">
        <v>1584</v>
      </c>
      <c r="H233" s="928" t="s">
        <v>1585</v>
      </c>
      <c r="I233" s="928">
        <v>11968</v>
      </c>
      <c r="J233" s="928">
        <v>0</v>
      </c>
      <c r="K233" s="928">
        <v>16</v>
      </c>
      <c r="L233" s="929">
        <f t="shared" si="84"/>
        <v>748</v>
      </c>
      <c r="M233" s="930">
        <v>46106</v>
      </c>
      <c r="N233" s="930">
        <v>46102</v>
      </c>
      <c r="O233" s="1041" t="s">
        <v>2377</v>
      </c>
      <c r="P233" s="931" t="s">
        <v>86</v>
      </c>
      <c r="Q233" s="926"/>
      <c r="R233" s="932" t="s">
        <v>395</v>
      </c>
      <c r="S233" s="932" t="s">
        <v>98</v>
      </c>
      <c r="T233" s="932" t="s">
        <v>582</v>
      </c>
      <c r="U233" s="932"/>
      <c r="V233" s="933" t="s">
        <v>1792</v>
      </c>
      <c r="W233" s="934" t="s">
        <v>247</v>
      </c>
      <c r="X233" s="935">
        <v>1.1827</v>
      </c>
      <c r="Y233" s="936">
        <f t="shared" si="87"/>
        <v>14154.5536</v>
      </c>
      <c r="Z233" s="936"/>
      <c r="AA233" s="926"/>
      <c r="AB233" s="927" t="s">
        <v>1584</v>
      </c>
      <c r="AC233" s="928" t="s">
        <v>93</v>
      </c>
      <c r="AD233" s="928" t="s">
        <v>94</v>
      </c>
      <c r="AE233" s="926"/>
      <c r="AF233" s="946">
        <v>11968</v>
      </c>
      <c r="AG233" s="946">
        <f t="shared" si="88"/>
        <v>0</v>
      </c>
      <c r="AH233" s="947"/>
      <c r="AI233" s="926" t="s">
        <v>95</v>
      </c>
      <c r="AJ233" s="926"/>
      <c r="AK233" s="926">
        <f t="shared" si="89"/>
        <v>11968</v>
      </c>
      <c r="AL233" s="858">
        <f t="shared" si="90"/>
        <v>11968</v>
      </c>
      <c r="AM233" s="858"/>
      <c r="AN233" s="858"/>
      <c r="AO233" s="857">
        <f t="shared" si="91"/>
        <v>11968</v>
      </c>
      <c r="AY233" s="857">
        <f t="shared" si="92"/>
        <v>748</v>
      </c>
      <c r="BE233" s="925"/>
      <c r="BF233" s="925"/>
      <c r="BG233" s="925"/>
      <c r="BH233" s="925"/>
      <c r="BI233" s="925"/>
      <c r="BN233" s="939"/>
      <c r="BO233" s="939"/>
      <c r="BP233" s="939"/>
      <c r="BQ233" s="939"/>
      <c r="BR233" s="939"/>
      <c r="BS233" s="939"/>
      <c r="BV233" s="857">
        <f t="shared" si="82"/>
        <v>748</v>
      </c>
      <c r="BW233" s="857">
        <f t="shared" si="83"/>
        <v>0</v>
      </c>
      <c r="BX233" s="939">
        <f t="shared" si="93"/>
        <v>989437</v>
      </c>
      <c r="BY233" s="939"/>
      <c r="BZ233" s="939"/>
      <c r="CA233" s="939"/>
      <c r="CB233" s="939">
        <f t="shared" si="85"/>
        <v>310563</v>
      </c>
      <c r="CC233" s="939"/>
      <c r="CH233" s="940"/>
      <c r="CI233" s="940"/>
      <c r="CJ233" s="940"/>
      <c r="CK233" s="940"/>
      <c r="CL233" s="940"/>
      <c r="CM233" s="940"/>
      <c r="CN233" s="940"/>
      <c r="CO233" s="940"/>
      <c r="CP233" s="940"/>
      <c r="CQ233" s="940"/>
      <c r="CR233" s="940"/>
      <c r="CS233" s="940"/>
      <c r="CT233" s="940"/>
      <c r="CU233" s="940"/>
      <c r="CV233" s="940"/>
      <c r="CW233" s="940"/>
      <c r="CX233" s="940"/>
      <c r="CY233" s="940"/>
      <c r="CZ233" s="940"/>
      <c r="DA233" s="940"/>
      <c r="DB233" s="940"/>
      <c r="DC233" s="940"/>
    </row>
    <row r="234" s="857" customFormat="1" ht="31" customHeight="1" spans="1:107">
      <c r="A234" s="923">
        <v>46055</v>
      </c>
      <c r="B234" s="924" t="s">
        <v>578</v>
      </c>
      <c r="C234" s="925" t="s">
        <v>125</v>
      </c>
      <c r="D234" s="857">
        <v>4500192878</v>
      </c>
      <c r="E234" s="1424" t="s">
        <v>2390</v>
      </c>
      <c r="F234" s="857" t="s">
        <v>2391</v>
      </c>
      <c r="G234" s="927" t="s">
        <v>1584</v>
      </c>
      <c r="H234" s="928" t="s">
        <v>1585</v>
      </c>
      <c r="I234" s="928">
        <v>960</v>
      </c>
      <c r="J234" s="928">
        <v>0</v>
      </c>
      <c r="K234" s="928">
        <v>16</v>
      </c>
      <c r="L234" s="929">
        <f t="shared" si="84"/>
        <v>60</v>
      </c>
      <c r="M234" s="930">
        <v>46112</v>
      </c>
      <c r="N234" s="930">
        <v>46108</v>
      </c>
      <c r="O234" s="1041" t="s">
        <v>2392</v>
      </c>
      <c r="P234" s="931" t="s">
        <v>86</v>
      </c>
      <c r="Q234" s="926"/>
      <c r="R234" s="932" t="s">
        <v>395</v>
      </c>
      <c r="S234" s="932" t="s">
        <v>98</v>
      </c>
      <c r="T234" s="932" t="s">
        <v>582</v>
      </c>
      <c r="U234" s="932"/>
      <c r="V234" s="933" t="s">
        <v>2296</v>
      </c>
      <c r="W234" s="934" t="s">
        <v>247</v>
      </c>
      <c r="X234" s="935">
        <v>1.2079</v>
      </c>
      <c r="Y234" s="936">
        <f t="shared" si="87"/>
        <v>1159.584</v>
      </c>
      <c r="Z234" s="936"/>
      <c r="AA234" s="926"/>
      <c r="AB234" s="927" t="s">
        <v>1584</v>
      </c>
      <c r="AC234" s="928" t="s">
        <v>93</v>
      </c>
      <c r="AD234" s="928" t="s">
        <v>94</v>
      </c>
      <c r="AE234" s="926"/>
      <c r="AF234" s="946">
        <v>960</v>
      </c>
      <c r="AG234" s="946">
        <f t="shared" si="88"/>
        <v>0</v>
      </c>
      <c r="AH234" s="947"/>
      <c r="AI234" s="926" t="s">
        <v>95</v>
      </c>
      <c r="AJ234" s="926"/>
      <c r="AK234" s="926">
        <f t="shared" si="89"/>
        <v>960</v>
      </c>
      <c r="AL234" s="858">
        <f t="shared" si="90"/>
        <v>960</v>
      </c>
      <c r="AM234" s="858"/>
      <c r="AN234" s="858"/>
      <c r="AO234" s="857">
        <f t="shared" si="91"/>
        <v>960</v>
      </c>
      <c r="AY234" s="857">
        <f t="shared" si="92"/>
        <v>60</v>
      </c>
      <c r="BE234" s="925"/>
      <c r="BF234" s="925"/>
      <c r="BG234" s="925"/>
      <c r="BH234" s="925"/>
      <c r="BI234" s="925"/>
      <c r="BN234" s="939"/>
      <c r="BO234" s="939"/>
      <c r="BP234" s="939"/>
      <c r="BQ234" s="939"/>
      <c r="BR234" s="939"/>
      <c r="BS234" s="939"/>
      <c r="BV234" s="857">
        <f t="shared" si="82"/>
        <v>60</v>
      </c>
      <c r="BW234" s="857">
        <f t="shared" si="83"/>
        <v>0</v>
      </c>
      <c r="BX234" s="939">
        <f>AK234+BX273</f>
        <v>993405</v>
      </c>
      <c r="BY234" s="939"/>
      <c r="BZ234" s="939"/>
      <c r="CA234" s="939"/>
      <c r="CB234" s="939">
        <f t="shared" si="85"/>
        <v>306595</v>
      </c>
      <c r="CC234" s="939"/>
      <c r="CH234" s="940"/>
      <c r="CI234" s="940"/>
      <c r="CJ234" s="940"/>
      <c r="CK234" s="940"/>
      <c r="CL234" s="940"/>
      <c r="CM234" s="940"/>
      <c r="CN234" s="940"/>
      <c r="CO234" s="940"/>
      <c r="CP234" s="940"/>
      <c r="CQ234" s="940"/>
      <c r="CR234" s="940"/>
      <c r="CS234" s="940"/>
      <c r="CT234" s="940"/>
      <c r="CU234" s="940"/>
      <c r="CV234" s="940"/>
      <c r="CW234" s="940"/>
      <c r="CX234" s="940"/>
      <c r="CY234" s="940"/>
      <c r="CZ234" s="940"/>
      <c r="DA234" s="940"/>
      <c r="DB234" s="940"/>
      <c r="DC234" s="940"/>
    </row>
    <row r="235" s="857" customFormat="1" ht="31" customHeight="1" spans="1:107">
      <c r="A235" s="923">
        <v>46055</v>
      </c>
      <c r="B235" s="924" t="s">
        <v>578</v>
      </c>
      <c r="C235" s="925" t="s">
        <v>125</v>
      </c>
      <c r="D235" s="857">
        <v>4500192878</v>
      </c>
      <c r="E235" s="1424" t="s">
        <v>2393</v>
      </c>
      <c r="F235" s="857" t="s">
        <v>2394</v>
      </c>
      <c r="G235" s="927" t="s">
        <v>1584</v>
      </c>
      <c r="H235" s="928" t="s">
        <v>1585</v>
      </c>
      <c r="I235" s="928">
        <v>960</v>
      </c>
      <c r="J235" s="928">
        <v>0</v>
      </c>
      <c r="K235" s="928">
        <v>16</v>
      </c>
      <c r="L235" s="929">
        <f t="shared" si="84"/>
        <v>60</v>
      </c>
      <c r="M235" s="930">
        <v>46112</v>
      </c>
      <c r="N235" s="930">
        <v>46108</v>
      </c>
      <c r="O235" s="1041" t="s">
        <v>2392</v>
      </c>
      <c r="P235" s="931" t="s">
        <v>86</v>
      </c>
      <c r="Q235" s="926"/>
      <c r="R235" s="932" t="s">
        <v>395</v>
      </c>
      <c r="S235" s="932" t="s">
        <v>98</v>
      </c>
      <c r="T235" s="932" t="s">
        <v>582</v>
      </c>
      <c r="U235" s="932"/>
      <c r="V235" s="933" t="s">
        <v>2296</v>
      </c>
      <c r="W235" s="934" t="s">
        <v>247</v>
      </c>
      <c r="X235" s="935">
        <v>1.2079</v>
      </c>
      <c r="Y235" s="936">
        <f t="shared" si="87"/>
        <v>1159.584</v>
      </c>
      <c r="Z235" s="936"/>
      <c r="AA235" s="926"/>
      <c r="AB235" s="927" t="s">
        <v>1584</v>
      </c>
      <c r="AC235" s="928" t="s">
        <v>93</v>
      </c>
      <c r="AD235" s="928" t="s">
        <v>94</v>
      </c>
      <c r="AE235" s="926"/>
      <c r="AF235" s="946">
        <v>960</v>
      </c>
      <c r="AG235" s="946">
        <f t="shared" si="88"/>
        <v>0</v>
      </c>
      <c r="AH235" s="947"/>
      <c r="AI235" s="926" t="s">
        <v>95</v>
      </c>
      <c r="AJ235" s="926"/>
      <c r="AK235" s="926">
        <f t="shared" si="89"/>
        <v>960</v>
      </c>
      <c r="AL235" s="858">
        <f t="shared" si="90"/>
        <v>960</v>
      </c>
      <c r="AM235" s="858"/>
      <c r="AN235" s="858"/>
      <c r="AO235" s="857">
        <f t="shared" si="91"/>
        <v>960</v>
      </c>
      <c r="AY235" s="857">
        <f t="shared" si="92"/>
        <v>60</v>
      </c>
      <c r="BE235" s="925"/>
      <c r="BF235" s="925"/>
      <c r="BG235" s="925"/>
      <c r="BH235" s="925"/>
      <c r="BI235" s="925"/>
      <c r="BN235" s="939"/>
      <c r="BO235" s="939"/>
      <c r="BP235" s="939"/>
      <c r="BQ235" s="939"/>
      <c r="BR235" s="939"/>
      <c r="BS235" s="939"/>
      <c r="BV235" s="857">
        <f t="shared" si="82"/>
        <v>60</v>
      </c>
      <c r="BW235" s="857">
        <f t="shared" si="83"/>
        <v>0</v>
      </c>
      <c r="BX235" s="939">
        <f>AK235+BX234</f>
        <v>994365</v>
      </c>
      <c r="BY235" s="939"/>
      <c r="BZ235" s="939"/>
      <c r="CA235" s="939"/>
      <c r="CB235" s="939">
        <f t="shared" si="85"/>
        <v>305635</v>
      </c>
      <c r="CC235" s="939"/>
      <c r="CH235" s="940"/>
      <c r="CI235" s="940"/>
      <c r="CJ235" s="940"/>
      <c r="CK235" s="940"/>
      <c r="CL235" s="940"/>
      <c r="CM235" s="940"/>
      <c r="CN235" s="940"/>
      <c r="CO235" s="940"/>
      <c r="CP235" s="940"/>
      <c r="CQ235" s="940"/>
      <c r="CR235" s="940"/>
      <c r="CS235" s="940"/>
      <c r="CT235" s="940"/>
      <c r="CU235" s="940"/>
      <c r="CV235" s="940"/>
      <c r="CW235" s="940"/>
      <c r="CX235" s="940"/>
      <c r="CY235" s="940"/>
      <c r="CZ235" s="940"/>
      <c r="DA235" s="940"/>
      <c r="DB235" s="940"/>
      <c r="DC235" s="940"/>
    </row>
    <row r="236" s="857" customFormat="1" ht="31" customHeight="1" spans="1:107">
      <c r="A236" s="923">
        <v>46055</v>
      </c>
      <c r="B236" s="924" t="s">
        <v>578</v>
      </c>
      <c r="C236" s="925" t="s">
        <v>125</v>
      </c>
      <c r="D236" s="857">
        <v>4500192878</v>
      </c>
      <c r="E236" s="1424" t="s">
        <v>2395</v>
      </c>
      <c r="F236" s="857" t="s">
        <v>2396</v>
      </c>
      <c r="G236" s="927" t="s">
        <v>1584</v>
      </c>
      <c r="H236" s="928" t="s">
        <v>1585</v>
      </c>
      <c r="I236" s="928">
        <v>960</v>
      </c>
      <c r="J236" s="928">
        <v>0</v>
      </c>
      <c r="K236" s="928">
        <v>16</v>
      </c>
      <c r="L236" s="929">
        <f t="shared" si="84"/>
        <v>60</v>
      </c>
      <c r="M236" s="930">
        <v>46112</v>
      </c>
      <c r="N236" s="930">
        <v>46108</v>
      </c>
      <c r="O236" s="1041" t="s">
        <v>2392</v>
      </c>
      <c r="P236" s="931" t="s">
        <v>86</v>
      </c>
      <c r="Q236" s="926"/>
      <c r="R236" s="932" t="s">
        <v>395</v>
      </c>
      <c r="S236" s="932" t="s">
        <v>98</v>
      </c>
      <c r="T236" s="932" t="s">
        <v>582</v>
      </c>
      <c r="U236" s="932"/>
      <c r="V236" s="933" t="s">
        <v>2296</v>
      </c>
      <c r="W236" s="934" t="s">
        <v>247</v>
      </c>
      <c r="X236" s="935">
        <v>1.2079</v>
      </c>
      <c r="Y236" s="936">
        <f t="shared" si="87"/>
        <v>1159.584</v>
      </c>
      <c r="Z236" s="936"/>
      <c r="AA236" s="926"/>
      <c r="AB236" s="927" t="s">
        <v>1584</v>
      </c>
      <c r="AC236" s="928" t="s">
        <v>93</v>
      </c>
      <c r="AD236" s="928" t="s">
        <v>94</v>
      </c>
      <c r="AE236" s="926"/>
      <c r="AF236" s="946">
        <v>960</v>
      </c>
      <c r="AG236" s="946">
        <f t="shared" si="88"/>
        <v>0</v>
      </c>
      <c r="AH236" s="947"/>
      <c r="AI236" s="926" t="s">
        <v>95</v>
      </c>
      <c r="AJ236" s="926"/>
      <c r="AK236" s="926">
        <f t="shared" si="89"/>
        <v>960</v>
      </c>
      <c r="AL236" s="858">
        <f t="shared" si="90"/>
        <v>960</v>
      </c>
      <c r="AM236" s="858"/>
      <c r="AN236" s="858"/>
      <c r="AO236" s="857">
        <f t="shared" si="91"/>
        <v>960</v>
      </c>
      <c r="AY236" s="857">
        <f t="shared" si="92"/>
        <v>60</v>
      </c>
      <c r="BE236" s="925"/>
      <c r="BF236" s="925"/>
      <c r="BG236" s="925"/>
      <c r="BH236" s="925"/>
      <c r="BI236" s="925"/>
      <c r="BN236" s="939"/>
      <c r="BO236" s="939"/>
      <c r="BP236" s="939"/>
      <c r="BQ236" s="939"/>
      <c r="BR236" s="939"/>
      <c r="BS236" s="939"/>
      <c r="BV236" s="857">
        <f t="shared" si="82"/>
        <v>60</v>
      </c>
      <c r="BW236" s="857">
        <f t="shared" si="83"/>
        <v>0</v>
      </c>
      <c r="BX236" s="939">
        <f>AK236+BX235</f>
        <v>995325</v>
      </c>
      <c r="BY236" s="939"/>
      <c r="BZ236" s="939"/>
      <c r="CA236" s="939"/>
      <c r="CB236" s="939">
        <f t="shared" si="85"/>
        <v>304675</v>
      </c>
      <c r="CC236" s="939"/>
      <c r="CH236" s="940"/>
      <c r="CI236" s="940"/>
      <c r="CJ236" s="940"/>
      <c r="CK236" s="940"/>
      <c r="CL236" s="940"/>
      <c r="CM236" s="940"/>
      <c r="CN236" s="940"/>
      <c r="CO236" s="940"/>
      <c r="CP236" s="940"/>
      <c r="CQ236" s="940"/>
      <c r="CR236" s="940"/>
      <c r="CS236" s="940"/>
      <c r="CT236" s="940"/>
      <c r="CU236" s="940"/>
      <c r="CV236" s="940"/>
      <c r="CW236" s="940"/>
      <c r="CX236" s="940"/>
      <c r="CY236" s="940"/>
      <c r="CZ236" s="940"/>
      <c r="DA236" s="940"/>
      <c r="DB236" s="940"/>
      <c r="DC236" s="940"/>
    </row>
    <row r="237" s="857" customFormat="1" ht="31" customHeight="1" spans="1:107">
      <c r="A237" s="923">
        <v>46055</v>
      </c>
      <c r="B237" s="924" t="s">
        <v>578</v>
      </c>
      <c r="C237" s="925" t="s">
        <v>125</v>
      </c>
      <c r="D237" s="857">
        <v>4500192878</v>
      </c>
      <c r="E237" s="1424" t="s">
        <v>2397</v>
      </c>
      <c r="F237" s="857" t="s">
        <v>2398</v>
      </c>
      <c r="G237" s="927" t="s">
        <v>1584</v>
      </c>
      <c r="H237" s="928" t="s">
        <v>1585</v>
      </c>
      <c r="I237" s="928">
        <v>960</v>
      </c>
      <c r="J237" s="928">
        <v>0</v>
      </c>
      <c r="K237" s="928">
        <v>16</v>
      </c>
      <c r="L237" s="929">
        <f t="shared" si="84"/>
        <v>60</v>
      </c>
      <c r="M237" s="930">
        <v>46112</v>
      </c>
      <c r="N237" s="930">
        <v>46108</v>
      </c>
      <c r="O237" s="1041" t="s">
        <v>2392</v>
      </c>
      <c r="P237" s="931" t="s">
        <v>86</v>
      </c>
      <c r="Q237" s="926"/>
      <c r="R237" s="932" t="s">
        <v>395</v>
      </c>
      <c r="S237" s="932" t="s">
        <v>98</v>
      </c>
      <c r="T237" s="932" t="s">
        <v>582</v>
      </c>
      <c r="U237" s="932"/>
      <c r="V237" s="933" t="s">
        <v>2296</v>
      </c>
      <c r="W237" s="934" t="s">
        <v>247</v>
      </c>
      <c r="X237" s="935">
        <v>1.2079</v>
      </c>
      <c r="Y237" s="936">
        <f t="shared" si="87"/>
        <v>1159.584</v>
      </c>
      <c r="Z237" s="936"/>
      <c r="AA237" s="926"/>
      <c r="AB237" s="927" t="s">
        <v>1584</v>
      </c>
      <c r="AC237" s="928" t="s">
        <v>93</v>
      </c>
      <c r="AD237" s="928" t="s">
        <v>94</v>
      </c>
      <c r="AE237" s="926"/>
      <c r="AF237" s="946">
        <v>960</v>
      </c>
      <c r="AG237" s="946">
        <f t="shared" si="88"/>
        <v>0</v>
      </c>
      <c r="AH237" s="947"/>
      <c r="AI237" s="926" t="s">
        <v>95</v>
      </c>
      <c r="AJ237" s="926"/>
      <c r="AK237" s="926">
        <f t="shared" si="89"/>
        <v>960</v>
      </c>
      <c r="AL237" s="858">
        <f t="shared" si="90"/>
        <v>960</v>
      </c>
      <c r="AM237" s="858"/>
      <c r="AN237" s="858"/>
      <c r="AO237" s="857">
        <f t="shared" si="91"/>
        <v>960</v>
      </c>
      <c r="AY237" s="857">
        <f t="shared" si="92"/>
        <v>60</v>
      </c>
      <c r="BE237" s="925"/>
      <c r="BF237" s="925"/>
      <c r="BG237" s="925"/>
      <c r="BH237" s="925"/>
      <c r="BI237" s="925"/>
      <c r="BN237" s="939"/>
      <c r="BO237" s="939"/>
      <c r="BP237" s="939"/>
      <c r="BQ237" s="939"/>
      <c r="BR237" s="939"/>
      <c r="BS237" s="939"/>
      <c r="BV237" s="857">
        <f t="shared" si="82"/>
        <v>60</v>
      </c>
      <c r="BW237" s="857">
        <f t="shared" si="83"/>
        <v>0</v>
      </c>
      <c r="BX237" s="939">
        <f>AK237+BX236</f>
        <v>996285</v>
      </c>
      <c r="BY237" s="939"/>
      <c r="BZ237" s="939"/>
      <c r="CA237" s="939"/>
      <c r="CB237" s="939">
        <f t="shared" si="85"/>
        <v>303715</v>
      </c>
      <c r="CC237" s="939"/>
      <c r="CH237" s="940"/>
      <c r="CI237" s="940"/>
      <c r="CJ237" s="940"/>
      <c r="CK237" s="940"/>
      <c r="CL237" s="940"/>
      <c r="CM237" s="940"/>
      <c r="CN237" s="940"/>
      <c r="CO237" s="940"/>
      <c r="CP237" s="940"/>
      <c r="CQ237" s="940"/>
      <c r="CR237" s="940"/>
      <c r="CS237" s="940"/>
      <c r="CT237" s="940"/>
      <c r="CU237" s="940"/>
      <c r="CV237" s="940"/>
      <c r="CW237" s="940"/>
      <c r="CX237" s="940"/>
      <c r="CY237" s="940"/>
      <c r="CZ237" s="940"/>
      <c r="DA237" s="940"/>
      <c r="DB237" s="940"/>
      <c r="DC237" s="940"/>
    </row>
    <row r="238" s="857" customFormat="1" ht="31" customHeight="1" spans="1:107">
      <c r="A238" s="923">
        <v>46055</v>
      </c>
      <c r="B238" s="924" t="s">
        <v>578</v>
      </c>
      <c r="C238" s="925" t="s">
        <v>125</v>
      </c>
      <c r="D238" s="857">
        <v>4500192878</v>
      </c>
      <c r="E238" s="1424" t="s">
        <v>2399</v>
      </c>
      <c r="F238" s="857" t="s">
        <v>2400</v>
      </c>
      <c r="G238" s="927" t="s">
        <v>1584</v>
      </c>
      <c r="H238" s="928" t="s">
        <v>1585</v>
      </c>
      <c r="I238" s="928">
        <v>960</v>
      </c>
      <c r="J238" s="928">
        <v>0</v>
      </c>
      <c r="K238" s="928">
        <v>16</v>
      </c>
      <c r="L238" s="929">
        <f t="shared" si="84"/>
        <v>60</v>
      </c>
      <c r="M238" s="930">
        <v>46112</v>
      </c>
      <c r="N238" s="930">
        <v>46108</v>
      </c>
      <c r="O238" s="1041" t="s">
        <v>2392</v>
      </c>
      <c r="P238" s="931" t="s">
        <v>86</v>
      </c>
      <c r="Q238" s="926"/>
      <c r="R238" s="932" t="s">
        <v>395</v>
      </c>
      <c r="S238" s="932" t="s">
        <v>98</v>
      </c>
      <c r="T238" s="932" t="s">
        <v>582</v>
      </c>
      <c r="U238" s="932"/>
      <c r="V238" s="933" t="s">
        <v>2296</v>
      </c>
      <c r="W238" s="934" t="s">
        <v>247</v>
      </c>
      <c r="X238" s="935">
        <v>1.2079</v>
      </c>
      <c r="Y238" s="936">
        <f t="shared" si="87"/>
        <v>1159.584</v>
      </c>
      <c r="Z238" s="936"/>
      <c r="AA238" s="926"/>
      <c r="AB238" s="927" t="s">
        <v>1584</v>
      </c>
      <c r="AC238" s="928" t="s">
        <v>93</v>
      </c>
      <c r="AD238" s="928" t="s">
        <v>94</v>
      </c>
      <c r="AE238" s="926"/>
      <c r="AF238" s="946">
        <v>960</v>
      </c>
      <c r="AG238" s="946">
        <f t="shared" si="88"/>
        <v>0</v>
      </c>
      <c r="AH238" s="947"/>
      <c r="AI238" s="926" t="s">
        <v>95</v>
      </c>
      <c r="AJ238" s="926"/>
      <c r="AK238" s="926">
        <f t="shared" si="89"/>
        <v>960</v>
      </c>
      <c r="AL238" s="858">
        <f t="shared" si="90"/>
        <v>960</v>
      </c>
      <c r="AM238" s="858"/>
      <c r="AN238" s="858"/>
      <c r="AO238" s="857">
        <f t="shared" si="91"/>
        <v>960</v>
      </c>
      <c r="AY238" s="857">
        <f t="shared" si="92"/>
        <v>60</v>
      </c>
      <c r="BE238" s="925"/>
      <c r="BF238" s="925"/>
      <c r="BG238" s="925"/>
      <c r="BH238" s="925"/>
      <c r="BI238" s="925"/>
      <c r="BN238" s="939"/>
      <c r="BO238" s="939"/>
      <c r="BP238" s="939"/>
      <c r="BQ238" s="939"/>
      <c r="BR238" s="939"/>
      <c r="BS238" s="939"/>
      <c r="BV238" s="857">
        <f t="shared" si="82"/>
        <v>60</v>
      </c>
      <c r="BW238" s="857">
        <f t="shared" si="83"/>
        <v>0</v>
      </c>
      <c r="BX238" s="939">
        <f>AK238+BX237</f>
        <v>997245</v>
      </c>
      <c r="BY238" s="939"/>
      <c r="BZ238" s="939"/>
      <c r="CA238" s="939"/>
      <c r="CB238" s="939">
        <f t="shared" si="85"/>
        <v>302755</v>
      </c>
      <c r="CC238" s="939"/>
      <c r="CH238" s="940"/>
      <c r="CI238" s="940"/>
      <c r="CJ238" s="940"/>
      <c r="CK238" s="940"/>
      <c r="CL238" s="940"/>
      <c r="CM238" s="940"/>
      <c r="CN238" s="940"/>
      <c r="CO238" s="940"/>
      <c r="CP238" s="940"/>
      <c r="CQ238" s="940"/>
      <c r="CR238" s="940"/>
      <c r="CS238" s="940"/>
      <c r="CT238" s="940"/>
      <c r="CU238" s="940"/>
      <c r="CV238" s="940"/>
      <c r="CW238" s="940"/>
      <c r="CX238" s="940"/>
      <c r="CY238" s="940"/>
      <c r="CZ238" s="940"/>
      <c r="DA238" s="940"/>
      <c r="DB238" s="940"/>
      <c r="DC238" s="940"/>
    </row>
    <row r="239" s="857" customFormat="1" ht="31" customHeight="1" spans="1:107">
      <c r="A239" s="923">
        <v>46066</v>
      </c>
      <c r="B239" s="924" t="s">
        <v>578</v>
      </c>
      <c r="C239" s="925" t="s">
        <v>125</v>
      </c>
      <c r="D239" s="857">
        <v>4500193953</v>
      </c>
      <c r="E239" s="1424" t="s">
        <v>2401</v>
      </c>
      <c r="F239" s="857" t="s">
        <v>2402</v>
      </c>
      <c r="G239" s="927" t="s">
        <v>1584</v>
      </c>
      <c r="H239" s="928" t="s">
        <v>1585</v>
      </c>
      <c r="I239" s="1042">
        <v>5760</v>
      </c>
      <c r="J239" s="928">
        <v>0</v>
      </c>
      <c r="K239" s="928">
        <v>16</v>
      </c>
      <c r="L239" s="929">
        <f t="shared" si="84"/>
        <v>360</v>
      </c>
      <c r="M239" s="930">
        <v>46115</v>
      </c>
      <c r="N239" s="930">
        <f t="shared" ref="N239:N245" si="94">M239-4</f>
        <v>46111</v>
      </c>
      <c r="O239" s="1041" t="s">
        <v>2392</v>
      </c>
      <c r="P239" s="931" t="s">
        <v>86</v>
      </c>
      <c r="Q239" s="926"/>
      <c r="R239" s="932" t="s">
        <v>395</v>
      </c>
      <c r="S239" s="932" t="s">
        <v>98</v>
      </c>
      <c r="T239" s="932" t="s">
        <v>582</v>
      </c>
      <c r="U239" s="932"/>
      <c r="V239" s="933" t="s">
        <v>1792</v>
      </c>
      <c r="W239" s="934" t="s">
        <v>247</v>
      </c>
      <c r="X239" s="935">
        <v>1.1827</v>
      </c>
      <c r="Y239" s="936">
        <f t="shared" si="87"/>
        <v>6812.352</v>
      </c>
      <c r="Z239" s="936"/>
      <c r="AA239" s="926"/>
      <c r="AB239" s="927" t="s">
        <v>1584</v>
      </c>
      <c r="AC239" s="928" t="s">
        <v>93</v>
      </c>
      <c r="AD239" s="928" t="s">
        <v>94</v>
      </c>
      <c r="AE239" s="926"/>
      <c r="AF239" s="946">
        <v>5760</v>
      </c>
      <c r="AG239" s="946">
        <f t="shared" si="88"/>
        <v>0</v>
      </c>
      <c r="AH239" s="947"/>
      <c r="AI239" s="926" t="s">
        <v>95</v>
      </c>
      <c r="AJ239" s="926"/>
      <c r="AK239" s="926">
        <f t="shared" si="89"/>
        <v>5760</v>
      </c>
      <c r="AL239" s="858">
        <f t="shared" si="90"/>
        <v>5760</v>
      </c>
      <c r="AM239" s="858"/>
      <c r="AN239" s="858"/>
      <c r="AO239" s="857">
        <f t="shared" si="91"/>
        <v>5760</v>
      </c>
      <c r="AY239" s="857">
        <f t="shared" ref="AY239:AY245" si="95">I239/16</f>
        <v>360</v>
      </c>
      <c r="BE239" s="925"/>
      <c r="BF239" s="925"/>
      <c r="BG239" s="925"/>
      <c r="BH239" s="925"/>
      <c r="BI239" s="925"/>
      <c r="BN239" s="939"/>
      <c r="BO239" s="939"/>
      <c r="BP239" s="939"/>
      <c r="BQ239" s="939"/>
      <c r="BR239" s="939"/>
      <c r="BS239" s="939"/>
      <c r="BV239" s="857">
        <f t="shared" si="82"/>
        <v>360</v>
      </c>
      <c r="BW239" s="857">
        <f t="shared" si="83"/>
        <v>0</v>
      </c>
      <c r="BX239" s="939">
        <f>AK239+BX240</f>
        <v>1013814</v>
      </c>
      <c r="BY239" s="939"/>
      <c r="BZ239" s="939"/>
      <c r="CA239" s="939"/>
      <c r="CB239" s="939">
        <f t="shared" si="85"/>
        <v>286186</v>
      </c>
      <c r="CC239" s="939"/>
      <c r="CH239" s="940"/>
      <c r="CI239" s="940"/>
      <c r="CJ239" s="940"/>
      <c r="CK239" s="940"/>
      <c r="CL239" s="940"/>
      <c r="CM239" s="940"/>
      <c r="CN239" s="940"/>
      <c r="CO239" s="940"/>
      <c r="CP239" s="940"/>
      <c r="CQ239" s="940"/>
      <c r="CR239" s="940"/>
      <c r="CS239" s="940"/>
      <c r="CT239" s="940"/>
      <c r="CU239" s="940"/>
      <c r="CV239" s="940"/>
      <c r="CW239" s="940"/>
      <c r="CX239" s="940"/>
      <c r="CY239" s="940"/>
      <c r="CZ239" s="940"/>
      <c r="DA239" s="940"/>
      <c r="DB239" s="940"/>
      <c r="DC239" s="940"/>
    </row>
    <row r="240" s="857" customFormat="1" ht="31" customHeight="1" spans="1:107">
      <c r="A240" s="923">
        <v>46066</v>
      </c>
      <c r="B240" s="924" t="s">
        <v>578</v>
      </c>
      <c r="C240" s="925" t="s">
        <v>125</v>
      </c>
      <c r="D240" s="857">
        <v>4500193953</v>
      </c>
      <c r="E240" s="1424" t="s">
        <v>2403</v>
      </c>
      <c r="F240" s="857" t="s">
        <v>2404</v>
      </c>
      <c r="G240" s="927" t="s">
        <v>1584</v>
      </c>
      <c r="H240" s="928" t="s">
        <v>1585</v>
      </c>
      <c r="I240" s="1042">
        <v>9600</v>
      </c>
      <c r="J240" s="928">
        <v>0</v>
      </c>
      <c r="K240" s="928">
        <v>16</v>
      </c>
      <c r="L240" s="929">
        <f t="shared" si="84"/>
        <v>600</v>
      </c>
      <c r="M240" s="930">
        <v>46115</v>
      </c>
      <c r="N240" s="930">
        <f t="shared" si="94"/>
        <v>46111</v>
      </c>
      <c r="O240" s="1041" t="s">
        <v>2405</v>
      </c>
      <c r="P240" s="931" t="s">
        <v>86</v>
      </c>
      <c r="Q240" s="926"/>
      <c r="R240" s="932" t="s">
        <v>395</v>
      </c>
      <c r="S240" s="932" t="s">
        <v>98</v>
      </c>
      <c r="T240" s="932" t="s">
        <v>582</v>
      </c>
      <c r="U240" s="932"/>
      <c r="V240" s="933" t="s">
        <v>1792</v>
      </c>
      <c r="W240" s="934" t="s">
        <v>247</v>
      </c>
      <c r="X240" s="935">
        <v>1.1827</v>
      </c>
      <c r="Y240" s="936">
        <f t="shared" si="87"/>
        <v>11353.92</v>
      </c>
      <c r="Z240" s="936"/>
      <c r="AA240" s="926"/>
      <c r="AB240" s="927" t="s">
        <v>1584</v>
      </c>
      <c r="AC240" s="928" t="s">
        <v>93</v>
      </c>
      <c r="AD240" s="928" t="s">
        <v>94</v>
      </c>
      <c r="AE240" s="926"/>
      <c r="AF240" s="946">
        <v>9600</v>
      </c>
      <c r="AG240" s="946">
        <f t="shared" si="88"/>
        <v>0</v>
      </c>
      <c r="AH240" s="947"/>
      <c r="AI240" s="926" t="s">
        <v>95</v>
      </c>
      <c r="AJ240" s="926"/>
      <c r="AK240" s="926">
        <f t="shared" si="89"/>
        <v>9600</v>
      </c>
      <c r="AL240" s="858">
        <f t="shared" si="90"/>
        <v>9600</v>
      </c>
      <c r="AM240" s="858"/>
      <c r="AN240" s="858"/>
      <c r="AO240" s="857">
        <f t="shared" si="91"/>
        <v>9600</v>
      </c>
      <c r="AY240" s="857">
        <f t="shared" si="95"/>
        <v>600</v>
      </c>
      <c r="BE240" s="925"/>
      <c r="BF240" s="925"/>
      <c r="BG240" s="925"/>
      <c r="BH240" s="925"/>
      <c r="BI240" s="925"/>
      <c r="BN240" s="939"/>
      <c r="BO240" s="939"/>
      <c r="BP240" s="939"/>
      <c r="BQ240" s="939"/>
      <c r="BR240" s="939"/>
      <c r="BS240" s="939"/>
      <c r="BV240" s="857">
        <f t="shared" si="82"/>
        <v>600</v>
      </c>
      <c r="BW240" s="857">
        <f t="shared" si="83"/>
        <v>0</v>
      </c>
      <c r="BX240" s="939">
        <f>AK240+BX272</f>
        <v>1008054</v>
      </c>
      <c r="BY240" s="939"/>
      <c r="BZ240" s="939"/>
      <c r="CA240" s="939"/>
      <c r="CB240" s="939">
        <f t="shared" si="85"/>
        <v>291946</v>
      </c>
      <c r="CC240" s="939"/>
      <c r="CH240" s="940"/>
      <c r="CI240" s="940"/>
      <c r="CJ240" s="940"/>
      <c r="CK240" s="940"/>
      <c r="CL240" s="940"/>
      <c r="CM240" s="940"/>
      <c r="CN240" s="940"/>
      <c r="CO240" s="940"/>
      <c r="CP240" s="940"/>
      <c r="CQ240" s="940"/>
      <c r="CR240" s="940"/>
      <c r="CS240" s="940"/>
      <c r="CT240" s="940"/>
      <c r="CU240" s="940"/>
      <c r="CV240" s="940"/>
      <c r="CW240" s="940"/>
      <c r="CX240" s="940"/>
      <c r="CY240" s="940"/>
      <c r="CZ240" s="940"/>
      <c r="DA240" s="940"/>
      <c r="DB240" s="940"/>
      <c r="DC240" s="940"/>
    </row>
    <row r="241" s="857" customFormat="1" ht="31" customHeight="1" spans="1:107">
      <c r="A241" s="923">
        <v>46066</v>
      </c>
      <c r="B241" s="924" t="s">
        <v>578</v>
      </c>
      <c r="C241" s="925" t="s">
        <v>125</v>
      </c>
      <c r="D241" s="857">
        <v>4500193953</v>
      </c>
      <c r="E241" s="1424" t="s">
        <v>2406</v>
      </c>
      <c r="F241" s="857" t="s">
        <v>2407</v>
      </c>
      <c r="G241" s="927" t="s">
        <v>1584</v>
      </c>
      <c r="H241" s="928" t="s">
        <v>1585</v>
      </c>
      <c r="I241" s="1042">
        <v>8640</v>
      </c>
      <c r="J241" s="928">
        <v>0</v>
      </c>
      <c r="K241" s="928">
        <v>16</v>
      </c>
      <c r="L241" s="929">
        <f t="shared" si="84"/>
        <v>540</v>
      </c>
      <c r="M241" s="930">
        <v>46115</v>
      </c>
      <c r="N241" s="930">
        <f t="shared" si="94"/>
        <v>46111</v>
      </c>
      <c r="O241" s="1041" t="s">
        <v>2408</v>
      </c>
      <c r="P241" s="931" t="s">
        <v>86</v>
      </c>
      <c r="Q241" s="926"/>
      <c r="R241" s="932" t="s">
        <v>395</v>
      </c>
      <c r="S241" s="932" t="s">
        <v>98</v>
      </c>
      <c r="T241" s="932" t="s">
        <v>582</v>
      </c>
      <c r="U241" s="932"/>
      <c r="V241" s="933" t="s">
        <v>1792</v>
      </c>
      <c r="W241" s="934" t="s">
        <v>247</v>
      </c>
      <c r="X241" s="935">
        <v>1.1827</v>
      </c>
      <c r="Y241" s="936">
        <f t="shared" si="87"/>
        <v>10218.528</v>
      </c>
      <c r="Z241" s="936"/>
      <c r="AA241" s="926"/>
      <c r="AB241" s="927" t="s">
        <v>1584</v>
      </c>
      <c r="AC241" s="928" t="s">
        <v>93</v>
      </c>
      <c r="AD241" s="928" t="s">
        <v>94</v>
      </c>
      <c r="AE241" s="926"/>
      <c r="AF241" s="946">
        <v>8640</v>
      </c>
      <c r="AG241" s="946">
        <f t="shared" ref="AG239:AG246" si="96">AF241-I241</f>
        <v>0</v>
      </c>
      <c r="AH241" s="947"/>
      <c r="AI241" s="926" t="s">
        <v>95</v>
      </c>
      <c r="AJ241" s="926"/>
      <c r="AK241" s="926">
        <f t="shared" ref="AK239:AK257" si="97">I241</f>
        <v>8640</v>
      </c>
      <c r="AL241" s="858">
        <f t="shared" ref="AL239:AL256" si="98">I241</f>
        <v>8640</v>
      </c>
      <c r="AM241" s="858"/>
      <c r="AN241" s="858"/>
      <c r="AO241" s="857">
        <f t="shared" si="91"/>
        <v>8640</v>
      </c>
      <c r="AY241" s="857">
        <f t="shared" si="95"/>
        <v>540</v>
      </c>
      <c r="BE241" s="925"/>
      <c r="BF241" s="925"/>
      <c r="BG241" s="925"/>
      <c r="BH241" s="925"/>
      <c r="BI241" s="925"/>
      <c r="BN241" s="939"/>
      <c r="BO241" s="939"/>
      <c r="BP241" s="939"/>
      <c r="BQ241" s="939"/>
      <c r="BR241" s="939"/>
      <c r="BS241" s="939"/>
      <c r="BV241" s="857">
        <f t="shared" si="82"/>
        <v>540</v>
      </c>
      <c r="BW241" s="857">
        <f t="shared" si="83"/>
        <v>0</v>
      </c>
      <c r="BX241" s="939">
        <f>AK241+BX239</f>
        <v>1022454</v>
      </c>
      <c r="BY241" s="939"/>
      <c r="BZ241" s="939"/>
      <c r="CA241" s="939"/>
      <c r="CB241" s="939">
        <f t="shared" si="85"/>
        <v>277546</v>
      </c>
      <c r="CC241" s="939"/>
      <c r="CH241" s="940"/>
      <c r="CI241" s="940"/>
      <c r="CJ241" s="940"/>
      <c r="CK241" s="940"/>
      <c r="CL241" s="940"/>
      <c r="CM241" s="940"/>
      <c r="CN241" s="940"/>
      <c r="CO241" s="940"/>
      <c r="CP241" s="940"/>
      <c r="CQ241" s="940"/>
      <c r="CR241" s="940"/>
      <c r="CS241" s="940"/>
      <c r="CT241" s="940"/>
      <c r="CU241" s="940"/>
      <c r="CV241" s="940"/>
      <c r="CW241" s="940"/>
      <c r="CX241" s="940"/>
      <c r="CY241" s="940"/>
      <c r="CZ241" s="940"/>
      <c r="DA241" s="940"/>
      <c r="DB241" s="940"/>
      <c r="DC241" s="940"/>
    </row>
    <row r="242" s="857" customFormat="1" ht="31" customHeight="1" spans="1:107">
      <c r="A242" s="923">
        <v>46066</v>
      </c>
      <c r="B242" s="924" t="s">
        <v>578</v>
      </c>
      <c r="C242" s="925" t="s">
        <v>125</v>
      </c>
      <c r="D242" s="857">
        <v>4500193953</v>
      </c>
      <c r="E242" s="1424" t="s">
        <v>2409</v>
      </c>
      <c r="F242" s="857" t="s">
        <v>2410</v>
      </c>
      <c r="G242" s="927" t="s">
        <v>1584</v>
      </c>
      <c r="H242" s="928" t="s">
        <v>1585</v>
      </c>
      <c r="I242" s="1042">
        <v>12480</v>
      </c>
      <c r="J242" s="928">
        <v>0</v>
      </c>
      <c r="K242" s="928">
        <v>16</v>
      </c>
      <c r="L242" s="929">
        <f t="shared" si="84"/>
        <v>780</v>
      </c>
      <c r="M242" s="930">
        <v>46115</v>
      </c>
      <c r="N242" s="930">
        <f t="shared" si="94"/>
        <v>46111</v>
      </c>
      <c r="O242" s="1041" t="s">
        <v>2408</v>
      </c>
      <c r="P242" s="931" t="s">
        <v>86</v>
      </c>
      <c r="Q242" s="926"/>
      <c r="R242" s="932" t="s">
        <v>395</v>
      </c>
      <c r="S242" s="932" t="s">
        <v>98</v>
      </c>
      <c r="T242" s="932" t="s">
        <v>582</v>
      </c>
      <c r="U242" s="932"/>
      <c r="V242" s="933" t="s">
        <v>1792</v>
      </c>
      <c r="W242" s="934" t="s">
        <v>247</v>
      </c>
      <c r="X242" s="935">
        <v>1.1827</v>
      </c>
      <c r="Y242" s="936">
        <f t="shared" si="87"/>
        <v>14760.096</v>
      </c>
      <c r="Z242" s="936"/>
      <c r="AA242" s="926"/>
      <c r="AB242" s="927" t="s">
        <v>1584</v>
      </c>
      <c r="AC242" s="928" t="s">
        <v>93</v>
      </c>
      <c r="AD242" s="928" t="s">
        <v>94</v>
      </c>
      <c r="AE242" s="926"/>
      <c r="AF242" s="946">
        <v>12480</v>
      </c>
      <c r="AG242" s="946">
        <f t="shared" si="96"/>
        <v>0</v>
      </c>
      <c r="AH242" s="947"/>
      <c r="AI242" s="926" t="s">
        <v>95</v>
      </c>
      <c r="AJ242" s="926"/>
      <c r="AK242" s="926">
        <f t="shared" si="97"/>
        <v>12480</v>
      </c>
      <c r="AL242" s="858">
        <f t="shared" si="98"/>
        <v>12480</v>
      </c>
      <c r="AM242" s="858"/>
      <c r="AN242" s="858"/>
      <c r="AO242" s="857">
        <f t="shared" si="91"/>
        <v>12480</v>
      </c>
      <c r="AY242" s="857">
        <f t="shared" si="95"/>
        <v>780</v>
      </c>
      <c r="BE242" s="925"/>
      <c r="BF242" s="925"/>
      <c r="BG242" s="925"/>
      <c r="BH242" s="925"/>
      <c r="BI242" s="925"/>
      <c r="BN242" s="939"/>
      <c r="BO242" s="939"/>
      <c r="BP242" s="939"/>
      <c r="BQ242" s="939"/>
      <c r="BR242" s="939"/>
      <c r="BS242" s="939"/>
      <c r="BV242" s="857">
        <f t="shared" si="82"/>
        <v>780</v>
      </c>
      <c r="BW242" s="857">
        <f t="shared" si="83"/>
        <v>0</v>
      </c>
      <c r="BX242" s="939">
        <f>AK242+BX241</f>
        <v>1034934</v>
      </c>
      <c r="BY242" s="939"/>
      <c r="BZ242" s="939"/>
      <c r="CA242" s="939"/>
      <c r="CB242" s="939">
        <f t="shared" si="85"/>
        <v>265066</v>
      </c>
      <c r="CC242" s="939"/>
      <c r="CH242" s="940"/>
      <c r="CI242" s="940"/>
      <c r="CJ242" s="940"/>
      <c r="CK242" s="940"/>
      <c r="CL242" s="940"/>
      <c r="CM242" s="940"/>
      <c r="CN242" s="940"/>
      <c r="CO242" s="940"/>
      <c r="CP242" s="940"/>
      <c r="CQ242" s="940"/>
      <c r="CR242" s="940"/>
      <c r="CS242" s="940"/>
      <c r="CT242" s="940"/>
      <c r="CU242" s="940"/>
      <c r="CV242" s="940"/>
      <c r="CW242" s="940"/>
      <c r="CX242" s="940"/>
      <c r="CY242" s="940"/>
      <c r="CZ242" s="940"/>
      <c r="DA242" s="940"/>
      <c r="DB242" s="940"/>
      <c r="DC242" s="940"/>
    </row>
    <row r="243" s="857" customFormat="1" ht="31" customHeight="1" spans="1:107">
      <c r="A243" s="923">
        <v>46066</v>
      </c>
      <c r="B243" s="924" t="s">
        <v>578</v>
      </c>
      <c r="C243" s="925" t="s">
        <v>125</v>
      </c>
      <c r="D243" s="857">
        <v>4500193953</v>
      </c>
      <c r="E243" s="1424" t="s">
        <v>2411</v>
      </c>
      <c r="F243" s="857" t="s">
        <v>2412</v>
      </c>
      <c r="G243" s="927" t="s">
        <v>1584</v>
      </c>
      <c r="H243" s="928" t="s">
        <v>1585</v>
      </c>
      <c r="I243" s="1042">
        <v>6720</v>
      </c>
      <c r="J243" s="928">
        <v>0</v>
      </c>
      <c r="K243" s="928">
        <v>16</v>
      </c>
      <c r="L243" s="929">
        <f t="shared" si="84"/>
        <v>420</v>
      </c>
      <c r="M243" s="930">
        <v>46115</v>
      </c>
      <c r="N243" s="930">
        <f t="shared" si="94"/>
        <v>46111</v>
      </c>
      <c r="O243" s="1041" t="s">
        <v>2408</v>
      </c>
      <c r="P243" s="931" t="s">
        <v>86</v>
      </c>
      <c r="Q243" s="926"/>
      <c r="R243" s="932" t="s">
        <v>395</v>
      </c>
      <c r="S243" s="932" t="s">
        <v>98</v>
      </c>
      <c r="T243" s="932" t="s">
        <v>582</v>
      </c>
      <c r="U243" s="932"/>
      <c r="V243" s="933" t="s">
        <v>1792</v>
      </c>
      <c r="W243" s="934" t="s">
        <v>247</v>
      </c>
      <c r="X243" s="935">
        <v>1.1827</v>
      </c>
      <c r="Y243" s="936">
        <f t="shared" si="87"/>
        <v>7947.744</v>
      </c>
      <c r="Z243" s="936"/>
      <c r="AA243" s="926"/>
      <c r="AB243" s="927" t="s">
        <v>1584</v>
      </c>
      <c r="AC243" s="928" t="s">
        <v>93</v>
      </c>
      <c r="AD243" s="928" t="s">
        <v>94</v>
      </c>
      <c r="AE243" s="926"/>
      <c r="AF243" s="946">
        <f>2688+4032</f>
        <v>6720</v>
      </c>
      <c r="AG243" s="946">
        <f t="shared" si="96"/>
        <v>0</v>
      </c>
      <c r="AH243" s="947"/>
      <c r="AI243" s="926" t="s">
        <v>95</v>
      </c>
      <c r="AJ243" s="926"/>
      <c r="AK243" s="926">
        <f t="shared" si="97"/>
        <v>6720</v>
      </c>
      <c r="AL243" s="858">
        <f t="shared" si="98"/>
        <v>6720</v>
      </c>
      <c r="AM243" s="858"/>
      <c r="AN243" s="858"/>
      <c r="AO243" s="857">
        <f t="shared" si="91"/>
        <v>6720</v>
      </c>
      <c r="AY243" s="857">
        <f t="shared" si="95"/>
        <v>420</v>
      </c>
      <c r="BE243" s="925"/>
      <c r="BF243" s="925"/>
      <c r="BG243" s="925"/>
      <c r="BH243" s="925"/>
      <c r="BI243" s="925"/>
      <c r="BN243" s="939"/>
      <c r="BO243" s="939"/>
      <c r="BP243" s="939"/>
      <c r="BQ243" s="939"/>
      <c r="BR243" s="939"/>
      <c r="BS243" s="939"/>
      <c r="BV243" s="857">
        <f t="shared" si="82"/>
        <v>420</v>
      </c>
      <c r="BW243" s="857">
        <f t="shared" si="83"/>
        <v>0</v>
      </c>
      <c r="BX243" s="939">
        <f>AK243+BX242</f>
        <v>1041654</v>
      </c>
      <c r="BY243" s="939"/>
      <c r="BZ243" s="939"/>
      <c r="CA243" s="939"/>
      <c r="CB243" s="939">
        <f t="shared" si="85"/>
        <v>258346</v>
      </c>
      <c r="CC243" s="939"/>
      <c r="CH243" s="940"/>
      <c r="CI243" s="940"/>
      <c r="CJ243" s="940"/>
      <c r="CK243" s="940"/>
      <c r="CL243" s="940"/>
      <c r="CM243" s="940"/>
      <c r="CN243" s="940"/>
      <c r="CO243" s="940"/>
      <c r="CP243" s="940"/>
      <c r="CQ243" s="940"/>
      <c r="CR243" s="940"/>
      <c r="CS243" s="940"/>
      <c r="CT243" s="940"/>
      <c r="CU243" s="940"/>
      <c r="CV243" s="940"/>
      <c r="CW243" s="940"/>
      <c r="CX243" s="940"/>
      <c r="CY243" s="940"/>
      <c r="CZ243" s="940"/>
      <c r="DA243" s="940"/>
      <c r="DB243" s="940"/>
      <c r="DC243" s="940"/>
    </row>
    <row r="244" s="857" customFormat="1" ht="31" customHeight="1" spans="1:107">
      <c r="A244" s="923">
        <v>46066</v>
      </c>
      <c r="B244" s="924" t="s">
        <v>578</v>
      </c>
      <c r="C244" s="925" t="s">
        <v>125</v>
      </c>
      <c r="D244" s="857">
        <v>4500193953</v>
      </c>
      <c r="E244" s="1424" t="s">
        <v>2413</v>
      </c>
      <c r="F244" s="857" t="s">
        <v>2414</v>
      </c>
      <c r="G244" s="927" t="s">
        <v>1584</v>
      </c>
      <c r="H244" s="928" t="s">
        <v>1585</v>
      </c>
      <c r="I244" s="1042">
        <v>7680</v>
      </c>
      <c r="J244" s="928">
        <v>0</v>
      </c>
      <c r="K244" s="928">
        <v>16</v>
      </c>
      <c r="L244" s="929">
        <f t="shared" si="84"/>
        <v>480</v>
      </c>
      <c r="M244" s="930">
        <v>46115</v>
      </c>
      <c r="N244" s="930">
        <f t="shared" si="94"/>
        <v>46111</v>
      </c>
      <c r="O244" s="1041" t="s">
        <v>2415</v>
      </c>
      <c r="P244" s="931" t="s">
        <v>86</v>
      </c>
      <c r="Q244" s="926"/>
      <c r="R244" s="932" t="s">
        <v>395</v>
      </c>
      <c r="S244" s="932" t="s">
        <v>98</v>
      </c>
      <c r="T244" s="932" t="s">
        <v>582</v>
      </c>
      <c r="U244" s="932"/>
      <c r="V244" s="933" t="s">
        <v>1792</v>
      </c>
      <c r="W244" s="934" t="s">
        <v>247</v>
      </c>
      <c r="X244" s="935">
        <v>1.1827</v>
      </c>
      <c r="Y244" s="936">
        <f t="shared" si="87"/>
        <v>9083.136</v>
      </c>
      <c r="Z244" s="936"/>
      <c r="AA244" s="926"/>
      <c r="AB244" s="927" t="s">
        <v>1584</v>
      </c>
      <c r="AC244" s="928" t="s">
        <v>93</v>
      </c>
      <c r="AD244" s="928" t="s">
        <v>94</v>
      </c>
      <c r="AE244" s="926"/>
      <c r="AF244" s="946">
        <v>7680</v>
      </c>
      <c r="AG244" s="946">
        <f t="shared" si="96"/>
        <v>0</v>
      </c>
      <c r="AH244" s="947"/>
      <c r="AI244" s="926" t="s">
        <v>95</v>
      </c>
      <c r="AJ244" s="926"/>
      <c r="AK244" s="926">
        <f t="shared" si="97"/>
        <v>7680</v>
      </c>
      <c r="AL244" s="858">
        <f t="shared" si="98"/>
        <v>7680</v>
      </c>
      <c r="AM244" s="858"/>
      <c r="AN244" s="858"/>
      <c r="AO244" s="857">
        <f t="shared" si="91"/>
        <v>7680</v>
      </c>
      <c r="AY244" s="857">
        <f t="shared" si="95"/>
        <v>480</v>
      </c>
      <c r="BE244" s="925"/>
      <c r="BF244" s="925"/>
      <c r="BG244" s="925"/>
      <c r="BH244" s="925"/>
      <c r="BI244" s="925"/>
      <c r="BN244" s="939"/>
      <c r="BO244" s="939"/>
      <c r="BP244" s="939"/>
      <c r="BQ244" s="939"/>
      <c r="BR244" s="939"/>
      <c r="BS244" s="939"/>
      <c r="BV244" s="857">
        <f t="shared" si="82"/>
        <v>480</v>
      </c>
      <c r="BW244" s="857">
        <f t="shared" si="83"/>
        <v>0</v>
      </c>
      <c r="BX244" s="939">
        <f>AK244+BX243</f>
        <v>1049334</v>
      </c>
      <c r="BY244" s="939"/>
      <c r="BZ244" s="939"/>
      <c r="CA244" s="939"/>
      <c r="CB244" s="939">
        <f t="shared" si="85"/>
        <v>250666</v>
      </c>
      <c r="CC244" s="939"/>
      <c r="CH244" s="940"/>
      <c r="CI244" s="940"/>
      <c r="CJ244" s="940"/>
      <c r="CK244" s="940"/>
      <c r="CL244" s="940"/>
      <c r="CM244" s="940"/>
      <c r="CN244" s="940"/>
      <c r="CO244" s="940"/>
      <c r="CP244" s="940"/>
      <c r="CQ244" s="940"/>
      <c r="CR244" s="940"/>
      <c r="CS244" s="940"/>
      <c r="CT244" s="940"/>
      <c r="CU244" s="940"/>
      <c r="CV244" s="940"/>
      <c r="CW244" s="940"/>
      <c r="CX244" s="940"/>
      <c r="CY244" s="940"/>
      <c r="CZ244" s="940"/>
      <c r="DA244" s="940"/>
      <c r="DB244" s="940"/>
      <c r="DC244" s="940"/>
    </row>
    <row r="245" s="857" customFormat="1" ht="31" customHeight="1" spans="1:107">
      <c r="A245" s="923">
        <v>46066</v>
      </c>
      <c r="B245" s="924" t="s">
        <v>578</v>
      </c>
      <c r="C245" s="925" t="s">
        <v>125</v>
      </c>
      <c r="D245" s="857">
        <v>4500193953</v>
      </c>
      <c r="E245" s="1424" t="s">
        <v>2416</v>
      </c>
      <c r="F245" s="857" t="s">
        <v>2417</v>
      </c>
      <c r="G245" s="927" t="s">
        <v>1584</v>
      </c>
      <c r="H245" s="928" t="s">
        <v>1585</v>
      </c>
      <c r="I245" s="1042">
        <v>7680</v>
      </c>
      <c r="J245" s="928">
        <v>0</v>
      </c>
      <c r="K245" s="928">
        <v>16</v>
      </c>
      <c r="L245" s="929">
        <f t="shared" si="84"/>
        <v>480</v>
      </c>
      <c r="M245" s="930">
        <v>46115</v>
      </c>
      <c r="N245" s="930">
        <f t="shared" si="94"/>
        <v>46111</v>
      </c>
      <c r="O245" s="1041" t="s">
        <v>2408</v>
      </c>
      <c r="P245" s="931" t="s">
        <v>86</v>
      </c>
      <c r="Q245" s="926"/>
      <c r="R245" s="932" t="s">
        <v>395</v>
      </c>
      <c r="S245" s="932" t="s">
        <v>98</v>
      </c>
      <c r="T245" s="932" t="s">
        <v>582</v>
      </c>
      <c r="U245" s="932"/>
      <c r="V245" s="933" t="s">
        <v>1792</v>
      </c>
      <c r="W245" s="934" t="s">
        <v>247</v>
      </c>
      <c r="X245" s="935">
        <v>1.1827</v>
      </c>
      <c r="Y245" s="936">
        <f t="shared" si="87"/>
        <v>9083.136</v>
      </c>
      <c r="Z245" s="936"/>
      <c r="AA245" s="926"/>
      <c r="AB245" s="927" t="s">
        <v>1584</v>
      </c>
      <c r="AC245" s="928" t="s">
        <v>93</v>
      </c>
      <c r="AD245" s="928" t="s">
        <v>94</v>
      </c>
      <c r="AE245" s="926"/>
      <c r="AF245" s="946">
        <v>7680</v>
      </c>
      <c r="AG245" s="946">
        <f t="shared" si="96"/>
        <v>0</v>
      </c>
      <c r="AH245" s="947"/>
      <c r="AI245" s="926" t="s">
        <v>95</v>
      </c>
      <c r="AJ245" s="926"/>
      <c r="AK245" s="926">
        <f t="shared" si="97"/>
        <v>7680</v>
      </c>
      <c r="AL245" s="858">
        <f t="shared" si="98"/>
        <v>7680</v>
      </c>
      <c r="AM245" s="858"/>
      <c r="AN245" s="858"/>
      <c r="AO245" s="857">
        <f t="shared" si="91"/>
        <v>7680</v>
      </c>
      <c r="AY245" s="857">
        <f t="shared" si="95"/>
        <v>480</v>
      </c>
      <c r="BE245" s="925"/>
      <c r="BF245" s="925"/>
      <c r="BG245" s="925"/>
      <c r="BH245" s="925"/>
      <c r="BI245" s="925"/>
      <c r="BN245" s="939"/>
      <c r="BO245" s="939"/>
      <c r="BP245" s="939"/>
      <c r="BQ245" s="939"/>
      <c r="BR245" s="939"/>
      <c r="BS245" s="939"/>
      <c r="BV245" s="857">
        <f t="shared" si="82"/>
        <v>480</v>
      </c>
      <c r="BW245" s="857">
        <f t="shared" si="83"/>
        <v>0</v>
      </c>
      <c r="BX245" s="939">
        <f>AK245+BX244</f>
        <v>1057014</v>
      </c>
      <c r="BY245" s="939"/>
      <c r="BZ245" s="939"/>
      <c r="CA245" s="939"/>
      <c r="CB245" s="939">
        <f t="shared" si="85"/>
        <v>242986</v>
      </c>
      <c r="CC245" s="939"/>
      <c r="CH245" s="940"/>
      <c r="CI245" s="940"/>
      <c r="CJ245" s="940"/>
      <c r="CK245" s="940"/>
      <c r="CL245" s="940"/>
      <c r="CM245" s="940"/>
      <c r="CN245" s="940"/>
      <c r="CO245" s="940"/>
      <c r="CP245" s="940"/>
      <c r="CQ245" s="940"/>
      <c r="CR245" s="940"/>
      <c r="CS245" s="940"/>
      <c r="CT245" s="940"/>
      <c r="CU245" s="940"/>
      <c r="CV245" s="940"/>
      <c r="CW245" s="940"/>
      <c r="CX245" s="940"/>
      <c r="CY245" s="940"/>
      <c r="CZ245" s="940"/>
      <c r="DA245" s="940"/>
      <c r="DB245" s="940"/>
      <c r="DC245" s="940"/>
    </row>
    <row r="246" s="857" customFormat="1" ht="31" customHeight="1" spans="1:107">
      <c r="A246" s="923">
        <v>46058</v>
      </c>
      <c r="B246" s="924" t="s">
        <v>2011</v>
      </c>
      <c r="C246" s="925" t="s">
        <v>2012</v>
      </c>
      <c r="D246" s="857">
        <v>4500192252</v>
      </c>
      <c r="E246" s="926">
        <v>5000002110</v>
      </c>
      <c r="F246" s="857" t="s">
        <v>2418</v>
      </c>
      <c r="G246" s="927" t="s">
        <v>1537</v>
      </c>
      <c r="H246" s="928" t="s">
        <v>1538</v>
      </c>
      <c r="I246" s="1042">
        <v>6500</v>
      </c>
      <c r="J246" s="928">
        <v>0</v>
      </c>
      <c r="K246" s="928">
        <v>13</v>
      </c>
      <c r="L246" s="929">
        <f t="shared" si="84"/>
        <v>500</v>
      </c>
      <c r="M246" s="930">
        <v>46119</v>
      </c>
      <c r="N246" s="930">
        <v>46115</v>
      </c>
      <c r="O246" s="1041"/>
      <c r="P246" s="931" t="s">
        <v>86</v>
      </c>
      <c r="Q246" s="926"/>
      <c r="R246" s="932" t="s">
        <v>2419</v>
      </c>
      <c r="S246" s="932" t="s">
        <v>98</v>
      </c>
      <c r="T246" s="932" t="s">
        <v>2420</v>
      </c>
      <c r="U246" s="932"/>
      <c r="V246" s="933" t="s">
        <v>2421</v>
      </c>
      <c r="W246" s="934" t="s">
        <v>2018</v>
      </c>
      <c r="X246" s="935">
        <v>1.8151</v>
      </c>
      <c r="Y246" s="936">
        <f t="shared" si="87"/>
        <v>11798.15</v>
      </c>
      <c r="Z246" s="936"/>
      <c r="AA246" s="926"/>
      <c r="AB246" s="927" t="s">
        <v>2020</v>
      </c>
      <c r="AC246" s="928" t="s">
        <v>93</v>
      </c>
      <c r="AD246" s="928" t="s">
        <v>94</v>
      </c>
      <c r="AE246" s="926"/>
      <c r="AF246" s="946">
        <v>6500</v>
      </c>
      <c r="AG246" s="946">
        <f t="shared" si="96"/>
        <v>0</v>
      </c>
      <c r="AH246" s="947"/>
      <c r="AI246" s="926" t="s">
        <v>95</v>
      </c>
      <c r="AJ246" s="926"/>
      <c r="AK246" s="926">
        <f t="shared" si="97"/>
        <v>6500</v>
      </c>
      <c r="AL246" s="858">
        <f t="shared" si="98"/>
        <v>6500</v>
      </c>
      <c r="AN246" s="858"/>
      <c r="AQ246" s="857">
        <f>I246</f>
        <v>6500</v>
      </c>
      <c r="AR246" s="857">
        <f>I246/13</f>
        <v>500</v>
      </c>
      <c r="BE246" s="925"/>
      <c r="BF246" s="925"/>
      <c r="BG246" s="925"/>
      <c r="BH246" s="925"/>
      <c r="BI246" s="925"/>
      <c r="BN246" s="939"/>
      <c r="BO246" s="939"/>
      <c r="BP246" s="939"/>
      <c r="BQ246" s="939"/>
      <c r="BR246" s="939"/>
      <c r="BS246" s="939"/>
      <c r="BV246" s="857">
        <f t="shared" si="82"/>
        <v>0</v>
      </c>
      <c r="BW246" s="857">
        <f t="shared" si="83"/>
        <v>0</v>
      </c>
      <c r="BX246" s="939">
        <f>AK246+BX272</f>
        <v>1004954</v>
      </c>
      <c r="BY246" s="939"/>
      <c r="BZ246" s="939"/>
      <c r="CA246" s="939"/>
      <c r="CB246" s="939">
        <f t="shared" si="85"/>
        <v>295046</v>
      </c>
      <c r="CC246" s="939"/>
      <c r="CH246" s="940"/>
      <c r="CI246" s="940"/>
      <c r="CJ246" s="940"/>
      <c r="CK246" s="940"/>
      <c r="CL246" s="940"/>
      <c r="CM246" s="940"/>
      <c r="CN246" s="940"/>
      <c r="CO246" s="940"/>
      <c r="CP246" s="940"/>
      <c r="CQ246" s="940"/>
      <c r="CR246" s="940"/>
      <c r="CS246" s="940"/>
      <c r="CT246" s="940"/>
      <c r="CU246" s="940"/>
      <c r="CV246" s="940"/>
      <c r="CW246" s="940"/>
      <c r="CX246" s="940"/>
      <c r="CY246" s="940"/>
      <c r="CZ246" s="940"/>
      <c r="DA246" s="940"/>
      <c r="DB246" s="940"/>
      <c r="DC246" s="940"/>
    </row>
    <row r="247" s="857" customFormat="1" ht="31" customHeight="1" spans="1:107">
      <c r="A247" s="923">
        <v>46084</v>
      </c>
      <c r="B247" s="924" t="s">
        <v>578</v>
      </c>
      <c r="C247" s="925" t="s">
        <v>125</v>
      </c>
      <c r="D247" s="857">
        <v>4500195023</v>
      </c>
      <c r="E247" s="1424" t="s">
        <v>2422</v>
      </c>
      <c r="F247" s="857" t="s">
        <v>2423</v>
      </c>
      <c r="G247" s="927" t="s">
        <v>1584</v>
      </c>
      <c r="H247" s="928" t="s">
        <v>1585</v>
      </c>
      <c r="I247" s="1042">
        <v>960</v>
      </c>
      <c r="J247" s="928">
        <v>0</v>
      </c>
      <c r="K247" s="928">
        <v>16</v>
      </c>
      <c r="L247" s="929">
        <f t="shared" si="84"/>
        <v>60</v>
      </c>
      <c r="M247" s="930">
        <v>46119</v>
      </c>
      <c r="N247" s="930">
        <v>46115</v>
      </c>
      <c r="O247" s="1041" t="s">
        <v>2424</v>
      </c>
      <c r="P247" s="931" t="s">
        <v>86</v>
      </c>
      <c r="Q247" s="926"/>
      <c r="R247" s="932" t="s">
        <v>395</v>
      </c>
      <c r="S247" s="932" t="s">
        <v>98</v>
      </c>
      <c r="T247" s="932" t="s">
        <v>582</v>
      </c>
      <c r="U247" s="932"/>
      <c r="V247" s="933" t="s">
        <v>1626</v>
      </c>
      <c r="W247" s="934" t="s">
        <v>247</v>
      </c>
      <c r="X247" s="935">
        <v>1.237</v>
      </c>
      <c r="Y247" s="936">
        <f t="shared" si="87"/>
        <v>1187.52</v>
      </c>
      <c r="Z247" s="936"/>
      <c r="AA247" s="926"/>
      <c r="AB247" s="927" t="s">
        <v>1584</v>
      </c>
      <c r="AC247" s="928" t="s">
        <v>93</v>
      </c>
      <c r="AD247" s="928" t="s">
        <v>94</v>
      </c>
      <c r="AE247" s="926"/>
      <c r="AF247" s="946">
        <v>960</v>
      </c>
      <c r="AG247" s="946">
        <f>AF248-I247</f>
        <v>0</v>
      </c>
      <c r="AH247" s="947"/>
      <c r="AI247" s="926" t="s">
        <v>95</v>
      </c>
      <c r="AJ247" s="926"/>
      <c r="AK247" s="926">
        <f t="shared" si="97"/>
        <v>960</v>
      </c>
      <c r="AL247" s="858">
        <f t="shared" si="98"/>
        <v>960</v>
      </c>
      <c r="AM247" s="858"/>
      <c r="AN247" s="858"/>
      <c r="AO247" s="857">
        <f t="shared" ref="AO247:AO252" si="99">I247</f>
        <v>960</v>
      </c>
      <c r="AY247" s="857">
        <f>I247/16</f>
        <v>60</v>
      </c>
      <c r="BE247" s="925"/>
      <c r="BF247" s="925"/>
      <c r="BG247" s="925"/>
      <c r="BH247" s="925"/>
      <c r="BI247" s="925"/>
      <c r="BN247" s="939"/>
      <c r="BO247" s="939"/>
      <c r="BP247" s="939"/>
      <c r="BQ247" s="939"/>
      <c r="BR247" s="939"/>
      <c r="BS247" s="939"/>
      <c r="BV247" s="857">
        <f t="shared" si="82"/>
        <v>60</v>
      </c>
      <c r="BW247" s="857">
        <f t="shared" si="83"/>
        <v>0</v>
      </c>
      <c r="BX247" s="939">
        <f>AK247+BX252</f>
        <v>1010514</v>
      </c>
      <c r="BY247" s="939"/>
      <c r="BZ247" s="939"/>
      <c r="CA247" s="939"/>
      <c r="CB247" s="939">
        <f t="shared" si="85"/>
        <v>289486</v>
      </c>
      <c r="CC247" s="939"/>
      <c r="CH247" s="940"/>
      <c r="CI247" s="940"/>
      <c r="CJ247" s="940"/>
      <c r="CK247" s="940"/>
      <c r="CL247" s="940"/>
      <c r="CM247" s="940"/>
      <c r="CN247" s="940"/>
      <c r="CO247" s="940"/>
      <c r="CP247" s="940"/>
      <c r="CQ247" s="940"/>
      <c r="CR247" s="940"/>
      <c r="CS247" s="940"/>
      <c r="CT247" s="940"/>
      <c r="CU247" s="940"/>
      <c r="CV247" s="940"/>
      <c r="CW247" s="940"/>
      <c r="CX247" s="940"/>
      <c r="CY247" s="940"/>
      <c r="CZ247" s="940"/>
      <c r="DA247" s="940"/>
      <c r="DB247" s="940"/>
      <c r="DC247" s="940"/>
    </row>
    <row r="248" s="857" customFormat="1" ht="31" customHeight="1" spans="1:107">
      <c r="A248" s="923">
        <v>46084</v>
      </c>
      <c r="B248" s="924" t="s">
        <v>578</v>
      </c>
      <c r="C248" s="925" t="s">
        <v>125</v>
      </c>
      <c r="D248" s="857">
        <v>4500195023</v>
      </c>
      <c r="E248" s="1424" t="s">
        <v>2425</v>
      </c>
      <c r="F248" s="857" t="s">
        <v>2426</v>
      </c>
      <c r="G248" s="927" t="s">
        <v>1584</v>
      </c>
      <c r="H248" s="928" t="s">
        <v>1585</v>
      </c>
      <c r="I248" s="1042">
        <v>960</v>
      </c>
      <c r="J248" s="928">
        <v>0</v>
      </c>
      <c r="K248" s="928">
        <v>16</v>
      </c>
      <c r="L248" s="929">
        <f t="shared" si="84"/>
        <v>60</v>
      </c>
      <c r="M248" s="930">
        <v>46119</v>
      </c>
      <c r="N248" s="930">
        <v>46115</v>
      </c>
      <c r="O248" s="1041" t="s">
        <v>2424</v>
      </c>
      <c r="P248" s="931" t="s">
        <v>86</v>
      </c>
      <c r="Q248" s="926"/>
      <c r="R248" s="932" t="s">
        <v>395</v>
      </c>
      <c r="S248" s="932" t="s">
        <v>98</v>
      </c>
      <c r="T248" s="932" t="s">
        <v>582</v>
      </c>
      <c r="U248" s="932"/>
      <c r="V248" s="933" t="s">
        <v>1626</v>
      </c>
      <c r="W248" s="934" t="s">
        <v>247</v>
      </c>
      <c r="X248" s="935">
        <v>1.237</v>
      </c>
      <c r="Y248" s="936">
        <f t="shared" si="87"/>
        <v>1187.52</v>
      </c>
      <c r="Z248" s="936"/>
      <c r="AA248" s="926"/>
      <c r="AB248" s="927" t="s">
        <v>1584</v>
      </c>
      <c r="AC248" s="928" t="s">
        <v>93</v>
      </c>
      <c r="AD248" s="928" t="s">
        <v>94</v>
      </c>
      <c r="AE248" s="926"/>
      <c r="AF248" s="946">
        <v>960</v>
      </c>
      <c r="AG248" s="946">
        <v>0</v>
      </c>
      <c r="AH248" s="947"/>
      <c r="AI248" s="926" t="s">
        <v>95</v>
      </c>
      <c r="AJ248" s="926"/>
      <c r="AK248" s="926">
        <f t="shared" si="97"/>
        <v>960</v>
      </c>
      <c r="AL248" s="858">
        <f t="shared" si="98"/>
        <v>960</v>
      </c>
      <c r="AM248" s="858"/>
      <c r="AN248" s="858"/>
      <c r="AO248" s="857">
        <f t="shared" si="99"/>
        <v>960</v>
      </c>
      <c r="AY248" s="857">
        <f>I248/16</f>
        <v>60</v>
      </c>
      <c r="BE248" s="925"/>
      <c r="BF248" s="925"/>
      <c r="BG248" s="925"/>
      <c r="BH248" s="925"/>
      <c r="BI248" s="925"/>
      <c r="BN248" s="939"/>
      <c r="BO248" s="939"/>
      <c r="BP248" s="939"/>
      <c r="BQ248" s="939"/>
      <c r="BR248" s="939"/>
      <c r="BS248" s="939"/>
      <c r="BV248" s="857">
        <f t="shared" si="82"/>
        <v>60</v>
      </c>
      <c r="BW248" s="857">
        <f t="shared" si="83"/>
        <v>0</v>
      </c>
      <c r="BX248" s="939">
        <f>AK248+BX247</f>
        <v>1011474</v>
      </c>
      <c r="BY248" s="939"/>
      <c r="BZ248" s="939"/>
      <c r="CA248" s="939"/>
      <c r="CB248" s="939">
        <f t="shared" si="85"/>
        <v>288526</v>
      </c>
      <c r="CC248" s="939"/>
      <c r="CH248" s="940"/>
      <c r="CI248" s="940"/>
      <c r="CJ248" s="940"/>
      <c r="CK248" s="940"/>
      <c r="CL248" s="940"/>
      <c r="CM248" s="940"/>
      <c r="CN248" s="940"/>
      <c r="CO248" s="940"/>
      <c r="CP248" s="940"/>
      <c r="CQ248" s="940"/>
      <c r="CR248" s="940"/>
      <c r="CS248" s="940"/>
      <c r="CT248" s="940"/>
      <c r="CU248" s="940"/>
      <c r="CV248" s="940"/>
      <c r="CW248" s="940"/>
      <c r="CX248" s="940"/>
      <c r="CY248" s="940"/>
      <c r="CZ248" s="940"/>
      <c r="DA248" s="940"/>
      <c r="DB248" s="940"/>
      <c r="DC248" s="940"/>
    </row>
    <row r="249" s="857" customFormat="1" ht="31" customHeight="1" spans="1:107">
      <c r="A249" s="923">
        <v>46084</v>
      </c>
      <c r="B249" s="924" t="s">
        <v>578</v>
      </c>
      <c r="C249" s="925" t="s">
        <v>125</v>
      </c>
      <c r="D249" s="857">
        <v>4500195023</v>
      </c>
      <c r="E249" s="1424" t="s">
        <v>2427</v>
      </c>
      <c r="F249" s="857" t="s">
        <v>2428</v>
      </c>
      <c r="G249" s="927" t="s">
        <v>1584</v>
      </c>
      <c r="H249" s="928" t="s">
        <v>1585</v>
      </c>
      <c r="I249" s="1042">
        <v>960</v>
      </c>
      <c r="J249" s="928">
        <v>0</v>
      </c>
      <c r="K249" s="928">
        <v>16</v>
      </c>
      <c r="L249" s="929">
        <f t="shared" si="84"/>
        <v>60</v>
      </c>
      <c r="M249" s="930">
        <v>46119</v>
      </c>
      <c r="N249" s="930">
        <v>46115</v>
      </c>
      <c r="O249" s="1041" t="s">
        <v>2424</v>
      </c>
      <c r="P249" s="931" t="s">
        <v>86</v>
      </c>
      <c r="Q249" s="926"/>
      <c r="R249" s="932" t="s">
        <v>395</v>
      </c>
      <c r="S249" s="932" t="s">
        <v>98</v>
      </c>
      <c r="T249" s="932" t="s">
        <v>582</v>
      </c>
      <c r="U249" s="932"/>
      <c r="V249" s="933" t="s">
        <v>1626</v>
      </c>
      <c r="W249" s="934" t="s">
        <v>247</v>
      </c>
      <c r="X249" s="935">
        <v>1.237</v>
      </c>
      <c r="Y249" s="936">
        <f t="shared" si="87"/>
        <v>1187.52</v>
      </c>
      <c r="Z249" s="936"/>
      <c r="AA249" s="926"/>
      <c r="AB249" s="927" t="s">
        <v>1584</v>
      </c>
      <c r="AC249" s="928" t="s">
        <v>93</v>
      </c>
      <c r="AD249" s="928" t="s">
        <v>94</v>
      </c>
      <c r="AE249" s="926"/>
      <c r="AF249" s="946">
        <v>960</v>
      </c>
      <c r="AG249" s="946">
        <f t="shared" ref="AG249:AG312" si="100">AF249-I249</f>
        <v>0</v>
      </c>
      <c r="AH249" s="947"/>
      <c r="AI249" s="926" t="s">
        <v>95</v>
      </c>
      <c r="AJ249" s="926"/>
      <c r="AK249" s="926">
        <f t="shared" si="97"/>
        <v>960</v>
      </c>
      <c r="AL249" s="858">
        <f t="shared" si="98"/>
        <v>960</v>
      </c>
      <c r="AM249" s="858"/>
      <c r="AN249" s="858"/>
      <c r="AO249" s="857">
        <f t="shared" si="99"/>
        <v>960</v>
      </c>
      <c r="AY249" s="857">
        <f>I249/16</f>
        <v>60</v>
      </c>
      <c r="BE249" s="925"/>
      <c r="BF249" s="925"/>
      <c r="BG249" s="925"/>
      <c r="BH249" s="925"/>
      <c r="BI249" s="925"/>
      <c r="BN249" s="939"/>
      <c r="BO249" s="939"/>
      <c r="BP249" s="939"/>
      <c r="BQ249" s="939"/>
      <c r="BR249" s="939"/>
      <c r="BS249" s="939"/>
      <c r="BV249" s="857">
        <f t="shared" si="82"/>
        <v>60</v>
      </c>
      <c r="BW249" s="857">
        <f t="shared" si="83"/>
        <v>0</v>
      </c>
      <c r="BX249" s="939">
        <f>AK249+BX248</f>
        <v>1012434</v>
      </c>
      <c r="BY249" s="939"/>
      <c r="BZ249" s="939"/>
      <c r="CA249" s="939"/>
      <c r="CB249" s="939">
        <f t="shared" si="85"/>
        <v>287566</v>
      </c>
      <c r="CC249" s="939"/>
      <c r="CH249" s="940"/>
      <c r="CI249" s="940"/>
      <c r="CJ249" s="940"/>
      <c r="CK249" s="940"/>
      <c r="CL249" s="940"/>
      <c r="CM249" s="940"/>
      <c r="CN249" s="940"/>
      <c r="CO249" s="940"/>
      <c r="CP249" s="940"/>
      <c r="CQ249" s="940"/>
      <c r="CR249" s="940"/>
      <c r="CS249" s="940"/>
      <c r="CT249" s="940"/>
      <c r="CU249" s="940"/>
      <c r="CV249" s="940"/>
      <c r="CW249" s="940"/>
      <c r="CX249" s="940"/>
      <c r="CY249" s="940"/>
      <c r="CZ249" s="940"/>
      <c r="DA249" s="940"/>
      <c r="DB249" s="940"/>
      <c r="DC249" s="940"/>
    </row>
    <row r="250" s="857" customFormat="1" ht="31" customHeight="1" spans="1:107">
      <c r="A250" s="923">
        <v>46084</v>
      </c>
      <c r="B250" s="924" t="s">
        <v>578</v>
      </c>
      <c r="C250" s="925" t="s">
        <v>125</v>
      </c>
      <c r="D250" s="857">
        <v>4500195023</v>
      </c>
      <c r="E250" s="1424" t="s">
        <v>2429</v>
      </c>
      <c r="F250" s="857" t="s">
        <v>2430</v>
      </c>
      <c r="G250" s="927" t="s">
        <v>1584</v>
      </c>
      <c r="H250" s="928" t="s">
        <v>1585</v>
      </c>
      <c r="I250" s="1042">
        <v>960</v>
      </c>
      <c r="J250" s="928">
        <v>0</v>
      </c>
      <c r="K250" s="928">
        <v>16</v>
      </c>
      <c r="L250" s="929">
        <f t="shared" si="84"/>
        <v>60</v>
      </c>
      <c r="M250" s="930">
        <v>46119</v>
      </c>
      <c r="N250" s="930">
        <v>46115</v>
      </c>
      <c r="O250" s="1041" t="s">
        <v>2424</v>
      </c>
      <c r="P250" s="931" t="s">
        <v>86</v>
      </c>
      <c r="Q250" s="926"/>
      <c r="R250" s="932" t="s">
        <v>395</v>
      </c>
      <c r="S250" s="932" t="s">
        <v>98</v>
      </c>
      <c r="T250" s="932" t="s">
        <v>582</v>
      </c>
      <c r="U250" s="932"/>
      <c r="V250" s="933" t="s">
        <v>1626</v>
      </c>
      <c r="W250" s="934" t="s">
        <v>247</v>
      </c>
      <c r="X250" s="935">
        <v>1.237</v>
      </c>
      <c r="Y250" s="936">
        <f t="shared" si="87"/>
        <v>1187.52</v>
      </c>
      <c r="Z250" s="936"/>
      <c r="AA250" s="926"/>
      <c r="AB250" s="927" t="s">
        <v>1584</v>
      </c>
      <c r="AC250" s="928" t="s">
        <v>2431</v>
      </c>
      <c r="AD250" s="928" t="s">
        <v>94</v>
      </c>
      <c r="AE250" s="926"/>
      <c r="AF250" s="946">
        <v>960</v>
      </c>
      <c r="AG250" s="946">
        <f t="shared" si="100"/>
        <v>0</v>
      </c>
      <c r="AH250" s="947"/>
      <c r="AI250" s="926" t="s">
        <v>95</v>
      </c>
      <c r="AJ250" s="926"/>
      <c r="AK250" s="926">
        <f t="shared" si="97"/>
        <v>960</v>
      </c>
      <c r="AL250" s="858">
        <f t="shared" si="98"/>
        <v>960</v>
      </c>
      <c r="AM250" s="858"/>
      <c r="AN250" s="858"/>
      <c r="AO250" s="857">
        <f t="shared" si="99"/>
        <v>960</v>
      </c>
      <c r="AY250" s="857">
        <f>I250/16</f>
        <v>60</v>
      </c>
      <c r="BE250" s="925"/>
      <c r="BF250" s="925"/>
      <c r="BG250" s="925"/>
      <c r="BH250" s="925"/>
      <c r="BI250" s="925"/>
      <c r="BN250" s="939"/>
      <c r="BO250" s="939"/>
      <c r="BP250" s="939"/>
      <c r="BQ250" s="939"/>
      <c r="BR250" s="939"/>
      <c r="BS250" s="939"/>
      <c r="BV250" s="857">
        <f t="shared" si="82"/>
        <v>60</v>
      </c>
      <c r="BW250" s="857">
        <f t="shared" si="83"/>
        <v>0</v>
      </c>
      <c r="BX250" s="939">
        <f>AK250+BX249</f>
        <v>1013394</v>
      </c>
      <c r="BY250" s="939"/>
      <c r="BZ250" s="939"/>
      <c r="CA250" s="939"/>
      <c r="CB250" s="939">
        <f t="shared" si="85"/>
        <v>286606</v>
      </c>
      <c r="CC250" s="939"/>
      <c r="CH250" s="940"/>
      <c r="CI250" s="940"/>
      <c r="CJ250" s="940"/>
      <c r="CK250" s="940"/>
      <c r="CL250" s="940"/>
      <c r="CM250" s="940"/>
      <c r="CN250" s="940"/>
      <c r="CO250" s="940"/>
      <c r="CP250" s="940"/>
      <c r="CQ250" s="940"/>
      <c r="CR250" s="940"/>
      <c r="CS250" s="940"/>
      <c r="CT250" s="940"/>
      <c r="CU250" s="940"/>
      <c r="CV250" s="940"/>
      <c r="CW250" s="940"/>
      <c r="CX250" s="940"/>
      <c r="CY250" s="940"/>
      <c r="CZ250" s="940"/>
      <c r="DA250" s="940"/>
      <c r="DB250" s="940"/>
      <c r="DC250" s="940"/>
    </row>
    <row r="251" s="857" customFormat="1" ht="31" customHeight="1" spans="1:107">
      <c r="A251" s="923">
        <v>46084</v>
      </c>
      <c r="B251" s="924" t="s">
        <v>578</v>
      </c>
      <c r="C251" s="925" t="s">
        <v>125</v>
      </c>
      <c r="D251" s="857">
        <v>4500195023</v>
      </c>
      <c r="E251" s="1424" t="s">
        <v>2432</v>
      </c>
      <c r="F251" s="857" t="s">
        <v>2433</v>
      </c>
      <c r="G251" s="927" t="s">
        <v>1584</v>
      </c>
      <c r="H251" s="928" t="s">
        <v>1585</v>
      </c>
      <c r="I251" s="1042">
        <v>960</v>
      </c>
      <c r="J251" s="928">
        <v>0</v>
      </c>
      <c r="K251" s="928">
        <v>16</v>
      </c>
      <c r="L251" s="929">
        <f t="shared" si="84"/>
        <v>60</v>
      </c>
      <c r="M251" s="930">
        <v>46119</v>
      </c>
      <c r="N251" s="930">
        <v>46115</v>
      </c>
      <c r="O251" s="1041" t="s">
        <v>2424</v>
      </c>
      <c r="P251" s="931" t="s">
        <v>86</v>
      </c>
      <c r="Q251" s="926"/>
      <c r="R251" s="932" t="s">
        <v>395</v>
      </c>
      <c r="S251" s="932" t="s">
        <v>98</v>
      </c>
      <c r="T251" s="932" t="s">
        <v>582</v>
      </c>
      <c r="U251" s="932"/>
      <c r="V251" s="933" t="s">
        <v>1626</v>
      </c>
      <c r="W251" s="934" t="s">
        <v>247</v>
      </c>
      <c r="X251" s="935">
        <v>1.237</v>
      </c>
      <c r="Y251" s="936">
        <f t="shared" si="87"/>
        <v>1187.52</v>
      </c>
      <c r="Z251" s="936"/>
      <c r="AA251" s="926"/>
      <c r="AB251" s="927" t="s">
        <v>1584</v>
      </c>
      <c r="AC251" s="928" t="s">
        <v>2431</v>
      </c>
      <c r="AD251" s="928" t="s">
        <v>94</v>
      </c>
      <c r="AE251" s="926"/>
      <c r="AF251" s="946">
        <v>960</v>
      </c>
      <c r="AG251" s="946">
        <f t="shared" si="100"/>
        <v>0</v>
      </c>
      <c r="AH251" s="947"/>
      <c r="AI251" s="926" t="s">
        <v>95</v>
      </c>
      <c r="AJ251" s="926"/>
      <c r="AK251" s="926">
        <f t="shared" si="97"/>
        <v>960</v>
      </c>
      <c r="AL251" s="858">
        <f t="shared" si="98"/>
        <v>960</v>
      </c>
      <c r="AM251" s="858"/>
      <c r="AN251" s="858"/>
      <c r="AO251" s="857">
        <f t="shared" si="99"/>
        <v>960</v>
      </c>
      <c r="AY251" s="857">
        <f>I251/16</f>
        <v>60</v>
      </c>
      <c r="BE251" s="925"/>
      <c r="BF251" s="925"/>
      <c r="BG251" s="925"/>
      <c r="BH251" s="925"/>
      <c r="BI251" s="925"/>
      <c r="BN251" s="939"/>
      <c r="BO251" s="939"/>
      <c r="BP251" s="939"/>
      <c r="BQ251" s="939"/>
      <c r="BR251" s="939"/>
      <c r="BS251" s="939"/>
      <c r="BV251" s="857">
        <f t="shared" si="82"/>
        <v>60</v>
      </c>
      <c r="BW251" s="857">
        <f t="shared" si="83"/>
        <v>0</v>
      </c>
      <c r="BX251" s="939">
        <f>AK251+BX250</f>
        <v>1014354</v>
      </c>
      <c r="BY251" s="939"/>
      <c r="BZ251" s="939"/>
      <c r="CA251" s="939"/>
      <c r="CB251" s="939">
        <f t="shared" si="85"/>
        <v>285646</v>
      </c>
      <c r="CC251" s="939"/>
      <c r="CH251" s="940"/>
      <c r="CI251" s="940"/>
      <c r="CJ251" s="940"/>
      <c r="CK251" s="940"/>
      <c r="CL251" s="940"/>
      <c r="CM251" s="940"/>
      <c r="CN251" s="940"/>
      <c r="CO251" s="940"/>
      <c r="CP251" s="940"/>
      <c r="CQ251" s="940"/>
      <c r="CR251" s="940"/>
      <c r="CS251" s="940"/>
      <c r="CT251" s="940"/>
      <c r="CU251" s="940"/>
      <c r="CV251" s="940"/>
      <c r="CW251" s="940"/>
      <c r="CX251" s="940"/>
      <c r="CY251" s="940"/>
      <c r="CZ251" s="940"/>
      <c r="DA251" s="940"/>
      <c r="DB251" s="940"/>
      <c r="DC251" s="940"/>
    </row>
    <row r="252" s="857" customFormat="1" ht="31" customHeight="1" spans="1:107">
      <c r="A252" s="923">
        <v>46079</v>
      </c>
      <c r="B252" s="924" t="s">
        <v>2096</v>
      </c>
      <c r="C252" s="925" t="s">
        <v>81</v>
      </c>
      <c r="D252" s="857">
        <v>4500194320</v>
      </c>
      <c r="E252" s="926">
        <v>62089545</v>
      </c>
      <c r="F252" s="857" t="s">
        <v>2434</v>
      </c>
      <c r="G252" s="927" t="s">
        <v>1523</v>
      </c>
      <c r="H252" s="928" t="s">
        <v>1524</v>
      </c>
      <c r="I252" s="1042">
        <v>1500</v>
      </c>
      <c r="J252" s="928">
        <v>0</v>
      </c>
      <c r="K252" s="928">
        <v>50</v>
      </c>
      <c r="L252" s="929">
        <f t="shared" si="84"/>
        <v>30</v>
      </c>
      <c r="M252" s="930">
        <v>46119</v>
      </c>
      <c r="N252" s="930">
        <v>46115</v>
      </c>
      <c r="O252" s="1041"/>
      <c r="P252" s="931" t="s">
        <v>2435</v>
      </c>
      <c r="Q252" s="926"/>
      <c r="R252" s="932" t="s">
        <v>89</v>
      </c>
      <c r="S252" s="932" t="s">
        <v>98</v>
      </c>
      <c r="T252" s="932" t="s">
        <v>2436</v>
      </c>
      <c r="U252" s="932"/>
      <c r="V252" s="933" t="s">
        <v>2437</v>
      </c>
      <c r="W252" s="934" t="s">
        <v>225</v>
      </c>
      <c r="X252" s="935">
        <v>1.9324</v>
      </c>
      <c r="Y252" s="936">
        <f t="shared" si="87"/>
        <v>2898.6</v>
      </c>
      <c r="Z252" s="936"/>
      <c r="AA252" s="926"/>
      <c r="AB252" s="927" t="s">
        <v>1727</v>
      </c>
      <c r="AC252" s="928" t="s">
        <v>93</v>
      </c>
      <c r="AD252" s="928" t="s">
        <v>94</v>
      </c>
      <c r="AE252" s="926"/>
      <c r="AF252" s="946">
        <v>1500</v>
      </c>
      <c r="AG252" s="946">
        <f t="shared" si="100"/>
        <v>0</v>
      </c>
      <c r="AH252" s="947"/>
      <c r="AI252" s="926" t="s">
        <v>95</v>
      </c>
      <c r="AJ252" s="926"/>
      <c r="AK252" s="926">
        <f t="shared" si="97"/>
        <v>1500</v>
      </c>
      <c r="AL252" s="858"/>
      <c r="AN252" s="857">
        <f>I252</f>
        <v>1500</v>
      </c>
      <c r="AO252" s="858">
        <f t="shared" si="99"/>
        <v>1500</v>
      </c>
      <c r="AU252" s="926">
        <f>I252/25</f>
        <v>60</v>
      </c>
      <c r="BE252" s="925"/>
      <c r="BF252" s="925"/>
      <c r="BG252" s="925"/>
      <c r="BH252" s="925"/>
      <c r="BI252" s="925"/>
      <c r="BN252" s="939"/>
      <c r="BO252" s="939"/>
      <c r="BP252" s="939"/>
      <c r="BQ252" s="939"/>
      <c r="BR252" s="939"/>
      <c r="BS252" s="939"/>
      <c r="BV252" s="857">
        <f t="shared" si="82"/>
        <v>60</v>
      </c>
      <c r="BW252" s="857">
        <f t="shared" si="83"/>
        <v>0</v>
      </c>
      <c r="BX252" s="939">
        <f>AK252+BX240</f>
        <v>1009554</v>
      </c>
      <c r="BY252" s="939"/>
      <c r="BZ252" s="939"/>
      <c r="CA252" s="939"/>
      <c r="CB252" s="939">
        <f t="shared" si="85"/>
        <v>290446</v>
      </c>
      <c r="CC252" s="939"/>
      <c r="CH252" s="940"/>
      <c r="CI252" s="940"/>
      <c r="CJ252" s="940"/>
      <c r="CK252" s="940"/>
      <c r="CL252" s="940"/>
      <c r="CM252" s="940"/>
      <c r="CN252" s="940"/>
      <c r="CO252" s="940"/>
      <c r="CP252" s="940"/>
      <c r="CQ252" s="940"/>
      <c r="CR252" s="940"/>
      <c r="CS252" s="940"/>
      <c r="CT252" s="940"/>
      <c r="CU252" s="940"/>
      <c r="CV252" s="940"/>
      <c r="CW252" s="940"/>
      <c r="CX252" s="940"/>
      <c r="CY252" s="940"/>
      <c r="CZ252" s="940"/>
      <c r="DA252" s="940"/>
      <c r="DB252" s="940"/>
      <c r="DC252" s="940"/>
    </row>
    <row r="253" s="857" customFormat="1" ht="31" customHeight="1" spans="1:107">
      <c r="A253" s="923">
        <v>46083</v>
      </c>
      <c r="B253" s="924" t="s">
        <v>761</v>
      </c>
      <c r="C253" s="925" t="s">
        <v>632</v>
      </c>
      <c r="D253" s="857">
        <v>4500194885</v>
      </c>
      <c r="E253" s="926" t="s">
        <v>2438</v>
      </c>
      <c r="F253" s="857" t="s">
        <v>2439</v>
      </c>
      <c r="G253" s="927" t="s">
        <v>1746</v>
      </c>
      <c r="H253" s="927" t="s">
        <v>1747</v>
      </c>
      <c r="I253" s="928">
        <v>12</v>
      </c>
      <c r="J253" s="928">
        <v>0</v>
      </c>
      <c r="K253" s="928">
        <v>12</v>
      </c>
      <c r="L253" s="929">
        <f t="shared" si="84"/>
        <v>1</v>
      </c>
      <c r="M253" s="930">
        <v>46122</v>
      </c>
      <c r="N253" s="930">
        <v>46118</v>
      </c>
      <c r="O253" s="1041"/>
      <c r="P253" s="931" t="s">
        <v>86</v>
      </c>
      <c r="Q253" s="926"/>
      <c r="R253" s="932">
        <v>46083</v>
      </c>
      <c r="S253" s="932" t="s">
        <v>88</v>
      </c>
      <c r="T253" s="932" t="s">
        <v>2440</v>
      </c>
      <c r="U253" s="932"/>
      <c r="V253" s="933" t="s">
        <v>2441</v>
      </c>
      <c r="W253" s="934" t="s">
        <v>731</v>
      </c>
      <c r="X253" s="935">
        <v>2.7354</v>
      </c>
      <c r="Y253" s="936">
        <f t="shared" si="87"/>
        <v>32.8248</v>
      </c>
      <c r="Z253" s="936"/>
      <c r="AA253" s="926"/>
      <c r="AB253" s="926" t="s">
        <v>2442</v>
      </c>
      <c r="AC253" s="928" t="s">
        <v>93</v>
      </c>
      <c r="AD253" s="928" t="s">
        <v>94</v>
      </c>
      <c r="AE253" s="926"/>
      <c r="AF253" s="946">
        <v>12</v>
      </c>
      <c r="AG253" s="946">
        <f t="shared" si="100"/>
        <v>0</v>
      </c>
      <c r="AH253" s="947"/>
      <c r="AI253" s="926" t="s">
        <v>95</v>
      </c>
      <c r="AJ253" s="926"/>
      <c r="AK253" s="951">
        <f t="shared" ref="AK253:AK259" si="101">I253*2</f>
        <v>24</v>
      </c>
      <c r="AL253" s="858"/>
      <c r="AM253" s="858"/>
      <c r="AN253" s="858">
        <f t="shared" ref="AN253:AN259" si="102">I253*2</f>
        <v>24</v>
      </c>
      <c r="AO253" s="856">
        <f t="shared" ref="AO253:AO259" si="103">I253*2</f>
        <v>24</v>
      </c>
      <c r="AU253" s="926"/>
      <c r="BE253" s="925"/>
      <c r="BF253" s="925"/>
      <c r="BG253" s="925"/>
      <c r="BH253" s="925"/>
      <c r="BI253" s="925"/>
      <c r="BJ253" s="857">
        <f t="shared" ref="BJ253:BJ259" si="104">I253</f>
        <v>12</v>
      </c>
      <c r="BK253" s="857">
        <f t="shared" ref="BK253:BK259" si="105">I253</f>
        <v>12</v>
      </c>
      <c r="BL253" s="857">
        <f t="shared" ref="BL253:BL259" si="106">I253</f>
        <v>12</v>
      </c>
      <c r="BN253" s="939"/>
      <c r="BO253" s="939"/>
      <c r="BP253" s="939"/>
      <c r="BQ253" s="939"/>
      <c r="BR253" s="939"/>
      <c r="BS253" s="939"/>
      <c r="BV253" s="857">
        <f t="shared" si="82"/>
        <v>0</v>
      </c>
      <c r="BW253" s="857">
        <f t="shared" si="83"/>
        <v>0</v>
      </c>
      <c r="BX253" s="939">
        <f>AK253+BX251</f>
        <v>1014378</v>
      </c>
      <c r="BY253" s="939"/>
      <c r="BZ253" s="939"/>
      <c r="CA253" s="939"/>
      <c r="CB253" s="939">
        <f t="shared" si="85"/>
        <v>285622</v>
      </c>
      <c r="CC253" s="939"/>
      <c r="CH253" s="940"/>
      <c r="CI253" s="940"/>
      <c r="CJ253" s="940"/>
      <c r="CK253" s="940"/>
      <c r="CL253" s="940"/>
      <c r="CM253" s="940"/>
      <c r="CN253" s="940"/>
      <c r="CO253" s="940"/>
      <c r="CP253" s="940"/>
      <c r="CQ253" s="940"/>
      <c r="CR253" s="940"/>
      <c r="CS253" s="940"/>
      <c r="CT253" s="940"/>
      <c r="CU253" s="940"/>
      <c r="CV253" s="940"/>
      <c r="CW253" s="940"/>
      <c r="CX253" s="940"/>
      <c r="CY253" s="940"/>
      <c r="CZ253" s="940"/>
      <c r="DA253" s="940"/>
      <c r="DB253" s="940"/>
      <c r="DC253" s="940"/>
    </row>
    <row r="254" s="857" customFormat="1" ht="31" customHeight="1" spans="1:107">
      <c r="A254" s="923">
        <v>46083</v>
      </c>
      <c r="B254" s="924" t="s">
        <v>761</v>
      </c>
      <c r="C254" s="925" t="s">
        <v>632</v>
      </c>
      <c r="D254" s="857">
        <v>4500194885</v>
      </c>
      <c r="E254" s="926" t="s">
        <v>2443</v>
      </c>
      <c r="F254" s="857" t="s">
        <v>2444</v>
      </c>
      <c r="G254" s="927" t="s">
        <v>1746</v>
      </c>
      <c r="H254" s="927" t="s">
        <v>1747</v>
      </c>
      <c r="I254" s="928">
        <v>12</v>
      </c>
      <c r="J254" s="928">
        <v>0</v>
      </c>
      <c r="K254" s="928">
        <v>12</v>
      </c>
      <c r="L254" s="929">
        <f t="shared" si="84"/>
        <v>1</v>
      </c>
      <c r="M254" s="930">
        <v>46122</v>
      </c>
      <c r="N254" s="930">
        <v>46118</v>
      </c>
      <c r="O254" s="1041"/>
      <c r="P254" s="931" t="s">
        <v>86</v>
      </c>
      <c r="Q254" s="926"/>
      <c r="R254" s="932">
        <v>46083</v>
      </c>
      <c r="S254" s="932" t="s">
        <v>88</v>
      </c>
      <c r="T254" s="932" t="s">
        <v>2440</v>
      </c>
      <c r="U254" s="932"/>
      <c r="V254" s="933" t="s">
        <v>2441</v>
      </c>
      <c r="W254" s="934" t="s">
        <v>731</v>
      </c>
      <c r="X254" s="935">
        <v>2.7354</v>
      </c>
      <c r="Y254" s="936">
        <f t="shared" si="87"/>
        <v>32.8248</v>
      </c>
      <c r="Z254" s="936"/>
      <c r="AA254" s="926"/>
      <c r="AB254" s="926" t="s">
        <v>2442</v>
      </c>
      <c r="AC254" s="928" t="s">
        <v>93</v>
      </c>
      <c r="AD254" s="928" t="s">
        <v>94</v>
      </c>
      <c r="AE254" s="926"/>
      <c r="AF254" s="946">
        <v>12</v>
      </c>
      <c r="AG254" s="946">
        <f t="shared" si="100"/>
        <v>0</v>
      </c>
      <c r="AH254" s="947"/>
      <c r="AI254" s="926" t="s">
        <v>95</v>
      </c>
      <c r="AJ254" s="926"/>
      <c r="AK254" s="951">
        <f t="shared" si="101"/>
        <v>24</v>
      </c>
      <c r="AL254" s="858"/>
      <c r="AM254" s="858"/>
      <c r="AN254" s="858">
        <f t="shared" si="102"/>
        <v>24</v>
      </c>
      <c r="AO254" s="856">
        <f t="shared" si="103"/>
        <v>24</v>
      </c>
      <c r="AU254" s="926"/>
      <c r="BE254" s="925"/>
      <c r="BF254" s="925"/>
      <c r="BG254" s="925"/>
      <c r="BH254" s="925"/>
      <c r="BI254" s="925"/>
      <c r="BJ254" s="857">
        <f t="shared" si="104"/>
        <v>12</v>
      </c>
      <c r="BK254" s="857">
        <f t="shared" si="105"/>
        <v>12</v>
      </c>
      <c r="BL254" s="857">
        <f t="shared" si="106"/>
        <v>12</v>
      </c>
      <c r="BN254" s="939"/>
      <c r="BO254" s="939"/>
      <c r="BP254" s="939"/>
      <c r="BQ254" s="939"/>
      <c r="BR254" s="939"/>
      <c r="BS254" s="939"/>
      <c r="BV254" s="857">
        <f t="shared" si="82"/>
        <v>0</v>
      </c>
      <c r="BW254" s="857">
        <f t="shared" si="83"/>
        <v>0</v>
      </c>
      <c r="BX254" s="939">
        <f>AK254+BX253</f>
        <v>1014402</v>
      </c>
      <c r="BY254" s="939"/>
      <c r="BZ254" s="939"/>
      <c r="CA254" s="939"/>
      <c r="CB254" s="939">
        <f t="shared" si="85"/>
        <v>285598</v>
      </c>
      <c r="CC254" s="939"/>
      <c r="CH254" s="940"/>
      <c r="CI254" s="940"/>
      <c r="CJ254" s="940"/>
      <c r="CK254" s="940"/>
      <c r="CL254" s="940"/>
      <c r="CM254" s="940"/>
      <c r="CN254" s="940"/>
      <c r="CO254" s="940"/>
      <c r="CP254" s="940"/>
      <c r="CQ254" s="940"/>
      <c r="CR254" s="940"/>
      <c r="CS254" s="940"/>
      <c r="CT254" s="940"/>
      <c r="CU254" s="940"/>
      <c r="CV254" s="940"/>
      <c r="CW254" s="940"/>
      <c r="CX254" s="940"/>
      <c r="CY254" s="940"/>
      <c r="CZ254" s="940"/>
      <c r="DA254" s="940"/>
      <c r="DB254" s="940"/>
      <c r="DC254" s="940"/>
    </row>
    <row r="255" s="857" customFormat="1" ht="31" customHeight="1" spans="1:107">
      <c r="A255" s="923">
        <v>46083</v>
      </c>
      <c r="B255" s="924" t="s">
        <v>761</v>
      </c>
      <c r="C255" s="925" t="s">
        <v>632</v>
      </c>
      <c r="D255" s="857">
        <v>4500194885</v>
      </c>
      <c r="E255" s="926" t="s">
        <v>2445</v>
      </c>
      <c r="F255" s="857" t="s">
        <v>2446</v>
      </c>
      <c r="G255" s="927" t="s">
        <v>1746</v>
      </c>
      <c r="H255" s="927" t="s">
        <v>1747</v>
      </c>
      <c r="I255" s="928">
        <v>36</v>
      </c>
      <c r="J255" s="928">
        <v>0</v>
      </c>
      <c r="K255" s="928">
        <v>12</v>
      </c>
      <c r="L255" s="929">
        <f t="shared" si="84"/>
        <v>3</v>
      </c>
      <c r="M255" s="930">
        <v>46122</v>
      </c>
      <c r="N255" s="930">
        <v>46118</v>
      </c>
      <c r="O255" s="1041"/>
      <c r="P255" s="931" t="s">
        <v>86</v>
      </c>
      <c r="Q255" s="926"/>
      <c r="R255" s="932">
        <v>46083</v>
      </c>
      <c r="S255" s="932" t="s">
        <v>88</v>
      </c>
      <c r="T255" s="932" t="s">
        <v>2440</v>
      </c>
      <c r="U255" s="932"/>
      <c r="V255" s="933" t="s">
        <v>2441</v>
      </c>
      <c r="W255" s="934" t="s">
        <v>731</v>
      </c>
      <c r="X255" s="935">
        <v>2.7354</v>
      </c>
      <c r="Y255" s="936">
        <f t="shared" si="87"/>
        <v>98.4744</v>
      </c>
      <c r="Z255" s="936"/>
      <c r="AA255" s="926"/>
      <c r="AB255" s="926" t="s">
        <v>2442</v>
      </c>
      <c r="AC255" s="928" t="s">
        <v>93</v>
      </c>
      <c r="AD255" s="928" t="s">
        <v>94</v>
      </c>
      <c r="AE255" s="926"/>
      <c r="AF255" s="946">
        <v>36</v>
      </c>
      <c r="AG255" s="946">
        <f t="shared" si="100"/>
        <v>0</v>
      </c>
      <c r="AH255" s="947"/>
      <c r="AI255" s="926" t="s">
        <v>95</v>
      </c>
      <c r="AJ255" s="926"/>
      <c r="AK255" s="951">
        <f t="shared" si="101"/>
        <v>72</v>
      </c>
      <c r="AL255" s="858"/>
      <c r="AM255" s="858"/>
      <c r="AN255" s="858">
        <f t="shared" si="102"/>
        <v>72</v>
      </c>
      <c r="AO255" s="856">
        <f t="shared" si="103"/>
        <v>72</v>
      </c>
      <c r="AU255" s="926"/>
      <c r="BE255" s="925"/>
      <c r="BF255" s="925"/>
      <c r="BG255" s="925"/>
      <c r="BH255" s="925"/>
      <c r="BI255" s="925"/>
      <c r="BJ255" s="857">
        <f t="shared" si="104"/>
        <v>36</v>
      </c>
      <c r="BK255" s="857">
        <f t="shared" si="105"/>
        <v>36</v>
      </c>
      <c r="BL255" s="857">
        <f t="shared" si="106"/>
        <v>36</v>
      </c>
      <c r="BN255" s="939"/>
      <c r="BO255" s="939"/>
      <c r="BP255" s="939"/>
      <c r="BQ255" s="939"/>
      <c r="BR255" s="939"/>
      <c r="BS255" s="939"/>
      <c r="BV255" s="857">
        <f t="shared" si="82"/>
        <v>0</v>
      </c>
      <c r="BW255" s="857">
        <f t="shared" si="83"/>
        <v>0</v>
      </c>
      <c r="BX255" s="939">
        <f>AK255+BX254</f>
        <v>1014474</v>
      </c>
      <c r="BY255" s="939"/>
      <c r="BZ255" s="939"/>
      <c r="CA255" s="939"/>
      <c r="CB255" s="939">
        <f t="shared" si="85"/>
        <v>285526</v>
      </c>
      <c r="CC255" s="939"/>
      <c r="CH255" s="940"/>
      <c r="CI255" s="940"/>
      <c r="CJ255" s="940"/>
      <c r="CK255" s="940"/>
      <c r="CL255" s="940"/>
      <c r="CM255" s="940"/>
      <c r="CN255" s="940"/>
      <c r="CO255" s="940"/>
      <c r="CP255" s="940"/>
      <c r="CQ255" s="940"/>
      <c r="CR255" s="940"/>
      <c r="CS255" s="940"/>
      <c r="CT255" s="940"/>
      <c r="CU255" s="940"/>
      <c r="CV255" s="940"/>
      <c r="CW255" s="940"/>
      <c r="CX255" s="940"/>
      <c r="CY255" s="940"/>
      <c r="CZ255" s="940"/>
      <c r="DA255" s="940"/>
      <c r="DB255" s="940"/>
      <c r="DC255" s="940"/>
    </row>
    <row r="256" s="857" customFormat="1" ht="31" customHeight="1" spans="1:107">
      <c r="A256" s="923">
        <v>46083</v>
      </c>
      <c r="B256" s="924" t="s">
        <v>761</v>
      </c>
      <c r="C256" s="925" t="s">
        <v>632</v>
      </c>
      <c r="D256" s="857">
        <v>4500194885</v>
      </c>
      <c r="E256" s="926" t="s">
        <v>2447</v>
      </c>
      <c r="F256" s="857" t="s">
        <v>2448</v>
      </c>
      <c r="G256" s="927" t="s">
        <v>1746</v>
      </c>
      <c r="H256" s="927" t="s">
        <v>1747</v>
      </c>
      <c r="I256" s="928">
        <v>24</v>
      </c>
      <c r="J256" s="928">
        <v>0</v>
      </c>
      <c r="K256" s="928">
        <v>12</v>
      </c>
      <c r="L256" s="929">
        <f t="shared" si="84"/>
        <v>2</v>
      </c>
      <c r="M256" s="930">
        <v>46122</v>
      </c>
      <c r="N256" s="930">
        <v>46118</v>
      </c>
      <c r="O256" s="1041"/>
      <c r="P256" s="931" t="s">
        <v>86</v>
      </c>
      <c r="Q256" s="926"/>
      <c r="R256" s="932">
        <v>46083</v>
      </c>
      <c r="S256" s="932" t="s">
        <v>88</v>
      </c>
      <c r="T256" s="932" t="s">
        <v>2440</v>
      </c>
      <c r="U256" s="932"/>
      <c r="V256" s="933" t="s">
        <v>2441</v>
      </c>
      <c r="W256" s="934" t="s">
        <v>731</v>
      </c>
      <c r="X256" s="935">
        <v>2.7354</v>
      </c>
      <c r="Y256" s="936">
        <f t="shared" si="87"/>
        <v>65.6496</v>
      </c>
      <c r="Z256" s="936"/>
      <c r="AA256" s="926"/>
      <c r="AB256" s="926" t="s">
        <v>2442</v>
      </c>
      <c r="AC256" s="928" t="s">
        <v>93</v>
      </c>
      <c r="AD256" s="928" t="s">
        <v>94</v>
      </c>
      <c r="AE256" s="926"/>
      <c r="AF256" s="946">
        <v>24</v>
      </c>
      <c r="AG256" s="946">
        <f t="shared" si="100"/>
        <v>0</v>
      </c>
      <c r="AH256" s="947"/>
      <c r="AI256" s="926" t="s">
        <v>95</v>
      </c>
      <c r="AJ256" s="926"/>
      <c r="AK256" s="951">
        <f t="shared" si="101"/>
        <v>48</v>
      </c>
      <c r="AL256" s="858"/>
      <c r="AM256" s="858"/>
      <c r="AN256" s="858">
        <f t="shared" si="102"/>
        <v>48</v>
      </c>
      <c r="AO256" s="856">
        <f t="shared" si="103"/>
        <v>48</v>
      </c>
      <c r="AU256" s="926"/>
      <c r="BE256" s="925"/>
      <c r="BF256" s="925"/>
      <c r="BG256" s="925"/>
      <c r="BH256" s="925"/>
      <c r="BI256" s="925"/>
      <c r="BJ256" s="857">
        <f t="shared" si="104"/>
        <v>24</v>
      </c>
      <c r="BK256" s="857">
        <f t="shared" si="105"/>
        <v>24</v>
      </c>
      <c r="BL256" s="857">
        <f t="shared" si="106"/>
        <v>24</v>
      </c>
      <c r="BN256" s="939"/>
      <c r="BO256" s="939"/>
      <c r="BP256" s="939"/>
      <c r="BQ256" s="939"/>
      <c r="BR256" s="939"/>
      <c r="BS256" s="939"/>
      <c r="BV256" s="857">
        <f t="shared" si="82"/>
        <v>0</v>
      </c>
      <c r="BW256" s="857">
        <f t="shared" si="83"/>
        <v>0</v>
      </c>
      <c r="BX256" s="939">
        <f>AK256+BX255</f>
        <v>1014522</v>
      </c>
      <c r="BY256" s="939"/>
      <c r="BZ256" s="939"/>
      <c r="CA256" s="939"/>
      <c r="CB256" s="939">
        <f t="shared" si="85"/>
        <v>285478</v>
      </c>
      <c r="CC256" s="939"/>
      <c r="CH256" s="940"/>
      <c r="CI256" s="940"/>
      <c r="CJ256" s="940"/>
      <c r="CK256" s="940"/>
      <c r="CL256" s="940"/>
      <c r="CM256" s="940"/>
      <c r="CN256" s="940"/>
      <c r="CO256" s="940"/>
      <c r="CP256" s="940"/>
      <c r="CQ256" s="940"/>
      <c r="CR256" s="940"/>
      <c r="CS256" s="940"/>
      <c r="CT256" s="940"/>
      <c r="CU256" s="940"/>
      <c r="CV256" s="940"/>
      <c r="CW256" s="940"/>
      <c r="CX256" s="940"/>
      <c r="CY256" s="940"/>
      <c r="CZ256" s="940"/>
      <c r="DA256" s="940"/>
      <c r="DB256" s="940"/>
      <c r="DC256" s="940"/>
    </row>
    <row r="257" s="857" customFormat="1" ht="31" customHeight="1" spans="1:107">
      <c r="A257" s="923">
        <v>46058</v>
      </c>
      <c r="B257" s="924" t="s">
        <v>761</v>
      </c>
      <c r="C257" s="925" t="s">
        <v>632</v>
      </c>
      <c r="D257" s="857">
        <v>4500193215</v>
      </c>
      <c r="E257" s="926" t="s">
        <v>2449</v>
      </c>
      <c r="F257" s="857" t="s">
        <v>2450</v>
      </c>
      <c r="G257" s="927" t="s">
        <v>1746</v>
      </c>
      <c r="H257" s="927" t="s">
        <v>1747</v>
      </c>
      <c r="I257" s="928">
        <v>12</v>
      </c>
      <c r="J257" s="928">
        <v>0</v>
      </c>
      <c r="K257" s="928">
        <v>12</v>
      </c>
      <c r="L257" s="929">
        <f t="shared" si="84"/>
        <v>1</v>
      </c>
      <c r="M257" s="930">
        <v>46127</v>
      </c>
      <c r="N257" s="930">
        <v>46123</v>
      </c>
      <c r="O257" s="926"/>
      <c r="P257" s="931" t="s">
        <v>86</v>
      </c>
      <c r="Q257" s="926"/>
      <c r="R257" s="932">
        <v>46058</v>
      </c>
      <c r="S257" s="932" t="s">
        <v>88</v>
      </c>
      <c r="T257" s="932" t="s">
        <v>2451</v>
      </c>
      <c r="U257" s="932"/>
      <c r="V257" s="933" t="s">
        <v>2452</v>
      </c>
      <c r="W257" s="934" t="s">
        <v>731</v>
      </c>
      <c r="X257" s="935">
        <v>2.7354</v>
      </c>
      <c r="Y257" s="936">
        <f t="shared" si="87"/>
        <v>32.8248</v>
      </c>
      <c r="Z257" s="936"/>
      <c r="AA257" s="926"/>
      <c r="AB257" s="926" t="s">
        <v>2442</v>
      </c>
      <c r="AC257" s="928" t="s">
        <v>93</v>
      </c>
      <c r="AD257" s="928" t="s">
        <v>94</v>
      </c>
      <c r="AE257" s="926"/>
      <c r="AF257" s="946">
        <v>12</v>
      </c>
      <c r="AG257" s="946">
        <f t="shared" si="100"/>
        <v>0</v>
      </c>
      <c r="AH257" s="947"/>
      <c r="AI257" s="926" t="s">
        <v>95</v>
      </c>
      <c r="AJ257" s="926"/>
      <c r="AK257" s="951">
        <f t="shared" si="101"/>
        <v>24</v>
      </c>
      <c r="AL257" s="858"/>
      <c r="AM257" s="858"/>
      <c r="AN257" s="858">
        <f t="shared" si="102"/>
        <v>24</v>
      </c>
      <c r="AO257" s="856">
        <f t="shared" si="103"/>
        <v>24</v>
      </c>
      <c r="BE257" s="925"/>
      <c r="BF257" s="925"/>
      <c r="BG257" s="925"/>
      <c r="BH257" s="925"/>
      <c r="BI257" s="925"/>
      <c r="BJ257" s="857">
        <f t="shared" si="104"/>
        <v>12</v>
      </c>
      <c r="BK257" s="857">
        <f t="shared" si="105"/>
        <v>12</v>
      </c>
      <c r="BL257" s="857">
        <f t="shared" si="106"/>
        <v>12</v>
      </c>
      <c r="BN257" s="939"/>
      <c r="BO257" s="939"/>
      <c r="BP257" s="939"/>
      <c r="BQ257" s="939"/>
      <c r="BR257" s="939"/>
      <c r="BS257" s="939"/>
      <c r="BV257" s="857">
        <f t="shared" si="82"/>
        <v>0</v>
      </c>
      <c r="BW257" s="857">
        <f t="shared" si="83"/>
        <v>0</v>
      </c>
      <c r="BX257" s="939">
        <f>AK257+BX246</f>
        <v>1004978</v>
      </c>
      <c r="BY257" s="939"/>
      <c r="BZ257" s="939"/>
      <c r="CA257" s="939"/>
      <c r="CB257" s="939">
        <f t="shared" si="85"/>
        <v>295022</v>
      </c>
      <c r="CC257" s="939"/>
      <c r="CH257" s="940"/>
      <c r="CI257" s="940"/>
      <c r="CJ257" s="940"/>
      <c r="CK257" s="940"/>
      <c r="CL257" s="940"/>
      <c r="CM257" s="940"/>
      <c r="CN257" s="940"/>
      <c r="CO257" s="940"/>
      <c r="CP257" s="940"/>
      <c r="CQ257" s="940"/>
      <c r="CR257" s="940"/>
      <c r="CS257" s="940"/>
      <c r="CT257" s="940"/>
      <c r="CU257" s="940"/>
      <c r="CV257" s="940"/>
      <c r="CW257" s="940"/>
      <c r="CX257" s="940"/>
      <c r="CY257" s="940"/>
      <c r="CZ257" s="940"/>
      <c r="DA257" s="940"/>
      <c r="DB257" s="940"/>
      <c r="DC257" s="940"/>
    </row>
    <row r="258" s="857" customFormat="1" ht="31" customHeight="1" spans="1:107">
      <c r="A258" s="923">
        <v>46058</v>
      </c>
      <c r="B258" s="924" t="s">
        <v>761</v>
      </c>
      <c r="C258" s="925" t="s">
        <v>632</v>
      </c>
      <c r="D258" s="857">
        <v>4500193215</v>
      </c>
      <c r="E258" s="926" t="s">
        <v>2453</v>
      </c>
      <c r="F258" s="857" t="s">
        <v>2454</v>
      </c>
      <c r="G258" s="927" t="s">
        <v>1746</v>
      </c>
      <c r="H258" s="927" t="s">
        <v>1747</v>
      </c>
      <c r="I258" s="928">
        <v>12</v>
      </c>
      <c r="J258" s="928">
        <v>0</v>
      </c>
      <c r="K258" s="928">
        <v>12</v>
      </c>
      <c r="L258" s="929">
        <f t="shared" si="84"/>
        <v>1</v>
      </c>
      <c r="M258" s="930">
        <v>46127</v>
      </c>
      <c r="N258" s="930">
        <v>46123</v>
      </c>
      <c r="O258" s="926"/>
      <c r="P258" s="931" t="s">
        <v>86</v>
      </c>
      <c r="Q258" s="926"/>
      <c r="R258" s="932">
        <v>46058</v>
      </c>
      <c r="S258" s="932" t="s">
        <v>88</v>
      </c>
      <c r="T258" s="932" t="s">
        <v>2451</v>
      </c>
      <c r="U258" s="932"/>
      <c r="V258" s="933" t="s">
        <v>2452</v>
      </c>
      <c r="W258" s="934" t="s">
        <v>731</v>
      </c>
      <c r="X258" s="935">
        <v>2.7354</v>
      </c>
      <c r="Y258" s="936">
        <f t="shared" si="87"/>
        <v>32.8248</v>
      </c>
      <c r="Z258" s="936"/>
      <c r="AA258" s="926"/>
      <c r="AB258" s="926" t="s">
        <v>2442</v>
      </c>
      <c r="AC258" s="928" t="s">
        <v>93</v>
      </c>
      <c r="AD258" s="928" t="s">
        <v>94</v>
      </c>
      <c r="AE258" s="926"/>
      <c r="AF258" s="946">
        <v>12</v>
      </c>
      <c r="AG258" s="946">
        <f t="shared" si="100"/>
        <v>0</v>
      </c>
      <c r="AH258" s="947"/>
      <c r="AI258" s="926" t="s">
        <v>95</v>
      </c>
      <c r="AJ258" s="926"/>
      <c r="AK258" s="951">
        <f t="shared" si="101"/>
        <v>24</v>
      </c>
      <c r="AL258" s="858"/>
      <c r="AM258" s="858"/>
      <c r="AN258" s="858">
        <f t="shared" si="102"/>
        <v>24</v>
      </c>
      <c r="AO258" s="856">
        <f t="shared" si="103"/>
        <v>24</v>
      </c>
      <c r="BE258" s="925"/>
      <c r="BF258" s="925"/>
      <c r="BG258" s="925"/>
      <c r="BH258" s="925"/>
      <c r="BI258" s="925"/>
      <c r="BJ258" s="857">
        <f t="shared" si="104"/>
        <v>12</v>
      </c>
      <c r="BK258" s="857">
        <f t="shared" si="105"/>
        <v>12</v>
      </c>
      <c r="BL258" s="857">
        <f t="shared" si="106"/>
        <v>12</v>
      </c>
      <c r="BN258" s="939"/>
      <c r="BO258" s="939"/>
      <c r="BP258" s="939"/>
      <c r="BQ258" s="939"/>
      <c r="BR258" s="939"/>
      <c r="BS258" s="939"/>
      <c r="BV258" s="857">
        <f t="shared" si="82"/>
        <v>0</v>
      </c>
      <c r="BW258" s="857">
        <f t="shared" si="83"/>
        <v>0</v>
      </c>
      <c r="BX258" s="939">
        <f>AK258+BX257</f>
        <v>1005002</v>
      </c>
      <c r="BY258" s="939"/>
      <c r="BZ258" s="939"/>
      <c r="CA258" s="939"/>
      <c r="CB258" s="939">
        <f t="shared" si="85"/>
        <v>294998</v>
      </c>
      <c r="CC258" s="939"/>
      <c r="CH258" s="940"/>
      <c r="CI258" s="940"/>
      <c r="CJ258" s="940"/>
      <c r="CK258" s="940"/>
      <c r="CL258" s="940"/>
      <c r="CM258" s="940"/>
      <c r="CN258" s="940"/>
      <c r="CO258" s="940"/>
      <c r="CP258" s="940"/>
      <c r="CQ258" s="940"/>
      <c r="CR258" s="940"/>
      <c r="CS258" s="940"/>
      <c r="CT258" s="940"/>
      <c r="CU258" s="940"/>
      <c r="CV258" s="940"/>
      <c r="CW258" s="940"/>
      <c r="CX258" s="940"/>
      <c r="CY258" s="940"/>
      <c r="CZ258" s="940"/>
      <c r="DA258" s="940"/>
      <c r="DB258" s="940"/>
      <c r="DC258" s="940"/>
    </row>
    <row r="259" s="857" customFormat="1" ht="31" customHeight="1" spans="1:107">
      <c r="A259" s="923">
        <v>46058</v>
      </c>
      <c r="B259" s="924" t="s">
        <v>761</v>
      </c>
      <c r="C259" s="925" t="s">
        <v>632</v>
      </c>
      <c r="D259" s="857">
        <v>4500193215</v>
      </c>
      <c r="E259" s="926" t="s">
        <v>2455</v>
      </c>
      <c r="F259" s="857" t="s">
        <v>2456</v>
      </c>
      <c r="G259" s="927" t="s">
        <v>1746</v>
      </c>
      <c r="H259" s="927" t="s">
        <v>1747</v>
      </c>
      <c r="I259" s="928">
        <v>12</v>
      </c>
      <c r="J259" s="928">
        <v>0</v>
      </c>
      <c r="K259" s="928">
        <v>12</v>
      </c>
      <c r="L259" s="929">
        <f t="shared" si="84"/>
        <v>1</v>
      </c>
      <c r="M259" s="930">
        <v>46127</v>
      </c>
      <c r="N259" s="930">
        <v>46123</v>
      </c>
      <c r="O259" s="926"/>
      <c r="P259" s="931" t="s">
        <v>86</v>
      </c>
      <c r="Q259" s="926"/>
      <c r="R259" s="932">
        <v>46058</v>
      </c>
      <c r="S259" s="932" t="s">
        <v>88</v>
      </c>
      <c r="T259" s="932" t="s">
        <v>2451</v>
      </c>
      <c r="U259" s="932"/>
      <c r="V259" s="933" t="s">
        <v>2452</v>
      </c>
      <c r="W259" s="934" t="s">
        <v>731</v>
      </c>
      <c r="X259" s="935">
        <v>2.7354</v>
      </c>
      <c r="Y259" s="936">
        <f t="shared" si="87"/>
        <v>32.8248</v>
      </c>
      <c r="Z259" s="936"/>
      <c r="AA259" s="926"/>
      <c r="AB259" s="926" t="s">
        <v>2442</v>
      </c>
      <c r="AC259" s="928" t="s">
        <v>93</v>
      </c>
      <c r="AD259" s="928" t="s">
        <v>94</v>
      </c>
      <c r="AE259" s="926"/>
      <c r="AF259" s="946">
        <v>12</v>
      </c>
      <c r="AG259" s="946">
        <f t="shared" si="100"/>
        <v>0</v>
      </c>
      <c r="AH259" s="947"/>
      <c r="AI259" s="926" t="s">
        <v>95</v>
      </c>
      <c r="AJ259" s="926"/>
      <c r="AK259" s="951">
        <f t="shared" si="101"/>
        <v>24</v>
      </c>
      <c r="AL259" s="858"/>
      <c r="AM259" s="858"/>
      <c r="AN259" s="858">
        <f t="shared" si="102"/>
        <v>24</v>
      </c>
      <c r="AO259" s="856">
        <f t="shared" si="103"/>
        <v>24</v>
      </c>
      <c r="BE259" s="925"/>
      <c r="BF259" s="925"/>
      <c r="BG259" s="925"/>
      <c r="BH259" s="925"/>
      <c r="BI259" s="925"/>
      <c r="BJ259" s="857">
        <f t="shared" si="104"/>
        <v>12</v>
      </c>
      <c r="BK259" s="857">
        <f t="shared" si="105"/>
        <v>12</v>
      </c>
      <c r="BL259" s="857">
        <f t="shared" si="106"/>
        <v>12</v>
      </c>
      <c r="BN259" s="939"/>
      <c r="BO259" s="939"/>
      <c r="BP259" s="939"/>
      <c r="BQ259" s="939"/>
      <c r="BR259" s="939"/>
      <c r="BS259" s="939"/>
      <c r="BV259" s="857">
        <f t="shared" si="82"/>
        <v>0</v>
      </c>
      <c r="BW259" s="857">
        <f t="shared" si="83"/>
        <v>0</v>
      </c>
      <c r="BX259" s="939">
        <f>AK259+BX258</f>
        <v>1005026</v>
      </c>
      <c r="BY259" s="939"/>
      <c r="BZ259" s="939"/>
      <c r="CA259" s="939"/>
      <c r="CB259" s="939">
        <f t="shared" si="85"/>
        <v>294974</v>
      </c>
      <c r="CC259" s="939"/>
      <c r="CH259" s="940"/>
      <c r="CI259" s="940"/>
      <c r="CJ259" s="940"/>
      <c r="CK259" s="940"/>
      <c r="CL259" s="940"/>
      <c r="CM259" s="940"/>
      <c r="CN259" s="940"/>
      <c r="CO259" s="940"/>
      <c r="CP259" s="940"/>
      <c r="CQ259" s="940"/>
      <c r="CR259" s="940"/>
      <c r="CS259" s="940"/>
      <c r="CT259" s="940"/>
      <c r="CU259" s="940"/>
      <c r="CV259" s="940"/>
      <c r="CW259" s="940"/>
      <c r="CX259" s="940"/>
      <c r="CY259" s="940"/>
      <c r="CZ259" s="940"/>
      <c r="DA259" s="940"/>
      <c r="DB259" s="940"/>
      <c r="DC259" s="940"/>
    </row>
    <row r="260" s="857" customFormat="1" ht="31" customHeight="1" spans="1:107">
      <c r="A260" s="923">
        <v>46094</v>
      </c>
      <c r="B260" s="924" t="s">
        <v>2457</v>
      </c>
      <c r="C260" s="941" t="s">
        <v>377</v>
      </c>
      <c r="D260" s="924">
        <v>4500196544</v>
      </c>
      <c r="E260" s="928">
        <v>21636712</v>
      </c>
      <c r="F260" s="857" t="s">
        <v>2458</v>
      </c>
      <c r="G260" s="927" t="s">
        <v>1537</v>
      </c>
      <c r="H260" s="928" t="s">
        <v>1538</v>
      </c>
      <c r="I260" s="928">
        <v>4758</v>
      </c>
      <c r="J260" s="928">
        <v>0</v>
      </c>
      <c r="K260" s="928">
        <v>13</v>
      </c>
      <c r="L260" s="929">
        <f t="shared" si="84"/>
        <v>366</v>
      </c>
      <c r="M260" s="930">
        <v>46126</v>
      </c>
      <c r="N260" s="930">
        <v>46122</v>
      </c>
      <c r="O260" s="928"/>
      <c r="P260" s="931" t="s">
        <v>86</v>
      </c>
      <c r="Q260" s="928"/>
      <c r="R260" s="932" t="s">
        <v>89</v>
      </c>
      <c r="S260" s="932" t="s">
        <v>88</v>
      </c>
      <c r="T260" s="932" t="s">
        <v>89</v>
      </c>
      <c r="U260" s="932"/>
      <c r="V260" s="942" t="s">
        <v>1824</v>
      </c>
      <c r="W260" s="934" t="s">
        <v>2459</v>
      </c>
      <c r="X260" s="1043">
        <v>1.8671</v>
      </c>
      <c r="Y260" s="936">
        <f>I260*X260</f>
        <v>8883.6618</v>
      </c>
      <c r="Z260" s="936"/>
      <c r="AA260" s="928"/>
      <c r="AB260" s="927" t="s">
        <v>1537</v>
      </c>
      <c r="AC260" s="926" t="s">
        <v>93</v>
      </c>
      <c r="AD260" s="928" t="s">
        <v>94</v>
      </c>
      <c r="AE260" s="928"/>
      <c r="AF260" s="943">
        <v>4758</v>
      </c>
      <c r="AG260" s="946">
        <f t="shared" si="100"/>
        <v>0</v>
      </c>
      <c r="AH260" s="944"/>
      <c r="AI260" s="928" t="s">
        <v>95</v>
      </c>
      <c r="AJ260" s="928"/>
      <c r="AK260" s="926">
        <f>I260</f>
        <v>4758</v>
      </c>
      <c r="AL260" s="858">
        <f>I260</f>
        <v>4758</v>
      </c>
      <c r="AM260" s="858"/>
      <c r="AN260" s="858"/>
      <c r="AO260" s="857">
        <f>I260</f>
        <v>4758</v>
      </c>
      <c r="AR260" s="857">
        <f>I260/13</f>
        <v>366</v>
      </c>
      <c r="AS260" s="858"/>
      <c r="AT260" s="858"/>
      <c r="AU260" s="858"/>
      <c r="AV260" s="858"/>
      <c r="AW260" s="858"/>
      <c r="AX260" s="858"/>
      <c r="AY260" s="858"/>
      <c r="AZ260" s="858"/>
      <c r="BE260" s="925"/>
      <c r="BF260" s="925"/>
      <c r="BG260" s="925"/>
      <c r="BH260" s="925"/>
      <c r="BI260" s="925"/>
      <c r="BN260" s="939"/>
      <c r="BO260" s="939"/>
      <c r="BP260" s="939"/>
      <c r="BQ260" s="939"/>
      <c r="BR260" s="939"/>
      <c r="BS260" s="939"/>
      <c r="BV260" s="857">
        <f t="shared" si="82"/>
        <v>0</v>
      </c>
      <c r="BW260" s="857">
        <f t="shared" si="83"/>
        <v>0</v>
      </c>
      <c r="BX260" s="939">
        <f>AK260+BX262</f>
        <v>1020436</v>
      </c>
      <c r="BY260" s="939"/>
      <c r="BZ260" s="939"/>
      <c r="CA260" s="939"/>
      <c r="CB260" s="939">
        <f t="shared" si="85"/>
        <v>279564</v>
      </c>
      <c r="CC260" s="939"/>
      <c r="CH260" s="940"/>
      <c r="CI260" s="940"/>
      <c r="CJ260" s="940"/>
      <c r="CK260" s="940"/>
      <c r="CL260" s="940"/>
      <c r="CM260" s="940"/>
      <c r="CN260" s="940"/>
      <c r="CO260" s="940"/>
      <c r="CP260" s="940"/>
      <c r="CQ260" s="940"/>
      <c r="CR260" s="940"/>
      <c r="CS260" s="940"/>
      <c r="CT260" s="940"/>
      <c r="CU260" s="940"/>
      <c r="CV260" s="940"/>
      <c r="CW260" s="940"/>
      <c r="CX260" s="940"/>
      <c r="CY260" s="940"/>
      <c r="CZ260" s="940"/>
      <c r="DA260" s="940"/>
      <c r="DB260" s="940"/>
      <c r="DC260" s="940"/>
    </row>
    <row r="261" s="857" customFormat="1" ht="31" customHeight="1" spans="1:107">
      <c r="A261" s="923">
        <v>46094</v>
      </c>
      <c r="B261" s="924" t="s">
        <v>2460</v>
      </c>
      <c r="C261" s="941" t="s">
        <v>1544</v>
      </c>
      <c r="D261" s="924">
        <v>4500196549</v>
      </c>
      <c r="E261" s="928">
        <v>21636713</v>
      </c>
      <c r="F261" s="857" t="s">
        <v>2461</v>
      </c>
      <c r="G261" s="927" t="s">
        <v>1537</v>
      </c>
      <c r="H261" s="928" t="s">
        <v>1538</v>
      </c>
      <c r="I261" s="928">
        <v>429</v>
      </c>
      <c r="J261" s="928">
        <v>0</v>
      </c>
      <c r="K261" s="928">
        <v>13</v>
      </c>
      <c r="L261" s="929">
        <f t="shared" si="84"/>
        <v>33</v>
      </c>
      <c r="M261" s="930">
        <v>46126</v>
      </c>
      <c r="N261" s="930">
        <v>46122</v>
      </c>
      <c r="O261" s="928"/>
      <c r="P261" s="931" t="s">
        <v>86</v>
      </c>
      <c r="Q261" s="928"/>
      <c r="R261" s="932" t="s">
        <v>89</v>
      </c>
      <c r="S261" s="932" t="s">
        <v>88</v>
      </c>
      <c r="T261" s="932" t="s">
        <v>89</v>
      </c>
      <c r="U261" s="932"/>
      <c r="V261" s="942" t="s">
        <v>1827</v>
      </c>
      <c r="W261" s="934" t="s">
        <v>2459</v>
      </c>
      <c r="X261" s="1043">
        <v>1.8728</v>
      </c>
      <c r="Y261" s="936">
        <f>I261*X261</f>
        <v>803.4312</v>
      </c>
      <c r="Z261" s="936"/>
      <c r="AA261" s="928"/>
      <c r="AB261" s="927" t="s">
        <v>1537</v>
      </c>
      <c r="AC261" s="926" t="s">
        <v>93</v>
      </c>
      <c r="AD261" s="928" t="s">
        <v>94</v>
      </c>
      <c r="AE261" s="928"/>
      <c r="AF261" s="943">
        <v>429</v>
      </c>
      <c r="AG261" s="946">
        <f t="shared" si="100"/>
        <v>0</v>
      </c>
      <c r="AH261" s="944"/>
      <c r="AI261" s="928" t="s">
        <v>95</v>
      </c>
      <c r="AJ261" s="928"/>
      <c r="AK261" s="926">
        <f>I261</f>
        <v>429</v>
      </c>
      <c r="AL261" s="858">
        <f>I261</f>
        <v>429</v>
      </c>
      <c r="AM261" s="858"/>
      <c r="AN261" s="858"/>
      <c r="AO261" s="857">
        <f>I261</f>
        <v>429</v>
      </c>
      <c r="AR261" s="857">
        <f>I261/13</f>
        <v>33</v>
      </c>
      <c r="AS261" s="858"/>
      <c r="AT261" s="858"/>
      <c r="AU261" s="858"/>
      <c r="AV261" s="858"/>
      <c r="AW261" s="858"/>
      <c r="AX261" s="858"/>
      <c r="AY261" s="858"/>
      <c r="AZ261" s="858"/>
      <c r="BE261" s="925"/>
      <c r="BF261" s="925"/>
      <c r="BG261" s="925"/>
      <c r="BH261" s="925"/>
      <c r="BI261" s="925"/>
      <c r="BN261" s="939"/>
      <c r="BO261" s="939"/>
      <c r="BP261" s="939"/>
      <c r="BQ261" s="939"/>
      <c r="BR261" s="939"/>
      <c r="BS261" s="939"/>
      <c r="BV261" s="857">
        <f t="shared" si="82"/>
        <v>0</v>
      </c>
      <c r="BW261" s="857">
        <f t="shared" si="83"/>
        <v>0</v>
      </c>
      <c r="BX261" s="939">
        <f>AK261+BX260</f>
        <v>1020865</v>
      </c>
      <c r="BY261" s="939"/>
      <c r="BZ261" s="939"/>
      <c r="CA261" s="939"/>
      <c r="CB261" s="939">
        <f t="shared" si="85"/>
        <v>279135</v>
      </c>
      <c r="CC261" s="939"/>
      <c r="CH261" s="940"/>
      <c r="CI261" s="940"/>
      <c r="CJ261" s="940"/>
      <c r="CK261" s="940"/>
      <c r="CL261" s="940"/>
      <c r="CM261" s="940"/>
      <c r="CN261" s="940"/>
      <c r="CO261" s="940"/>
      <c r="CP261" s="940"/>
      <c r="CQ261" s="940"/>
      <c r="CR261" s="940"/>
      <c r="CS261" s="940"/>
      <c r="CT261" s="940"/>
      <c r="CU261" s="940"/>
      <c r="CV261" s="940"/>
      <c r="CW261" s="940"/>
      <c r="CX261" s="940"/>
      <c r="CY261" s="940"/>
      <c r="CZ261" s="940"/>
      <c r="DA261" s="940"/>
      <c r="DB261" s="940"/>
      <c r="DC261" s="940"/>
    </row>
    <row r="262" s="857" customFormat="1" ht="31" customHeight="1" spans="1:107">
      <c r="A262" s="923">
        <v>46099</v>
      </c>
      <c r="B262" s="924" t="s">
        <v>2462</v>
      </c>
      <c r="C262" s="941" t="s">
        <v>2012</v>
      </c>
      <c r="D262" s="924">
        <v>4500197253</v>
      </c>
      <c r="E262" s="928">
        <v>5000002150</v>
      </c>
      <c r="F262" s="857" t="s">
        <v>2463</v>
      </c>
      <c r="G262" s="927" t="s">
        <v>1537</v>
      </c>
      <c r="H262" s="928" t="s">
        <v>1538</v>
      </c>
      <c r="I262" s="928">
        <v>1300</v>
      </c>
      <c r="J262" s="928">
        <v>0</v>
      </c>
      <c r="K262" s="928">
        <v>13</v>
      </c>
      <c r="L262" s="929">
        <f t="shared" si="84"/>
        <v>100</v>
      </c>
      <c r="M262" s="930">
        <v>46132</v>
      </c>
      <c r="N262" s="930">
        <v>46128</v>
      </c>
      <c r="O262" s="928"/>
      <c r="P262" s="931" t="s">
        <v>86</v>
      </c>
      <c r="Q262" s="928"/>
      <c r="R262" s="932" t="s">
        <v>2419</v>
      </c>
      <c r="S262" s="932" t="s">
        <v>98</v>
      </c>
      <c r="T262" s="932" t="s">
        <v>2420</v>
      </c>
      <c r="U262" s="932"/>
      <c r="V262" s="942" t="s">
        <v>2464</v>
      </c>
      <c r="W262" s="934" t="s">
        <v>2465</v>
      </c>
      <c r="X262" s="1043">
        <v>1.8208</v>
      </c>
      <c r="Y262" s="936">
        <f>I262*X262</f>
        <v>2367.04</v>
      </c>
      <c r="Z262" s="936"/>
      <c r="AA262" s="928"/>
      <c r="AB262" s="927" t="s">
        <v>2020</v>
      </c>
      <c r="AC262" s="926" t="s">
        <v>93</v>
      </c>
      <c r="AD262" s="928" t="s">
        <v>94</v>
      </c>
      <c r="AE262" s="928"/>
      <c r="AF262" s="943">
        <v>1300</v>
      </c>
      <c r="AG262" s="946">
        <f t="shared" si="100"/>
        <v>0</v>
      </c>
      <c r="AH262" s="944"/>
      <c r="AI262" s="928" t="s">
        <v>95</v>
      </c>
      <c r="AJ262" s="928"/>
      <c r="AK262" s="926">
        <f>I262</f>
        <v>1300</v>
      </c>
      <c r="AL262" s="858">
        <f>I262</f>
        <v>1300</v>
      </c>
      <c r="AN262" s="858"/>
      <c r="AQ262" s="857">
        <f>I262</f>
        <v>1300</v>
      </c>
      <c r="AR262" s="857">
        <f>I262/13</f>
        <v>100</v>
      </c>
      <c r="AS262" s="858"/>
      <c r="AT262" s="858"/>
      <c r="AU262" s="858"/>
      <c r="AV262" s="858"/>
      <c r="AW262" s="858"/>
      <c r="AX262" s="858"/>
      <c r="AY262" s="858"/>
      <c r="AZ262" s="858"/>
      <c r="BE262" s="925"/>
      <c r="BF262" s="925"/>
      <c r="BG262" s="925"/>
      <c r="BH262" s="925"/>
      <c r="BI262" s="925"/>
      <c r="BN262" s="939"/>
      <c r="BO262" s="939"/>
      <c r="BP262" s="939"/>
      <c r="BQ262" s="939"/>
      <c r="BR262" s="939"/>
      <c r="BS262" s="939"/>
      <c r="BV262" s="857">
        <f t="shared" si="82"/>
        <v>0</v>
      </c>
      <c r="BW262" s="857">
        <f t="shared" si="83"/>
        <v>0</v>
      </c>
      <c r="BX262" s="939">
        <f>AK262+BX253</f>
        <v>1015678</v>
      </c>
      <c r="BY262" s="939"/>
      <c r="BZ262" s="939"/>
      <c r="CA262" s="939"/>
      <c r="CB262" s="939">
        <f t="shared" si="85"/>
        <v>284322</v>
      </c>
      <c r="CC262" s="939"/>
      <c r="CH262" s="940"/>
      <c r="CI262" s="940"/>
      <c r="CJ262" s="940"/>
      <c r="CK262" s="940"/>
      <c r="CL262" s="940"/>
      <c r="CM262" s="940"/>
      <c r="CN262" s="940"/>
      <c r="CO262" s="940"/>
      <c r="CP262" s="940"/>
      <c r="CQ262" s="940"/>
      <c r="CR262" s="940"/>
      <c r="CS262" s="940"/>
      <c r="CT262" s="940"/>
      <c r="CU262" s="940"/>
      <c r="CV262" s="940"/>
      <c r="CW262" s="940"/>
      <c r="CX262" s="940"/>
      <c r="CY262" s="940"/>
      <c r="CZ262" s="940"/>
      <c r="DA262" s="940"/>
      <c r="DB262" s="940"/>
      <c r="DC262" s="940"/>
    </row>
    <row r="263" s="857" customFormat="1" ht="31" customHeight="1" spans="1:107">
      <c r="A263" s="923">
        <v>46092</v>
      </c>
      <c r="B263" s="924" t="s">
        <v>347</v>
      </c>
      <c r="C263" s="925" t="s">
        <v>348</v>
      </c>
      <c r="D263" s="857">
        <v>4500196119</v>
      </c>
      <c r="E263" s="926" t="s">
        <v>2466</v>
      </c>
      <c r="F263" s="857" t="s">
        <v>2467</v>
      </c>
      <c r="G263" s="927" t="s">
        <v>1523</v>
      </c>
      <c r="H263" s="928" t="s">
        <v>1524</v>
      </c>
      <c r="I263" s="1042">
        <v>500</v>
      </c>
      <c r="J263" s="928">
        <v>0</v>
      </c>
      <c r="K263" s="928">
        <v>50</v>
      </c>
      <c r="L263" s="929">
        <f t="shared" si="84"/>
        <v>10</v>
      </c>
      <c r="M263" s="930">
        <v>46132</v>
      </c>
      <c r="N263" s="930">
        <v>46128</v>
      </c>
      <c r="O263" s="926"/>
      <c r="P263" s="931" t="s">
        <v>86</v>
      </c>
      <c r="Q263" s="926"/>
      <c r="R263" s="932" t="s">
        <v>89</v>
      </c>
      <c r="S263" s="932" t="s">
        <v>98</v>
      </c>
      <c r="T263" s="932" t="s">
        <v>1158</v>
      </c>
      <c r="U263" s="932"/>
      <c r="V263" s="933" t="s">
        <v>2468</v>
      </c>
      <c r="W263" s="934" t="s">
        <v>2469</v>
      </c>
      <c r="X263" s="935">
        <v>1.9788</v>
      </c>
      <c r="Y263" s="936">
        <f t="shared" ref="Y263:Y272" si="107">X263*I263</f>
        <v>989.4</v>
      </c>
      <c r="Z263" s="936"/>
      <c r="AA263" s="926"/>
      <c r="AB263" s="927" t="s">
        <v>1727</v>
      </c>
      <c r="AC263" s="928" t="s">
        <v>93</v>
      </c>
      <c r="AD263" s="928" t="s">
        <v>94</v>
      </c>
      <c r="AE263" s="926"/>
      <c r="AF263" s="946">
        <v>500</v>
      </c>
      <c r="AG263" s="946">
        <f t="shared" si="100"/>
        <v>0</v>
      </c>
      <c r="AH263" s="947"/>
      <c r="AI263" s="926" t="s">
        <v>95</v>
      </c>
      <c r="AJ263" s="926"/>
      <c r="AK263" s="926">
        <f>I263</f>
        <v>500</v>
      </c>
      <c r="AL263" s="858"/>
      <c r="AM263" s="858"/>
      <c r="AN263" s="928">
        <f>I263</f>
        <v>500</v>
      </c>
      <c r="AO263" s="857">
        <f>I263</f>
        <v>500</v>
      </c>
      <c r="AU263" s="857">
        <f>I263/25</f>
        <v>20</v>
      </c>
      <c r="BE263" s="925"/>
      <c r="BF263" s="925"/>
      <c r="BG263" s="925"/>
      <c r="BH263" s="925"/>
      <c r="BI263" s="925"/>
      <c r="BN263" s="939"/>
      <c r="BO263" s="939"/>
      <c r="BP263" s="939"/>
      <c r="BQ263" s="939"/>
      <c r="BR263" s="939"/>
      <c r="BS263" s="939"/>
      <c r="BV263" s="857">
        <f t="shared" si="82"/>
        <v>20</v>
      </c>
      <c r="BW263" s="857">
        <f t="shared" si="83"/>
        <v>0</v>
      </c>
      <c r="BX263" s="939">
        <f>AK263+BX234</f>
        <v>993905</v>
      </c>
      <c r="BY263" s="939"/>
      <c r="BZ263" s="939"/>
      <c r="CA263" s="939"/>
      <c r="CB263" s="939">
        <f t="shared" si="85"/>
        <v>306095</v>
      </c>
      <c r="CC263" s="939"/>
      <c r="CH263" s="940"/>
      <c r="CI263" s="940"/>
      <c r="CJ263" s="940"/>
      <c r="CK263" s="940"/>
      <c r="CL263" s="940"/>
      <c r="CM263" s="940"/>
      <c r="CN263" s="940"/>
      <c r="CO263" s="940"/>
      <c r="CP263" s="940"/>
      <c r="CQ263" s="940"/>
      <c r="CR263" s="940"/>
      <c r="CS263" s="940"/>
      <c r="CT263" s="940"/>
      <c r="CU263" s="940"/>
      <c r="CV263" s="940"/>
      <c r="CW263" s="940"/>
      <c r="CX263" s="940"/>
      <c r="CY263" s="940"/>
      <c r="CZ263" s="940"/>
      <c r="DA263" s="940"/>
      <c r="DB263" s="940"/>
      <c r="DC263" s="940"/>
    </row>
    <row r="264" s="857" customFormat="1" ht="31" customHeight="1" spans="1:107">
      <c r="A264" s="923">
        <v>46106</v>
      </c>
      <c r="B264" s="924" t="s">
        <v>2011</v>
      </c>
      <c r="C264" s="941" t="s">
        <v>2012</v>
      </c>
      <c r="D264" s="924">
        <v>4500197253</v>
      </c>
      <c r="E264" s="928">
        <v>5000002150</v>
      </c>
      <c r="F264" s="857" t="s">
        <v>2470</v>
      </c>
      <c r="G264" s="927" t="s">
        <v>1537</v>
      </c>
      <c r="H264" s="928" t="s">
        <v>1538</v>
      </c>
      <c r="I264" s="928">
        <v>1950</v>
      </c>
      <c r="J264" s="928">
        <v>0</v>
      </c>
      <c r="K264" s="928">
        <v>13</v>
      </c>
      <c r="L264" s="929">
        <f t="shared" si="84"/>
        <v>150</v>
      </c>
      <c r="M264" s="930">
        <v>46140</v>
      </c>
      <c r="N264" s="930">
        <v>46136</v>
      </c>
      <c r="O264" s="928"/>
      <c r="P264" s="931" t="s">
        <v>86</v>
      </c>
      <c r="Q264" s="928"/>
      <c r="R264" s="932" t="s">
        <v>2419</v>
      </c>
      <c r="S264" s="932" t="s">
        <v>98</v>
      </c>
      <c r="T264" s="932" t="s">
        <v>2420</v>
      </c>
      <c r="U264" s="932"/>
      <c r="V264" s="942" t="s">
        <v>2471</v>
      </c>
      <c r="W264" s="934" t="s">
        <v>2018</v>
      </c>
      <c r="X264" s="1043">
        <v>1.8151</v>
      </c>
      <c r="Y264" s="936">
        <f t="shared" si="107"/>
        <v>3539.445</v>
      </c>
      <c r="Z264" s="936"/>
      <c r="AA264" s="928"/>
      <c r="AB264" s="927" t="s">
        <v>2020</v>
      </c>
      <c r="AC264" s="926" t="s">
        <v>93</v>
      </c>
      <c r="AD264" s="928" t="s">
        <v>94</v>
      </c>
      <c r="AE264" s="928"/>
      <c r="AF264" s="943">
        <v>1950</v>
      </c>
      <c r="AG264" s="946">
        <f t="shared" si="100"/>
        <v>0</v>
      </c>
      <c r="AH264" s="944"/>
      <c r="AI264" s="928" t="s">
        <v>95</v>
      </c>
      <c r="AJ264" s="928"/>
      <c r="AK264" s="926">
        <f>I264</f>
        <v>1950</v>
      </c>
      <c r="AL264" s="858">
        <f>I264</f>
        <v>1950</v>
      </c>
      <c r="AM264" s="858"/>
      <c r="AN264" s="858"/>
      <c r="AO264" s="858"/>
      <c r="AP264" s="858"/>
      <c r="AQ264" s="857">
        <f>I264</f>
        <v>1950</v>
      </c>
      <c r="AR264" s="857">
        <f>I264/13</f>
        <v>150</v>
      </c>
      <c r="AS264" s="858"/>
      <c r="AT264" s="858"/>
      <c r="AU264" s="858"/>
      <c r="AV264" s="858"/>
      <c r="AW264" s="858"/>
      <c r="AX264" s="858"/>
      <c r="AY264" s="858"/>
      <c r="AZ264" s="858"/>
      <c r="BE264" s="925"/>
      <c r="BF264" s="925"/>
      <c r="BG264" s="925"/>
      <c r="BH264" s="925"/>
      <c r="BI264" s="925"/>
      <c r="BN264" s="939"/>
      <c r="BO264" s="939"/>
      <c r="BP264" s="939"/>
      <c r="BQ264" s="939"/>
      <c r="BR264" s="939"/>
      <c r="BS264" s="939"/>
      <c r="BV264" s="857">
        <f t="shared" si="82"/>
        <v>0</v>
      </c>
      <c r="BW264" s="857">
        <f t="shared" si="83"/>
        <v>0</v>
      </c>
      <c r="BX264" s="939">
        <f>AK264+BX259</f>
        <v>1006976</v>
      </c>
      <c r="BY264" s="939"/>
      <c r="BZ264" s="939"/>
      <c r="CA264" s="939"/>
      <c r="CB264" s="939">
        <f t="shared" si="85"/>
        <v>293024</v>
      </c>
      <c r="CC264" s="939"/>
      <c r="CH264" s="940"/>
      <c r="CI264" s="940"/>
      <c r="CJ264" s="940"/>
      <c r="CK264" s="940"/>
      <c r="CL264" s="940"/>
      <c r="CM264" s="940"/>
      <c r="CN264" s="940"/>
      <c r="CO264" s="940"/>
      <c r="CP264" s="940"/>
      <c r="CQ264" s="940"/>
      <c r="CR264" s="940"/>
      <c r="CS264" s="940"/>
      <c r="CT264" s="940"/>
      <c r="CU264" s="940"/>
      <c r="CV264" s="940"/>
      <c r="CW264" s="940"/>
      <c r="CX264" s="940"/>
      <c r="CY264" s="940"/>
      <c r="CZ264" s="940"/>
      <c r="DA264" s="940"/>
      <c r="DB264" s="940"/>
      <c r="DC264" s="940"/>
    </row>
    <row r="265" s="857" customFormat="1" ht="31" customHeight="1" spans="1:107">
      <c r="A265" s="1044">
        <v>46101</v>
      </c>
      <c r="B265" s="1045" t="s">
        <v>761</v>
      </c>
      <c r="C265" s="1046" t="s">
        <v>632</v>
      </c>
      <c r="D265" s="1047">
        <v>4500197917</v>
      </c>
      <c r="E265" s="1048" t="s">
        <v>2472</v>
      </c>
      <c r="F265" s="1047" t="s">
        <v>2473</v>
      </c>
      <c r="G265" s="926" t="s">
        <v>1746</v>
      </c>
      <c r="H265" s="927" t="s">
        <v>1747</v>
      </c>
      <c r="I265" s="928">
        <v>12</v>
      </c>
      <c r="J265" s="928">
        <v>0</v>
      </c>
      <c r="K265" s="928">
        <v>12</v>
      </c>
      <c r="L265" s="929">
        <f t="shared" si="84"/>
        <v>1</v>
      </c>
      <c r="M265" s="930">
        <v>46149</v>
      </c>
      <c r="N265" s="930">
        <v>46146</v>
      </c>
      <c r="O265" s="926"/>
      <c r="P265" s="931" t="s">
        <v>86</v>
      </c>
      <c r="Q265" s="926"/>
      <c r="R265" s="932">
        <v>46101</v>
      </c>
      <c r="S265" s="932" t="s">
        <v>88</v>
      </c>
      <c r="T265" s="932" t="s">
        <v>2474</v>
      </c>
      <c r="U265" s="932"/>
      <c r="V265" s="933" t="s">
        <v>2475</v>
      </c>
      <c r="W265" s="930" t="s">
        <v>731</v>
      </c>
      <c r="X265" s="1043">
        <v>2.8011</v>
      </c>
      <c r="Y265" s="936">
        <f t="shared" si="107"/>
        <v>33.6132</v>
      </c>
      <c r="Z265" s="936"/>
      <c r="AA265" s="926"/>
      <c r="AB265" s="926" t="s">
        <v>2442</v>
      </c>
      <c r="AC265" s="928" t="s">
        <v>93</v>
      </c>
      <c r="AD265" s="928" t="s">
        <v>94</v>
      </c>
      <c r="AE265" s="926"/>
      <c r="AF265" s="946">
        <v>12</v>
      </c>
      <c r="AG265" s="946">
        <f t="shared" si="100"/>
        <v>0</v>
      </c>
      <c r="AH265" s="947"/>
      <c r="AI265" s="926" t="s">
        <v>95</v>
      </c>
      <c r="AJ265" s="926"/>
      <c r="AK265" s="951">
        <f>I265*2</f>
        <v>24</v>
      </c>
      <c r="AM265" s="858"/>
      <c r="AN265" s="858">
        <f>I265*2</f>
        <v>24</v>
      </c>
      <c r="AO265" s="856">
        <f>I265*2</f>
        <v>24</v>
      </c>
      <c r="AP265" s="926"/>
      <c r="AT265" s="926"/>
      <c r="AU265" s="926"/>
      <c r="AV265" s="926"/>
      <c r="AW265" s="926"/>
      <c r="BE265" s="925"/>
      <c r="BF265" s="925"/>
      <c r="BG265" s="925"/>
      <c r="BH265" s="925"/>
      <c r="BI265" s="925"/>
      <c r="BJ265" s="857">
        <f>I265</f>
        <v>12</v>
      </c>
      <c r="BK265" s="857">
        <f>I265</f>
        <v>12</v>
      </c>
      <c r="BL265" s="857">
        <f>I265</f>
        <v>12</v>
      </c>
      <c r="BN265" s="939"/>
      <c r="BO265" s="939"/>
      <c r="BP265" s="939"/>
      <c r="BQ265" s="939"/>
      <c r="BR265" s="939"/>
      <c r="BS265" s="939"/>
      <c r="BV265" s="857">
        <f t="shared" si="82"/>
        <v>0</v>
      </c>
      <c r="BW265" s="857">
        <f t="shared" si="83"/>
        <v>0</v>
      </c>
      <c r="BX265" s="939">
        <f>AK265+BX279</f>
        <v>995817</v>
      </c>
      <c r="BY265" s="939"/>
      <c r="BZ265" s="939"/>
      <c r="CA265" s="939"/>
      <c r="CB265" s="939">
        <f t="shared" si="85"/>
        <v>304183</v>
      </c>
      <c r="CC265" s="939"/>
      <c r="CH265" s="940"/>
      <c r="CI265" s="940"/>
      <c r="CJ265" s="940"/>
      <c r="CK265" s="940"/>
      <c r="CL265" s="940"/>
      <c r="CM265" s="940"/>
      <c r="CN265" s="940"/>
      <c r="CO265" s="940"/>
      <c r="CP265" s="940"/>
      <c r="CQ265" s="940"/>
      <c r="CR265" s="940"/>
      <c r="CS265" s="940"/>
      <c r="CT265" s="940"/>
      <c r="CU265" s="940"/>
      <c r="CV265" s="940"/>
      <c r="CW265" s="940"/>
      <c r="CX265" s="940"/>
      <c r="CY265" s="940"/>
      <c r="CZ265" s="940"/>
      <c r="DA265" s="940"/>
      <c r="DB265" s="940"/>
      <c r="DC265" s="940"/>
    </row>
    <row r="266" s="857" customFormat="1" ht="31" customHeight="1" spans="1:107">
      <c r="A266" s="1044">
        <v>46101</v>
      </c>
      <c r="B266" s="1045" t="s">
        <v>761</v>
      </c>
      <c r="C266" s="1046" t="s">
        <v>632</v>
      </c>
      <c r="D266" s="1047">
        <v>4500197917</v>
      </c>
      <c r="E266" s="1048" t="s">
        <v>2476</v>
      </c>
      <c r="F266" s="1047" t="s">
        <v>2477</v>
      </c>
      <c r="G266" s="926" t="s">
        <v>1746</v>
      </c>
      <c r="H266" s="927" t="s">
        <v>1747</v>
      </c>
      <c r="I266" s="928">
        <v>12</v>
      </c>
      <c r="J266" s="928">
        <v>0</v>
      </c>
      <c r="K266" s="928">
        <v>12</v>
      </c>
      <c r="L266" s="929">
        <f t="shared" si="84"/>
        <v>1</v>
      </c>
      <c r="M266" s="930">
        <v>46149</v>
      </c>
      <c r="N266" s="930">
        <v>46146</v>
      </c>
      <c r="O266" s="926"/>
      <c r="P266" s="931" t="s">
        <v>86</v>
      </c>
      <c r="Q266" s="926"/>
      <c r="R266" s="932">
        <v>46101</v>
      </c>
      <c r="S266" s="932" t="s">
        <v>88</v>
      </c>
      <c r="T266" s="932" t="s">
        <v>2474</v>
      </c>
      <c r="U266" s="932"/>
      <c r="V266" s="933" t="s">
        <v>2475</v>
      </c>
      <c r="W266" s="930" t="s">
        <v>731</v>
      </c>
      <c r="X266" s="1043">
        <v>2.8011</v>
      </c>
      <c r="Y266" s="936">
        <f t="shared" si="107"/>
        <v>33.6132</v>
      </c>
      <c r="Z266" s="936"/>
      <c r="AA266" s="926"/>
      <c r="AB266" s="926" t="s">
        <v>2442</v>
      </c>
      <c r="AC266" s="928" t="s">
        <v>93</v>
      </c>
      <c r="AD266" s="928" t="s">
        <v>94</v>
      </c>
      <c r="AE266" s="926"/>
      <c r="AF266" s="946">
        <v>12</v>
      </c>
      <c r="AG266" s="946">
        <f t="shared" si="100"/>
        <v>0</v>
      </c>
      <c r="AH266" s="947"/>
      <c r="AI266" s="926" t="s">
        <v>95</v>
      </c>
      <c r="AJ266" s="926"/>
      <c r="AK266" s="951">
        <f>I266*2</f>
        <v>24</v>
      </c>
      <c r="AM266" s="858"/>
      <c r="AN266" s="858">
        <f>I266*2</f>
        <v>24</v>
      </c>
      <c r="AO266" s="856">
        <f>I266*2</f>
        <v>24</v>
      </c>
      <c r="AP266" s="926"/>
      <c r="AT266" s="926"/>
      <c r="AU266" s="926"/>
      <c r="AV266" s="926"/>
      <c r="AW266" s="926"/>
      <c r="BE266" s="925"/>
      <c r="BF266" s="925"/>
      <c r="BG266" s="925"/>
      <c r="BH266" s="925"/>
      <c r="BI266" s="925"/>
      <c r="BJ266" s="857">
        <f>I266</f>
        <v>12</v>
      </c>
      <c r="BK266" s="857">
        <f>I266</f>
        <v>12</v>
      </c>
      <c r="BL266" s="857">
        <f>I266</f>
        <v>12</v>
      </c>
      <c r="BN266" s="939"/>
      <c r="BO266" s="939"/>
      <c r="BP266" s="939"/>
      <c r="BQ266" s="939"/>
      <c r="BR266" s="939"/>
      <c r="BS266" s="939"/>
      <c r="BV266" s="857">
        <f t="shared" si="82"/>
        <v>0</v>
      </c>
      <c r="BW266" s="857">
        <f t="shared" si="83"/>
        <v>0</v>
      </c>
      <c r="BX266" s="939">
        <f>AK266+BX265</f>
        <v>995841</v>
      </c>
      <c r="BY266" s="939"/>
      <c r="BZ266" s="939"/>
      <c r="CA266" s="939"/>
      <c r="CB266" s="939">
        <f t="shared" si="85"/>
        <v>304159</v>
      </c>
      <c r="CC266" s="939"/>
      <c r="CH266" s="940"/>
      <c r="CI266" s="940"/>
      <c r="CJ266" s="940"/>
      <c r="CK266" s="940"/>
      <c r="CL266" s="940"/>
      <c r="CM266" s="940"/>
      <c r="CN266" s="940"/>
      <c r="CO266" s="940"/>
      <c r="CP266" s="940"/>
      <c r="CQ266" s="940"/>
      <c r="CR266" s="940"/>
      <c r="CS266" s="940"/>
      <c r="CT266" s="940"/>
      <c r="CU266" s="940"/>
      <c r="CV266" s="940"/>
      <c r="CW266" s="940"/>
      <c r="CX266" s="940"/>
      <c r="CY266" s="940"/>
      <c r="CZ266" s="940"/>
      <c r="DA266" s="940"/>
      <c r="DB266" s="940"/>
      <c r="DC266" s="940"/>
    </row>
    <row r="267" s="857" customFormat="1" ht="31" customHeight="1" spans="1:107">
      <c r="A267" s="1044">
        <v>46101</v>
      </c>
      <c r="B267" s="1045" t="s">
        <v>761</v>
      </c>
      <c r="C267" s="1046" t="s">
        <v>632</v>
      </c>
      <c r="D267" s="1047">
        <v>4500197917</v>
      </c>
      <c r="E267" s="1048" t="s">
        <v>2478</v>
      </c>
      <c r="F267" s="1047" t="s">
        <v>2479</v>
      </c>
      <c r="G267" s="926" t="s">
        <v>1746</v>
      </c>
      <c r="H267" s="927" t="s">
        <v>1747</v>
      </c>
      <c r="I267" s="928">
        <v>12</v>
      </c>
      <c r="J267" s="928">
        <v>0</v>
      </c>
      <c r="K267" s="928">
        <v>12</v>
      </c>
      <c r="L267" s="929">
        <f t="shared" si="84"/>
        <v>1</v>
      </c>
      <c r="M267" s="930">
        <v>46149</v>
      </c>
      <c r="N267" s="930">
        <v>46146</v>
      </c>
      <c r="O267" s="926"/>
      <c r="P267" s="931" t="s">
        <v>86</v>
      </c>
      <c r="Q267" s="926"/>
      <c r="R267" s="932">
        <v>46101</v>
      </c>
      <c r="S267" s="932" t="s">
        <v>88</v>
      </c>
      <c r="T267" s="932" t="s">
        <v>2474</v>
      </c>
      <c r="U267" s="932"/>
      <c r="V267" s="933" t="s">
        <v>2475</v>
      </c>
      <c r="W267" s="930" t="s">
        <v>731</v>
      </c>
      <c r="X267" s="1043">
        <v>2.8011</v>
      </c>
      <c r="Y267" s="936">
        <f t="shared" si="107"/>
        <v>33.6132</v>
      </c>
      <c r="Z267" s="936"/>
      <c r="AA267" s="926"/>
      <c r="AB267" s="926" t="s">
        <v>2442</v>
      </c>
      <c r="AC267" s="928" t="s">
        <v>93</v>
      </c>
      <c r="AD267" s="928" t="s">
        <v>94</v>
      </c>
      <c r="AE267" s="926"/>
      <c r="AF267" s="946">
        <v>12</v>
      </c>
      <c r="AG267" s="946">
        <f t="shared" si="100"/>
        <v>0</v>
      </c>
      <c r="AH267" s="947"/>
      <c r="AI267" s="926" t="s">
        <v>95</v>
      </c>
      <c r="AJ267" s="926"/>
      <c r="AK267" s="951">
        <f>I267*2</f>
        <v>24</v>
      </c>
      <c r="AM267" s="858"/>
      <c r="AN267" s="858">
        <f>I267*2</f>
        <v>24</v>
      </c>
      <c r="AO267" s="856">
        <f>I267*2</f>
        <v>24</v>
      </c>
      <c r="AP267" s="926"/>
      <c r="AT267" s="926"/>
      <c r="AU267" s="926"/>
      <c r="AV267" s="926"/>
      <c r="AW267" s="926"/>
      <c r="BE267" s="925"/>
      <c r="BF267" s="925"/>
      <c r="BG267" s="925"/>
      <c r="BH267" s="925"/>
      <c r="BI267" s="925"/>
      <c r="BJ267" s="857">
        <f>I267</f>
        <v>12</v>
      </c>
      <c r="BK267" s="857">
        <f>I267</f>
        <v>12</v>
      </c>
      <c r="BL267" s="857">
        <f>I267</f>
        <v>12</v>
      </c>
      <c r="BN267" s="939"/>
      <c r="BO267" s="939"/>
      <c r="BP267" s="939"/>
      <c r="BQ267" s="939"/>
      <c r="BR267" s="939"/>
      <c r="BS267" s="939"/>
      <c r="BV267" s="857">
        <f t="shared" si="82"/>
        <v>0</v>
      </c>
      <c r="BW267" s="857">
        <f t="shared" si="83"/>
        <v>0</v>
      </c>
      <c r="BX267" s="939">
        <f>AK267+BX266</f>
        <v>995865</v>
      </c>
      <c r="BY267" s="939"/>
      <c r="BZ267" s="939"/>
      <c r="CA267" s="939"/>
      <c r="CB267" s="939">
        <f t="shared" si="85"/>
        <v>304135</v>
      </c>
      <c r="CC267" s="939"/>
      <c r="CH267" s="940"/>
      <c r="CI267" s="940"/>
      <c r="CJ267" s="940"/>
      <c r="CK267" s="940"/>
      <c r="CL267" s="940"/>
      <c r="CM267" s="940"/>
      <c r="CN267" s="940"/>
      <c r="CO267" s="940"/>
      <c r="CP267" s="940"/>
      <c r="CQ267" s="940"/>
      <c r="CR267" s="940"/>
      <c r="CS267" s="940"/>
      <c r="CT267" s="940"/>
      <c r="CU267" s="940"/>
      <c r="CV267" s="940"/>
      <c r="CW267" s="940"/>
      <c r="CX267" s="940"/>
      <c r="CY267" s="940"/>
      <c r="CZ267" s="940"/>
      <c r="DA267" s="940"/>
      <c r="DB267" s="940"/>
      <c r="DC267" s="940"/>
    </row>
    <row r="268" s="857" customFormat="1" ht="31" customHeight="1" spans="1:107">
      <c r="A268" s="923">
        <v>46016</v>
      </c>
      <c r="B268" s="924" t="s">
        <v>578</v>
      </c>
      <c r="C268" s="925" t="s">
        <v>125</v>
      </c>
      <c r="D268" s="857">
        <v>4500190006</v>
      </c>
      <c r="E268" s="1424" t="s">
        <v>2480</v>
      </c>
      <c r="F268" s="857" t="s">
        <v>2481</v>
      </c>
      <c r="G268" s="927" t="s">
        <v>1584</v>
      </c>
      <c r="H268" s="928" t="s">
        <v>1585</v>
      </c>
      <c r="I268" s="928">
        <v>960</v>
      </c>
      <c r="J268" s="928">
        <v>0</v>
      </c>
      <c r="K268" s="928">
        <v>16</v>
      </c>
      <c r="L268" s="929">
        <f t="shared" si="84"/>
        <v>60</v>
      </c>
      <c r="M268" s="930">
        <v>46098</v>
      </c>
      <c r="N268" s="930">
        <f>M268-4</f>
        <v>46094</v>
      </c>
      <c r="O268" s="1041" t="s">
        <v>2482</v>
      </c>
      <c r="P268" s="931" t="s">
        <v>86</v>
      </c>
      <c r="Q268" s="926"/>
      <c r="R268" s="932" t="s">
        <v>395</v>
      </c>
      <c r="S268" s="932" t="s">
        <v>98</v>
      </c>
      <c r="T268" s="932" t="s">
        <v>582</v>
      </c>
      <c r="U268" s="932"/>
      <c r="V268" s="933" t="s">
        <v>1792</v>
      </c>
      <c r="W268" s="934" t="s">
        <v>247</v>
      </c>
      <c r="X268" s="935">
        <v>1.2079</v>
      </c>
      <c r="Y268" s="936">
        <f t="shared" si="107"/>
        <v>1159.584</v>
      </c>
      <c r="Z268" s="936"/>
      <c r="AA268" s="926"/>
      <c r="AB268" s="927" t="s">
        <v>1584</v>
      </c>
      <c r="AC268" s="928" t="s">
        <v>93</v>
      </c>
      <c r="AD268" s="928" t="s">
        <v>94</v>
      </c>
      <c r="AE268" s="926"/>
      <c r="AF268" s="946">
        <v>960</v>
      </c>
      <c r="AG268" s="946">
        <f t="shared" si="100"/>
        <v>0</v>
      </c>
      <c r="AH268" s="947"/>
      <c r="AI268" s="926" t="s">
        <v>95</v>
      </c>
      <c r="AJ268" s="926"/>
      <c r="AK268" s="926">
        <f t="shared" ref="AK268:AK273" si="108">I268</f>
        <v>960</v>
      </c>
      <c r="AL268" s="858">
        <f>I268</f>
        <v>960</v>
      </c>
      <c r="AM268" s="858"/>
      <c r="AN268" s="858"/>
      <c r="AO268" s="857">
        <f t="shared" ref="AO268:AO285" si="109">I268</f>
        <v>960</v>
      </c>
      <c r="AY268" s="857">
        <f>I268/16</f>
        <v>60</v>
      </c>
      <c r="BE268" s="925"/>
      <c r="BF268" s="925"/>
      <c r="BG268" s="925"/>
      <c r="BH268" s="925"/>
      <c r="BI268" s="925"/>
      <c r="BN268" s="939"/>
      <c r="BO268" s="939"/>
      <c r="BP268" s="939"/>
      <c r="BQ268" s="939"/>
      <c r="BR268" s="939"/>
      <c r="BS268" s="939"/>
      <c r="BV268" s="857">
        <f t="shared" si="82"/>
        <v>60</v>
      </c>
      <c r="BW268" s="857">
        <f t="shared" si="83"/>
        <v>0</v>
      </c>
      <c r="BX268" s="939">
        <f>AK268+BX226</f>
        <v>923501</v>
      </c>
      <c r="BY268" s="939"/>
      <c r="BZ268" s="939"/>
      <c r="CA268" s="939"/>
      <c r="CB268" s="939">
        <f t="shared" si="85"/>
        <v>376499</v>
      </c>
      <c r="CC268" s="939"/>
      <c r="CH268" s="940"/>
      <c r="CI268" s="940"/>
      <c r="CJ268" s="940"/>
      <c r="CK268" s="940"/>
      <c r="CL268" s="940"/>
      <c r="CM268" s="940"/>
      <c r="CN268" s="940"/>
      <c r="CO268" s="940"/>
      <c r="CP268" s="940"/>
      <c r="CQ268" s="940"/>
      <c r="CR268" s="940"/>
      <c r="CS268" s="940"/>
      <c r="CT268" s="940"/>
      <c r="CU268" s="940"/>
      <c r="CV268" s="940"/>
      <c r="CW268" s="940"/>
      <c r="CX268" s="940"/>
      <c r="CY268" s="940"/>
      <c r="CZ268" s="940"/>
      <c r="DA268" s="940"/>
      <c r="DB268" s="940"/>
      <c r="DC268" s="940"/>
    </row>
    <row r="269" s="857" customFormat="1" ht="31" customHeight="1" spans="1:107">
      <c r="A269" s="923">
        <v>46016</v>
      </c>
      <c r="B269" s="924" t="s">
        <v>578</v>
      </c>
      <c r="C269" s="925" t="s">
        <v>125</v>
      </c>
      <c r="D269" s="857">
        <v>4500190006</v>
      </c>
      <c r="E269" s="1424" t="s">
        <v>2483</v>
      </c>
      <c r="F269" s="857" t="s">
        <v>2484</v>
      </c>
      <c r="G269" s="927" t="s">
        <v>1584</v>
      </c>
      <c r="H269" s="928" t="s">
        <v>1585</v>
      </c>
      <c r="I269" s="928">
        <v>960</v>
      </c>
      <c r="J269" s="928">
        <v>0</v>
      </c>
      <c r="K269" s="928">
        <v>16</v>
      </c>
      <c r="L269" s="929">
        <f t="shared" si="84"/>
        <v>60</v>
      </c>
      <c r="M269" s="930">
        <v>46098</v>
      </c>
      <c r="N269" s="930">
        <f>M269-4</f>
        <v>46094</v>
      </c>
      <c r="O269" s="1041" t="s">
        <v>2482</v>
      </c>
      <c r="P269" s="931" t="s">
        <v>86</v>
      </c>
      <c r="Q269" s="926"/>
      <c r="R269" s="932" t="s">
        <v>395</v>
      </c>
      <c r="S269" s="932" t="s">
        <v>98</v>
      </c>
      <c r="T269" s="932" t="s">
        <v>582</v>
      </c>
      <c r="U269" s="932"/>
      <c r="V269" s="933" t="s">
        <v>1792</v>
      </c>
      <c r="W269" s="934" t="s">
        <v>247</v>
      </c>
      <c r="X269" s="935">
        <v>1.2079</v>
      </c>
      <c r="Y269" s="936">
        <f t="shared" si="107"/>
        <v>1159.584</v>
      </c>
      <c r="Z269" s="936"/>
      <c r="AA269" s="926"/>
      <c r="AB269" s="927" t="s">
        <v>1584</v>
      </c>
      <c r="AC269" s="928" t="s">
        <v>93</v>
      </c>
      <c r="AD269" s="928" t="s">
        <v>94</v>
      </c>
      <c r="AE269" s="926"/>
      <c r="AF269" s="946">
        <v>960</v>
      </c>
      <c r="AG269" s="946">
        <f t="shared" si="100"/>
        <v>0</v>
      </c>
      <c r="AH269" s="947"/>
      <c r="AI269" s="926" t="s">
        <v>95</v>
      </c>
      <c r="AJ269" s="926"/>
      <c r="AK269" s="926">
        <f t="shared" si="108"/>
        <v>960</v>
      </c>
      <c r="AL269" s="858">
        <f>I269</f>
        <v>960</v>
      </c>
      <c r="AM269" s="858"/>
      <c r="AN269" s="858"/>
      <c r="AO269" s="857">
        <f t="shared" si="109"/>
        <v>960</v>
      </c>
      <c r="AY269" s="857">
        <f>I269/16</f>
        <v>60</v>
      </c>
      <c r="BE269" s="925"/>
      <c r="BF269" s="925"/>
      <c r="BG269" s="925"/>
      <c r="BH269" s="925"/>
      <c r="BI269" s="925"/>
      <c r="BN269" s="939"/>
      <c r="BO269" s="939"/>
      <c r="BP269" s="939"/>
      <c r="BQ269" s="939"/>
      <c r="BR269" s="939"/>
      <c r="BS269" s="939"/>
      <c r="BV269" s="857">
        <f t="shared" si="82"/>
        <v>60</v>
      </c>
      <c r="BW269" s="857">
        <f t="shared" si="83"/>
        <v>0</v>
      </c>
      <c r="BX269" s="939">
        <f>AK269+BX268</f>
        <v>924461</v>
      </c>
      <c r="BY269" s="939"/>
      <c r="BZ269" s="939"/>
      <c r="CA269" s="939"/>
      <c r="CB269" s="939">
        <f t="shared" si="85"/>
        <v>375539</v>
      </c>
      <c r="CC269" s="939"/>
      <c r="CH269" s="940"/>
      <c r="CI269" s="940"/>
      <c r="CJ269" s="940"/>
      <c r="CK269" s="940"/>
      <c r="CL269" s="940"/>
      <c r="CM269" s="940"/>
      <c r="CN269" s="940"/>
      <c r="CO269" s="940"/>
      <c r="CP269" s="940"/>
      <c r="CQ269" s="940"/>
      <c r="CR269" s="940"/>
      <c r="CS269" s="940"/>
      <c r="CT269" s="940"/>
      <c r="CU269" s="940"/>
      <c r="CV269" s="940"/>
      <c r="CW269" s="940"/>
      <c r="CX269" s="940"/>
      <c r="CY269" s="940"/>
      <c r="CZ269" s="940"/>
      <c r="DA269" s="940"/>
      <c r="DB269" s="940"/>
      <c r="DC269" s="940"/>
    </row>
    <row r="270" s="857" customFormat="1" ht="31" customHeight="1" spans="1:107">
      <c r="A270" s="923">
        <v>46052</v>
      </c>
      <c r="B270" s="924" t="s">
        <v>1535</v>
      </c>
      <c r="C270" s="925" t="s">
        <v>377</v>
      </c>
      <c r="D270" s="857">
        <v>4500192690</v>
      </c>
      <c r="E270" s="926">
        <v>21521643</v>
      </c>
      <c r="F270" s="857" t="s">
        <v>2485</v>
      </c>
      <c r="G270" s="927" t="s">
        <v>1537</v>
      </c>
      <c r="H270" s="928" t="s">
        <v>1538</v>
      </c>
      <c r="I270" s="1042">
        <v>1508</v>
      </c>
      <c r="J270" s="928">
        <v>0</v>
      </c>
      <c r="K270" s="928">
        <v>13</v>
      </c>
      <c r="L270" s="929">
        <f t="shared" si="84"/>
        <v>116</v>
      </c>
      <c r="M270" s="930">
        <v>46111</v>
      </c>
      <c r="N270" s="930">
        <v>46107</v>
      </c>
      <c r="O270" s="1041"/>
      <c r="P270" s="931" t="s">
        <v>86</v>
      </c>
      <c r="Q270" s="926"/>
      <c r="R270" s="932" t="s">
        <v>89</v>
      </c>
      <c r="S270" s="932" t="s">
        <v>88</v>
      </c>
      <c r="T270" s="932" t="s">
        <v>89</v>
      </c>
      <c r="U270" s="932"/>
      <c r="V270" s="933" t="s">
        <v>2486</v>
      </c>
      <c r="W270" s="934" t="s">
        <v>2323</v>
      </c>
      <c r="X270" s="935">
        <v>1.8728</v>
      </c>
      <c r="Y270" s="936">
        <f t="shared" si="107"/>
        <v>2824.1824</v>
      </c>
      <c r="Z270" s="936"/>
      <c r="AA270" s="926"/>
      <c r="AB270" s="927" t="s">
        <v>1537</v>
      </c>
      <c r="AC270" s="928" t="s">
        <v>93</v>
      </c>
      <c r="AD270" s="928" t="s">
        <v>94</v>
      </c>
      <c r="AE270" s="926"/>
      <c r="AF270" s="946">
        <v>1508</v>
      </c>
      <c r="AG270" s="946">
        <f t="shared" si="100"/>
        <v>0</v>
      </c>
      <c r="AH270" s="947"/>
      <c r="AI270" s="926" t="s">
        <v>95</v>
      </c>
      <c r="AJ270" s="926"/>
      <c r="AK270" s="926">
        <f t="shared" si="108"/>
        <v>1508</v>
      </c>
      <c r="AL270" s="858">
        <f>I270</f>
        <v>1508</v>
      </c>
      <c r="AM270" s="858"/>
      <c r="AN270" s="858"/>
      <c r="AO270" s="857">
        <f t="shared" si="109"/>
        <v>1508</v>
      </c>
      <c r="AR270" s="857">
        <f>I270/13</f>
        <v>116</v>
      </c>
      <c r="BE270" s="925"/>
      <c r="BF270" s="925"/>
      <c r="BG270" s="925"/>
      <c r="BH270" s="925"/>
      <c r="BI270" s="925"/>
      <c r="BN270" s="939"/>
      <c r="BO270" s="939"/>
      <c r="BP270" s="939"/>
      <c r="BQ270" s="939"/>
      <c r="BR270" s="939"/>
      <c r="BS270" s="939"/>
      <c r="BV270" s="857">
        <f t="shared" si="82"/>
        <v>0</v>
      </c>
      <c r="BW270" s="857">
        <f t="shared" si="83"/>
        <v>0</v>
      </c>
      <c r="BX270" s="939">
        <f>AK270+BX233</f>
        <v>990945</v>
      </c>
      <c r="BY270" s="939"/>
      <c r="BZ270" s="939"/>
      <c r="CA270" s="939"/>
      <c r="CB270" s="939">
        <f t="shared" si="85"/>
        <v>309055</v>
      </c>
      <c r="CC270" s="939"/>
      <c r="CH270" s="940"/>
      <c r="CI270" s="940"/>
      <c r="CJ270" s="940"/>
      <c r="CK270" s="940"/>
      <c r="CL270" s="940"/>
      <c r="CM270" s="940"/>
      <c r="CN270" s="940"/>
      <c r="CO270" s="940"/>
      <c r="CP270" s="940"/>
      <c r="CQ270" s="940"/>
      <c r="CR270" s="940"/>
      <c r="CS270" s="940"/>
      <c r="CT270" s="940"/>
      <c r="CU270" s="940"/>
      <c r="CV270" s="940"/>
      <c r="CW270" s="940"/>
      <c r="CX270" s="940"/>
      <c r="CY270" s="940"/>
      <c r="CZ270" s="940"/>
      <c r="DA270" s="940"/>
      <c r="DB270" s="940"/>
      <c r="DC270" s="940"/>
    </row>
    <row r="271" s="857" customFormat="1" ht="31" customHeight="1" spans="1:107">
      <c r="A271" s="923">
        <v>46052</v>
      </c>
      <c r="B271" s="924" t="s">
        <v>1574</v>
      </c>
      <c r="C271" s="925" t="s">
        <v>125</v>
      </c>
      <c r="D271" s="857">
        <v>4500192794</v>
      </c>
      <c r="E271" s="926">
        <v>219020873</v>
      </c>
      <c r="F271" s="857" t="s">
        <v>2487</v>
      </c>
      <c r="G271" s="927" t="s">
        <v>1537</v>
      </c>
      <c r="H271" s="928" t="s">
        <v>1538</v>
      </c>
      <c r="I271" s="1042">
        <v>819</v>
      </c>
      <c r="J271" s="928">
        <v>0</v>
      </c>
      <c r="K271" s="928">
        <v>13</v>
      </c>
      <c r="L271" s="929">
        <f t="shared" si="84"/>
        <v>63</v>
      </c>
      <c r="M271" s="930">
        <v>46113</v>
      </c>
      <c r="N271" s="930">
        <v>46108</v>
      </c>
      <c r="O271" s="1041"/>
      <c r="P271" s="931" t="s">
        <v>86</v>
      </c>
      <c r="Q271" s="926"/>
      <c r="R271" s="932" t="s">
        <v>89</v>
      </c>
      <c r="S271" s="932" t="s">
        <v>98</v>
      </c>
      <c r="T271" s="932" t="s">
        <v>98</v>
      </c>
      <c r="U271" s="932"/>
      <c r="V271" s="933" t="s">
        <v>2488</v>
      </c>
      <c r="W271" s="934" t="s">
        <v>1578</v>
      </c>
      <c r="X271" s="935">
        <v>1.0925</v>
      </c>
      <c r="Y271" s="936">
        <f t="shared" si="107"/>
        <v>894.7575</v>
      </c>
      <c r="Z271" s="936"/>
      <c r="AA271" s="926"/>
      <c r="AB271" s="927" t="s">
        <v>1537</v>
      </c>
      <c r="AC271" s="928" t="s">
        <v>93</v>
      </c>
      <c r="AD271" s="928" t="s">
        <v>94</v>
      </c>
      <c r="AE271" s="926"/>
      <c r="AF271" s="946">
        <v>819</v>
      </c>
      <c r="AG271" s="946">
        <f t="shared" si="100"/>
        <v>0</v>
      </c>
      <c r="AH271" s="947"/>
      <c r="AI271" s="926" t="s">
        <v>98</v>
      </c>
      <c r="AJ271" s="926"/>
      <c r="AK271" s="926">
        <f t="shared" si="108"/>
        <v>819</v>
      </c>
      <c r="AL271" s="858">
        <f>I271</f>
        <v>819</v>
      </c>
      <c r="AM271" s="858"/>
      <c r="AN271" s="858"/>
      <c r="AO271" s="857">
        <f t="shared" si="109"/>
        <v>819</v>
      </c>
      <c r="AR271" s="857">
        <f>I271/13</f>
        <v>63</v>
      </c>
      <c r="BE271" s="925"/>
      <c r="BF271" s="925"/>
      <c r="BG271" s="925"/>
      <c r="BH271" s="925"/>
      <c r="BI271" s="925"/>
      <c r="BN271" s="939"/>
      <c r="BO271" s="939"/>
      <c r="BP271" s="939"/>
      <c r="BQ271" s="939"/>
      <c r="BR271" s="939"/>
      <c r="BS271" s="939"/>
      <c r="BV271" s="857">
        <f t="shared" si="82"/>
        <v>0</v>
      </c>
      <c r="BW271" s="857">
        <f t="shared" si="83"/>
        <v>0</v>
      </c>
      <c r="BX271" s="939">
        <f>AK271+BX238</f>
        <v>998064</v>
      </c>
      <c r="BY271" s="939"/>
      <c r="BZ271" s="939"/>
      <c r="CA271" s="939"/>
      <c r="CB271" s="939">
        <f t="shared" si="85"/>
        <v>301936</v>
      </c>
      <c r="CC271" s="939"/>
      <c r="CH271" s="940"/>
      <c r="CI271" s="940"/>
      <c r="CJ271" s="940"/>
      <c r="CK271" s="940"/>
      <c r="CL271" s="940"/>
      <c r="CM271" s="940"/>
      <c r="CN271" s="940"/>
      <c r="CO271" s="940"/>
      <c r="CP271" s="940"/>
      <c r="CQ271" s="940"/>
      <c r="CR271" s="940"/>
      <c r="CS271" s="940"/>
      <c r="CT271" s="940"/>
      <c r="CU271" s="940"/>
      <c r="CV271" s="940"/>
      <c r="CW271" s="940"/>
      <c r="CX271" s="940"/>
      <c r="CY271" s="940"/>
      <c r="CZ271" s="940"/>
      <c r="DA271" s="940"/>
      <c r="DB271" s="940"/>
      <c r="DC271" s="940"/>
    </row>
    <row r="272" s="857" customFormat="1" ht="31" customHeight="1" spans="1:107">
      <c r="A272" s="923">
        <v>46052</v>
      </c>
      <c r="B272" s="924" t="s">
        <v>1574</v>
      </c>
      <c r="C272" s="925" t="s">
        <v>125</v>
      </c>
      <c r="D272" s="857">
        <v>4500192794</v>
      </c>
      <c r="E272" s="926">
        <v>219020879</v>
      </c>
      <c r="F272" s="857" t="s">
        <v>2489</v>
      </c>
      <c r="G272" s="927" t="s">
        <v>1537</v>
      </c>
      <c r="H272" s="928" t="s">
        <v>1538</v>
      </c>
      <c r="I272" s="1042">
        <v>390</v>
      </c>
      <c r="J272" s="928">
        <v>0</v>
      </c>
      <c r="K272" s="928">
        <v>13</v>
      </c>
      <c r="L272" s="929">
        <f t="shared" si="84"/>
        <v>30</v>
      </c>
      <c r="M272" s="930">
        <v>46113</v>
      </c>
      <c r="N272" s="930">
        <v>46108</v>
      </c>
      <c r="O272" s="1041"/>
      <c r="P272" s="931" t="s">
        <v>86</v>
      </c>
      <c r="Q272" s="926"/>
      <c r="R272" s="932" t="s">
        <v>89</v>
      </c>
      <c r="S272" s="932" t="s">
        <v>98</v>
      </c>
      <c r="T272" s="932" t="s">
        <v>98</v>
      </c>
      <c r="U272" s="932"/>
      <c r="V272" s="933" t="s">
        <v>2488</v>
      </c>
      <c r="W272" s="934" t="s">
        <v>1578</v>
      </c>
      <c r="X272" s="935">
        <v>1.1237</v>
      </c>
      <c r="Y272" s="936">
        <f t="shared" si="107"/>
        <v>438.243</v>
      </c>
      <c r="Z272" s="936"/>
      <c r="AA272" s="926"/>
      <c r="AB272" s="927" t="s">
        <v>1537</v>
      </c>
      <c r="AC272" s="928" t="s">
        <v>93</v>
      </c>
      <c r="AD272" s="928" t="s">
        <v>94</v>
      </c>
      <c r="AE272" s="926"/>
      <c r="AF272" s="946">
        <v>390</v>
      </c>
      <c r="AG272" s="946">
        <f t="shared" si="100"/>
        <v>0</v>
      </c>
      <c r="AH272" s="947"/>
      <c r="AI272" s="926" t="s">
        <v>98</v>
      </c>
      <c r="AJ272" s="926"/>
      <c r="AK272" s="926">
        <f t="shared" si="108"/>
        <v>390</v>
      </c>
      <c r="AL272" s="858">
        <f>I272</f>
        <v>390</v>
      </c>
      <c r="AM272" s="858"/>
      <c r="AN272" s="858"/>
      <c r="AO272" s="857">
        <f t="shared" si="109"/>
        <v>390</v>
      </c>
      <c r="AR272" s="857">
        <f>I272/13</f>
        <v>30</v>
      </c>
      <c r="BE272" s="925"/>
      <c r="BF272" s="925"/>
      <c r="BG272" s="925"/>
      <c r="BH272" s="925"/>
      <c r="BI272" s="925"/>
      <c r="BN272" s="939"/>
      <c r="BO272" s="939"/>
      <c r="BP272" s="939"/>
      <c r="BQ272" s="939"/>
      <c r="BR272" s="939"/>
      <c r="BS272" s="939"/>
      <c r="BV272" s="857">
        <f t="shared" si="82"/>
        <v>0</v>
      </c>
      <c r="BW272" s="857">
        <f t="shared" si="83"/>
        <v>0</v>
      </c>
      <c r="BX272" s="939">
        <f>AK272+BX271</f>
        <v>998454</v>
      </c>
      <c r="BY272" s="939"/>
      <c r="BZ272" s="939"/>
      <c r="CA272" s="939"/>
      <c r="CB272" s="939">
        <f t="shared" si="85"/>
        <v>301546</v>
      </c>
      <c r="CC272" s="939"/>
      <c r="CH272" s="940"/>
      <c r="CI272" s="940"/>
      <c r="CJ272" s="940"/>
      <c r="CK272" s="940"/>
      <c r="CL272" s="940"/>
      <c r="CM272" s="940"/>
      <c r="CN272" s="940"/>
      <c r="CO272" s="940"/>
      <c r="CP272" s="940"/>
      <c r="CQ272" s="940"/>
      <c r="CR272" s="940"/>
      <c r="CS272" s="940"/>
      <c r="CT272" s="940"/>
      <c r="CU272" s="940"/>
      <c r="CV272" s="940"/>
      <c r="CW272" s="940"/>
      <c r="CX272" s="940"/>
      <c r="CY272" s="940"/>
      <c r="CZ272" s="940"/>
      <c r="DA272" s="940"/>
      <c r="DB272" s="940"/>
      <c r="DC272" s="940"/>
    </row>
    <row r="273" s="857" customFormat="1" ht="31" customHeight="1" spans="1:107">
      <c r="A273" s="923">
        <v>46055</v>
      </c>
      <c r="B273" s="924" t="s">
        <v>2490</v>
      </c>
      <c r="C273" s="925" t="s">
        <v>632</v>
      </c>
      <c r="D273" s="924">
        <v>4500191753</v>
      </c>
      <c r="E273" s="926">
        <v>4361829052</v>
      </c>
      <c r="F273" s="924" t="s">
        <v>2491</v>
      </c>
      <c r="G273" s="927" t="s">
        <v>1570</v>
      </c>
      <c r="H273" s="928" t="s">
        <v>1853</v>
      </c>
      <c r="I273" s="928">
        <v>1500</v>
      </c>
      <c r="J273" s="928">
        <v>0</v>
      </c>
      <c r="K273" s="928">
        <v>25</v>
      </c>
      <c r="L273" s="929">
        <f t="shared" si="84"/>
        <v>60</v>
      </c>
      <c r="M273" s="930">
        <v>46127</v>
      </c>
      <c r="N273" s="930">
        <v>46123</v>
      </c>
      <c r="O273" s="926"/>
      <c r="P273" s="931" t="s">
        <v>86</v>
      </c>
      <c r="Q273" s="926"/>
      <c r="R273" s="932" t="s">
        <v>89</v>
      </c>
      <c r="S273" s="932" t="s">
        <v>98</v>
      </c>
      <c r="T273" s="932" t="s">
        <v>2492</v>
      </c>
      <c r="U273" s="932"/>
      <c r="V273" s="933" t="s">
        <v>2493</v>
      </c>
      <c r="W273" s="934" t="s">
        <v>238</v>
      </c>
      <c r="X273" s="935">
        <v>1.933</v>
      </c>
      <c r="Y273" s="936">
        <f>I273*X273</f>
        <v>2899.5</v>
      </c>
      <c r="Z273" s="936"/>
      <c r="AA273" s="926"/>
      <c r="AB273" s="927" t="s">
        <v>1858</v>
      </c>
      <c r="AC273" s="928" t="s">
        <v>93</v>
      </c>
      <c r="AD273" s="928" t="s">
        <v>94</v>
      </c>
      <c r="AE273" s="926"/>
      <c r="AF273" s="946">
        <v>1500</v>
      </c>
      <c r="AG273" s="946">
        <f t="shared" si="100"/>
        <v>0</v>
      </c>
      <c r="AH273" s="947"/>
      <c r="AI273" s="926" t="s">
        <v>95</v>
      </c>
      <c r="AJ273" s="926"/>
      <c r="AK273" s="926">
        <f t="shared" si="108"/>
        <v>1500</v>
      </c>
      <c r="AL273" s="858"/>
      <c r="AN273" s="928">
        <f>I273</f>
        <v>1500</v>
      </c>
      <c r="AO273" s="857">
        <f t="shared" si="109"/>
        <v>1500</v>
      </c>
      <c r="AU273" s="857">
        <f>I273/25</f>
        <v>60</v>
      </c>
      <c r="BE273" s="925"/>
      <c r="BF273" s="925"/>
      <c r="BG273" s="925"/>
      <c r="BH273" s="925"/>
      <c r="BI273" s="925"/>
      <c r="BN273" s="939"/>
      <c r="BO273" s="939"/>
      <c r="BP273" s="939"/>
      <c r="BQ273" s="939"/>
      <c r="BR273" s="939"/>
      <c r="BS273" s="939"/>
      <c r="BV273" s="857">
        <f t="shared" si="82"/>
        <v>60</v>
      </c>
      <c r="BW273" s="857">
        <f t="shared" si="83"/>
        <v>0</v>
      </c>
      <c r="BX273" s="939">
        <f>AK273+BX270</f>
        <v>992445</v>
      </c>
      <c r="BY273" s="939"/>
      <c r="BZ273" s="939"/>
      <c r="CA273" s="939"/>
      <c r="CB273" s="939">
        <f t="shared" si="85"/>
        <v>307555</v>
      </c>
      <c r="CC273" s="939"/>
      <c r="CH273" s="940"/>
      <c r="CI273" s="940"/>
      <c r="CJ273" s="940"/>
      <c r="CK273" s="940"/>
      <c r="CL273" s="940"/>
      <c r="CM273" s="940"/>
      <c r="CN273" s="940"/>
      <c r="CO273" s="940"/>
      <c r="CP273" s="940"/>
      <c r="CQ273" s="940"/>
      <c r="CR273" s="940"/>
      <c r="CS273" s="940"/>
      <c r="CT273" s="940"/>
      <c r="CU273" s="940"/>
      <c r="CV273" s="940"/>
      <c r="CW273" s="940"/>
      <c r="CX273" s="940"/>
      <c r="CY273" s="940"/>
      <c r="CZ273" s="940"/>
      <c r="DA273" s="940"/>
      <c r="DB273" s="940"/>
      <c r="DC273" s="940"/>
    </row>
    <row r="274" s="857" customFormat="1" ht="31" customHeight="1" spans="1:107">
      <c r="A274" s="923">
        <v>46080</v>
      </c>
      <c r="B274" s="924" t="s">
        <v>1956</v>
      </c>
      <c r="C274" s="925" t="s">
        <v>110</v>
      </c>
      <c r="D274" s="857">
        <v>4500194447</v>
      </c>
      <c r="E274" s="926" t="s">
        <v>2494</v>
      </c>
      <c r="F274" s="857" t="s">
        <v>2495</v>
      </c>
      <c r="G274" s="927" t="s">
        <v>1746</v>
      </c>
      <c r="H274" s="927" t="s">
        <v>1747</v>
      </c>
      <c r="I274" s="928">
        <v>828</v>
      </c>
      <c r="J274" s="928">
        <v>0</v>
      </c>
      <c r="K274" s="928">
        <v>12</v>
      </c>
      <c r="L274" s="929">
        <f t="shared" si="84"/>
        <v>69</v>
      </c>
      <c r="M274" s="930">
        <v>46134</v>
      </c>
      <c r="N274" s="930">
        <v>46130</v>
      </c>
      <c r="O274" s="926"/>
      <c r="P274" s="931" t="s">
        <v>86</v>
      </c>
      <c r="Q274" s="926"/>
      <c r="R274" s="932" t="s">
        <v>597</v>
      </c>
      <c r="S274" s="932" t="s">
        <v>88</v>
      </c>
      <c r="T274" s="932" t="s">
        <v>2373</v>
      </c>
      <c r="U274" s="932"/>
      <c r="V274" s="933" t="s">
        <v>2496</v>
      </c>
      <c r="W274" s="934" t="s">
        <v>1391</v>
      </c>
      <c r="X274" s="935">
        <v>2.7354</v>
      </c>
      <c r="Y274" s="936">
        <f t="shared" ref="Y274:Y287" si="110">X274*I274</f>
        <v>2264.9112</v>
      </c>
      <c r="Z274" s="936"/>
      <c r="AA274" s="926"/>
      <c r="AB274" s="926" t="s">
        <v>1746</v>
      </c>
      <c r="AC274" s="928" t="s">
        <v>93</v>
      </c>
      <c r="AD274" s="928" t="s">
        <v>94</v>
      </c>
      <c r="AE274" s="926"/>
      <c r="AF274" s="946">
        <v>828</v>
      </c>
      <c r="AG274" s="946">
        <f t="shared" si="100"/>
        <v>0</v>
      </c>
      <c r="AH274" s="947"/>
      <c r="AI274" s="926" t="s">
        <v>95</v>
      </c>
      <c r="AJ274" s="926"/>
      <c r="AK274" s="951">
        <f>I274*2</f>
        <v>1656</v>
      </c>
      <c r="AL274" s="858"/>
      <c r="AM274" s="858">
        <f>I274*2</f>
        <v>1656</v>
      </c>
      <c r="AN274" s="858"/>
      <c r="AO274" s="856">
        <f>I274*2</f>
        <v>1656</v>
      </c>
      <c r="BE274" s="925"/>
      <c r="BF274" s="925"/>
      <c r="BG274" s="925"/>
      <c r="BH274" s="925"/>
      <c r="BI274" s="925"/>
      <c r="BJ274" s="857">
        <f>I274</f>
        <v>828</v>
      </c>
      <c r="BK274" s="857">
        <f>I274</f>
        <v>828</v>
      </c>
      <c r="BL274" s="857">
        <f>I274</f>
        <v>828</v>
      </c>
      <c r="BN274" s="939"/>
      <c r="BO274" s="939"/>
      <c r="BP274" s="939"/>
      <c r="BQ274" s="939"/>
      <c r="BR274" s="939"/>
      <c r="BS274" s="939"/>
      <c r="BV274" s="857">
        <f t="shared" si="82"/>
        <v>0</v>
      </c>
      <c r="BW274" s="857">
        <f t="shared" si="83"/>
        <v>0</v>
      </c>
      <c r="BX274" s="939">
        <f>AK274+BX235</f>
        <v>996021</v>
      </c>
      <c r="BY274" s="939"/>
      <c r="BZ274" s="939"/>
      <c r="CA274" s="939"/>
      <c r="CB274" s="1049">
        <f t="shared" si="85"/>
        <v>303979</v>
      </c>
      <c r="CC274" s="939"/>
      <c r="CH274" s="940"/>
      <c r="CI274" s="940"/>
      <c r="CJ274" s="940"/>
      <c r="CK274" s="940"/>
      <c r="CL274" s="940"/>
      <c r="CM274" s="940"/>
      <c r="CN274" s="940"/>
      <c r="CO274" s="940"/>
      <c r="CP274" s="940"/>
      <c r="CQ274" s="940"/>
      <c r="CR274" s="940"/>
      <c r="CS274" s="940"/>
      <c r="CT274" s="940"/>
      <c r="CU274" s="940"/>
      <c r="CV274" s="940"/>
      <c r="CW274" s="940"/>
      <c r="CX274" s="940"/>
      <c r="CY274" s="940"/>
      <c r="CZ274" s="940"/>
      <c r="DA274" s="940"/>
      <c r="DB274" s="940"/>
      <c r="DC274" s="940"/>
    </row>
    <row r="275" s="857" customFormat="1" ht="31" customHeight="1" spans="1:107">
      <c r="A275" s="1044">
        <v>46101</v>
      </c>
      <c r="B275" s="1045" t="s">
        <v>2497</v>
      </c>
      <c r="C275" s="1046" t="s">
        <v>110</v>
      </c>
      <c r="D275" s="1047">
        <v>4500197216</v>
      </c>
      <c r="E275" s="1048" t="s">
        <v>2498</v>
      </c>
      <c r="F275" s="1047" t="s">
        <v>2499</v>
      </c>
      <c r="G275" s="926" t="s">
        <v>1746</v>
      </c>
      <c r="H275" s="927" t="s">
        <v>1747</v>
      </c>
      <c r="I275" s="928">
        <v>576</v>
      </c>
      <c r="J275" s="928">
        <v>0</v>
      </c>
      <c r="K275" s="928">
        <v>12</v>
      </c>
      <c r="L275" s="929">
        <f t="shared" si="84"/>
        <v>48</v>
      </c>
      <c r="M275" s="930">
        <v>46141</v>
      </c>
      <c r="N275" s="930">
        <v>46137</v>
      </c>
      <c r="O275" s="926"/>
      <c r="P275" s="931" t="s">
        <v>86</v>
      </c>
      <c r="Q275" s="926"/>
      <c r="R275" s="932" t="s">
        <v>597</v>
      </c>
      <c r="S275" s="932" t="s">
        <v>88</v>
      </c>
      <c r="T275" s="932" t="s">
        <v>2373</v>
      </c>
      <c r="U275" s="932"/>
      <c r="V275" s="933" t="s">
        <v>2500</v>
      </c>
      <c r="W275" s="930" t="s">
        <v>2501</v>
      </c>
      <c r="X275" s="1043">
        <v>2.8011</v>
      </c>
      <c r="Y275" s="936">
        <f t="shared" si="110"/>
        <v>1613.4336</v>
      </c>
      <c r="Z275" s="936"/>
      <c r="AA275" s="926"/>
      <c r="AB275" s="926" t="s">
        <v>2442</v>
      </c>
      <c r="AC275" s="928" t="s">
        <v>93</v>
      </c>
      <c r="AD275" s="928" t="s">
        <v>94</v>
      </c>
      <c r="AE275" s="926"/>
      <c r="AF275" s="1040">
        <v>576</v>
      </c>
      <c r="AG275" s="946">
        <f t="shared" si="100"/>
        <v>0</v>
      </c>
      <c r="AH275" s="947"/>
      <c r="AI275" s="926" t="s">
        <v>95</v>
      </c>
      <c r="AJ275" s="926"/>
      <c r="AK275" s="951">
        <f>I275*2</f>
        <v>1152</v>
      </c>
      <c r="AM275" s="858">
        <f>I275*2</f>
        <v>1152</v>
      </c>
      <c r="AN275" s="858"/>
      <c r="AO275" s="856">
        <f>I275*2</f>
        <v>1152</v>
      </c>
      <c r="AP275" s="926"/>
      <c r="AT275" s="926"/>
      <c r="AU275" s="926"/>
      <c r="AV275" s="926"/>
      <c r="AW275" s="926"/>
      <c r="BE275" s="925"/>
      <c r="BF275" s="925"/>
      <c r="BG275" s="925"/>
      <c r="BH275" s="925"/>
      <c r="BI275" s="925"/>
      <c r="BJ275" s="857">
        <f>I275</f>
        <v>576</v>
      </c>
      <c r="BK275" s="857">
        <f>I275</f>
        <v>576</v>
      </c>
      <c r="BL275" s="857">
        <f>I275</f>
        <v>576</v>
      </c>
      <c r="BN275" s="939"/>
      <c r="BO275" s="939"/>
      <c r="BP275" s="939"/>
      <c r="BQ275" s="939"/>
      <c r="BR275" s="939"/>
      <c r="BS275" s="939"/>
      <c r="BV275" s="857">
        <f t="shared" si="82"/>
        <v>0</v>
      </c>
      <c r="BW275" s="857">
        <f t="shared" si="83"/>
        <v>0</v>
      </c>
      <c r="BX275" s="939">
        <f>AK275+BX237</f>
        <v>997437</v>
      </c>
      <c r="BY275" s="939"/>
      <c r="BZ275" s="939"/>
      <c r="CA275" s="939"/>
      <c r="CB275" s="939">
        <f t="shared" si="85"/>
        <v>302563</v>
      </c>
      <c r="CC275" s="939"/>
      <c r="CH275" s="940"/>
      <c r="CI275" s="940"/>
      <c r="CJ275" s="940"/>
      <c r="CK275" s="940"/>
      <c r="CL275" s="940"/>
      <c r="CM275" s="940"/>
      <c r="CN275" s="940"/>
      <c r="CO275" s="940"/>
      <c r="CP275" s="940"/>
      <c r="CQ275" s="940"/>
      <c r="CR275" s="940"/>
      <c r="CS275" s="940"/>
      <c r="CT275" s="940"/>
      <c r="CU275" s="940"/>
      <c r="CV275" s="940"/>
      <c r="CW275" s="940"/>
      <c r="CX275" s="940"/>
      <c r="CY275" s="940"/>
      <c r="CZ275" s="940"/>
      <c r="DA275" s="940"/>
      <c r="DB275" s="940"/>
      <c r="DC275" s="940"/>
    </row>
    <row r="276" s="857" customFormat="1" ht="31" customHeight="1" spans="1:107">
      <c r="A276" s="923">
        <v>46103</v>
      </c>
      <c r="B276" s="924" t="s">
        <v>1535</v>
      </c>
      <c r="C276" s="941" t="s">
        <v>377</v>
      </c>
      <c r="D276" s="924">
        <v>4500198007</v>
      </c>
      <c r="E276" s="928">
        <v>21615794</v>
      </c>
      <c r="F276" s="857" t="s">
        <v>2502</v>
      </c>
      <c r="G276" s="927" t="s">
        <v>1537</v>
      </c>
      <c r="H276" s="928" t="s">
        <v>1538</v>
      </c>
      <c r="I276" s="928">
        <v>1404</v>
      </c>
      <c r="J276" s="928">
        <v>0</v>
      </c>
      <c r="K276" s="928">
        <v>13</v>
      </c>
      <c r="L276" s="929">
        <f t="shared" si="84"/>
        <v>108</v>
      </c>
      <c r="M276" s="930">
        <v>46142</v>
      </c>
      <c r="N276" s="930">
        <v>46139</v>
      </c>
      <c r="O276" s="928"/>
      <c r="P276" s="931" t="s">
        <v>86</v>
      </c>
      <c r="Q276" s="928"/>
      <c r="R276" s="932">
        <v>46110</v>
      </c>
      <c r="S276" s="932" t="s">
        <v>88</v>
      </c>
      <c r="T276" s="932" t="s">
        <v>2503</v>
      </c>
      <c r="U276" s="932"/>
      <c r="V276" s="942" t="s">
        <v>1557</v>
      </c>
      <c r="W276" s="934" t="s">
        <v>2323</v>
      </c>
      <c r="X276" s="1043">
        <v>1.8728</v>
      </c>
      <c r="Y276" s="936">
        <f t="shared" si="110"/>
        <v>2629.4112</v>
      </c>
      <c r="Z276" s="936"/>
      <c r="AA276" s="928"/>
      <c r="AB276" s="927" t="s">
        <v>1537</v>
      </c>
      <c r="AC276" s="926" t="s">
        <v>93</v>
      </c>
      <c r="AD276" s="928" t="s">
        <v>94</v>
      </c>
      <c r="AE276" s="928"/>
      <c r="AF276" s="943">
        <v>1404</v>
      </c>
      <c r="AG276" s="946">
        <f t="shared" si="100"/>
        <v>0</v>
      </c>
      <c r="AH276" s="944"/>
      <c r="AI276" s="928" t="s">
        <v>95</v>
      </c>
      <c r="AJ276" s="928"/>
      <c r="AK276" s="926">
        <f>I276</f>
        <v>1404</v>
      </c>
      <c r="AL276" s="858">
        <f>I276</f>
        <v>1404</v>
      </c>
      <c r="AM276" s="858"/>
      <c r="AN276" s="858"/>
      <c r="AO276" s="857">
        <f t="shared" si="109"/>
        <v>1404</v>
      </c>
      <c r="AP276" s="858"/>
      <c r="AQ276" s="858"/>
      <c r="AR276" s="857">
        <f>I276/13</f>
        <v>108</v>
      </c>
      <c r="AS276" s="858"/>
      <c r="AT276" s="858"/>
      <c r="AU276" s="858"/>
      <c r="AV276" s="858"/>
      <c r="AW276" s="858"/>
      <c r="AX276" s="858"/>
      <c r="AY276" s="858"/>
      <c r="AZ276" s="858"/>
      <c r="BE276" s="925"/>
      <c r="BF276" s="925"/>
      <c r="BG276" s="925"/>
      <c r="BH276" s="925"/>
      <c r="BI276" s="925"/>
      <c r="BN276" s="939"/>
      <c r="BO276" s="939"/>
      <c r="BP276" s="939"/>
      <c r="BQ276" s="939"/>
      <c r="BR276" s="939"/>
      <c r="BS276" s="939"/>
      <c r="BV276" s="857">
        <f t="shared" si="82"/>
        <v>0</v>
      </c>
      <c r="BW276" s="857">
        <f t="shared" si="83"/>
        <v>0</v>
      </c>
      <c r="BX276" s="939">
        <f>AK276+BX275</f>
        <v>998841</v>
      </c>
      <c r="BY276" s="939"/>
      <c r="BZ276" s="939"/>
      <c r="CA276" s="939"/>
      <c r="CB276" s="939">
        <f t="shared" si="85"/>
        <v>301159</v>
      </c>
      <c r="CC276" s="939"/>
      <c r="CH276" s="940"/>
      <c r="CI276" s="940"/>
      <c r="CJ276" s="940"/>
      <c r="CK276" s="940"/>
      <c r="CL276" s="940"/>
      <c r="CM276" s="940"/>
      <c r="CN276" s="940"/>
      <c r="CO276" s="940"/>
      <c r="CP276" s="940"/>
      <c r="CQ276" s="940"/>
      <c r="CR276" s="940"/>
      <c r="CS276" s="940"/>
      <c r="CT276" s="940"/>
      <c r="CU276" s="940"/>
      <c r="CV276" s="940"/>
      <c r="CW276" s="940"/>
      <c r="CX276" s="940"/>
      <c r="CY276" s="940"/>
      <c r="CZ276" s="940"/>
      <c r="DA276" s="940"/>
      <c r="DB276" s="940"/>
      <c r="DC276" s="940"/>
    </row>
    <row r="277" s="857" customFormat="1" ht="31" customHeight="1" spans="1:107">
      <c r="A277" s="923">
        <v>46103</v>
      </c>
      <c r="B277" s="924" t="s">
        <v>1543</v>
      </c>
      <c r="C277" s="941" t="s">
        <v>1544</v>
      </c>
      <c r="D277" s="924">
        <v>4500198008</v>
      </c>
      <c r="E277" s="928">
        <v>21615795</v>
      </c>
      <c r="F277" s="857" t="s">
        <v>2504</v>
      </c>
      <c r="G277" s="927" t="s">
        <v>1537</v>
      </c>
      <c r="H277" s="928" t="s">
        <v>1538</v>
      </c>
      <c r="I277" s="928">
        <v>104</v>
      </c>
      <c r="J277" s="928">
        <v>0</v>
      </c>
      <c r="K277" s="928">
        <v>13</v>
      </c>
      <c r="L277" s="929">
        <f t="shared" si="84"/>
        <v>8</v>
      </c>
      <c r="M277" s="930">
        <v>46142</v>
      </c>
      <c r="N277" s="930">
        <v>46139</v>
      </c>
      <c r="O277" s="928"/>
      <c r="P277" s="931" t="s">
        <v>86</v>
      </c>
      <c r="Q277" s="928"/>
      <c r="R277" s="932">
        <v>46110</v>
      </c>
      <c r="S277" s="932" t="s">
        <v>88</v>
      </c>
      <c r="T277" s="932" t="s">
        <v>2503</v>
      </c>
      <c r="U277" s="932"/>
      <c r="V277" s="942" t="s">
        <v>2505</v>
      </c>
      <c r="W277" s="934" t="s">
        <v>2323</v>
      </c>
      <c r="X277" s="1043">
        <v>1.8728</v>
      </c>
      <c r="Y277" s="936">
        <f t="shared" si="110"/>
        <v>194.7712</v>
      </c>
      <c r="Z277" s="936"/>
      <c r="AA277" s="928"/>
      <c r="AB277" s="927" t="s">
        <v>1537</v>
      </c>
      <c r="AC277" s="926" t="s">
        <v>93</v>
      </c>
      <c r="AD277" s="928" t="s">
        <v>94</v>
      </c>
      <c r="AE277" s="928"/>
      <c r="AF277" s="943">
        <v>104</v>
      </c>
      <c r="AG277" s="946">
        <f t="shared" si="100"/>
        <v>0</v>
      </c>
      <c r="AH277" s="944"/>
      <c r="AI277" s="928" t="s">
        <v>95</v>
      </c>
      <c r="AJ277" s="928"/>
      <c r="AK277" s="926">
        <f>I277</f>
        <v>104</v>
      </c>
      <c r="AL277" s="858">
        <f>I277</f>
        <v>104</v>
      </c>
      <c r="AM277" s="858"/>
      <c r="AN277" s="858"/>
      <c r="AO277" s="857">
        <f t="shared" si="109"/>
        <v>104</v>
      </c>
      <c r="AP277" s="858"/>
      <c r="AQ277" s="858"/>
      <c r="AR277" s="857">
        <f>I277/13</f>
        <v>8</v>
      </c>
      <c r="AS277" s="858"/>
      <c r="AT277" s="858"/>
      <c r="AU277" s="858"/>
      <c r="AV277" s="858"/>
      <c r="AW277" s="858"/>
      <c r="AX277" s="858"/>
      <c r="AY277" s="858"/>
      <c r="AZ277" s="858"/>
      <c r="BE277" s="925"/>
      <c r="BF277" s="925"/>
      <c r="BG277" s="925"/>
      <c r="BH277" s="925"/>
      <c r="BI277" s="925"/>
      <c r="BN277" s="939"/>
      <c r="BO277" s="939"/>
      <c r="BP277" s="939"/>
      <c r="BQ277" s="939"/>
      <c r="BR277" s="939"/>
      <c r="BS277" s="939"/>
      <c r="BV277" s="857">
        <f t="shared" si="82"/>
        <v>0</v>
      </c>
      <c r="BW277" s="857">
        <f t="shared" si="83"/>
        <v>0</v>
      </c>
      <c r="BX277" s="939">
        <f>AK277+BX276</f>
        <v>998945</v>
      </c>
      <c r="BY277" s="939"/>
      <c r="BZ277" s="939"/>
      <c r="CA277" s="939"/>
      <c r="CB277" s="939">
        <f t="shared" si="85"/>
        <v>301055</v>
      </c>
      <c r="CC277" s="939"/>
      <c r="CH277" s="940"/>
      <c r="CI277" s="940"/>
      <c r="CJ277" s="940"/>
      <c r="CK277" s="940"/>
      <c r="CL277" s="940"/>
      <c r="CM277" s="940"/>
      <c r="CN277" s="940"/>
      <c r="CO277" s="940"/>
      <c r="CP277" s="940"/>
      <c r="CQ277" s="940"/>
      <c r="CR277" s="940"/>
      <c r="CS277" s="940"/>
      <c r="CT277" s="940"/>
      <c r="CU277" s="940"/>
      <c r="CV277" s="940"/>
      <c r="CW277" s="940"/>
      <c r="CX277" s="940"/>
      <c r="CY277" s="940"/>
      <c r="CZ277" s="940"/>
      <c r="DA277" s="940"/>
      <c r="DB277" s="940"/>
      <c r="DC277" s="940"/>
    </row>
    <row r="278" s="857" customFormat="1" ht="31" customHeight="1" spans="1:107">
      <c r="A278" s="923">
        <v>46090</v>
      </c>
      <c r="B278" s="924" t="s">
        <v>2262</v>
      </c>
      <c r="C278" s="925" t="s">
        <v>228</v>
      </c>
      <c r="D278" s="857">
        <v>4500195747</v>
      </c>
      <c r="E278" s="926"/>
      <c r="F278" s="857" t="s">
        <v>2506</v>
      </c>
      <c r="G278" s="927" t="s">
        <v>1532</v>
      </c>
      <c r="H278" s="928" t="s">
        <v>1524</v>
      </c>
      <c r="I278" s="928">
        <v>312</v>
      </c>
      <c r="J278" s="928">
        <v>0</v>
      </c>
      <c r="K278" s="928">
        <v>52</v>
      </c>
      <c r="L278" s="929">
        <f t="shared" si="84"/>
        <v>6</v>
      </c>
      <c r="M278" s="930">
        <v>46142</v>
      </c>
      <c r="N278" s="930">
        <v>46139</v>
      </c>
      <c r="O278" s="926" t="s">
        <v>2507</v>
      </c>
      <c r="P278" s="931" t="s">
        <v>86</v>
      </c>
      <c r="Q278" s="926"/>
      <c r="R278" s="932" t="s">
        <v>89</v>
      </c>
      <c r="S278" s="932" t="s">
        <v>98</v>
      </c>
      <c r="T278" s="932" t="s">
        <v>2508</v>
      </c>
      <c r="U278" s="932"/>
      <c r="V278" s="933" t="s">
        <v>2509</v>
      </c>
      <c r="W278" s="934" t="s">
        <v>225</v>
      </c>
      <c r="X278" s="935">
        <v>1.8212</v>
      </c>
      <c r="Y278" s="936">
        <f t="shared" si="110"/>
        <v>568.2144</v>
      </c>
      <c r="Z278" s="936"/>
      <c r="AA278" s="926"/>
      <c r="AB278" s="926" t="s">
        <v>2174</v>
      </c>
      <c r="AC278" s="928" t="s">
        <v>93</v>
      </c>
      <c r="AD278" s="928" t="s">
        <v>94</v>
      </c>
      <c r="AE278" s="926"/>
      <c r="AF278" s="946">
        <v>312</v>
      </c>
      <c r="AG278" s="946">
        <f t="shared" si="100"/>
        <v>0</v>
      </c>
      <c r="AH278" s="947"/>
      <c r="AI278" s="926" t="s">
        <v>95</v>
      </c>
      <c r="AJ278" s="926"/>
      <c r="AK278" s="926">
        <f>I278</f>
        <v>312</v>
      </c>
      <c r="AL278" s="858"/>
      <c r="AM278" s="858"/>
      <c r="AN278" s="928">
        <f>I278</f>
        <v>312</v>
      </c>
      <c r="AO278" s="857">
        <f t="shared" si="109"/>
        <v>312</v>
      </c>
      <c r="AS278" s="857">
        <f>I278/13</f>
        <v>24</v>
      </c>
      <c r="BE278" s="925"/>
      <c r="BF278" s="925"/>
      <c r="BG278" s="925"/>
      <c r="BH278" s="925"/>
      <c r="BI278" s="925"/>
      <c r="BN278" s="939"/>
      <c r="BO278" s="939"/>
      <c r="BP278" s="939"/>
      <c r="BQ278" s="939"/>
      <c r="BR278" s="939"/>
      <c r="BS278" s="939"/>
      <c r="BV278" s="857">
        <f t="shared" si="82"/>
        <v>0</v>
      </c>
      <c r="BW278" s="857">
        <f t="shared" si="83"/>
        <v>0</v>
      </c>
      <c r="BX278" s="939">
        <f>AK278+BX236</f>
        <v>995637</v>
      </c>
      <c r="BY278" s="939"/>
      <c r="BZ278" s="939"/>
      <c r="CA278" s="939"/>
      <c r="CB278" s="1049">
        <f t="shared" si="85"/>
        <v>304363</v>
      </c>
      <c r="CC278" s="939"/>
      <c r="CH278" s="940"/>
      <c r="CI278" s="940"/>
      <c r="CJ278" s="940"/>
      <c r="CK278" s="940"/>
      <c r="CL278" s="940"/>
      <c r="CM278" s="940"/>
      <c r="CN278" s="940"/>
      <c r="CO278" s="940"/>
      <c r="CP278" s="940"/>
      <c r="CQ278" s="940"/>
      <c r="CR278" s="940"/>
      <c r="CS278" s="940"/>
      <c r="CT278" s="940"/>
      <c r="CU278" s="940"/>
      <c r="CV278" s="940"/>
      <c r="CW278" s="940"/>
      <c r="CX278" s="940"/>
      <c r="CY278" s="940"/>
      <c r="CZ278" s="940"/>
      <c r="DA278" s="940"/>
      <c r="DB278" s="940"/>
      <c r="DC278" s="940"/>
    </row>
    <row r="279" s="857" customFormat="1" ht="31" customHeight="1" spans="1:107">
      <c r="A279" s="923">
        <v>46105</v>
      </c>
      <c r="B279" s="924" t="s">
        <v>2510</v>
      </c>
      <c r="C279" s="925" t="s">
        <v>2511</v>
      </c>
      <c r="D279" s="857">
        <v>4500198237</v>
      </c>
      <c r="E279" s="926"/>
      <c r="F279" s="857" t="s">
        <v>2512</v>
      </c>
      <c r="G279" s="927" t="s">
        <v>1532</v>
      </c>
      <c r="H279" s="928" t="s">
        <v>1524</v>
      </c>
      <c r="I279" s="928">
        <v>156</v>
      </c>
      <c r="J279" s="928">
        <v>0</v>
      </c>
      <c r="K279" s="928">
        <v>52</v>
      </c>
      <c r="L279" s="929">
        <f t="shared" si="84"/>
        <v>3</v>
      </c>
      <c r="M279" s="930">
        <v>46148</v>
      </c>
      <c r="N279" s="930">
        <v>46144</v>
      </c>
      <c r="O279" s="926"/>
      <c r="P279" s="931" t="s">
        <v>86</v>
      </c>
      <c r="Q279" s="926"/>
      <c r="R279" s="932">
        <v>46106</v>
      </c>
      <c r="S279" s="932" t="s">
        <v>98</v>
      </c>
      <c r="T279" s="932" t="s">
        <v>2513</v>
      </c>
      <c r="U279" s="932"/>
      <c r="V279" s="933" t="s">
        <v>2514</v>
      </c>
      <c r="W279" s="934" t="s">
        <v>136</v>
      </c>
      <c r="X279" s="1043">
        <v>1.8649</v>
      </c>
      <c r="Y279" s="936">
        <f t="shared" si="110"/>
        <v>290.9244</v>
      </c>
      <c r="Z279" s="936"/>
      <c r="AA279" s="926"/>
      <c r="AB279" s="926" t="s">
        <v>1532</v>
      </c>
      <c r="AC279" s="926" t="s">
        <v>93</v>
      </c>
      <c r="AD279" s="928" t="s">
        <v>94</v>
      </c>
      <c r="AE279" s="926"/>
      <c r="AF279" s="946">
        <v>156</v>
      </c>
      <c r="AG279" s="946">
        <f t="shared" si="100"/>
        <v>0</v>
      </c>
      <c r="AH279" s="947"/>
      <c r="AI279" s="926" t="s">
        <v>95</v>
      </c>
      <c r="AJ279" s="926"/>
      <c r="AK279" s="926">
        <f>I279</f>
        <v>156</v>
      </c>
      <c r="AL279" s="858">
        <f>I279</f>
        <v>156</v>
      </c>
      <c r="AM279" s="858"/>
      <c r="AN279" s="858"/>
      <c r="AO279" s="857">
        <f t="shared" si="109"/>
        <v>156</v>
      </c>
      <c r="AR279" s="857">
        <f>I279/13</f>
        <v>12</v>
      </c>
      <c r="BE279" s="925"/>
      <c r="BF279" s="925"/>
      <c r="BG279" s="925"/>
      <c r="BH279" s="925"/>
      <c r="BI279" s="925"/>
      <c r="BN279" s="939"/>
      <c r="BO279" s="939"/>
      <c r="BP279" s="939"/>
      <c r="BQ279" s="939"/>
      <c r="BR279" s="939"/>
      <c r="BS279" s="939"/>
      <c r="BV279" s="857">
        <f t="shared" si="82"/>
        <v>0</v>
      </c>
      <c r="BW279" s="857">
        <f t="shared" si="83"/>
        <v>0</v>
      </c>
      <c r="BX279" s="939">
        <f>AK279+BX278</f>
        <v>995793</v>
      </c>
      <c r="BY279" s="939"/>
      <c r="BZ279" s="939"/>
      <c r="CA279" s="939"/>
      <c r="CB279" s="939">
        <f t="shared" si="85"/>
        <v>304207</v>
      </c>
      <c r="CC279" s="939"/>
      <c r="CH279" s="940"/>
      <c r="CI279" s="940"/>
      <c r="CJ279" s="940"/>
      <c r="CK279" s="940"/>
      <c r="CL279" s="940"/>
      <c r="CM279" s="940"/>
      <c r="CN279" s="940"/>
      <c r="CO279" s="940"/>
      <c r="CP279" s="940"/>
      <c r="CQ279" s="940"/>
      <c r="CR279" s="940"/>
      <c r="CS279" s="940"/>
      <c r="CT279" s="940"/>
      <c r="CU279" s="940"/>
      <c r="CV279" s="940"/>
      <c r="CW279" s="940"/>
      <c r="CX279" s="940"/>
      <c r="CY279" s="940"/>
      <c r="CZ279" s="940"/>
      <c r="DA279" s="940"/>
      <c r="DB279" s="940"/>
      <c r="DC279" s="940"/>
    </row>
    <row r="280" s="857" customFormat="1" ht="31" customHeight="1" spans="1:107">
      <c r="A280" s="1044">
        <v>46101</v>
      </c>
      <c r="B280" s="1045" t="s">
        <v>2497</v>
      </c>
      <c r="C280" s="1046" t="s">
        <v>110</v>
      </c>
      <c r="D280" s="1047">
        <v>4500197220</v>
      </c>
      <c r="E280" s="1048" t="s">
        <v>2515</v>
      </c>
      <c r="F280" s="1047" t="s">
        <v>2516</v>
      </c>
      <c r="G280" s="926" t="s">
        <v>1746</v>
      </c>
      <c r="H280" s="927" t="s">
        <v>1747</v>
      </c>
      <c r="I280" s="928">
        <v>1152</v>
      </c>
      <c r="J280" s="928">
        <v>0</v>
      </c>
      <c r="K280" s="928">
        <v>12</v>
      </c>
      <c r="L280" s="929">
        <f t="shared" si="84"/>
        <v>96</v>
      </c>
      <c r="M280" s="930">
        <v>46149</v>
      </c>
      <c r="N280" s="930">
        <v>46146</v>
      </c>
      <c r="O280" s="926"/>
      <c r="P280" s="931" t="s">
        <v>86</v>
      </c>
      <c r="Q280" s="926"/>
      <c r="R280" s="932" t="s">
        <v>597</v>
      </c>
      <c r="S280" s="932" t="s">
        <v>88</v>
      </c>
      <c r="T280" s="932" t="s">
        <v>2373</v>
      </c>
      <c r="U280" s="932"/>
      <c r="V280" s="933" t="s">
        <v>2517</v>
      </c>
      <c r="W280" s="930" t="s">
        <v>2501</v>
      </c>
      <c r="X280" s="1043">
        <v>2.8011</v>
      </c>
      <c r="Y280" s="936">
        <f t="shared" si="110"/>
        <v>3226.8672</v>
      </c>
      <c r="Z280" s="936"/>
      <c r="AA280" s="926"/>
      <c r="AB280" s="926" t="s">
        <v>2442</v>
      </c>
      <c r="AC280" s="928" t="s">
        <v>93</v>
      </c>
      <c r="AD280" s="928" t="s">
        <v>94</v>
      </c>
      <c r="AE280" s="926"/>
      <c r="AF280" s="1040">
        <v>1152</v>
      </c>
      <c r="AG280" s="946">
        <f t="shared" si="100"/>
        <v>0</v>
      </c>
      <c r="AH280" s="947"/>
      <c r="AI280" s="926"/>
      <c r="AJ280" s="926"/>
      <c r="AK280" s="951">
        <f>I280*2</f>
        <v>2304</v>
      </c>
      <c r="AM280" s="858">
        <f>I280*2</f>
        <v>2304</v>
      </c>
      <c r="AN280" s="858"/>
      <c r="AO280" s="856">
        <f>I280*2</f>
        <v>2304</v>
      </c>
      <c r="AP280" s="926"/>
      <c r="AT280" s="926"/>
      <c r="AU280" s="926"/>
      <c r="AV280" s="926"/>
      <c r="AW280" s="926"/>
      <c r="BE280" s="925"/>
      <c r="BF280" s="925"/>
      <c r="BG280" s="925"/>
      <c r="BH280" s="925"/>
      <c r="BI280" s="925"/>
      <c r="BJ280" s="857">
        <f>I280</f>
        <v>1152</v>
      </c>
      <c r="BK280" s="857">
        <f>I280</f>
        <v>1152</v>
      </c>
      <c r="BL280" s="857">
        <f>I280</f>
        <v>1152</v>
      </c>
      <c r="BN280" s="939"/>
      <c r="BO280" s="939"/>
      <c r="BP280" s="939"/>
      <c r="BQ280" s="939"/>
      <c r="BR280" s="939"/>
      <c r="BS280" s="939"/>
      <c r="BV280" s="857">
        <f t="shared" si="82"/>
        <v>0</v>
      </c>
      <c r="BW280" s="857">
        <f t="shared" si="83"/>
        <v>0</v>
      </c>
      <c r="BX280" s="939">
        <f>AK280+BX271</f>
        <v>1000368</v>
      </c>
      <c r="BY280" s="939"/>
      <c r="BZ280" s="939"/>
      <c r="CA280" s="939"/>
      <c r="CB280" s="939">
        <f t="shared" si="85"/>
        <v>299632</v>
      </c>
      <c r="CC280" s="939"/>
      <c r="CH280" s="940"/>
      <c r="CI280" s="940"/>
      <c r="CJ280" s="940"/>
      <c r="CK280" s="940"/>
      <c r="CL280" s="940"/>
      <c r="CM280" s="940"/>
      <c r="CN280" s="940"/>
      <c r="CO280" s="940"/>
      <c r="CP280" s="940"/>
      <c r="CQ280" s="940"/>
      <c r="CR280" s="940"/>
      <c r="CS280" s="940"/>
      <c r="CT280" s="940"/>
      <c r="CU280" s="940"/>
      <c r="CV280" s="940"/>
      <c r="CW280" s="940"/>
      <c r="CX280" s="940"/>
      <c r="CY280" s="940"/>
      <c r="CZ280" s="940"/>
      <c r="DA280" s="940"/>
      <c r="DB280" s="940"/>
      <c r="DC280" s="940"/>
    </row>
    <row r="281" s="857" customFormat="1" ht="31" customHeight="1" spans="1:107">
      <c r="A281" s="923">
        <v>46121</v>
      </c>
      <c r="B281" s="924" t="s">
        <v>1867</v>
      </c>
      <c r="C281" s="925" t="s">
        <v>377</v>
      </c>
      <c r="D281" s="857" t="s">
        <v>2518</v>
      </c>
      <c r="E281" s="926" t="s">
        <v>2519</v>
      </c>
      <c r="F281" s="857" t="s">
        <v>2520</v>
      </c>
      <c r="G281" s="927" t="s">
        <v>1532</v>
      </c>
      <c r="H281" s="928" t="s">
        <v>1524</v>
      </c>
      <c r="I281" s="928">
        <v>624</v>
      </c>
      <c r="J281" s="928">
        <v>0</v>
      </c>
      <c r="K281" s="928">
        <v>52</v>
      </c>
      <c r="L281" s="929">
        <f t="shared" si="84"/>
        <v>12</v>
      </c>
      <c r="M281" s="930">
        <v>46155</v>
      </c>
      <c r="N281" s="930">
        <v>46151</v>
      </c>
      <c r="O281" s="926"/>
      <c r="P281" s="931" t="s">
        <v>86</v>
      </c>
      <c r="Q281" s="926"/>
      <c r="R281" s="932">
        <v>46121</v>
      </c>
      <c r="S281" s="932" t="s">
        <v>98</v>
      </c>
      <c r="T281" s="932" t="s">
        <v>2521</v>
      </c>
      <c r="U281" s="932"/>
      <c r="V281" s="933" t="s">
        <v>2522</v>
      </c>
      <c r="W281" s="934" t="s">
        <v>381</v>
      </c>
      <c r="X281" s="1043">
        <v>1.8649</v>
      </c>
      <c r="Y281" s="936">
        <f t="shared" si="110"/>
        <v>1163.6976</v>
      </c>
      <c r="Z281" s="936"/>
      <c r="AA281" s="926"/>
      <c r="AB281" s="926" t="s">
        <v>1532</v>
      </c>
      <c r="AC281" s="926" t="s">
        <v>93</v>
      </c>
      <c r="AD281" s="928" t="s">
        <v>94</v>
      </c>
      <c r="AE281" s="926"/>
      <c r="AF281" s="946">
        <v>624</v>
      </c>
      <c r="AG281" s="946">
        <f t="shared" si="100"/>
        <v>0</v>
      </c>
      <c r="AH281" s="947"/>
      <c r="AI281" s="924" t="s">
        <v>95</v>
      </c>
      <c r="AJ281" s="926"/>
      <c r="AK281" s="926">
        <f>I281</f>
        <v>624</v>
      </c>
      <c r="AL281" s="858">
        <f>I281</f>
        <v>624</v>
      </c>
      <c r="AM281" s="858"/>
      <c r="AN281" s="858"/>
      <c r="AO281" s="858">
        <f t="shared" si="109"/>
        <v>624</v>
      </c>
      <c r="AR281" s="857">
        <f>I281/13</f>
        <v>48</v>
      </c>
      <c r="BE281" s="925"/>
      <c r="BF281" s="925"/>
      <c r="BG281" s="925"/>
      <c r="BH281" s="925"/>
      <c r="BI281" s="925"/>
      <c r="BN281" s="939"/>
      <c r="BO281" s="939"/>
      <c r="BP281" s="939"/>
      <c r="BQ281" s="939"/>
      <c r="BR281" s="939"/>
      <c r="BS281" s="939"/>
      <c r="BV281" s="857">
        <f t="shared" ref="BV281:BV321" si="111">AT281+AU281+AY281</f>
        <v>0</v>
      </c>
      <c r="BW281" s="857">
        <f t="shared" ref="BW281:BW321" si="112">BF281+BG281+BI281</f>
        <v>0</v>
      </c>
      <c r="BX281" s="939">
        <f>AK281+BX286</f>
        <v>1002668</v>
      </c>
      <c r="BY281" s="939"/>
      <c r="BZ281" s="939"/>
      <c r="CA281" s="939"/>
      <c r="CB281" s="939">
        <f t="shared" si="85"/>
        <v>297332</v>
      </c>
      <c r="CC281" s="939"/>
      <c r="CH281" s="940"/>
      <c r="CI281" s="940"/>
      <c r="CJ281" s="940"/>
      <c r="CK281" s="940"/>
      <c r="CL281" s="940"/>
      <c r="CM281" s="940"/>
      <c r="CN281" s="940"/>
      <c r="CO281" s="940"/>
      <c r="CP281" s="940"/>
      <c r="CQ281" s="940"/>
      <c r="CR281" s="940"/>
      <c r="CS281" s="940"/>
      <c r="CT281" s="940"/>
      <c r="CU281" s="940"/>
      <c r="CV281" s="940"/>
      <c r="CW281" s="940"/>
      <c r="CX281" s="940"/>
      <c r="CY281" s="940"/>
      <c r="CZ281" s="940"/>
      <c r="DA281" s="940"/>
      <c r="DB281" s="940"/>
      <c r="DC281" s="940"/>
    </row>
    <row r="282" s="857" customFormat="1" ht="31" customHeight="1" spans="1:107">
      <c r="A282" s="923">
        <v>46121</v>
      </c>
      <c r="B282" s="924" t="s">
        <v>1867</v>
      </c>
      <c r="C282" s="925" t="s">
        <v>377</v>
      </c>
      <c r="D282" s="857" t="s">
        <v>2518</v>
      </c>
      <c r="E282" s="926" t="s">
        <v>2523</v>
      </c>
      <c r="F282" s="857" t="s">
        <v>2524</v>
      </c>
      <c r="G282" s="927" t="s">
        <v>1532</v>
      </c>
      <c r="H282" s="928" t="s">
        <v>1524</v>
      </c>
      <c r="I282" s="928">
        <v>572</v>
      </c>
      <c r="J282" s="928">
        <v>0</v>
      </c>
      <c r="K282" s="928">
        <v>52</v>
      </c>
      <c r="L282" s="929">
        <f t="shared" ref="L282:L345" si="113">I282/K282</f>
        <v>11</v>
      </c>
      <c r="M282" s="930">
        <v>46155</v>
      </c>
      <c r="N282" s="930">
        <v>46151</v>
      </c>
      <c r="O282" s="926"/>
      <c r="P282" s="931" t="s">
        <v>86</v>
      </c>
      <c r="Q282" s="926"/>
      <c r="R282" s="932">
        <v>46121</v>
      </c>
      <c r="S282" s="932" t="s">
        <v>98</v>
      </c>
      <c r="T282" s="932" t="s">
        <v>2521</v>
      </c>
      <c r="U282" s="932"/>
      <c r="V282" s="933" t="s">
        <v>2522</v>
      </c>
      <c r="W282" s="934" t="s">
        <v>381</v>
      </c>
      <c r="X282" s="1043">
        <v>1.8649</v>
      </c>
      <c r="Y282" s="936">
        <f t="shared" si="110"/>
        <v>1066.7228</v>
      </c>
      <c r="Z282" s="936"/>
      <c r="AA282" s="926"/>
      <c r="AB282" s="926" t="s">
        <v>1532</v>
      </c>
      <c r="AC282" s="926" t="s">
        <v>93</v>
      </c>
      <c r="AD282" s="928" t="s">
        <v>94</v>
      </c>
      <c r="AE282" s="926"/>
      <c r="AF282" s="946">
        <v>572</v>
      </c>
      <c r="AG282" s="946">
        <f t="shared" si="100"/>
        <v>0</v>
      </c>
      <c r="AH282" s="947"/>
      <c r="AI282" s="1039"/>
      <c r="AJ282" s="926"/>
      <c r="AK282" s="926">
        <f>I282</f>
        <v>572</v>
      </c>
      <c r="AL282" s="858">
        <f>I282</f>
        <v>572</v>
      </c>
      <c r="AM282" s="858"/>
      <c r="AN282" s="858"/>
      <c r="AO282" s="858">
        <f t="shared" si="109"/>
        <v>572</v>
      </c>
      <c r="AR282" s="857">
        <f>I282/13</f>
        <v>44</v>
      </c>
      <c r="BE282" s="925"/>
      <c r="BF282" s="925"/>
      <c r="BG282" s="925"/>
      <c r="BH282" s="925"/>
      <c r="BI282" s="925"/>
      <c r="BN282" s="939"/>
      <c r="BO282" s="939"/>
      <c r="BP282" s="939"/>
      <c r="BQ282" s="939"/>
      <c r="BR282" s="939"/>
      <c r="BS282" s="939"/>
      <c r="BV282" s="857">
        <f t="shared" si="111"/>
        <v>0</v>
      </c>
      <c r="BW282" s="857">
        <f t="shared" si="112"/>
        <v>0</v>
      </c>
      <c r="BX282" s="939">
        <f>AK282+BX281</f>
        <v>1003240</v>
      </c>
      <c r="BY282" s="939"/>
      <c r="BZ282" s="939"/>
      <c r="CA282" s="939"/>
      <c r="CB282" s="939">
        <f t="shared" si="85"/>
        <v>296760</v>
      </c>
      <c r="CC282" s="939"/>
      <c r="CH282" s="940"/>
      <c r="CI282" s="940"/>
      <c r="CJ282" s="940"/>
      <c r="CK282" s="940"/>
      <c r="CL282" s="940"/>
      <c r="CM282" s="940"/>
      <c r="CN282" s="940"/>
      <c r="CO282" s="940"/>
      <c r="CP282" s="940"/>
      <c r="CQ282" s="940"/>
      <c r="CR282" s="940"/>
      <c r="CS282" s="940"/>
      <c r="CT282" s="940"/>
      <c r="CU282" s="940"/>
      <c r="CV282" s="940"/>
      <c r="CW282" s="940"/>
      <c r="CX282" s="940"/>
      <c r="CY282" s="940"/>
      <c r="CZ282" s="940"/>
      <c r="DA282" s="940"/>
      <c r="DB282" s="940"/>
      <c r="DC282" s="940"/>
    </row>
    <row r="283" s="857" customFormat="1" ht="31" customHeight="1" spans="1:107">
      <c r="A283" s="923">
        <v>46121</v>
      </c>
      <c r="B283" s="924" t="s">
        <v>1867</v>
      </c>
      <c r="C283" s="925" t="s">
        <v>377</v>
      </c>
      <c r="D283" s="857" t="s">
        <v>2518</v>
      </c>
      <c r="E283" s="926" t="s">
        <v>2525</v>
      </c>
      <c r="F283" s="857" t="s">
        <v>2526</v>
      </c>
      <c r="G283" s="927" t="s">
        <v>1532</v>
      </c>
      <c r="H283" s="928" t="s">
        <v>1524</v>
      </c>
      <c r="I283" s="928">
        <v>468</v>
      </c>
      <c r="J283" s="928">
        <v>0</v>
      </c>
      <c r="K283" s="928">
        <v>52</v>
      </c>
      <c r="L283" s="929">
        <f t="shared" si="113"/>
        <v>9</v>
      </c>
      <c r="M283" s="930">
        <v>46155</v>
      </c>
      <c r="N283" s="930">
        <v>46151</v>
      </c>
      <c r="O283" s="926"/>
      <c r="P283" s="931" t="s">
        <v>86</v>
      </c>
      <c r="Q283" s="926"/>
      <c r="R283" s="932">
        <v>46121</v>
      </c>
      <c r="S283" s="932" t="s">
        <v>98</v>
      </c>
      <c r="T283" s="932" t="s">
        <v>2521</v>
      </c>
      <c r="U283" s="932"/>
      <c r="V283" s="933" t="s">
        <v>2522</v>
      </c>
      <c r="W283" s="934" t="s">
        <v>381</v>
      </c>
      <c r="X283" s="1043">
        <v>1.922</v>
      </c>
      <c r="Y283" s="936">
        <f t="shared" si="110"/>
        <v>899.496</v>
      </c>
      <c r="Z283" s="936"/>
      <c r="AA283" s="926"/>
      <c r="AB283" s="926" t="s">
        <v>1532</v>
      </c>
      <c r="AC283" s="926" t="s">
        <v>93</v>
      </c>
      <c r="AD283" s="928" t="s">
        <v>94</v>
      </c>
      <c r="AE283" s="926"/>
      <c r="AF283" s="946">
        <v>468</v>
      </c>
      <c r="AG283" s="946">
        <f t="shared" si="100"/>
        <v>0</v>
      </c>
      <c r="AH283" s="947"/>
      <c r="AI283" s="1039"/>
      <c r="AJ283" s="926"/>
      <c r="AK283" s="926">
        <f>I283</f>
        <v>468</v>
      </c>
      <c r="AL283" s="858">
        <f>I283</f>
        <v>468</v>
      </c>
      <c r="AM283" s="858"/>
      <c r="AN283" s="858"/>
      <c r="AO283" s="858">
        <f t="shared" si="109"/>
        <v>468</v>
      </c>
      <c r="AR283" s="857">
        <f>I283/13</f>
        <v>36</v>
      </c>
      <c r="BE283" s="925"/>
      <c r="BF283" s="925"/>
      <c r="BG283" s="925"/>
      <c r="BH283" s="925"/>
      <c r="BI283" s="925"/>
      <c r="BN283" s="939"/>
      <c r="BO283" s="939"/>
      <c r="BP283" s="939"/>
      <c r="BQ283" s="939"/>
      <c r="BR283" s="939"/>
      <c r="BS283" s="939"/>
      <c r="BV283" s="857">
        <f t="shared" si="111"/>
        <v>0</v>
      </c>
      <c r="BW283" s="857">
        <f t="shared" si="112"/>
        <v>0</v>
      </c>
      <c r="BX283" s="939">
        <f>AK283+BX282</f>
        <v>1003708</v>
      </c>
      <c r="BY283" s="939"/>
      <c r="BZ283" s="939"/>
      <c r="CA283" s="939"/>
      <c r="CB283" s="939">
        <f>$BZ$1+$CA$1+$CB$1-BX283</f>
        <v>296292</v>
      </c>
      <c r="CC283" s="939"/>
      <c r="CH283" s="940"/>
      <c r="CI283" s="940"/>
      <c r="CJ283" s="940"/>
      <c r="CK283" s="940"/>
      <c r="CL283" s="940"/>
      <c r="CM283" s="940"/>
      <c r="CN283" s="940"/>
      <c r="CO283" s="940"/>
      <c r="CP283" s="940"/>
      <c r="CQ283" s="940"/>
      <c r="CR283" s="940"/>
      <c r="CS283" s="940"/>
      <c r="CT283" s="940"/>
      <c r="CU283" s="940"/>
      <c r="CV283" s="940"/>
      <c r="CW283" s="940"/>
      <c r="CX283" s="940"/>
      <c r="CY283" s="940"/>
      <c r="CZ283" s="940"/>
      <c r="DA283" s="940"/>
      <c r="DB283" s="940"/>
      <c r="DC283" s="940"/>
    </row>
    <row r="284" s="857" customFormat="1" ht="31" customHeight="1" spans="1:107">
      <c r="A284" s="923">
        <v>46121</v>
      </c>
      <c r="B284" s="924" t="s">
        <v>1867</v>
      </c>
      <c r="C284" s="925" t="s">
        <v>377</v>
      </c>
      <c r="D284" s="857" t="s">
        <v>2518</v>
      </c>
      <c r="E284" s="926" t="s">
        <v>2527</v>
      </c>
      <c r="F284" s="857" t="s">
        <v>2528</v>
      </c>
      <c r="G284" s="927" t="s">
        <v>1532</v>
      </c>
      <c r="H284" s="928" t="s">
        <v>1524</v>
      </c>
      <c r="I284" s="928">
        <v>208</v>
      </c>
      <c r="J284" s="928">
        <v>0</v>
      </c>
      <c r="K284" s="928">
        <v>52</v>
      </c>
      <c r="L284" s="929">
        <f t="shared" si="113"/>
        <v>4</v>
      </c>
      <c r="M284" s="930">
        <v>46155</v>
      </c>
      <c r="N284" s="930">
        <v>46151</v>
      </c>
      <c r="O284" s="926"/>
      <c r="P284" s="931" t="s">
        <v>86</v>
      </c>
      <c r="Q284" s="926"/>
      <c r="R284" s="932">
        <v>46121</v>
      </c>
      <c r="S284" s="932" t="s">
        <v>98</v>
      </c>
      <c r="T284" s="932" t="s">
        <v>2521</v>
      </c>
      <c r="U284" s="932"/>
      <c r="V284" s="933" t="s">
        <v>2522</v>
      </c>
      <c r="W284" s="934" t="s">
        <v>381</v>
      </c>
      <c r="X284" s="1043">
        <v>1.922</v>
      </c>
      <c r="Y284" s="936">
        <f t="shared" si="110"/>
        <v>399.776</v>
      </c>
      <c r="Z284" s="936"/>
      <c r="AA284" s="926"/>
      <c r="AB284" s="926" t="s">
        <v>1532</v>
      </c>
      <c r="AC284" s="926" t="s">
        <v>93</v>
      </c>
      <c r="AD284" s="928" t="s">
        <v>94</v>
      </c>
      <c r="AE284" s="926"/>
      <c r="AF284" s="946">
        <v>208</v>
      </c>
      <c r="AG284" s="946">
        <f t="shared" si="100"/>
        <v>0</v>
      </c>
      <c r="AH284" s="947"/>
      <c r="AI284" s="1040"/>
      <c r="AJ284" s="926"/>
      <c r="AK284" s="926">
        <f>I284</f>
        <v>208</v>
      </c>
      <c r="AL284" s="858">
        <f>I284</f>
        <v>208</v>
      </c>
      <c r="AM284" s="858"/>
      <c r="AN284" s="858"/>
      <c r="AO284" s="858">
        <f t="shared" si="109"/>
        <v>208</v>
      </c>
      <c r="AR284" s="857">
        <f>I284/13</f>
        <v>16</v>
      </c>
      <c r="BE284" s="925"/>
      <c r="BF284" s="925"/>
      <c r="BG284" s="925"/>
      <c r="BH284" s="925"/>
      <c r="BI284" s="925"/>
      <c r="BN284" s="939"/>
      <c r="BO284" s="939"/>
      <c r="BP284" s="939"/>
      <c r="BQ284" s="939"/>
      <c r="BR284" s="939"/>
      <c r="BS284" s="939"/>
      <c r="BV284" s="857">
        <f t="shared" si="111"/>
        <v>0</v>
      </c>
      <c r="BW284" s="857">
        <f t="shared" si="112"/>
        <v>0</v>
      </c>
      <c r="BX284" s="939">
        <f>AK284+BX283</f>
        <v>1003916</v>
      </c>
      <c r="BY284" s="939"/>
      <c r="BZ284" s="939"/>
      <c r="CA284" s="939"/>
      <c r="CB284" s="939">
        <f>$BZ$1+$CA$1+$CB$1-BX284</f>
        <v>296084</v>
      </c>
      <c r="CC284" s="939"/>
      <c r="CH284" s="940"/>
      <c r="CI284" s="940"/>
      <c r="CJ284" s="940"/>
      <c r="CK284" s="940"/>
      <c r="CL284" s="940"/>
      <c r="CM284" s="940"/>
      <c r="CN284" s="940"/>
      <c r="CO284" s="940"/>
      <c r="CP284" s="940"/>
      <c r="CQ284" s="940"/>
      <c r="CR284" s="940"/>
      <c r="CS284" s="940"/>
      <c r="CT284" s="940"/>
      <c r="CU284" s="940"/>
      <c r="CV284" s="940"/>
      <c r="CW284" s="940"/>
      <c r="CX284" s="940"/>
      <c r="CY284" s="940"/>
      <c r="CZ284" s="940"/>
      <c r="DA284" s="940"/>
      <c r="DB284" s="940"/>
      <c r="DC284" s="940"/>
    </row>
    <row r="285" s="974" customFormat="1" ht="31" customHeight="1" spans="1:107">
      <c r="A285" s="1001">
        <v>46112</v>
      </c>
      <c r="B285" s="1002" t="s">
        <v>124</v>
      </c>
      <c r="C285" s="1050" t="s">
        <v>125</v>
      </c>
      <c r="D285" s="1002" t="s">
        <v>2529</v>
      </c>
      <c r="E285" s="1003" t="s">
        <v>2530</v>
      </c>
      <c r="F285" s="974" t="s">
        <v>2531</v>
      </c>
      <c r="G285" s="1005" t="s">
        <v>2337</v>
      </c>
      <c r="H285" s="1003" t="s">
        <v>1747</v>
      </c>
      <c r="I285" s="1003">
        <v>84</v>
      </c>
      <c r="J285" s="1003">
        <v>0</v>
      </c>
      <c r="K285" s="1003">
        <v>12</v>
      </c>
      <c r="L285" s="1006">
        <f t="shared" si="113"/>
        <v>7</v>
      </c>
      <c r="M285" s="1007">
        <v>46149</v>
      </c>
      <c r="N285" s="1007">
        <v>46146</v>
      </c>
      <c r="O285" s="1003"/>
      <c r="P285" s="1008" t="s">
        <v>86</v>
      </c>
      <c r="Q285" s="1003"/>
      <c r="R285" s="1009">
        <v>46112</v>
      </c>
      <c r="S285" s="1009" t="s">
        <v>98</v>
      </c>
      <c r="T285" s="1009" t="s">
        <v>2338</v>
      </c>
      <c r="U285" s="1009"/>
      <c r="V285" s="1051" t="s">
        <v>2532</v>
      </c>
      <c r="W285" s="1011" t="s">
        <v>731</v>
      </c>
      <c r="X285" s="1052">
        <v>1.6806</v>
      </c>
      <c r="Y285" s="1013">
        <f t="shared" si="110"/>
        <v>141.1704</v>
      </c>
      <c r="Z285" s="1013"/>
      <c r="AA285" s="1003"/>
      <c r="AB285" s="1004" t="s">
        <v>2337</v>
      </c>
      <c r="AC285" s="1004" t="s">
        <v>93</v>
      </c>
      <c r="AD285" s="1003" t="s">
        <v>94</v>
      </c>
      <c r="AE285" s="1003"/>
      <c r="AF285" s="1053">
        <v>84</v>
      </c>
      <c r="AG285" s="1014">
        <f t="shared" si="100"/>
        <v>0</v>
      </c>
      <c r="AH285" s="1054"/>
      <c r="AI285" s="926" t="s">
        <v>95</v>
      </c>
      <c r="AJ285" s="1003"/>
      <c r="AK285" s="951">
        <f>I285*2</f>
        <v>168</v>
      </c>
      <c r="AL285" s="1016">
        <f>I285*2</f>
        <v>168</v>
      </c>
      <c r="AM285" s="1016"/>
      <c r="AN285" s="1016"/>
      <c r="AO285" s="856">
        <f>I285*2</f>
        <v>168</v>
      </c>
      <c r="AP285" s="1016"/>
      <c r="AQ285" s="1016"/>
      <c r="AR285" s="1016"/>
      <c r="AT285" s="1016"/>
      <c r="AU285" s="1016"/>
      <c r="AV285" s="1016"/>
      <c r="AW285" s="1016"/>
      <c r="AX285" s="1016"/>
      <c r="AY285" s="1016"/>
      <c r="AZ285" s="1016"/>
      <c r="BE285" s="1017"/>
      <c r="BF285" s="1017"/>
      <c r="BG285" s="1017"/>
      <c r="BH285" s="1017"/>
      <c r="BI285" s="1017"/>
      <c r="BJ285" s="974">
        <f>I285</f>
        <v>84</v>
      </c>
      <c r="BK285" s="974">
        <f>I285</f>
        <v>84</v>
      </c>
      <c r="BL285" s="974">
        <f>I285</f>
        <v>84</v>
      </c>
      <c r="BN285" s="1018"/>
      <c r="BO285" s="1018"/>
      <c r="BP285" s="1018"/>
      <c r="BQ285" s="1018"/>
      <c r="BR285" s="1018"/>
      <c r="BS285" s="1018"/>
      <c r="BV285" s="974">
        <f t="shared" si="111"/>
        <v>0</v>
      </c>
      <c r="BW285" s="974">
        <f t="shared" si="112"/>
        <v>0</v>
      </c>
      <c r="BX285" s="1018">
        <f>AK285+BX280</f>
        <v>1000536</v>
      </c>
      <c r="BY285" s="1018"/>
      <c r="BZ285" s="1018"/>
      <c r="CA285" s="1018"/>
      <c r="CB285" s="1018">
        <f>$BZ$1+$CA$1+$CB$1-BX285</f>
        <v>299464</v>
      </c>
      <c r="CC285" s="1018"/>
      <c r="CH285" s="1019"/>
      <c r="CI285" s="1019"/>
      <c r="CJ285" s="1019"/>
      <c r="CK285" s="1019"/>
      <c r="CL285" s="1019"/>
      <c r="CM285" s="1019"/>
      <c r="CN285" s="1019"/>
      <c r="CO285" s="1019"/>
      <c r="CP285" s="1019"/>
      <c r="CQ285" s="1019"/>
      <c r="CR285" s="1019"/>
      <c r="CS285" s="1019"/>
      <c r="CT285" s="1019"/>
      <c r="CU285" s="1019"/>
      <c r="CV285" s="1019"/>
      <c r="CW285" s="1019"/>
      <c r="CX285" s="1019"/>
      <c r="CY285" s="1019"/>
      <c r="CZ285" s="1019"/>
      <c r="DA285" s="1019"/>
      <c r="DB285" s="1019"/>
      <c r="DC285" s="1019"/>
    </row>
    <row r="286" s="974" customFormat="1" ht="31" customHeight="1" spans="1:107">
      <c r="A286" s="1001">
        <v>46113</v>
      </c>
      <c r="B286" s="1002" t="s">
        <v>1535</v>
      </c>
      <c r="C286" s="1050" t="s">
        <v>377</v>
      </c>
      <c r="D286" s="1002" t="s">
        <v>2533</v>
      </c>
      <c r="E286" s="1003" t="s">
        <v>2534</v>
      </c>
      <c r="F286" s="974" t="s">
        <v>2535</v>
      </c>
      <c r="G286" s="1005" t="s">
        <v>1537</v>
      </c>
      <c r="H286" s="1003" t="s">
        <v>1538</v>
      </c>
      <c r="I286" s="1003">
        <v>1508</v>
      </c>
      <c r="J286" s="1003">
        <v>0</v>
      </c>
      <c r="K286" s="1003">
        <v>13</v>
      </c>
      <c r="L286" s="1006">
        <f t="shared" si="113"/>
        <v>116</v>
      </c>
      <c r="M286" s="1007">
        <v>46153</v>
      </c>
      <c r="N286" s="1007">
        <v>46149</v>
      </c>
      <c r="O286" s="1003"/>
      <c r="P286" s="1008" t="s">
        <v>86</v>
      </c>
      <c r="Q286" s="1003"/>
      <c r="R286" s="1009" t="s">
        <v>89</v>
      </c>
      <c r="S286" s="1009" t="s">
        <v>88</v>
      </c>
      <c r="T286" s="1009" t="s">
        <v>2536</v>
      </c>
      <c r="U286" s="1009"/>
      <c r="V286" s="1051" t="s">
        <v>2537</v>
      </c>
      <c r="W286" s="1011" t="s">
        <v>2323</v>
      </c>
      <c r="X286" s="1052">
        <v>1.8646</v>
      </c>
      <c r="Y286" s="1013">
        <f t="shared" si="110"/>
        <v>2811.8168</v>
      </c>
      <c r="Z286" s="1013"/>
      <c r="AA286" s="1003"/>
      <c r="AB286" s="1005" t="s">
        <v>1537</v>
      </c>
      <c r="AC286" s="1004" t="s">
        <v>93</v>
      </c>
      <c r="AD286" s="1003" t="s">
        <v>94</v>
      </c>
      <c r="AE286" s="1003"/>
      <c r="AF286" s="1053">
        <v>1508</v>
      </c>
      <c r="AG286" s="1014">
        <f t="shared" si="100"/>
        <v>0</v>
      </c>
      <c r="AH286" s="1054"/>
      <c r="AI286" s="926" t="s">
        <v>95</v>
      </c>
      <c r="AJ286" s="1003"/>
      <c r="AK286" s="1004">
        <f>I286</f>
        <v>1508</v>
      </c>
      <c r="AL286" s="1016">
        <f>I286</f>
        <v>1508</v>
      </c>
      <c r="AM286" s="1016"/>
      <c r="AN286" s="1016"/>
      <c r="AO286" s="974">
        <f>I286</f>
        <v>1508</v>
      </c>
      <c r="AP286" s="1016"/>
      <c r="AQ286" s="1016"/>
      <c r="AR286" s="974">
        <f>I286/13</f>
        <v>116</v>
      </c>
      <c r="AT286" s="1016"/>
      <c r="AU286" s="1016"/>
      <c r="AV286" s="1016"/>
      <c r="AW286" s="1016"/>
      <c r="AX286" s="1016"/>
      <c r="AY286" s="1016"/>
      <c r="AZ286" s="1016"/>
      <c r="BE286" s="1017"/>
      <c r="BF286" s="1017"/>
      <c r="BG286" s="1017"/>
      <c r="BH286" s="1017"/>
      <c r="BI286" s="1017"/>
      <c r="BN286" s="1018"/>
      <c r="BO286" s="1018"/>
      <c r="BP286" s="1018"/>
      <c r="BQ286" s="1018"/>
      <c r="BR286" s="1018"/>
      <c r="BS286" s="1018"/>
      <c r="BV286" s="974">
        <f t="shared" si="111"/>
        <v>0</v>
      </c>
      <c r="BW286" s="974">
        <f t="shared" si="112"/>
        <v>0</v>
      </c>
      <c r="BX286" s="1018">
        <f>AK286+BX285</f>
        <v>1002044</v>
      </c>
      <c r="BY286" s="1018"/>
      <c r="BZ286" s="1018"/>
      <c r="CA286" s="1018"/>
      <c r="CB286" s="939">
        <f>$BZ$1+$CA$1+$CB$1-BX286</f>
        <v>297956</v>
      </c>
      <c r="CC286" s="1018"/>
      <c r="CH286" s="1019"/>
      <c r="CI286" s="1019"/>
      <c r="CJ286" s="1019"/>
      <c r="CK286" s="1019"/>
      <c r="CL286" s="1019"/>
      <c r="CM286" s="1019"/>
      <c r="CN286" s="1019"/>
      <c r="CO286" s="1019"/>
      <c r="CP286" s="1019"/>
      <c r="CQ286" s="1019"/>
      <c r="CR286" s="1019"/>
      <c r="CS286" s="1019"/>
      <c r="CT286" s="1019"/>
      <c r="CU286" s="1019"/>
      <c r="CV286" s="1019"/>
      <c r="CW286" s="1019"/>
      <c r="CX286" s="1019"/>
      <c r="CY286" s="1019"/>
      <c r="CZ286" s="1019"/>
      <c r="DA286" s="1019"/>
      <c r="DB286" s="1019"/>
      <c r="DC286" s="1019"/>
    </row>
    <row r="287" s="974" customFormat="1" ht="31" customHeight="1" spans="1:107">
      <c r="A287" s="1001">
        <v>46112</v>
      </c>
      <c r="B287" s="1002" t="s">
        <v>1568</v>
      </c>
      <c r="C287" s="1050" t="s">
        <v>377</v>
      </c>
      <c r="D287" s="1002" t="s">
        <v>2538</v>
      </c>
      <c r="E287" s="1003" t="s">
        <v>2539</v>
      </c>
      <c r="F287" s="974" t="s">
        <v>2540</v>
      </c>
      <c r="G287" s="1005" t="s">
        <v>1570</v>
      </c>
      <c r="H287" s="1003" t="s">
        <v>1524</v>
      </c>
      <c r="I287" s="1003">
        <v>2500</v>
      </c>
      <c r="J287" s="1003">
        <v>0</v>
      </c>
      <c r="K287" s="1003">
        <v>25</v>
      </c>
      <c r="L287" s="1006">
        <f t="shared" si="113"/>
        <v>100</v>
      </c>
      <c r="M287" s="1007">
        <v>46160</v>
      </c>
      <c r="N287" s="1007">
        <v>46156</v>
      </c>
      <c r="O287" s="1003"/>
      <c r="P287" s="1008" t="s">
        <v>86</v>
      </c>
      <c r="Q287" s="1003"/>
      <c r="R287" s="1009" t="s">
        <v>89</v>
      </c>
      <c r="S287" s="1009" t="s">
        <v>98</v>
      </c>
      <c r="T287" s="1009" t="s">
        <v>2541</v>
      </c>
      <c r="U287" s="1009"/>
      <c r="V287" s="1051" t="s">
        <v>2542</v>
      </c>
      <c r="W287" s="1011" t="s">
        <v>2323</v>
      </c>
      <c r="X287" s="1052">
        <v>1.9159</v>
      </c>
      <c r="Y287" s="1013">
        <f t="shared" si="110"/>
        <v>4789.75</v>
      </c>
      <c r="Z287" s="1013"/>
      <c r="AA287" s="1003"/>
      <c r="AB287" s="1005" t="s">
        <v>1570</v>
      </c>
      <c r="AC287" s="1004" t="s">
        <v>93</v>
      </c>
      <c r="AD287" s="1003" t="s">
        <v>94</v>
      </c>
      <c r="AE287" s="1003"/>
      <c r="AF287" s="1053">
        <v>2500</v>
      </c>
      <c r="AG287" s="1014">
        <f t="shared" si="100"/>
        <v>0</v>
      </c>
      <c r="AH287" s="1054"/>
      <c r="AI287" s="926" t="s">
        <v>95</v>
      </c>
      <c r="AJ287" s="1003"/>
      <c r="AK287" s="1004">
        <f>I287</f>
        <v>2500</v>
      </c>
      <c r="AL287" s="1016">
        <f>I287</f>
        <v>2500</v>
      </c>
      <c r="AN287" s="1016"/>
      <c r="AO287" s="974">
        <f>I287</f>
        <v>2500</v>
      </c>
      <c r="AP287" s="1016"/>
      <c r="AQ287" s="1016"/>
      <c r="AR287" s="1016"/>
      <c r="AT287" s="974">
        <f>I287/25</f>
        <v>100</v>
      </c>
      <c r="AU287" s="1016"/>
      <c r="AV287" s="1016"/>
      <c r="AW287" s="1016"/>
      <c r="AX287" s="1016"/>
      <c r="AY287" s="1016"/>
      <c r="AZ287" s="1016"/>
      <c r="BE287" s="1017"/>
      <c r="BF287" s="1017"/>
      <c r="BG287" s="1017"/>
      <c r="BH287" s="1017"/>
      <c r="BI287" s="1017"/>
      <c r="BN287" s="1018"/>
      <c r="BO287" s="1018"/>
      <c r="BP287" s="1018"/>
      <c r="BQ287" s="1018"/>
      <c r="BR287" s="1018"/>
      <c r="BS287" s="1018"/>
      <c r="BV287" s="974">
        <f t="shared" si="111"/>
        <v>100</v>
      </c>
      <c r="BW287" s="974">
        <f t="shared" si="112"/>
        <v>0</v>
      </c>
      <c r="BX287" s="1018">
        <f>AK287+取消单!BV245</f>
        <v>1026082</v>
      </c>
      <c r="BY287" s="1018"/>
      <c r="BZ287" s="1018">
        <f>$BZ$1-BX287</f>
        <v>-606082</v>
      </c>
      <c r="CA287" s="1018"/>
      <c r="CB287" s="1018"/>
      <c r="CC287" s="1018"/>
      <c r="CH287" s="1019"/>
      <c r="CI287" s="1019"/>
      <c r="CJ287" s="1019"/>
      <c r="CK287" s="1019"/>
      <c r="CL287" s="1019"/>
      <c r="CM287" s="1019"/>
      <c r="CN287" s="1019"/>
      <c r="CO287" s="1019"/>
      <c r="CP287" s="1019"/>
      <c r="CQ287" s="1019"/>
      <c r="CR287" s="1019"/>
      <c r="CS287" s="1019"/>
      <c r="CT287" s="1019"/>
      <c r="CU287" s="1019"/>
      <c r="CV287" s="1019"/>
      <c r="CW287" s="1019"/>
      <c r="CX287" s="1019"/>
      <c r="CY287" s="1019"/>
      <c r="CZ287" s="1019"/>
      <c r="DA287" s="1019"/>
      <c r="DB287" s="1019"/>
      <c r="DC287" s="1019"/>
    </row>
    <row r="288" s="974" customFormat="1" ht="31" customHeight="1" spans="1:107">
      <c r="A288" s="1001">
        <v>46107</v>
      </c>
      <c r="B288" s="1002" t="s">
        <v>687</v>
      </c>
      <c r="C288" s="1017" t="s">
        <v>688</v>
      </c>
      <c r="D288" s="1002">
        <v>4500198705</v>
      </c>
      <c r="E288" s="1004"/>
      <c r="F288" s="974" t="s">
        <v>2543</v>
      </c>
      <c r="G288" s="1005" t="s">
        <v>1523</v>
      </c>
      <c r="H288" s="1003" t="s">
        <v>1524</v>
      </c>
      <c r="I288" s="1003">
        <v>1500</v>
      </c>
      <c r="J288" s="1003">
        <v>0</v>
      </c>
      <c r="K288" s="1003">
        <v>50</v>
      </c>
      <c r="L288" s="1006">
        <f t="shared" si="113"/>
        <v>30</v>
      </c>
      <c r="M288" s="1007">
        <v>46157</v>
      </c>
      <c r="N288" s="1007">
        <v>46153</v>
      </c>
      <c r="O288" s="1004" t="s">
        <v>2544</v>
      </c>
      <c r="P288" s="1008" t="s">
        <v>86</v>
      </c>
      <c r="Q288" s="1004"/>
      <c r="R288" s="1009" t="s">
        <v>88</v>
      </c>
      <c r="S288" s="1009" t="s">
        <v>98</v>
      </c>
      <c r="T288" s="1009" t="s">
        <v>2545</v>
      </c>
      <c r="U288" s="1009"/>
      <c r="V288" s="1010" t="s">
        <v>2546</v>
      </c>
      <c r="W288" s="1011" t="s">
        <v>225</v>
      </c>
      <c r="X288" s="1052">
        <v>1.9788</v>
      </c>
      <c r="Y288" s="1013">
        <f>I288*X288</f>
        <v>2968.2</v>
      </c>
      <c r="Z288" s="1013"/>
      <c r="AA288" s="1004"/>
      <c r="AB288" s="1005" t="s">
        <v>1727</v>
      </c>
      <c r="AC288" s="1004" t="s">
        <v>93</v>
      </c>
      <c r="AD288" s="1003" t="s">
        <v>94</v>
      </c>
      <c r="AE288" s="1004"/>
      <c r="AF288" s="1024">
        <v>1500</v>
      </c>
      <c r="AG288" s="1014">
        <f t="shared" si="100"/>
        <v>0</v>
      </c>
      <c r="AH288" s="1055"/>
      <c r="AI288" s="1004" t="s">
        <v>95</v>
      </c>
      <c r="AJ288" s="1004"/>
      <c r="AK288" s="1004">
        <f>I288</f>
        <v>1500</v>
      </c>
      <c r="AL288" s="1016"/>
      <c r="AM288" s="1016"/>
      <c r="AN288" s="1003">
        <f>I288</f>
        <v>1500</v>
      </c>
      <c r="AO288" s="974">
        <f>I288</f>
        <v>1500</v>
      </c>
      <c r="AU288" s="974">
        <f>I288/25</f>
        <v>60</v>
      </c>
      <c r="BE288" s="1017"/>
      <c r="BF288" s="1017"/>
      <c r="BG288" s="1017"/>
      <c r="BH288" s="1017"/>
      <c r="BI288" s="1017"/>
      <c r="BN288" s="1018"/>
      <c r="BO288" s="1018"/>
      <c r="BP288" s="1018"/>
      <c r="BQ288" s="1018"/>
      <c r="BR288" s="1018"/>
      <c r="BS288" s="1018"/>
      <c r="BV288" s="974">
        <f t="shared" si="111"/>
        <v>60</v>
      </c>
      <c r="BW288" s="974">
        <f t="shared" si="112"/>
        <v>0</v>
      </c>
      <c r="BX288" s="1018">
        <f>AK288+BX245</f>
        <v>1058514</v>
      </c>
      <c r="BY288" s="1018"/>
      <c r="BZ288" s="1018"/>
      <c r="CA288" s="1018"/>
      <c r="CB288" s="1018">
        <f>$BZ$1+$CA$1+$CB$1-BX288</f>
        <v>241486</v>
      </c>
      <c r="CC288" s="1018"/>
      <c r="CH288" s="1019"/>
      <c r="CI288" s="1019"/>
      <c r="CJ288" s="1019"/>
      <c r="CK288" s="1019"/>
      <c r="CL288" s="1019"/>
      <c r="CM288" s="1019"/>
      <c r="CN288" s="1019"/>
      <c r="CO288" s="1019"/>
      <c r="CP288" s="1019"/>
      <c r="CQ288" s="1019"/>
      <c r="CR288" s="1019"/>
      <c r="CS288" s="1019"/>
      <c r="CT288" s="1019"/>
      <c r="CU288" s="1019"/>
      <c r="CV288" s="1019"/>
      <c r="CW288" s="1019"/>
      <c r="CX288" s="1019"/>
      <c r="CY288" s="1019"/>
      <c r="CZ288" s="1019"/>
      <c r="DA288" s="1019"/>
      <c r="DB288" s="1019"/>
      <c r="DC288" s="1019"/>
    </row>
    <row r="289" s="974" customFormat="1" ht="31" customHeight="1" spans="1:107">
      <c r="A289" s="1001">
        <v>46125</v>
      </c>
      <c r="B289" s="1002" t="s">
        <v>1956</v>
      </c>
      <c r="C289" s="1050" t="s">
        <v>329</v>
      </c>
      <c r="D289" s="1002">
        <v>4500201277</v>
      </c>
      <c r="E289" s="1003" t="s">
        <v>2547</v>
      </c>
      <c r="F289" s="974" t="s">
        <v>2548</v>
      </c>
      <c r="G289" s="1005" t="s">
        <v>1746</v>
      </c>
      <c r="H289" s="1003" t="s">
        <v>2549</v>
      </c>
      <c r="I289" s="1003">
        <v>792</v>
      </c>
      <c r="J289" s="1003">
        <v>0</v>
      </c>
      <c r="K289" s="1003">
        <v>12</v>
      </c>
      <c r="L289" s="1006">
        <f t="shared" si="113"/>
        <v>66</v>
      </c>
      <c r="M289" s="1007">
        <v>46169</v>
      </c>
      <c r="N289" s="1007">
        <v>46165</v>
      </c>
      <c r="O289" s="1003"/>
      <c r="P289" s="1008" t="s">
        <v>86</v>
      </c>
      <c r="Q289" s="1003"/>
      <c r="R289" s="1009" t="s">
        <v>2550</v>
      </c>
      <c r="S289" s="1009" t="s">
        <v>88</v>
      </c>
      <c r="T289" s="1009" t="s">
        <v>2551</v>
      </c>
      <c r="U289" s="1009"/>
      <c r="V289" s="1051" t="s">
        <v>2552</v>
      </c>
      <c r="W289" s="1011" t="s">
        <v>1391</v>
      </c>
      <c r="X289" s="1052">
        <v>2.8011</v>
      </c>
      <c r="Y289" s="1013">
        <f t="shared" ref="Y289:Y346" si="114">X289*I289</f>
        <v>2218.4712</v>
      </c>
      <c r="Z289" s="1013"/>
      <c r="AA289" s="1003"/>
      <c r="AB289" s="1004" t="s">
        <v>2442</v>
      </c>
      <c r="AC289" s="1004" t="s">
        <v>93</v>
      </c>
      <c r="AD289" s="1003" t="s">
        <v>94</v>
      </c>
      <c r="AE289" s="1003"/>
      <c r="AF289" s="1053">
        <v>792</v>
      </c>
      <c r="AG289" s="1014">
        <f t="shared" si="100"/>
        <v>0</v>
      </c>
      <c r="AH289" s="1054"/>
      <c r="AI289" s="1003"/>
      <c r="AJ289" s="1003"/>
      <c r="AK289" s="951">
        <f>I289*2</f>
        <v>1584</v>
      </c>
      <c r="AL289" s="1016"/>
      <c r="AM289" s="1016">
        <f>I289*2</f>
        <v>1584</v>
      </c>
      <c r="AN289" s="1016"/>
      <c r="AO289" s="856">
        <f>I289*2</f>
        <v>1584</v>
      </c>
      <c r="AP289" s="1016"/>
      <c r="AQ289" s="1016"/>
      <c r="AR289" s="1016"/>
      <c r="AT289" s="1016"/>
      <c r="AU289" s="1004"/>
      <c r="AV289" s="1016"/>
      <c r="AW289" s="1016"/>
      <c r="AX289" s="1016"/>
      <c r="AY289" s="1016"/>
      <c r="AZ289" s="1016"/>
      <c r="BE289" s="1017"/>
      <c r="BF289" s="1017"/>
      <c r="BG289" s="1017"/>
      <c r="BH289" s="1017"/>
      <c r="BI289" s="1017"/>
      <c r="BJ289" s="974">
        <f>I289</f>
        <v>792</v>
      </c>
      <c r="BK289" s="974">
        <f>I289</f>
        <v>792</v>
      </c>
      <c r="BL289" s="974">
        <f>I289</f>
        <v>792</v>
      </c>
      <c r="BN289" s="1018"/>
      <c r="BO289" s="1018"/>
      <c r="BP289" s="1018"/>
      <c r="BQ289" s="1018"/>
      <c r="BR289" s="1018"/>
      <c r="BS289" s="1018"/>
      <c r="BV289" s="974">
        <f t="shared" si="111"/>
        <v>0</v>
      </c>
      <c r="BW289" s="974">
        <f t="shared" si="112"/>
        <v>0</v>
      </c>
      <c r="BX289" s="1018">
        <f>AK289+BX247</f>
        <v>1012098</v>
      </c>
      <c r="BY289" s="1018"/>
      <c r="BZ289" s="1018"/>
      <c r="CA289" s="1018"/>
      <c r="CB289" s="1018">
        <f>$BZ$1+$CA$1+$CB$1-BX289</f>
        <v>287902</v>
      </c>
      <c r="CC289" s="1018"/>
      <c r="CH289" s="1019"/>
      <c r="CI289" s="1019"/>
      <c r="CJ289" s="1019"/>
      <c r="CK289" s="1019"/>
      <c r="CL289" s="1019"/>
      <c r="CM289" s="1019"/>
      <c r="CN289" s="1019"/>
      <c r="CO289" s="1019"/>
      <c r="CP289" s="1019"/>
      <c r="CQ289" s="1019"/>
      <c r="CR289" s="1019"/>
      <c r="CS289" s="1019"/>
      <c r="CT289" s="1019"/>
      <c r="CU289" s="1019"/>
      <c r="CV289" s="1019"/>
      <c r="CW289" s="1019"/>
      <c r="CX289" s="1019"/>
      <c r="CY289" s="1019"/>
      <c r="CZ289" s="1019"/>
      <c r="DA289" s="1019"/>
      <c r="DB289" s="1019"/>
      <c r="DC289" s="1019"/>
    </row>
    <row r="290" s="974" customFormat="1" ht="31" customHeight="1" spans="1:107">
      <c r="A290" s="1001">
        <v>46113</v>
      </c>
      <c r="B290" s="1002" t="s">
        <v>605</v>
      </c>
      <c r="C290" s="1050" t="s">
        <v>125</v>
      </c>
      <c r="D290" s="1002" t="s">
        <v>1351</v>
      </c>
      <c r="E290" s="1003" t="s">
        <v>1352</v>
      </c>
      <c r="F290" s="974" t="s">
        <v>2553</v>
      </c>
      <c r="G290" s="1005" t="s">
        <v>1523</v>
      </c>
      <c r="H290" s="1003" t="s">
        <v>1524</v>
      </c>
      <c r="I290" s="1003">
        <v>3700</v>
      </c>
      <c r="J290" s="1003">
        <v>0</v>
      </c>
      <c r="K290" s="1003">
        <v>50</v>
      </c>
      <c r="L290" s="1006">
        <f t="shared" si="113"/>
        <v>74</v>
      </c>
      <c r="M290" s="1007">
        <v>46175</v>
      </c>
      <c r="N290" s="1007">
        <v>46171</v>
      </c>
      <c r="O290" s="1003"/>
      <c r="P290" s="1008" t="s">
        <v>86</v>
      </c>
      <c r="Q290" s="1003"/>
      <c r="R290" s="1009" t="s">
        <v>2554</v>
      </c>
      <c r="S290" s="1009" t="s">
        <v>98</v>
      </c>
      <c r="T290" s="1009" t="s">
        <v>98</v>
      </c>
      <c r="U290" s="1009"/>
      <c r="V290" s="1051" t="s">
        <v>1355</v>
      </c>
      <c r="W290" s="1011" t="s">
        <v>1049</v>
      </c>
      <c r="X290" s="1052">
        <v>1.1732</v>
      </c>
      <c r="Y290" s="1013">
        <f t="shared" si="114"/>
        <v>4340.84</v>
      </c>
      <c r="Z290" s="1013"/>
      <c r="AA290" s="1003"/>
      <c r="AB290" s="1004" t="s">
        <v>1523</v>
      </c>
      <c r="AC290" s="1004" t="s">
        <v>93</v>
      </c>
      <c r="AD290" s="1003" t="s">
        <v>94</v>
      </c>
      <c r="AE290" s="1003"/>
      <c r="AF290" s="1053">
        <v>3700</v>
      </c>
      <c r="AG290" s="1014">
        <f t="shared" si="100"/>
        <v>0</v>
      </c>
      <c r="AH290" s="1054"/>
      <c r="AI290" s="1003"/>
      <c r="AJ290" s="1003"/>
      <c r="AK290" s="1004">
        <f t="shared" ref="AK290:AK295" si="115">I290</f>
        <v>3700</v>
      </c>
      <c r="AL290" s="1016">
        <f>I290</f>
        <v>3700</v>
      </c>
      <c r="AM290" s="1016"/>
      <c r="AN290" s="1016"/>
      <c r="AO290" s="1016">
        <f t="shared" ref="AO290:AO295" si="116">I290</f>
        <v>3700</v>
      </c>
      <c r="AP290" s="1016"/>
      <c r="AQ290" s="1016"/>
      <c r="AR290" s="1016"/>
      <c r="AT290" s="974">
        <f>L290*2</f>
        <v>148</v>
      </c>
      <c r="AU290" s="1016"/>
      <c r="AV290" s="1016"/>
      <c r="AW290" s="1016"/>
      <c r="AX290" s="1016"/>
      <c r="AY290" s="1016"/>
      <c r="AZ290" s="1016"/>
      <c r="BE290" s="1017"/>
      <c r="BF290" s="1017"/>
      <c r="BG290" s="1017"/>
      <c r="BH290" s="1017"/>
      <c r="BI290" s="1017"/>
      <c r="BN290" s="1018"/>
      <c r="BO290" s="1018"/>
      <c r="BP290" s="1018"/>
      <c r="BQ290" s="1018"/>
      <c r="BR290" s="1018"/>
      <c r="BS290" s="1018"/>
      <c r="BV290" s="974">
        <f t="shared" si="111"/>
        <v>148</v>
      </c>
      <c r="BW290" s="974">
        <f t="shared" si="112"/>
        <v>0</v>
      </c>
      <c r="BX290" s="1018">
        <f>AK290+BX295</f>
        <v>1008850</v>
      </c>
      <c r="BY290" s="1018"/>
      <c r="BZ290" s="1018"/>
      <c r="CA290" s="1018">
        <f>$BZ$1+$CA$1-BX290</f>
        <v>-148850</v>
      </c>
      <c r="CB290" s="1018"/>
      <c r="CC290" s="1018"/>
      <c r="CH290" s="1019"/>
      <c r="CI290" s="1019"/>
      <c r="CJ290" s="1019"/>
      <c r="CK290" s="1019"/>
      <c r="CL290" s="1019"/>
      <c r="CM290" s="1019"/>
      <c r="CN290" s="1019"/>
      <c r="CO290" s="1019"/>
      <c r="CP290" s="1019"/>
      <c r="CQ290" s="1019"/>
      <c r="CR290" s="1019"/>
      <c r="CS290" s="1019"/>
      <c r="CT290" s="1019"/>
      <c r="CU290" s="1019"/>
      <c r="CV290" s="1019"/>
      <c r="CW290" s="1019"/>
      <c r="CX290" s="1019"/>
      <c r="CY290" s="1019"/>
      <c r="CZ290" s="1019"/>
      <c r="DA290" s="1019"/>
      <c r="DB290" s="1019"/>
      <c r="DC290" s="1019"/>
    </row>
    <row r="291" s="974" customFormat="1" ht="31" customHeight="1" spans="1:107">
      <c r="A291" s="1001">
        <v>46129</v>
      </c>
      <c r="B291" s="1002" t="s">
        <v>1259</v>
      </c>
      <c r="C291" s="1050" t="s">
        <v>1260</v>
      </c>
      <c r="D291" s="1002" t="s">
        <v>2555</v>
      </c>
      <c r="E291" s="1003" t="s">
        <v>2556</v>
      </c>
      <c r="F291" s="974" t="s">
        <v>2557</v>
      </c>
      <c r="G291" s="1005" t="s">
        <v>1532</v>
      </c>
      <c r="H291" s="1003" t="s">
        <v>1524</v>
      </c>
      <c r="I291" s="1003">
        <v>520</v>
      </c>
      <c r="J291" s="1003">
        <v>0</v>
      </c>
      <c r="K291" s="1003">
        <v>52</v>
      </c>
      <c r="L291" s="1006">
        <f t="shared" si="113"/>
        <v>10</v>
      </c>
      <c r="M291" s="1056">
        <v>46175</v>
      </c>
      <c r="N291" s="1056">
        <f>M291-4</f>
        <v>46171</v>
      </c>
      <c r="O291" s="1003"/>
      <c r="P291" s="1008" t="s">
        <v>86</v>
      </c>
      <c r="Q291" s="1003"/>
      <c r="R291" s="1009">
        <v>46133</v>
      </c>
      <c r="S291" s="1009" t="s">
        <v>98</v>
      </c>
      <c r="T291" s="1009">
        <v>46154</v>
      </c>
      <c r="U291" s="1009"/>
      <c r="V291" s="1051" t="s">
        <v>2558</v>
      </c>
      <c r="W291" s="1011" t="s">
        <v>481</v>
      </c>
      <c r="X291" s="1052">
        <v>1.922</v>
      </c>
      <c r="Y291" s="1013">
        <f t="shared" si="114"/>
        <v>999.44</v>
      </c>
      <c r="Z291" s="1013"/>
      <c r="AA291" s="1003"/>
      <c r="AB291" s="1004" t="s">
        <v>1532</v>
      </c>
      <c r="AC291" s="1004" t="s">
        <v>93</v>
      </c>
      <c r="AD291" s="1003" t="s">
        <v>94</v>
      </c>
      <c r="AE291" s="1003"/>
      <c r="AF291" s="1053">
        <v>520</v>
      </c>
      <c r="AG291" s="1014">
        <f t="shared" si="100"/>
        <v>0</v>
      </c>
      <c r="AH291" s="1054"/>
      <c r="AI291" s="1003"/>
      <c r="AJ291" s="1003"/>
      <c r="AK291" s="1004">
        <f t="shared" si="115"/>
        <v>520</v>
      </c>
      <c r="AL291" s="1016">
        <f>I291</f>
        <v>520</v>
      </c>
      <c r="AM291" s="1016"/>
      <c r="AN291" s="1003"/>
      <c r="AO291" s="974">
        <f t="shared" si="116"/>
        <v>520</v>
      </c>
      <c r="AR291" s="974">
        <f>I291/13</f>
        <v>40</v>
      </c>
      <c r="AT291" s="1016"/>
      <c r="AU291" s="1016"/>
      <c r="AV291" s="1016"/>
      <c r="AW291" s="1016"/>
      <c r="AX291" s="1016"/>
      <c r="AY291" s="1016"/>
      <c r="AZ291" s="1016"/>
      <c r="BE291" s="1017"/>
      <c r="BF291" s="1017"/>
      <c r="BG291" s="1017"/>
      <c r="BH291" s="1017"/>
      <c r="BI291" s="1017"/>
      <c r="BN291" s="1018"/>
      <c r="BO291" s="1018"/>
      <c r="BP291" s="1018"/>
      <c r="BQ291" s="1018"/>
      <c r="BR291" s="1018"/>
      <c r="BS291" s="1018"/>
      <c r="BV291" s="974">
        <f t="shared" si="111"/>
        <v>0</v>
      </c>
      <c r="BW291" s="974">
        <f t="shared" si="112"/>
        <v>0</v>
      </c>
      <c r="BX291" s="1018">
        <f>AK291+BX289</f>
        <v>1012618</v>
      </c>
      <c r="BY291" s="1018"/>
      <c r="BZ291" s="1018"/>
      <c r="CA291" s="1018"/>
      <c r="CB291" s="1018">
        <f>$BZ$1+$CA$1+$CB$1-BX291</f>
        <v>287382</v>
      </c>
      <c r="CC291" s="1018"/>
      <c r="CH291" s="1019"/>
      <c r="CI291" s="1019"/>
      <c r="CJ291" s="1019"/>
      <c r="CK291" s="1019"/>
      <c r="CL291" s="1019"/>
      <c r="CM291" s="1019"/>
      <c r="CN291" s="1019"/>
      <c r="CO291" s="1019"/>
      <c r="CP291" s="1019"/>
      <c r="CQ291" s="1019"/>
      <c r="CR291" s="1019"/>
      <c r="CS291" s="1019"/>
      <c r="CT291" s="1019"/>
      <c r="CU291" s="1019"/>
      <c r="CV291" s="1019"/>
      <c r="CW291" s="1019"/>
      <c r="CX291" s="1019"/>
      <c r="CY291" s="1019"/>
      <c r="CZ291" s="1019"/>
      <c r="DA291" s="1019"/>
      <c r="DB291" s="1019"/>
      <c r="DC291" s="1019"/>
    </row>
    <row r="292" s="974" customFormat="1" ht="31" customHeight="1" spans="1:107">
      <c r="A292" s="1001">
        <v>46111</v>
      </c>
      <c r="B292" s="1002" t="s">
        <v>2559</v>
      </c>
      <c r="C292" s="1050" t="s">
        <v>221</v>
      </c>
      <c r="D292" s="1002" t="s">
        <v>2560</v>
      </c>
      <c r="E292" s="1003" t="s">
        <v>2561</v>
      </c>
      <c r="F292" s="974" t="s">
        <v>2562</v>
      </c>
      <c r="G292" s="1005" t="s">
        <v>1532</v>
      </c>
      <c r="H292" s="1003" t="s">
        <v>1524</v>
      </c>
      <c r="I292" s="1003">
        <v>2028</v>
      </c>
      <c r="J292" s="1003">
        <v>0</v>
      </c>
      <c r="K292" s="1003">
        <v>52</v>
      </c>
      <c r="L292" s="1006">
        <f t="shared" si="113"/>
        <v>39</v>
      </c>
      <c r="M292" s="1007">
        <v>46162</v>
      </c>
      <c r="N292" s="1007">
        <v>46158</v>
      </c>
      <c r="O292" s="1003"/>
      <c r="P292" s="1008" t="s">
        <v>86</v>
      </c>
      <c r="Q292" s="1003"/>
      <c r="R292" s="1009">
        <v>46150</v>
      </c>
      <c r="S292" s="1009" t="s">
        <v>98</v>
      </c>
      <c r="T292" s="1009" t="s">
        <v>2563</v>
      </c>
      <c r="U292" s="1009"/>
      <c r="V292" s="1051" t="s">
        <v>2564</v>
      </c>
      <c r="W292" s="1011" t="s">
        <v>225</v>
      </c>
      <c r="X292" s="1052">
        <v>1.8832</v>
      </c>
      <c r="Y292" s="1013">
        <f t="shared" si="114"/>
        <v>3819.1296</v>
      </c>
      <c r="Z292" s="1013"/>
      <c r="AA292" s="1003"/>
      <c r="AB292" s="1004" t="s">
        <v>2174</v>
      </c>
      <c r="AC292" s="1004" t="s">
        <v>93</v>
      </c>
      <c r="AD292" s="1003" t="s">
        <v>94</v>
      </c>
      <c r="AE292" s="1003"/>
      <c r="AF292" s="1053">
        <v>2028</v>
      </c>
      <c r="AG292" s="1014">
        <f t="shared" si="100"/>
        <v>0</v>
      </c>
      <c r="AH292" s="1054"/>
      <c r="AI292" s="1004" t="s">
        <v>95</v>
      </c>
      <c r="AK292" s="1004">
        <f t="shared" si="115"/>
        <v>2028</v>
      </c>
      <c r="AL292" s="1016"/>
      <c r="AM292" s="1016"/>
      <c r="AN292" s="1003">
        <f>I292</f>
        <v>2028</v>
      </c>
      <c r="AO292" s="974">
        <f t="shared" si="116"/>
        <v>2028</v>
      </c>
      <c r="AP292" s="1016"/>
      <c r="AQ292" s="1016"/>
      <c r="AR292" s="1016"/>
      <c r="AS292" s="974">
        <f>I292/13</f>
        <v>156</v>
      </c>
      <c r="AT292" s="1016"/>
      <c r="AU292" s="1016"/>
      <c r="AV292" s="1016"/>
      <c r="AW292" s="1016"/>
      <c r="AX292" s="1016"/>
      <c r="AY292" s="1016"/>
      <c r="AZ292" s="1016"/>
      <c r="BE292" s="1017"/>
      <c r="BF292" s="1017"/>
      <c r="BG292" s="1017"/>
      <c r="BH292" s="1017"/>
      <c r="BI292" s="1017"/>
      <c r="BN292" s="1018"/>
      <c r="BO292" s="1018"/>
      <c r="BP292" s="1018"/>
      <c r="BQ292" s="1018"/>
      <c r="BR292" s="1018"/>
      <c r="BS292" s="1018"/>
      <c r="BV292" s="974">
        <f t="shared" si="111"/>
        <v>0</v>
      </c>
      <c r="BW292" s="974">
        <f t="shared" si="112"/>
        <v>0</v>
      </c>
      <c r="BX292" s="1018">
        <f>AK292+BX293</f>
        <v>1026260</v>
      </c>
      <c r="BY292" s="1018"/>
      <c r="BZ292" s="1018"/>
      <c r="CA292" s="1018"/>
      <c r="CB292" s="1018">
        <f>$BZ$1+$CA$1+$CB$1-BX292</f>
        <v>273740</v>
      </c>
      <c r="CC292" s="1018"/>
      <c r="CH292" s="1019"/>
      <c r="CI292" s="1019"/>
      <c r="CJ292" s="1019"/>
      <c r="CK292" s="1019"/>
      <c r="CL292" s="1019"/>
      <c r="CM292" s="1019"/>
      <c r="CN292" s="1019"/>
      <c r="CO292" s="1019"/>
      <c r="CP292" s="1019"/>
      <c r="CQ292" s="1019"/>
      <c r="CR292" s="1019"/>
      <c r="CS292" s="1019"/>
      <c r="CT292" s="1019"/>
      <c r="CU292" s="1019"/>
      <c r="CV292" s="1019"/>
      <c r="CW292" s="1019"/>
      <c r="CX292" s="1019"/>
      <c r="CY292" s="1019"/>
      <c r="CZ292" s="1019"/>
      <c r="DA292" s="1019"/>
      <c r="DB292" s="1019"/>
      <c r="DC292" s="1019"/>
    </row>
    <row r="293" s="857" customFormat="1" ht="31" customHeight="1" spans="1:107">
      <c r="A293" s="923">
        <v>46101</v>
      </c>
      <c r="B293" s="924" t="s">
        <v>2565</v>
      </c>
      <c r="C293" s="941" t="s">
        <v>1949</v>
      </c>
      <c r="D293" s="924">
        <v>4500197359</v>
      </c>
      <c r="E293" s="928">
        <v>28058</v>
      </c>
      <c r="F293" s="857" t="s">
        <v>2566</v>
      </c>
      <c r="G293" s="927" t="s">
        <v>1537</v>
      </c>
      <c r="H293" s="928" t="s">
        <v>1538</v>
      </c>
      <c r="I293" s="928">
        <v>650</v>
      </c>
      <c r="J293" s="928">
        <v>0</v>
      </c>
      <c r="K293" s="928">
        <v>13</v>
      </c>
      <c r="L293" s="929">
        <f t="shared" si="113"/>
        <v>50</v>
      </c>
      <c r="M293" s="930">
        <v>46161</v>
      </c>
      <c r="N293" s="930">
        <v>46157</v>
      </c>
      <c r="O293" s="928"/>
      <c r="P293" s="931" t="s">
        <v>86</v>
      </c>
      <c r="Q293" s="928"/>
      <c r="R293" s="932" t="s">
        <v>88</v>
      </c>
      <c r="S293" s="932" t="s">
        <v>98</v>
      </c>
      <c r="T293" s="932" t="s">
        <v>2567</v>
      </c>
      <c r="U293" s="932"/>
      <c r="V293" s="942" t="s">
        <v>2568</v>
      </c>
      <c r="W293" s="934" t="s">
        <v>1847</v>
      </c>
      <c r="X293" s="1043">
        <v>1.8208</v>
      </c>
      <c r="Y293" s="936">
        <f t="shared" si="114"/>
        <v>1183.52</v>
      </c>
      <c r="Z293" s="936"/>
      <c r="AA293" s="928"/>
      <c r="AB293" s="927" t="s">
        <v>1849</v>
      </c>
      <c r="AC293" s="926" t="s">
        <v>93</v>
      </c>
      <c r="AD293" s="1003" t="s">
        <v>94</v>
      </c>
      <c r="AE293" s="928"/>
      <c r="AF293" s="943">
        <v>650</v>
      </c>
      <c r="AG293" s="946">
        <f t="shared" si="100"/>
        <v>0</v>
      </c>
      <c r="AH293" s="944"/>
      <c r="AI293" s="926" t="s">
        <v>95</v>
      </c>
      <c r="AJ293" s="928"/>
      <c r="AK293" s="926">
        <f t="shared" si="115"/>
        <v>650</v>
      </c>
      <c r="AL293" s="858"/>
      <c r="AM293" s="858"/>
      <c r="AN293" s="858">
        <f>I293</f>
        <v>650</v>
      </c>
      <c r="AO293" s="857">
        <f t="shared" si="116"/>
        <v>650</v>
      </c>
      <c r="AP293" s="858"/>
      <c r="AQ293" s="858"/>
      <c r="AR293" s="858"/>
      <c r="AS293" s="857">
        <f>I293/13</f>
        <v>50</v>
      </c>
      <c r="AT293" s="858"/>
      <c r="AU293" s="858"/>
      <c r="AV293" s="858"/>
      <c r="AW293" s="858"/>
      <c r="AX293" s="858"/>
      <c r="AY293" s="858"/>
      <c r="AZ293" s="858"/>
      <c r="BE293" s="925"/>
      <c r="BF293" s="925"/>
      <c r="BG293" s="925"/>
      <c r="BH293" s="925"/>
      <c r="BI293" s="925"/>
      <c r="BN293" s="939"/>
      <c r="BO293" s="939"/>
      <c r="BP293" s="939"/>
      <c r="BQ293" s="939"/>
      <c r="BR293" s="939"/>
      <c r="BS293" s="939"/>
      <c r="BV293" s="857">
        <f t="shared" si="111"/>
        <v>0</v>
      </c>
      <c r="BW293" s="857">
        <f t="shared" si="112"/>
        <v>0</v>
      </c>
      <c r="BX293" s="939">
        <f>AK293+取消单!BV245</f>
        <v>1024232</v>
      </c>
      <c r="BY293" s="939"/>
      <c r="BZ293" s="939"/>
      <c r="CA293" s="939">
        <f>$BZ$1+$CA$1-BX293</f>
        <v>-164232</v>
      </c>
      <c r="CB293" s="939"/>
      <c r="CC293" s="939"/>
      <c r="CH293" s="940"/>
      <c r="CI293" s="940"/>
      <c r="CJ293" s="940"/>
      <c r="CK293" s="940"/>
      <c r="CL293" s="940"/>
      <c r="CM293" s="940"/>
      <c r="CN293" s="940"/>
      <c r="CO293" s="940"/>
      <c r="CP293" s="940"/>
      <c r="CQ293" s="940"/>
      <c r="CR293" s="940"/>
      <c r="CS293" s="940"/>
      <c r="CT293" s="940"/>
      <c r="CU293" s="940"/>
      <c r="CV293" s="940"/>
      <c r="CW293" s="940"/>
      <c r="CX293" s="940"/>
      <c r="CY293" s="940"/>
      <c r="CZ293" s="940"/>
      <c r="DA293" s="940"/>
      <c r="DB293" s="940"/>
      <c r="DC293" s="940"/>
    </row>
    <row r="294" s="857" customFormat="1" ht="31" customHeight="1" spans="1:107">
      <c r="A294" s="923">
        <v>46119</v>
      </c>
      <c r="B294" s="924" t="s">
        <v>1135</v>
      </c>
      <c r="C294" s="941" t="s">
        <v>1136</v>
      </c>
      <c r="D294" s="924" t="s">
        <v>2569</v>
      </c>
      <c r="E294" s="928" t="s">
        <v>2556</v>
      </c>
      <c r="F294" s="857" t="s">
        <v>2570</v>
      </c>
      <c r="G294" s="927" t="s">
        <v>1532</v>
      </c>
      <c r="H294" s="928" t="s">
        <v>1524</v>
      </c>
      <c r="I294" s="928">
        <v>1040</v>
      </c>
      <c r="J294" s="928">
        <v>0</v>
      </c>
      <c r="K294" s="928">
        <v>52</v>
      </c>
      <c r="L294" s="929">
        <f t="shared" si="113"/>
        <v>20</v>
      </c>
      <c r="M294" s="930">
        <v>46167</v>
      </c>
      <c r="N294" s="930">
        <v>46163</v>
      </c>
      <c r="O294" s="928"/>
      <c r="P294" s="931" t="s">
        <v>86</v>
      </c>
      <c r="Q294" s="928"/>
      <c r="R294" s="932">
        <v>46119</v>
      </c>
      <c r="S294" s="932" t="s">
        <v>98</v>
      </c>
      <c r="T294" s="932" t="s">
        <v>98</v>
      </c>
      <c r="U294" s="932"/>
      <c r="V294" s="942" t="s">
        <v>2571</v>
      </c>
      <c r="W294" s="934" t="s">
        <v>1059</v>
      </c>
      <c r="X294" s="1043">
        <v>1.8649</v>
      </c>
      <c r="Y294" s="936">
        <f t="shared" si="114"/>
        <v>1939.496</v>
      </c>
      <c r="Z294" s="936"/>
      <c r="AA294" s="928"/>
      <c r="AB294" s="926" t="s">
        <v>1532</v>
      </c>
      <c r="AC294" s="926" t="s">
        <v>93</v>
      </c>
      <c r="AD294" s="1003" t="s">
        <v>94</v>
      </c>
      <c r="AE294" s="928"/>
      <c r="AF294" s="943">
        <v>1040</v>
      </c>
      <c r="AG294" s="946">
        <f t="shared" si="100"/>
        <v>0</v>
      </c>
      <c r="AH294" s="944"/>
      <c r="AI294" s="928"/>
      <c r="AJ294" s="928"/>
      <c r="AK294" s="926">
        <f t="shared" si="115"/>
        <v>1040</v>
      </c>
      <c r="AL294" s="858">
        <f>I294</f>
        <v>1040</v>
      </c>
      <c r="AM294" s="858"/>
      <c r="AN294" s="928"/>
      <c r="AO294" s="857">
        <f t="shared" si="116"/>
        <v>1040</v>
      </c>
      <c r="AR294" s="857">
        <f>I294/13</f>
        <v>80</v>
      </c>
      <c r="AT294" s="858"/>
      <c r="AU294" s="858"/>
      <c r="AV294" s="858"/>
      <c r="AW294" s="858"/>
      <c r="AX294" s="858"/>
      <c r="AY294" s="858"/>
      <c r="AZ294" s="858"/>
      <c r="BE294" s="925"/>
      <c r="BF294" s="925"/>
      <c r="BG294" s="925"/>
      <c r="BH294" s="925"/>
      <c r="BI294" s="925"/>
      <c r="BN294" s="939"/>
      <c r="BO294" s="939"/>
      <c r="BP294" s="939"/>
      <c r="BQ294" s="939"/>
      <c r="BR294" s="939"/>
      <c r="BS294" s="939"/>
      <c r="BV294" s="857">
        <f t="shared" si="111"/>
        <v>0</v>
      </c>
      <c r="BW294" s="857">
        <f t="shared" si="112"/>
        <v>0</v>
      </c>
      <c r="BX294" s="939">
        <f>AK294+BX295</f>
        <v>1006190</v>
      </c>
      <c r="BY294" s="939"/>
      <c r="BZ294" s="939"/>
      <c r="CA294" s="939"/>
      <c r="CB294" s="939">
        <f t="shared" ref="CB294:CB318" si="117">$BZ$1+$CA$1+$CB$1-BX294</f>
        <v>293810</v>
      </c>
      <c r="CC294" s="939"/>
      <c r="CH294" s="940"/>
      <c r="CI294" s="940"/>
      <c r="CJ294" s="940"/>
      <c r="CK294" s="940"/>
      <c r="CL294" s="940"/>
      <c r="CM294" s="940"/>
      <c r="CN294" s="940"/>
      <c r="CO294" s="940"/>
      <c r="CP294" s="940"/>
      <c r="CQ294" s="940"/>
      <c r="CR294" s="940"/>
      <c r="CS294" s="940"/>
      <c r="CT294" s="940"/>
      <c r="CU294" s="940"/>
      <c r="CV294" s="940"/>
      <c r="CW294" s="940"/>
      <c r="CX294" s="940"/>
      <c r="CY294" s="940"/>
      <c r="CZ294" s="940"/>
      <c r="DA294" s="940"/>
      <c r="DB294" s="940"/>
      <c r="DC294" s="940"/>
    </row>
    <row r="295" s="974" customFormat="1" ht="31" customHeight="1" spans="1:107">
      <c r="A295" s="1001">
        <v>46115</v>
      </c>
      <c r="B295" s="1002" t="s">
        <v>2096</v>
      </c>
      <c r="C295" s="1050" t="s">
        <v>81</v>
      </c>
      <c r="D295" s="1002">
        <v>4500199969</v>
      </c>
      <c r="E295" s="1057">
        <v>62106764</v>
      </c>
      <c r="F295" s="974" t="s">
        <v>2572</v>
      </c>
      <c r="G295" s="1005" t="s">
        <v>1523</v>
      </c>
      <c r="H295" s="1003" t="s">
        <v>1524</v>
      </c>
      <c r="I295" s="1003">
        <v>3000</v>
      </c>
      <c r="J295" s="1003">
        <v>0</v>
      </c>
      <c r="K295" s="1003">
        <v>50</v>
      </c>
      <c r="L295" s="1006">
        <f t="shared" si="113"/>
        <v>60</v>
      </c>
      <c r="M295" s="1007">
        <v>46167</v>
      </c>
      <c r="N295" s="1056">
        <v>46167</v>
      </c>
      <c r="O295" s="1003"/>
      <c r="P295" s="931" t="s">
        <v>86</v>
      </c>
      <c r="Q295" s="1003"/>
      <c r="R295" s="1009">
        <v>46148</v>
      </c>
      <c r="S295" s="1009" t="s">
        <v>98</v>
      </c>
      <c r="T295" s="1009" t="s">
        <v>2573</v>
      </c>
      <c r="U295" s="1009"/>
      <c r="V295" s="1058" t="s">
        <v>2574</v>
      </c>
      <c r="W295" s="1011" t="s">
        <v>225</v>
      </c>
      <c r="X295" s="1052">
        <v>1.9729</v>
      </c>
      <c r="Y295" s="1013">
        <f t="shared" si="114"/>
        <v>5918.7</v>
      </c>
      <c r="Z295" s="1013"/>
      <c r="AA295" s="1003"/>
      <c r="AB295" s="1005" t="s">
        <v>1727</v>
      </c>
      <c r="AC295" s="1004" t="s">
        <v>93</v>
      </c>
      <c r="AD295" s="1003" t="s">
        <v>94</v>
      </c>
      <c r="AE295" s="1003"/>
      <c r="AF295" s="1053">
        <v>3000</v>
      </c>
      <c r="AG295" s="1014">
        <f t="shared" si="100"/>
        <v>0</v>
      </c>
      <c r="AH295" s="1054"/>
      <c r="AI295" s="1003"/>
      <c r="AJ295" s="1003"/>
      <c r="AK295" s="1004">
        <f t="shared" si="115"/>
        <v>3000</v>
      </c>
      <c r="AL295" s="1016"/>
      <c r="AM295" s="1016"/>
      <c r="AN295" s="974">
        <f>I295</f>
        <v>3000</v>
      </c>
      <c r="AO295" s="1016">
        <f t="shared" si="116"/>
        <v>3000</v>
      </c>
      <c r="AP295" s="1016"/>
      <c r="AQ295" s="1016"/>
      <c r="AR295" s="1016"/>
      <c r="AT295" s="1016"/>
      <c r="AU295" s="1004">
        <f>I295/25</f>
        <v>120</v>
      </c>
      <c r="AV295" s="1016"/>
      <c r="AW295" s="1016"/>
      <c r="AX295" s="1016"/>
      <c r="AY295" s="1016"/>
      <c r="AZ295" s="1016"/>
      <c r="BE295" s="1017"/>
      <c r="BF295" s="1017"/>
      <c r="BG295" s="1017"/>
      <c r="BH295" s="1017"/>
      <c r="BI295" s="1017"/>
      <c r="BN295" s="1018"/>
      <c r="BO295" s="1018"/>
      <c r="BP295" s="1018"/>
      <c r="BQ295" s="1018"/>
      <c r="BR295" s="1018"/>
      <c r="BS295" s="1018"/>
      <c r="BV295" s="974">
        <f t="shared" si="111"/>
        <v>120</v>
      </c>
      <c r="BW295" s="974">
        <f t="shared" si="112"/>
        <v>0</v>
      </c>
      <c r="BX295" s="1018">
        <f>AK295+取消单!BX249</f>
        <v>1005150</v>
      </c>
      <c r="BY295" s="1018"/>
      <c r="BZ295" s="1018"/>
      <c r="CA295" s="1018"/>
      <c r="CB295" s="1018">
        <f t="shared" si="117"/>
        <v>294850</v>
      </c>
      <c r="CC295" s="1018"/>
      <c r="CH295" s="1019"/>
      <c r="CI295" s="1019"/>
      <c r="CJ295" s="1019"/>
      <c r="CK295" s="1019"/>
      <c r="CL295" s="1019"/>
      <c r="CM295" s="1019"/>
      <c r="CN295" s="1019"/>
      <c r="CO295" s="1019"/>
      <c r="CP295" s="1019"/>
      <c r="CQ295" s="1019"/>
      <c r="CR295" s="1019"/>
      <c r="CS295" s="1019"/>
      <c r="CT295" s="1019"/>
      <c r="CU295" s="1019"/>
      <c r="CV295" s="1019"/>
      <c r="CW295" s="1019"/>
      <c r="CX295" s="1019"/>
      <c r="CY295" s="1019"/>
      <c r="CZ295" s="1019"/>
      <c r="DA295" s="1019"/>
      <c r="DB295" s="1019"/>
      <c r="DC295" s="1019"/>
    </row>
    <row r="296" s="974" customFormat="1" ht="31" customHeight="1" spans="1:107">
      <c r="A296" s="1001">
        <v>46125</v>
      </c>
      <c r="B296" s="1002" t="s">
        <v>1936</v>
      </c>
      <c r="C296" s="1050" t="s">
        <v>329</v>
      </c>
      <c r="D296" s="1002">
        <v>4500201281</v>
      </c>
      <c r="E296" s="1003" t="s">
        <v>2575</v>
      </c>
      <c r="F296" s="974" t="s">
        <v>2576</v>
      </c>
      <c r="G296" s="1005" t="s">
        <v>1746</v>
      </c>
      <c r="H296" s="1003" t="s">
        <v>2549</v>
      </c>
      <c r="I296" s="1003">
        <v>1164</v>
      </c>
      <c r="J296" s="1003">
        <v>0</v>
      </c>
      <c r="K296" s="1003">
        <v>12</v>
      </c>
      <c r="L296" s="1006">
        <f t="shared" si="113"/>
        <v>97</v>
      </c>
      <c r="M296" s="1007">
        <v>46174</v>
      </c>
      <c r="N296" s="1007">
        <v>46170</v>
      </c>
      <c r="O296" s="1003"/>
      <c r="P296" s="931" t="s">
        <v>86</v>
      </c>
      <c r="Q296" s="1003"/>
      <c r="R296" s="1009" t="s">
        <v>2577</v>
      </c>
      <c r="S296" s="1009" t="s">
        <v>98</v>
      </c>
      <c r="T296" s="1059" t="s">
        <v>2578</v>
      </c>
      <c r="U296" s="1059"/>
      <c r="V296" s="1051" t="s">
        <v>2579</v>
      </c>
      <c r="W296" s="1011" t="s">
        <v>1391</v>
      </c>
      <c r="X296" s="1052">
        <v>2.7634</v>
      </c>
      <c r="Y296" s="1013">
        <f t="shared" si="114"/>
        <v>3216.5976</v>
      </c>
      <c r="Z296" s="1013"/>
      <c r="AA296" s="1003"/>
      <c r="AB296" s="1004" t="s">
        <v>2442</v>
      </c>
      <c r="AC296" s="1004" t="s">
        <v>93</v>
      </c>
      <c r="AD296" s="1003" t="s">
        <v>94</v>
      </c>
      <c r="AE296" s="1003"/>
      <c r="AF296" s="1053">
        <v>1164</v>
      </c>
      <c r="AG296" s="1014">
        <f t="shared" si="100"/>
        <v>0</v>
      </c>
      <c r="AH296" s="1054"/>
      <c r="AI296" s="1003"/>
      <c r="AJ296" s="1003"/>
      <c r="AK296" s="1004">
        <f>I296*2</f>
        <v>2328</v>
      </c>
      <c r="AL296" s="1016"/>
      <c r="AM296" s="1016">
        <f>I296*2</f>
        <v>2328</v>
      </c>
      <c r="AN296" s="1016"/>
      <c r="AO296" s="974">
        <f>I296*2</f>
        <v>2328</v>
      </c>
      <c r="AP296" s="1016"/>
      <c r="AQ296" s="1016"/>
      <c r="AR296" s="1016"/>
      <c r="AT296" s="1016"/>
      <c r="AU296" s="1004"/>
      <c r="AV296" s="1016"/>
      <c r="AW296" s="1016"/>
      <c r="AX296" s="1016"/>
      <c r="AY296" s="1016"/>
      <c r="AZ296" s="1016"/>
      <c r="BE296" s="1017"/>
      <c r="BF296" s="1017"/>
      <c r="BG296" s="1017"/>
      <c r="BH296" s="1017"/>
      <c r="BI296" s="1017"/>
      <c r="BJ296" s="974">
        <f>I296</f>
        <v>1164</v>
      </c>
      <c r="BK296" s="974">
        <f>I296</f>
        <v>1164</v>
      </c>
      <c r="BL296" s="974">
        <f>I296</f>
        <v>1164</v>
      </c>
      <c r="BN296" s="1018"/>
      <c r="BO296" s="1018"/>
      <c r="BP296" s="1018"/>
      <c r="BQ296" s="1018"/>
      <c r="BR296" s="1018"/>
      <c r="BS296" s="1018"/>
      <c r="BV296" s="974">
        <f t="shared" si="111"/>
        <v>0</v>
      </c>
      <c r="BW296" s="974">
        <f t="shared" si="112"/>
        <v>0</v>
      </c>
      <c r="BX296" s="1018">
        <f>AK296+BX250</f>
        <v>1015722</v>
      </c>
      <c r="BY296" s="1018"/>
      <c r="BZ296" s="1018"/>
      <c r="CA296" s="1018"/>
      <c r="CB296" s="1018">
        <f t="shared" si="117"/>
        <v>284278</v>
      </c>
      <c r="CC296" s="1018"/>
      <c r="CH296" s="1019"/>
      <c r="CI296" s="1019"/>
      <c r="CJ296" s="1019"/>
      <c r="CK296" s="1019"/>
      <c r="CL296" s="1019"/>
      <c r="CM296" s="1019"/>
      <c r="CN296" s="1019"/>
      <c r="CO296" s="1019"/>
      <c r="CP296" s="1019"/>
      <c r="CQ296" s="1019"/>
      <c r="CR296" s="1019"/>
      <c r="CS296" s="1019"/>
      <c r="CT296" s="1019"/>
      <c r="CU296" s="1019"/>
      <c r="CV296" s="1019"/>
      <c r="CW296" s="1019"/>
      <c r="CX296" s="1019"/>
      <c r="CY296" s="1019"/>
      <c r="CZ296" s="1019"/>
      <c r="DA296" s="1019"/>
      <c r="DB296" s="1019"/>
      <c r="DC296" s="1019"/>
    </row>
    <row r="297" s="974" customFormat="1" ht="31" customHeight="1" spans="1:107">
      <c r="A297" s="1001">
        <v>46140</v>
      </c>
      <c r="B297" s="1002" t="s">
        <v>2047</v>
      </c>
      <c r="C297" s="1050" t="s">
        <v>1930</v>
      </c>
      <c r="D297" s="1002" t="s">
        <v>2580</v>
      </c>
      <c r="E297" s="1057">
        <v>166370</v>
      </c>
      <c r="F297" s="974" t="s">
        <v>2581</v>
      </c>
      <c r="G297" s="1005" t="s">
        <v>1537</v>
      </c>
      <c r="H297" s="1003" t="s">
        <v>2582</v>
      </c>
      <c r="I297" s="1003">
        <v>403</v>
      </c>
      <c r="J297" s="1003">
        <v>0</v>
      </c>
      <c r="K297" s="1003">
        <v>13</v>
      </c>
      <c r="L297" s="1006">
        <f t="shared" si="113"/>
        <v>31</v>
      </c>
      <c r="M297" s="1007">
        <v>46183</v>
      </c>
      <c r="N297" s="1007">
        <v>46179</v>
      </c>
      <c r="O297" s="1003"/>
      <c r="P297" s="931" t="s">
        <v>86</v>
      </c>
      <c r="Q297" s="1003"/>
      <c r="R297" s="1009">
        <v>46149</v>
      </c>
      <c r="S297" s="1009" t="s">
        <v>98</v>
      </c>
      <c r="T297" s="1009" t="s">
        <v>2583</v>
      </c>
      <c r="U297" s="1009"/>
      <c r="V297" s="1051" t="s">
        <v>2584</v>
      </c>
      <c r="W297" s="1011" t="s">
        <v>1847</v>
      </c>
      <c r="X297" s="1052">
        <v>1.8816</v>
      </c>
      <c r="Y297" s="1013">
        <f t="shared" si="114"/>
        <v>758.2848</v>
      </c>
      <c r="Z297" s="1013"/>
      <c r="AA297" s="1003"/>
      <c r="AB297" s="1005" t="s">
        <v>1849</v>
      </c>
      <c r="AC297" s="1004" t="s">
        <v>93</v>
      </c>
      <c r="AD297" s="1003" t="s">
        <v>94</v>
      </c>
      <c r="AE297" s="1003"/>
      <c r="AF297" s="1053">
        <v>403</v>
      </c>
      <c r="AG297" s="1014">
        <f t="shared" si="100"/>
        <v>0</v>
      </c>
      <c r="AH297" s="1054"/>
      <c r="AI297" s="1003"/>
      <c r="AJ297" s="1003"/>
      <c r="AK297" s="1004">
        <f>I297</f>
        <v>403</v>
      </c>
      <c r="AL297" s="1016"/>
      <c r="AM297" s="1016"/>
      <c r="AN297" s="1016">
        <f>I297</f>
        <v>403</v>
      </c>
      <c r="AO297" s="974">
        <f>I297</f>
        <v>403</v>
      </c>
      <c r="AP297" s="1016"/>
      <c r="AQ297" s="1016"/>
      <c r="AR297" s="1016"/>
      <c r="AS297" s="974">
        <f>I297/13</f>
        <v>31</v>
      </c>
      <c r="AT297" s="1016"/>
      <c r="AU297" s="1004"/>
      <c r="AV297" s="1016"/>
      <c r="AW297" s="1016"/>
      <c r="AX297" s="1016"/>
      <c r="AY297" s="1016"/>
      <c r="AZ297" s="1016"/>
      <c r="BE297" s="1017"/>
      <c r="BF297" s="1017"/>
      <c r="BG297" s="1017"/>
      <c r="BH297" s="1017"/>
      <c r="BI297" s="1017"/>
      <c r="BN297" s="1018"/>
      <c r="BO297" s="1018"/>
      <c r="BP297" s="1018"/>
      <c r="BQ297" s="1018"/>
      <c r="BR297" s="1018"/>
      <c r="BS297" s="1018"/>
      <c r="BV297" s="974">
        <f t="shared" si="111"/>
        <v>0</v>
      </c>
      <c r="BW297" s="974">
        <f t="shared" si="112"/>
        <v>0</v>
      </c>
      <c r="BX297" s="1018">
        <f>AK297+BX302</f>
        <v>1015269</v>
      </c>
      <c r="BY297" s="1018"/>
      <c r="BZ297" s="1018"/>
      <c r="CA297" s="1018"/>
      <c r="CB297" s="1018">
        <f t="shared" si="117"/>
        <v>284731</v>
      </c>
      <c r="CC297" s="1018"/>
      <c r="CH297" s="1019"/>
      <c r="CI297" s="1019"/>
      <c r="CJ297" s="1019"/>
      <c r="CK297" s="1019"/>
      <c r="CL297" s="1019"/>
      <c r="CM297" s="1019"/>
      <c r="CN297" s="1019"/>
      <c r="CO297" s="1019"/>
      <c r="CP297" s="1019"/>
      <c r="CQ297" s="1019"/>
      <c r="CR297" s="1019"/>
      <c r="CS297" s="1019"/>
      <c r="CT297" s="1019"/>
      <c r="CU297" s="1019"/>
      <c r="CV297" s="1019"/>
      <c r="CW297" s="1019"/>
      <c r="CX297" s="1019"/>
      <c r="CY297" s="1019"/>
      <c r="CZ297" s="1019"/>
      <c r="DA297" s="1019"/>
      <c r="DB297" s="1019"/>
      <c r="DC297" s="1019"/>
    </row>
    <row r="298" s="974" customFormat="1" ht="31" customHeight="1" spans="1:107">
      <c r="A298" s="1001">
        <v>46129</v>
      </c>
      <c r="B298" s="1002" t="s">
        <v>761</v>
      </c>
      <c r="C298" s="1050" t="s">
        <v>632</v>
      </c>
      <c r="D298" s="1002" t="s">
        <v>2585</v>
      </c>
      <c r="E298" s="1003" t="s">
        <v>2586</v>
      </c>
      <c r="F298" s="974" t="s">
        <v>2587</v>
      </c>
      <c r="G298" s="1005" t="s">
        <v>1746</v>
      </c>
      <c r="H298" s="1003" t="s">
        <v>2549</v>
      </c>
      <c r="I298" s="1003">
        <v>12</v>
      </c>
      <c r="J298" s="1003">
        <v>0</v>
      </c>
      <c r="K298" s="1003">
        <v>12</v>
      </c>
      <c r="L298" s="1006">
        <f t="shared" si="113"/>
        <v>1</v>
      </c>
      <c r="M298" s="1007">
        <v>46178</v>
      </c>
      <c r="N298" s="1007">
        <v>46174</v>
      </c>
      <c r="O298" s="1003"/>
      <c r="P298" s="931" t="s">
        <v>86</v>
      </c>
      <c r="Q298" s="1003"/>
      <c r="R298" s="1009">
        <v>46129</v>
      </c>
      <c r="S298" s="1009" t="s">
        <v>88</v>
      </c>
      <c r="T298" s="1009" t="s">
        <v>2588</v>
      </c>
      <c r="U298" s="1009"/>
      <c r="V298" s="1051" t="s">
        <v>2589</v>
      </c>
      <c r="W298" s="1011" t="s">
        <v>731</v>
      </c>
      <c r="X298" s="1052">
        <v>2.8811</v>
      </c>
      <c r="Y298" s="1013">
        <f t="shared" si="114"/>
        <v>34.5732</v>
      </c>
      <c r="Z298" s="1013"/>
      <c r="AA298" s="1003"/>
      <c r="AB298" s="1004" t="s">
        <v>2442</v>
      </c>
      <c r="AC298" s="1004" t="s">
        <v>93</v>
      </c>
      <c r="AD298" s="1003" t="s">
        <v>94</v>
      </c>
      <c r="AE298" s="1003"/>
      <c r="AF298" s="1053">
        <v>12</v>
      </c>
      <c r="AG298" s="1014">
        <f t="shared" si="100"/>
        <v>0</v>
      </c>
      <c r="AH298" s="1054"/>
      <c r="AI298" s="1003"/>
      <c r="AJ298" s="1003"/>
      <c r="AK298" s="1004">
        <f>I298*2</f>
        <v>24</v>
      </c>
      <c r="AL298" s="1016"/>
      <c r="AM298" s="1016">
        <f>I298*2</f>
        <v>24</v>
      </c>
      <c r="AN298" s="1016"/>
      <c r="AO298" s="974">
        <f>I298*2</f>
        <v>24</v>
      </c>
      <c r="AP298" s="1016"/>
      <c r="AQ298" s="1016"/>
      <c r="AR298" s="1016"/>
      <c r="AT298" s="1016"/>
      <c r="AU298" s="1004"/>
      <c r="AV298" s="1016"/>
      <c r="AW298" s="1016"/>
      <c r="AX298" s="1016"/>
      <c r="AY298" s="1016"/>
      <c r="AZ298" s="1016"/>
      <c r="BE298" s="1017"/>
      <c r="BF298" s="1017"/>
      <c r="BG298" s="1017"/>
      <c r="BH298" s="1017"/>
      <c r="BI298" s="1017"/>
      <c r="BJ298" s="974">
        <f>I298</f>
        <v>12</v>
      </c>
      <c r="BK298" s="974">
        <f>I298</f>
        <v>12</v>
      </c>
      <c r="BL298" s="974">
        <f>I298</f>
        <v>12</v>
      </c>
      <c r="BN298" s="1018"/>
      <c r="BO298" s="1018"/>
      <c r="BP298" s="1018"/>
      <c r="BQ298" s="1018"/>
      <c r="BR298" s="1018"/>
      <c r="BS298" s="1018"/>
      <c r="BV298" s="974">
        <f t="shared" si="111"/>
        <v>0</v>
      </c>
      <c r="BW298" s="974">
        <f t="shared" si="112"/>
        <v>0</v>
      </c>
      <c r="BX298" s="1018">
        <f>AK298+BX251</f>
        <v>1014378</v>
      </c>
      <c r="BY298" s="1018"/>
      <c r="BZ298" s="1018"/>
      <c r="CA298" s="1018"/>
      <c r="CB298" s="1018">
        <f t="shared" si="117"/>
        <v>285622</v>
      </c>
      <c r="CC298" s="1018"/>
      <c r="CH298" s="1019"/>
      <c r="CI298" s="1019"/>
      <c r="CJ298" s="1019"/>
      <c r="CK298" s="1019"/>
      <c r="CL298" s="1019"/>
      <c r="CM298" s="1019"/>
      <c r="CN298" s="1019"/>
      <c r="CO298" s="1019"/>
      <c r="CP298" s="1019"/>
      <c r="CQ298" s="1019"/>
      <c r="CR298" s="1019"/>
      <c r="CS298" s="1019"/>
      <c r="CT298" s="1019"/>
      <c r="CU298" s="1019"/>
      <c r="CV298" s="1019"/>
      <c r="CW298" s="1019"/>
      <c r="CX298" s="1019"/>
      <c r="CY298" s="1019"/>
      <c r="CZ298" s="1019"/>
      <c r="DA298" s="1019"/>
      <c r="DB298" s="1019"/>
      <c r="DC298" s="1019"/>
    </row>
    <row r="299" s="974" customFormat="1" ht="31" customHeight="1" spans="1:107">
      <c r="A299" s="1001">
        <v>46129</v>
      </c>
      <c r="B299" s="1002" t="s">
        <v>761</v>
      </c>
      <c r="C299" s="1050" t="s">
        <v>632</v>
      </c>
      <c r="D299" s="1002" t="s">
        <v>2585</v>
      </c>
      <c r="E299" s="1003" t="s">
        <v>2590</v>
      </c>
      <c r="F299" s="974" t="s">
        <v>2591</v>
      </c>
      <c r="G299" s="1005" t="s">
        <v>1746</v>
      </c>
      <c r="H299" s="1003" t="s">
        <v>2549</v>
      </c>
      <c r="I299" s="1003">
        <v>12</v>
      </c>
      <c r="J299" s="1003">
        <v>0</v>
      </c>
      <c r="K299" s="1003">
        <v>12</v>
      </c>
      <c r="L299" s="1006">
        <f t="shared" si="113"/>
        <v>1</v>
      </c>
      <c r="M299" s="1007">
        <v>46178</v>
      </c>
      <c r="N299" s="1007">
        <v>46174</v>
      </c>
      <c r="O299" s="1003"/>
      <c r="P299" s="931" t="s">
        <v>86</v>
      </c>
      <c r="Q299" s="1003"/>
      <c r="R299" s="1009">
        <v>46129</v>
      </c>
      <c r="S299" s="1009" t="s">
        <v>88</v>
      </c>
      <c r="T299" s="1009" t="s">
        <v>2588</v>
      </c>
      <c r="U299" s="1009"/>
      <c r="V299" s="1051" t="s">
        <v>2589</v>
      </c>
      <c r="W299" s="1011" t="s">
        <v>731</v>
      </c>
      <c r="X299" s="1052">
        <v>2.8811</v>
      </c>
      <c r="Y299" s="1013">
        <f t="shared" si="114"/>
        <v>34.5732</v>
      </c>
      <c r="Z299" s="1013"/>
      <c r="AA299" s="1003"/>
      <c r="AB299" s="1004" t="s">
        <v>2442</v>
      </c>
      <c r="AC299" s="1004" t="s">
        <v>93</v>
      </c>
      <c r="AD299" s="1003" t="s">
        <v>94</v>
      </c>
      <c r="AE299" s="1003"/>
      <c r="AF299" s="1053">
        <v>12</v>
      </c>
      <c r="AG299" s="1014">
        <f t="shared" si="100"/>
        <v>0</v>
      </c>
      <c r="AH299" s="1054"/>
      <c r="AI299" s="1003"/>
      <c r="AJ299" s="1003"/>
      <c r="AK299" s="1004">
        <f>I299*2</f>
        <v>24</v>
      </c>
      <c r="AL299" s="1016"/>
      <c r="AM299" s="1016">
        <f>I299*2</f>
        <v>24</v>
      </c>
      <c r="AN299" s="1016"/>
      <c r="AO299" s="974">
        <f>I299*2</f>
        <v>24</v>
      </c>
      <c r="AP299" s="1016"/>
      <c r="AQ299" s="1016"/>
      <c r="AR299" s="1016"/>
      <c r="AT299" s="1016"/>
      <c r="AU299" s="1004"/>
      <c r="AV299" s="1016"/>
      <c r="AW299" s="1016"/>
      <c r="AX299" s="1016"/>
      <c r="AY299" s="1016"/>
      <c r="AZ299" s="1016"/>
      <c r="BE299" s="1017"/>
      <c r="BF299" s="1017"/>
      <c r="BG299" s="1017"/>
      <c r="BH299" s="1017"/>
      <c r="BI299" s="1017"/>
      <c r="BJ299" s="974">
        <f>I299</f>
        <v>12</v>
      </c>
      <c r="BK299" s="974">
        <f>I299</f>
        <v>12</v>
      </c>
      <c r="BL299" s="974">
        <f>I299</f>
        <v>12</v>
      </c>
      <c r="BN299" s="1018"/>
      <c r="BO299" s="1018"/>
      <c r="BP299" s="1018"/>
      <c r="BQ299" s="1018"/>
      <c r="BR299" s="1018"/>
      <c r="BS299" s="1018"/>
      <c r="BV299" s="974">
        <f t="shared" si="111"/>
        <v>0</v>
      </c>
      <c r="BW299" s="974">
        <f t="shared" si="112"/>
        <v>0</v>
      </c>
      <c r="BX299" s="1018">
        <f>AK299+BX252</f>
        <v>1009578</v>
      </c>
      <c r="BY299" s="1018"/>
      <c r="BZ299" s="1018"/>
      <c r="CA299" s="1018"/>
      <c r="CB299" s="1018">
        <f t="shared" si="117"/>
        <v>290422</v>
      </c>
      <c r="CC299" s="1018"/>
      <c r="CH299" s="1019"/>
      <c r="CI299" s="1019"/>
      <c r="CJ299" s="1019"/>
      <c r="CK299" s="1019"/>
      <c r="CL299" s="1019"/>
      <c r="CM299" s="1019"/>
      <c r="CN299" s="1019"/>
      <c r="CO299" s="1019"/>
      <c r="CP299" s="1019"/>
      <c r="CQ299" s="1019"/>
      <c r="CR299" s="1019"/>
      <c r="CS299" s="1019"/>
      <c r="CT299" s="1019"/>
      <c r="CU299" s="1019"/>
      <c r="CV299" s="1019"/>
      <c r="CW299" s="1019"/>
      <c r="CX299" s="1019"/>
      <c r="CY299" s="1019"/>
      <c r="CZ299" s="1019"/>
      <c r="DA299" s="1019"/>
      <c r="DB299" s="1019"/>
      <c r="DC299" s="1019"/>
    </row>
    <row r="300" s="974" customFormat="1" ht="31" customHeight="1" spans="1:107">
      <c r="A300" s="1001">
        <v>46129</v>
      </c>
      <c r="B300" s="1002" t="s">
        <v>761</v>
      </c>
      <c r="C300" s="1050" t="s">
        <v>632</v>
      </c>
      <c r="D300" s="1002" t="s">
        <v>2585</v>
      </c>
      <c r="E300" s="1003" t="s">
        <v>2592</v>
      </c>
      <c r="F300" s="974" t="s">
        <v>2593</v>
      </c>
      <c r="G300" s="1005" t="s">
        <v>1746</v>
      </c>
      <c r="H300" s="1003" t="s">
        <v>2549</v>
      </c>
      <c r="I300" s="1003">
        <v>24</v>
      </c>
      <c r="J300" s="1003">
        <v>0</v>
      </c>
      <c r="K300" s="1003">
        <v>12</v>
      </c>
      <c r="L300" s="1006">
        <f t="shared" si="113"/>
        <v>2</v>
      </c>
      <c r="M300" s="1007">
        <v>46178</v>
      </c>
      <c r="N300" s="1007">
        <v>46174</v>
      </c>
      <c r="O300" s="1003"/>
      <c r="P300" s="931" t="s">
        <v>86</v>
      </c>
      <c r="Q300" s="1003"/>
      <c r="R300" s="1009">
        <v>46129</v>
      </c>
      <c r="S300" s="1009" t="s">
        <v>88</v>
      </c>
      <c r="T300" s="1009" t="s">
        <v>2588</v>
      </c>
      <c r="U300" s="1009"/>
      <c r="V300" s="1051" t="s">
        <v>2589</v>
      </c>
      <c r="W300" s="1011" t="s">
        <v>731</v>
      </c>
      <c r="X300" s="1052">
        <v>2.8811</v>
      </c>
      <c r="Y300" s="1013">
        <f t="shared" si="114"/>
        <v>69.1464</v>
      </c>
      <c r="Z300" s="1013"/>
      <c r="AA300" s="1003"/>
      <c r="AB300" s="1004" t="s">
        <v>2442</v>
      </c>
      <c r="AC300" s="1004" t="s">
        <v>93</v>
      </c>
      <c r="AD300" s="1003" t="s">
        <v>94</v>
      </c>
      <c r="AE300" s="1003"/>
      <c r="AF300" s="1053">
        <v>24</v>
      </c>
      <c r="AG300" s="1014">
        <f t="shared" si="100"/>
        <v>0</v>
      </c>
      <c r="AH300" s="1054"/>
      <c r="AI300" s="1003"/>
      <c r="AJ300" s="1003"/>
      <c r="AK300" s="1004">
        <f>I300*2</f>
        <v>48</v>
      </c>
      <c r="AL300" s="1016"/>
      <c r="AM300" s="1016">
        <f>I300*2</f>
        <v>48</v>
      </c>
      <c r="AN300" s="1016"/>
      <c r="AO300" s="974">
        <f>I300*2</f>
        <v>48</v>
      </c>
      <c r="AP300" s="1016"/>
      <c r="AQ300" s="1016"/>
      <c r="AR300" s="1016"/>
      <c r="AT300" s="1016"/>
      <c r="AU300" s="1004"/>
      <c r="AV300" s="1016"/>
      <c r="AW300" s="1016"/>
      <c r="AX300" s="1016"/>
      <c r="AY300" s="1016"/>
      <c r="AZ300" s="1016"/>
      <c r="BE300" s="1017"/>
      <c r="BF300" s="1017"/>
      <c r="BG300" s="1017"/>
      <c r="BH300" s="1017"/>
      <c r="BI300" s="1017"/>
      <c r="BJ300" s="974">
        <f>I300</f>
        <v>24</v>
      </c>
      <c r="BK300" s="974">
        <f>I300</f>
        <v>24</v>
      </c>
      <c r="BL300" s="974">
        <f>I300</f>
        <v>24</v>
      </c>
      <c r="BN300" s="1018"/>
      <c r="BO300" s="1018"/>
      <c r="BP300" s="1018"/>
      <c r="BQ300" s="1018"/>
      <c r="BR300" s="1018"/>
      <c r="BS300" s="1018"/>
      <c r="BV300" s="974">
        <f t="shared" si="111"/>
        <v>0</v>
      </c>
      <c r="BW300" s="974">
        <f t="shared" si="112"/>
        <v>0</v>
      </c>
      <c r="BX300" s="1018">
        <f>AK300+BX253</f>
        <v>1014426</v>
      </c>
      <c r="BY300" s="1018"/>
      <c r="BZ300" s="1018"/>
      <c r="CA300" s="1018"/>
      <c r="CB300" s="1018">
        <f t="shared" si="117"/>
        <v>285574</v>
      </c>
      <c r="CC300" s="1018"/>
      <c r="CH300" s="1019"/>
      <c r="CI300" s="1019"/>
      <c r="CJ300" s="1019"/>
      <c r="CK300" s="1019"/>
      <c r="CL300" s="1019"/>
      <c r="CM300" s="1019"/>
      <c r="CN300" s="1019"/>
      <c r="CO300" s="1019"/>
      <c r="CP300" s="1019"/>
      <c r="CQ300" s="1019"/>
      <c r="CR300" s="1019"/>
      <c r="CS300" s="1019"/>
      <c r="CT300" s="1019"/>
      <c r="CU300" s="1019"/>
      <c r="CV300" s="1019"/>
      <c r="CW300" s="1019"/>
      <c r="CX300" s="1019"/>
      <c r="CY300" s="1019"/>
      <c r="CZ300" s="1019"/>
      <c r="DA300" s="1019"/>
      <c r="DB300" s="1019"/>
      <c r="DC300" s="1019"/>
    </row>
    <row r="301" s="974" customFormat="1" ht="31" customHeight="1" spans="1:107">
      <c r="A301" s="1001">
        <v>46129</v>
      </c>
      <c r="B301" s="1002" t="s">
        <v>761</v>
      </c>
      <c r="C301" s="1050" t="s">
        <v>632</v>
      </c>
      <c r="D301" s="1002" t="s">
        <v>2585</v>
      </c>
      <c r="E301" s="1003" t="s">
        <v>2594</v>
      </c>
      <c r="F301" s="974" t="s">
        <v>2595</v>
      </c>
      <c r="G301" s="1005" t="s">
        <v>1746</v>
      </c>
      <c r="H301" s="1003" t="s">
        <v>2549</v>
      </c>
      <c r="I301" s="1003">
        <v>24</v>
      </c>
      <c r="J301" s="1003">
        <v>0</v>
      </c>
      <c r="K301" s="1003">
        <v>12</v>
      </c>
      <c r="L301" s="1006">
        <f t="shared" si="113"/>
        <v>2</v>
      </c>
      <c r="M301" s="1007">
        <v>46178</v>
      </c>
      <c r="N301" s="1007">
        <v>46174</v>
      </c>
      <c r="O301" s="1003"/>
      <c r="P301" s="931" t="s">
        <v>86</v>
      </c>
      <c r="Q301" s="1003"/>
      <c r="R301" s="1009">
        <v>46129</v>
      </c>
      <c r="S301" s="1009" t="s">
        <v>88</v>
      </c>
      <c r="T301" s="1009" t="s">
        <v>2588</v>
      </c>
      <c r="U301" s="1009"/>
      <c r="V301" s="1051" t="s">
        <v>2589</v>
      </c>
      <c r="W301" s="1011" t="s">
        <v>731</v>
      </c>
      <c r="X301" s="1052">
        <v>2.8811</v>
      </c>
      <c r="Y301" s="1013">
        <f t="shared" si="114"/>
        <v>69.1464</v>
      </c>
      <c r="Z301" s="1013"/>
      <c r="AA301" s="1003"/>
      <c r="AB301" s="1004" t="s">
        <v>2442</v>
      </c>
      <c r="AC301" s="1004" t="s">
        <v>93</v>
      </c>
      <c r="AD301" s="1003" t="s">
        <v>94</v>
      </c>
      <c r="AE301" s="1003"/>
      <c r="AF301" s="1053">
        <v>24</v>
      </c>
      <c r="AG301" s="1014">
        <f t="shared" si="100"/>
        <v>0</v>
      </c>
      <c r="AH301" s="1054"/>
      <c r="AI301" s="1003"/>
      <c r="AJ301" s="1003"/>
      <c r="AK301" s="1004">
        <f>I301*2</f>
        <v>48</v>
      </c>
      <c r="AL301" s="1016"/>
      <c r="AM301" s="1016">
        <f>I301*2</f>
        <v>48</v>
      </c>
      <c r="AN301" s="1016"/>
      <c r="AO301" s="974">
        <f>I301*2</f>
        <v>48</v>
      </c>
      <c r="AP301" s="1016"/>
      <c r="AQ301" s="1016"/>
      <c r="AR301" s="1016"/>
      <c r="AT301" s="1016"/>
      <c r="AU301" s="1004"/>
      <c r="AV301" s="1016"/>
      <c r="AW301" s="1016"/>
      <c r="AX301" s="1016"/>
      <c r="AY301" s="1016"/>
      <c r="AZ301" s="1016"/>
      <c r="BE301" s="1017"/>
      <c r="BF301" s="1017"/>
      <c r="BG301" s="1017"/>
      <c r="BH301" s="1017"/>
      <c r="BI301" s="1017"/>
      <c r="BJ301" s="974">
        <f>I301</f>
        <v>24</v>
      </c>
      <c r="BK301" s="974">
        <f>I301</f>
        <v>24</v>
      </c>
      <c r="BL301" s="974">
        <f>I301</f>
        <v>24</v>
      </c>
      <c r="BN301" s="1018"/>
      <c r="BO301" s="1018"/>
      <c r="BP301" s="1018"/>
      <c r="BQ301" s="1018"/>
      <c r="BR301" s="1018"/>
      <c r="BS301" s="1018"/>
      <c r="BV301" s="974">
        <f t="shared" si="111"/>
        <v>0</v>
      </c>
      <c r="BW301" s="974">
        <f t="shared" si="112"/>
        <v>0</v>
      </c>
      <c r="BX301" s="1018">
        <f>AK301+BX254</f>
        <v>1014450</v>
      </c>
      <c r="BY301" s="1018"/>
      <c r="BZ301" s="1018"/>
      <c r="CA301" s="1018"/>
      <c r="CB301" s="1018">
        <f t="shared" si="117"/>
        <v>285550</v>
      </c>
      <c r="CC301" s="1018"/>
      <c r="CH301" s="1019"/>
      <c r="CI301" s="1019"/>
      <c r="CJ301" s="1019"/>
      <c r="CK301" s="1019"/>
      <c r="CL301" s="1019"/>
      <c r="CM301" s="1019"/>
      <c r="CN301" s="1019"/>
      <c r="CO301" s="1019"/>
      <c r="CP301" s="1019"/>
      <c r="CQ301" s="1019"/>
      <c r="CR301" s="1019"/>
      <c r="CS301" s="1019"/>
      <c r="CT301" s="1019"/>
      <c r="CU301" s="1019"/>
      <c r="CV301" s="1019"/>
      <c r="CW301" s="1019"/>
      <c r="CX301" s="1019"/>
      <c r="CY301" s="1019"/>
      <c r="CZ301" s="1019"/>
      <c r="DA301" s="1019"/>
      <c r="DB301" s="1019"/>
      <c r="DC301" s="1019"/>
    </row>
    <row r="302" s="974" customFormat="1" ht="31" customHeight="1" spans="1:107">
      <c r="A302" s="1001">
        <v>46138</v>
      </c>
      <c r="B302" s="1002" t="s">
        <v>2169</v>
      </c>
      <c r="C302" s="1050" t="s">
        <v>2022</v>
      </c>
      <c r="D302" s="1002" t="s">
        <v>2596</v>
      </c>
      <c r="E302" s="1003" t="s">
        <v>2597</v>
      </c>
      <c r="F302" s="974" t="s">
        <v>2598</v>
      </c>
      <c r="G302" s="1005" t="s">
        <v>1532</v>
      </c>
      <c r="H302" s="1003" t="s">
        <v>1524</v>
      </c>
      <c r="I302" s="1003">
        <v>416</v>
      </c>
      <c r="J302" s="1003">
        <v>0</v>
      </c>
      <c r="K302" s="1003">
        <v>52</v>
      </c>
      <c r="L302" s="1006">
        <f t="shared" si="113"/>
        <v>8</v>
      </c>
      <c r="M302" s="1007">
        <v>46178</v>
      </c>
      <c r="N302" s="1007">
        <v>46174</v>
      </c>
      <c r="O302" s="1003"/>
      <c r="P302" s="931" t="s">
        <v>86</v>
      </c>
      <c r="Q302" s="1003"/>
      <c r="R302" s="1009" t="s">
        <v>2599</v>
      </c>
      <c r="S302" s="1009" t="s">
        <v>98</v>
      </c>
      <c r="T302" s="1009" t="s">
        <v>2600</v>
      </c>
      <c r="U302" s="1009"/>
      <c r="V302" s="1051" t="s">
        <v>2601</v>
      </c>
      <c r="W302" s="1011" t="s">
        <v>1856</v>
      </c>
      <c r="X302" s="1052">
        <v>1.8832</v>
      </c>
      <c r="Y302" s="1013">
        <f t="shared" si="114"/>
        <v>783.4112</v>
      </c>
      <c r="Z302" s="1013"/>
      <c r="AA302" s="1003"/>
      <c r="AB302" s="1005" t="s">
        <v>1727</v>
      </c>
      <c r="AC302" s="1004" t="s">
        <v>93</v>
      </c>
      <c r="AD302" s="1003" t="s">
        <v>94</v>
      </c>
      <c r="AE302" s="1003"/>
      <c r="AF302" s="1053">
        <v>416</v>
      </c>
      <c r="AG302" s="1014">
        <f t="shared" si="100"/>
        <v>0</v>
      </c>
      <c r="AH302" s="1054"/>
      <c r="AI302" s="1003"/>
      <c r="AJ302" s="1003"/>
      <c r="AK302" s="1004">
        <f t="shared" ref="AK302:AK309" si="118">I302</f>
        <v>416</v>
      </c>
      <c r="AL302" s="1016"/>
      <c r="AM302" s="1016">
        <f>I302*2</f>
        <v>832</v>
      </c>
      <c r="AO302" s="974">
        <f t="shared" ref="AO302:AO309" si="119">I302</f>
        <v>416</v>
      </c>
      <c r="AP302" s="1016"/>
      <c r="AQ302" s="1016"/>
      <c r="AR302" s="1016"/>
      <c r="AS302" s="974">
        <f>I302/13</f>
        <v>32</v>
      </c>
      <c r="AT302" s="1016"/>
      <c r="AU302" s="1004"/>
      <c r="AV302" s="1016"/>
      <c r="AW302" s="1016"/>
      <c r="AX302" s="1016"/>
      <c r="AY302" s="1016"/>
      <c r="AZ302" s="1016"/>
      <c r="BE302" s="1017"/>
      <c r="BF302" s="1017"/>
      <c r="BG302" s="1017"/>
      <c r="BH302" s="1017"/>
      <c r="BI302" s="1017"/>
      <c r="BN302" s="1018"/>
      <c r="BO302" s="1018"/>
      <c r="BP302" s="1018"/>
      <c r="BQ302" s="1018"/>
      <c r="BR302" s="1018"/>
      <c r="BS302" s="1018"/>
      <c r="BV302" s="974">
        <f t="shared" si="111"/>
        <v>0</v>
      </c>
      <c r="BW302" s="974">
        <f t="shared" si="112"/>
        <v>0</v>
      </c>
      <c r="BX302" s="1018">
        <f>AK302+BX301</f>
        <v>1014866</v>
      </c>
      <c r="BY302" s="1018"/>
      <c r="BZ302" s="1018"/>
      <c r="CA302" s="1018"/>
      <c r="CB302" s="1018">
        <f t="shared" si="117"/>
        <v>285134</v>
      </c>
      <c r="CC302" s="1018"/>
      <c r="CH302" s="1019"/>
      <c r="CI302" s="1019"/>
      <c r="CJ302" s="1019"/>
      <c r="CK302" s="1019"/>
      <c r="CL302" s="1019"/>
      <c r="CM302" s="1019"/>
      <c r="CN302" s="1019"/>
      <c r="CO302" s="1019"/>
      <c r="CP302" s="1019"/>
      <c r="CQ302" s="1019"/>
      <c r="CR302" s="1019"/>
      <c r="CS302" s="1019"/>
      <c r="CT302" s="1019"/>
      <c r="CU302" s="1019"/>
      <c r="CV302" s="1019"/>
      <c r="CW302" s="1019"/>
      <c r="CX302" s="1019"/>
      <c r="CY302" s="1019"/>
      <c r="CZ302" s="1019"/>
      <c r="DA302" s="1019"/>
      <c r="DB302" s="1019"/>
      <c r="DC302" s="1019"/>
    </row>
    <row r="303" s="974" customFormat="1" ht="31" customHeight="1" spans="1:107">
      <c r="A303" s="1001">
        <v>46139</v>
      </c>
      <c r="B303" s="1002" t="s">
        <v>1867</v>
      </c>
      <c r="C303" s="1050" t="s">
        <v>377</v>
      </c>
      <c r="D303" s="1002" t="s">
        <v>2602</v>
      </c>
      <c r="E303" s="1003" t="s">
        <v>2603</v>
      </c>
      <c r="F303" s="974" t="s">
        <v>2604</v>
      </c>
      <c r="G303" s="1005" t="s">
        <v>1532</v>
      </c>
      <c r="H303" s="1003" t="s">
        <v>1524</v>
      </c>
      <c r="I303" s="1003">
        <v>572</v>
      </c>
      <c r="J303" s="1003">
        <v>0</v>
      </c>
      <c r="K303" s="1003">
        <v>52</v>
      </c>
      <c r="L303" s="1006">
        <f t="shared" si="113"/>
        <v>11</v>
      </c>
      <c r="M303" s="1007">
        <v>46188</v>
      </c>
      <c r="N303" s="1007">
        <v>46184</v>
      </c>
      <c r="O303" s="1003"/>
      <c r="P303" s="931" t="s">
        <v>86</v>
      </c>
      <c r="Q303" s="1003"/>
      <c r="R303" s="1009">
        <v>46139</v>
      </c>
      <c r="S303" s="1009" t="s">
        <v>98</v>
      </c>
      <c r="T303" s="1009" t="s">
        <v>2605</v>
      </c>
      <c r="U303" s="1009"/>
      <c r="V303" s="1051" t="s">
        <v>2606</v>
      </c>
      <c r="W303" s="1011" t="s">
        <v>381</v>
      </c>
      <c r="X303" s="1052">
        <v>1.8649</v>
      </c>
      <c r="Y303" s="1013">
        <f t="shared" si="114"/>
        <v>1066.7228</v>
      </c>
      <c r="Z303" s="1013"/>
      <c r="AA303" s="1003"/>
      <c r="AB303" s="1004" t="s">
        <v>1532</v>
      </c>
      <c r="AC303" s="1004" t="s">
        <v>93</v>
      </c>
      <c r="AD303" s="1003" t="s">
        <v>94</v>
      </c>
      <c r="AE303" s="1003"/>
      <c r="AF303" s="1053">
        <v>572</v>
      </c>
      <c r="AG303" s="1014">
        <f t="shared" si="100"/>
        <v>0</v>
      </c>
      <c r="AH303" s="1054"/>
      <c r="AI303" s="1003"/>
      <c r="AJ303" s="1003"/>
      <c r="AK303" s="1004">
        <f t="shared" si="118"/>
        <v>572</v>
      </c>
      <c r="AL303" s="1016">
        <f>I303</f>
        <v>572</v>
      </c>
      <c r="AM303" s="1016"/>
      <c r="AO303" s="974">
        <f t="shared" si="119"/>
        <v>572</v>
      </c>
      <c r="AP303" s="1016"/>
      <c r="AQ303" s="1016"/>
      <c r="AR303" s="974">
        <f t="shared" ref="AR303:AR308" si="120">I303/13</f>
        <v>44</v>
      </c>
      <c r="AT303" s="1016"/>
      <c r="AU303" s="1004"/>
      <c r="AV303" s="1016"/>
      <c r="AW303" s="1016"/>
      <c r="AX303" s="1016"/>
      <c r="AY303" s="1016"/>
      <c r="AZ303" s="1016"/>
      <c r="BE303" s="1017"/>
      <c r="BF303" s="1017"/>
      <c r="BG303" s="1017"/>
      <c r="BH303" s="1017"/>
      <c r="BI303" s="1017"/>
      <c r="BN303" s="1018"/>
      <c r="BO303" s="1018"/>
      <c r="BP303" s="1018"/>
      <c r="BQ303" s="1018"/>
      <c r="BR303" s="1018"/>
      <c r="BS303" s="1018"/>
      <c r="BV303" s="974">
        <f t="shared" si="111"/>
        <v>0</v>
      </c>
      <c r="BW303" s="974">
        <f t="shared" si="112"/>
        <v>0</v>
      </c>
      <c r="BX303" s="1018">
        <f>AK303+BX297</f>
        <v>1015841</v>
      </c>
      <c r="BY303" s="1018"/>
      <c r="BZ303" s="1018"/>
      <c r="CA303" s="1018"/>
      <c r="CB303" s="1018">
        <f t="shared" si="117"/>
        <v>284159</v>
      </c>
      <c r="CC303" s="1018"/>
      <c r="CH303" s="1019"/>
      <c r="CI303" s="1019"/>
      <c r="CJ303" s="1019"/>
      <c r="CK303" s="1019"/>
      <c r="CL303" s="1019"/>
      <c r="CM303" s="1019"/>
      <c r="CN303" s="1019"/>
      <c r="CO303" s="1019"/>
      <c r="CP303" s="1019"/>
      <c r="CQ303" s="1019"/>
      <c r="CR303" s="1019"/>
      <c r="CS303" s="1019"/>
      <c r="CT303" s="1019"/>
      <c r="CU303" s="1019"/>
      <c r="CV303" s="1019"/>
      <c r="CW303" s="1019"/>
      <c r="CX303" s="1019"/>
      <c r="CY303" s="1019"/>
      <c r="CZ303" s="1019"/>
      <c r="DA303" s="1019"/>
      <c r="DB303" s="1019"/>
      <c r="DC303" s="1019"/>
    </row>
    <row r="304" s="974" customFormat="1" ht="31" customHeight="1" spans="1:107">
      <c r="A304" s="1001">
        <v>46139</v>
      </c>
      <c r="B304" s="1002" t="s">
        <v>1867</v>
      </c>
      <c r="C304" s="1050" t="s">
        <v>377</v>
      </c>
      <c r="D304" s="1002" t="s">
        <v>2602</v>
      </c>
      <c r="E304" s="1003" t="s">
        <v>2607</v>
      </c>
      <c r="F304" s="974" t="s">
        <v>2608</v>
      </c>
      <c r="G304" s="1005" t="s">
        <v>1532</v>
      </c>
      <c r="H304" s="1003" t="s">
        <v>1524</v>
      </c>
      <c r="I304" s="1003">
        <v>520</v>
      </c>
      <c r="J304" s="1003">
        <v>0</v>
      </c>
      <c r="K304" s="1003">
        <v>52</v>
      </c>
      <c r="L304" s="1006">
        <f t="shared" si="113"/>
        <v>10</v>
      </c>
      <c r="M304" s="1007">
        <v>46188</v>
      </c>
      <c r="N304" s="1007">
        <v>46184</v>
      </c>
      <c r="O304" s="1003"/>
      <c r="P304" s="931" t="s">
        <v>86</v>
      </c>
      <c r="Q304" s="1003"/>
      <c r="R304" s="1009">
        <v>46139</v>
      </c>
      <c r="S304" s="1009" t="s">
        <v>98</v>
      </c>
      <c r="T304" s="1009" t="s">
        <v>2605</v>
      </c>
      <c r="U304" s="1009"/>
      <c r="V304" s="1051" t="s">
        <v>2609</v>
      </c>
      <c r="W304" s="1011" t="s">
        <v>381</v>
      </c>
      <c r="X304" s="1052">
        <v>1.8649</v>
      </c>
      <c r="Y304" s="1013">
        <f t="shared" si="114"/>
        <v>969.748</v>
      </c>
      <c r="Z304" s="1013"/>
      <c r="AA304" s="1003"/>
      <c r="AB304" s="1004" t="s">
        <v>1532</v>
      </c>
      <c r="AC304" s="1004" t="s">
        <v>93</v>
      </c>
      <c r="AD304" s="1003" t="s">
        <v>94</v>
      </c>
      <c r="AE304" s="1003"/>
      <c r="AF304" s="1053">
        <v>520</v>
      </c>
      <c r="AG304" s="1014">
        <f t="shared" si="100"/>
        <v>0</v>
      </c>
      <c r="AH304" s="1054"/>
      <c r="AI304" s="1003"/>
      <c r="AJ304" s="1003"/>
      <c r="AK304" s="1004">
        <f t="shared" si="118"/>
        <v>520</v>
      </c>
      <c r="AL304" s="1016">
        <f>I304</f>
        <v>520</v>
      </c>
      <c r="AM304" s="1016"/>
      <c r="AO304" s="974">
        <f t="shared" si="119"/>
        <v>520</v>
      </c>
      <c r="AP304" s="1016"/>
      <c r="AQ304" s="1016"/>
      <c r="AR304" s="974">
        <f t="shared" si="120"/>
        <v>40</v>
      </c>
      <c r="AT304" s="1016"/>
      <c r="AU304" s="1004"/>
      <c r="AV304" s="1016"/>
      <c r="AW304" s="1016"/>
      <c r="AX304" s="1016"/>
      <c r="AY304" s="1016"/>
      <c r="AZ304" s="1016"/>
      <c r="BE304" s="1017"/>
      <c r="BF304" s="1017"/>
      <c r="BG304" s="1017"/>
      <c r="BH304" s="1017"/>
      <c r="BI304" s="1017"/>
      <c r="BN304" s="1018"/>
      <c r="BO304" s="1018"/>
      <c r="BP304" s="1018"/>
      <c r="BQ304" s="1018"/>
      <c r="BR304" s="1018"/>
      <c r="BS304" s="1018"/>
      <c r="BV304" s="974">
        <f t="shared" si="111"/>
        <v>0</v>
      </c>
      <c r="BW304" s="974">
        <f t="shared" si="112"/>
        <v>0</v>
      </c>
      <c r="BX304" s="1018">
        <f>AK304+BX303</f>
        <v>1016361</v>
      </c>
      <c r="BY304" s="1018"/>
      <c r="BZ304" s="1018"/>
      <c r="CA304" s="1018"/>
      <c r="CB304" s="1018">
        <f t="shared" si="117"/>
        <v>283639</v>
      </c>
      <c r="CC304" s="1018"/>
      <c r="CH304" s="1019"/>
      <c r="CI304" s="1019"/>
      <c r="CJ304" s="1019"/>
      <c r="CK304" s="1019"/>
      <c r="CL304" s="1019"/>
      <c r="CM304" s="1019"/>
      <c r="CN304" s="1019"/>
      <c r="CO304" s="1019"/>
      <c r="CP304" s="1019"/>
      <c r="CQ304" s="1019"/>
      <c r="CR304" s="1019"/>
      <c r="CS304" s="1019"/>
      <c r="CT304" s="1019"/>
      <c r="CU304" s="1019"/>
      <c r="CV304" s="1019"/>
      <c r="CW304" s="1019"/>
      <c r="CX304" s="1019"/>
      <c r="CY304" s="1019"/>
      <c r="CZ304" s="1019"/>
      <c r="DA304" s="1019"/>
      <c r="DB304" s="1019"/>
      <c r="DC304" s="1019"/>
    </row>
    <row r="305" s="974" customFormat="1" ht="31" customHeight="1" spans="1:107">
      <c r="A305" s="1001">
        <v>46139</v>
      </c>
      <c r="B305" s="1002" t="s">
        <v>1867</v>
      </c>
      <c r="C305" s="1050" t="s">
        <v>377</v>
      </c>
      <c r="D305" s="1002" t="s">
        <v>2602</v>
      </c>
      <c r="E305" s="1003" t="s">
        <v>2610</v>
      </c>
      <c r="F305" s="974" t="s">
        <v>2611</v>
      </c>
      <c r="G305" s="1005" t="s">
        <v>1532</v>
      </c>
      <c r="H305" s="1003" t="s">
        <v>1524</v>
      </c>
      <c r="I305" s="1003">
        <v>416</v>
      </c>
      <c r="J305" s="1003">
        <v>0</v>
      </c>
      <c r="K305" s="1003">
        <v>52</v>
      </c>
      <c r="L305" s="1006">
        <f t="shared" si="113"/>
        <v>8</v>
      </c>
      <c r="M305" s="1007">
        <v>46188</v>
      </c>
      <c r="N305" s="1007">
        <v>46184</v>
      </c>
      <c r="O305" s="1003"/>
      <c r="P305" s="931" t="s">
        <v>86</v>
      </c>
      <c r="Q305" s="1003"/>
      <c r="R305" s="1009">
        <v>46139</v>
      </c>
      <c r="S305" s="1009" t="s">
        <v>98</v>
      </c>
      <c r="T305" s="1009" t="s">
        <v>2605</v>
      </c>
      <c r="U305" s="1009"/>
      <c r="V305" s="1051" t="s">
        <v>2606</v>
      </c>
      <c r="W305" s="1011" t="s">
        <v>381</v>
      </c>
      <c r="X305" s="1052">
        <v>1.8649</v>
      </c>
      <c r="Y305" s="1013">
        <f t="shared" si="114"/>
        <v>775.7984</v>
      </c>
      <c r="Z305" s="1013"/>
      <c r="AA305" s="1003"/>
      <c r="AB305" s="1004" t="s">
        <v>1532</v>
      </c>
      <c r="AC305" s="1004" t="s">
        <v>93</v>
      </c>
      <c r="AD305" s="1003" t="s">
        <v>94</v>
      </c>
      <c r="AE305" s="1003"/>
      <c r="AF305" s="1053">
        <v>416</v>
      </c>
      <c r="AG305" s="1014">
        <f t="shared" si="100"/>
        <v>0</v>
      </c>
      <c r="AH305" s="1054"/>
      <c r="AI305" s="1003"/>
      <c r="AJ305" s="1003"/>
      <c r="AK305" s="1004">
        <f t="shared" si="118"/>
        <v>416</v>
      </c>
      <c r="AL305" s="1016">
        <f>I305</f>
        <v>416</v>
      </c>
      <c r="AM305" s="1016"/>
      <c r="AO305" s="974">
        <f t="shared" si="119"/>
        <v>416</v>
      </c>
      <c r="AP305" s="1016"/>
      <c r="AQ305" s="1016"/>
      <c r="AR305" s="974">
        <f t="shared" si="120"/>
        <v>32</v>
      </c>
      <c r="AT305" s="1016"/>
      <c r="AU305" s="1004"/>
      <c r="AV305" s="1016"/>
      <c r="AW305" s="1016"/>
      <c r="AX305" s="1016"/>
      <c r="AY305" s="1016"/>
      <c r="AZ305" s="1016"/>
      <c r="BE305" s="1017"/>
      <c r="BF305" s="1017"/>
      <c r="BG305" s="1017"/>
      <c r="BH305" s="1017"/>
      <c r="BI305" s="1017"/>
      <c r="BN305" s="1018"/>
      <c r="BO305" s="1018"/>
      <c r="BP305" s="1018"/>
      <c r="BQ305" s="1018"/>
      <c r="BR305" s="1018"/>
      <c r="BS305" s="1018"/>
      <c r="BV305" s="974">
        <f t="shared" si="111"/>
        <v>0</v>
      </c>
      <c r="BW305" s="974">
        <f t="shared" si="112"/>
        <v>0</v>
      </c>
      <c r="BX305" s="1018">
        <f>AK305+BX304</f>
        <v>1016777</v>
      </c>
      <c r="BY305" s="1018"/>
      <c r="BZ305" s="1018"/>
      <c r="CA305" s="1018"/>
      <c r="CB305" s="1018">
        <f t="shared" si="117"/>
        <v>283223</v>
      </c>
      <c r="CC305" s="1018"/>
      <c r="CH305" s="1019"/>
      <c r="CI305" s="1019"/>
      <c r="CJ305" s="1019"/>
      <c r="CK305" s="1019"/>
      <c r="CL305" s="1019"/>
      <c r="CM305" s="1019"/>
      <c r="CN305" s="1019"/>
      <c r="CO305" s="1019"/>
      <c r="CP305" s="1019"/>
      <c r="CQ305" s="1019"/>
      <c r="CR305" s="1019"/>
      <c r="CS305" s="1019"/>
      <c r="CT305" s="1019"/>
      <c r="CU305" s="1019"/>
      <c r="CV305" s="1019"/>
      <c r="CW305" s="1019"/>
      <c r="CX305" s="1019"/>
      <c r="CY305" s="1019"/>
      <c r="CZ305" s="1019"/>
      <c r="DA305" s="1019"/>
      <c r="DB305" s="1019"/>
      <c r="DC305" s="1019"/>
    </row>
    <row r="306" s="974" customFormat="1" ht="31" customHeight="1" spans="1:107">
      <c r="A306" s="1001">
        <v>46139</v>
      </c>
      <c r="B306" s="1002" t="s">
        <v>1867</v>
      </c>
      <c r="C306" s="1050" t="s">
        <v>377</v>
      </c>
      <c r="D306" s="1002" t="s">
        <v>2602</v>
      </c>
      <c r="E306" s="1003" t="s">
        <v>2612</v>
      </c>
      <c r="F306" s="974" t="s">
        <v>2613</v>
      </c>
      <c r="G306" s="1005" t="s">
        <v>1532</v>
      </c>
      <c r="H306" s="1003" t="s">
        <v>1524</v>
      </c>
      <c r="I306" s="1003">
        <v>208</v>
      </c>
      <c r="J306" s="1003">
        <v>0</v>
      </c>
      <c r="K306" s="1003">
        <v>52</v>
      </c>
      <c r="L306" s="1006">
        <f t="shared" si="113"/>
        <v>4</v>
      </c>
      <c r="M306" s="1007">
        <v>46188</v>
      </c>
      <c r="N306" s="1007">
        <v>46184</v>
      </c>
      <c r="O306" s="1003"/>
      <c r="P306" s="931" t="s">
        <v>86</v>
      </c>
      <c r="Q306" s="1003"/>
      <c r="R306" s="1009">
        <v>46139</v>
      </c>
      <c r="S306" s="1009" t="s">
        <v>98</v>
      </c>
      <c r="T306" s="1009" t="s">
        <v>2605</v>
      </c>
      <c r="U306" s="1009"/>
      <c r="V306" s="1051" t="s">
        <v>2606</v>
      </c>
      <c r="W306" s="1011" t="s">
        <v>381</v>
      </c>
      <c r="X306" s="1052">
        <v>1.8649</v>
      </c>
      <c r="Y306" s="1013">
        <f t="shared" si="114"/>
        <v>387.8992</v>
      </c>
      <c r="Z306" s="1013"/>
      <c r="AA306" s="1003"/>
      <c r="AB306" s="1004" t="s">
        <v>1532</v>
      </c>
      <c r="AC306" s="1004" t="s">
        <v>93</v>
      </c>
      <c r="AD306" s="1003" t="s">
        <v>94</v>
      </c>
      <c r="AE306" s="1003"/>
      <c r="AF306" s="1053">
        <v>208</v>
      </c>
      <c r="AG306" s="1014">
        <f t="shared" si="100"/>
        <v>0</v>
      </c>
      <c r="AH306" s="1054"/>
      <c r="AI306" s="1003"/>
      <c r="AJ306" s="1003"/>
      <c r="AK306" s="1004">
        <f t="shared" si="118"/>
        <v>208</v>
      </c>
      <c r="AL306" s="1016">
        <f>I306</f>
        <v>208</v>
      </c>
      <c r="AM306" s="1016"/>
      <c r="AO306" s="974">
        <f t="shared" si="119"/>
        <v>208</v>
      </c>
      <c r="AP306" s="1016"/>
      <c r="AQ306" s="1016"/>
      <c r="AR306" s="974">
        <f t="shared" si="120"/>
        <v>16</v>
      </c>
      <c r="AT306" s="1016"/>
      <c r="AU306" s="1004"/>
      <c r="AV306" s="1016"/>
      <c r="AW306" s="1016"/>
      <c r="AX306" s="1016"/>
      <c r="AY306" s="1016"/>
      <c r="AZ306" s="1016"/>
      <c r="BE306" s="1017"/>
      <c r="BF306" s="1017"/>
      <c r="BG306" s="1017"/>
      <c r="BH306" s="1017"/>
      <c r="BI306" s="1017"/>
      <c r="BN306" s="1018"/>
      <c r="BO306" s="1018"/>
      <c r="BP306" s="1018"/>
      <c r="BQ306" s="1018"/>
      <c r="BR306" s="1018"/>
      <c r="BS306" s="1018"/>
      <c r="BV306" s="974">
        <f t="shared" si="111"/>
        <v>0</v>
      </c>
      <c r="BW306" s="974">
        <f t="shared" si="112"/>
        <v>0</v>
      </c>
      <c r="BX306" s="1018">
        <f>AK306+BX305</f>
        <v>1016985</v>
      </c>
      <c r="BY306" s="1018"/>
      <c r="BZ306" s="1018"/>
      <c r="CA306" s="1018"/>
      <c r="CB306" s="1018">
        <f t="shared" si="117"/>
        <v>283015</v>
      </c>
      <c r="CC306" s="1018"/>
      <c r="CH306" s="1019"/>
      <c r="CI306" s="1019"/>
      <c r="CJ306" s="1019"/>
      <c r="CK306" s="1019"/>
      <c r="CL306" s="1019"/>
      <c r="CM306" s="1019"/>
      <c r="CN306" s="1019"/>
      <c r="CO306" s="1019"/>
      <c r="CP306" s="1019"/>
      <c r="CQ306" s="1019"/>
      <c r="CR306" s="1019"/>
      <c r="CS306" s="1019"/>
      <c r="CT306" s="1019"/>
      <c r="CU306" s="1019"/>
      <c r="CV306" s="1019"/>
      <c r="CW306" s="1019"/>
      <c r="CX306" s="1019"/>
      <c r="CY306" s="1019"/>
      <c r="CZ306" s="1019"/>
      <c r="DA306" s="1019"/>
      <c r="DB306" s="1019"/>
      <c r="DC306" s="1019"/>
    </row>
    <row r="307" s="859" customFormat="1" ht="31" customHeight="1" spans="1:107">
      <c r="A307" s="948">
        <v>46148</v>
      </c>
      <c r="B307" s="949" t="s">
        <v>1758</v>
      </c>
      <c r="C307" s="1060" t="s">
        <v>125</v>
      </c>
      <c r="D307" s="949" t="s">
        <v>2614</v>
      </c>
      <c r="E307" s="954" t="s">
        <v>2615</v>
      </c>
      <c r="F307" s="859" t="s">
        <v>2616</v>
      </c>
      <c r="G307" s="953" t="s">
        <v>1537</v>
      </c>
      <c r="H307" s="954" t="s">
        <v>2582</v>
      </c>
      <c r="I307" s="954">
        <v>3250</v>
      </c>
      <c r="J307" s="954">
        <v>0</v>
      </c>
      <c r="K307" s="954">
        <v>13</v>
      </c>
      <c r="L307" s="955">
        <f t="shared" si="113"/>
        <v>250</v>
      </c>
      <c r="M307" s="956">
        <v>46188</v>
      </c>
      <c r="N307" s="956">
        <v>46184</v>
      </c>
      <c r="O307" s="954"/>
      <c r="P307" s="931" t="s">
        <v>86</v>
      </c>
      <c r="Q307" s="954"/>
      <c r="R307" s="958">
        <v>46148</v>
      </c>
      <c r="S307" s="958" t="s">
        <v>98</v>
      </c>
      <c r="T307" s="958" t="s">
        <v>98</v>
      </c>
      <c r="U307" s="958"/>
      <c r="V307" s="1061" t="s">
        <v>2617</v>
      </c>
      <c r="W307" s="959" t="s">
        <v>1766</v>
      </c>
      <c r="X307" s="1062">
        <v>1.1254</v>
      </c>
      <c r="Y307" s="961">
        <f t="shared" si="114"/>
        <v>3657.55</v>
      </c>
      <c r="Z307" s="961"/>
      <c r="AA307" s="954"/>
      <c r="AB307" s="953" t="s">
        <v>1537</v>
      </c>
      <c r="AC307" s="951" t="s">
        <v>93</v>
      </c>
      <c r="AD307" s="954" t="s">
        <v>94</v>
      </c>
      <c r="AE307" s="954"/>
      <c r="AF307" s="1063">
        <v>3250</v>
      </c>
      <c r="AG307" s="979">
        <f t="shared" si="100"/>
        <v>0</v>
      </c>
      <c r="AH307" s="1064"/>
      <c r="AI307" s="954"/>
      <c r="AJ307" s="954"/>
      <c r="AK307" s="951">
        <f t="shared" si="118"/>
        <v>3250</v>
      </c>
      <c r="AL307" s="962">
        <f>I307*2</f>
        <v>6500</v>
      </c>
      <c r="AM307" s="962"/>
      <c r="AN307" s="962"/>
      <c r="AO307" s="859">
        <f t="shared" si="119"/>
        <v>3250</v>
      </c>
      <c r="AP307" s="962"/>
      <c r="AQ307" s="962"/>
      <c r="AR307" s="859">
        <f t="shared" si="120"/>
        <v>250</v>
      </c>
      <c r="AT307" s="962"/>
      <c r="AU307" s="951"/>
      <c r="AV307" s="962"/>
      <c r="AW307" s="962"/>
      <c r="AX307" s="962"/>
      <c r="AY307" s="962"/>
      <c r="AZ307" s="962"/>
      <c r="BE307" s="950"/>
      <c r="BF307" s="950"/>
      <c r="BG307" s="950"/>
      <c r="BH307" s="950"/>
      <c r="BI307" s="950"/>
      <c r="BN307" s="963"/>
      <c r="BO307" s="963"/>
      <c r="BP307" s="963"/>
      <c r="BQ307" s="963"/>
      <c r="BR307" s="963"/>
      <c r="BS307" s="963"/>
      <c r="BV307" s="859">
        <f t="shared" si="111"/>
        <v>0</v>
      </c>
      <c r="BW307" s="859">
        <f t="shared" si="112"/>
        <v>0</v>
      </c>
      <c r="BX307" s="963">
        <f>AK307+BX310</f>
        <v>1023724</v>
      </c>
      <c r="BY307" s="963"/>
      <c r="BZ307" s="963"/>
      <c r="CA307" s="963"/>
      <c r="CB307" s="963">
        <f t="shared" si="117"/>
        <v>276276</v>
      </c>
      <c r="CC307" s="963"/>
      <c r="CH307" s="965"/>
      <c r="CI307" s="965"/>
      <c r="CJ307" s="965"/>
      <c r="CK307" s="965"/>
      <c r="CL307" s="965"/>
      <c r="CM307" s="965"/>
      <c r="CN307" s="965"/>
      <c r="CO307" s="965"/>
      <c r="CP307" s="965"/>
      <c r="CQ307" s="965"/>
      <c r="CR307" s="965"/>
      <c r="CS307" s="965"/>
      <c r="CT307" s="965"/>
      <c r="CU307" s="965"/>
      <c r="CV307" s="965"/>
      <c r="CW307" s="965"/>
      <c r="CX307" s="965"/>
      <c r="CY307" s="965"/>
      <c r="CZ307" s="965"/>
      <c r="DA307" s="965"/>
      <c r="DB307" s="965"/>
      <c r="DC307" s="965"/>
    </row>
    <row r="308" s="859" customFormat="1" ht="31" customHeight="1" spans="1:107">
      <c r="A308" s="948">
        <v>46151</v>
      </c>
      <c r="B308" s="949" t="s">
        <v>2618</v>
      </c>
      <c r="C308" s="1060" t="s">
        <v>414</v>
      </c>
      <c r="D308" s="949" t="s">
        <v>2619</v>
      </c>
      <c r="E308" s="954" t="s">
        <v>2556</v>
      </c>
      <c r="F308" s="859" t="s">
        <v>2620</v>
      </c>
      <c r="G308" s="953" t="s">
        <v>1532</v>
      </c>
      <c r="H308" s="954" t="s">
        <v>1524</v>
      </c>
      <c r="I308" s="954">
        <v>676</v>
      </c>
      <c r="J308" s="954">
        <v>0</v>
      </c>
      <c r="K308" s="954">
        <v>52</v>
      </c>
      <c r="L308" s="955">
        <f t="shared" si="113"/>
        <v>13</v>
      </c>
      <c r="M308" s="956">
        <v>46188</v>
      </c>
      <c r="N308" s="956">
        <v>46184</v>
      </c>
      <c r="O308" s="954"/>
      <c r="P308" s="931" t="s">
        <v>86</v>
      </c>
      <c r="Q308" s="954"/>
      <c r="R308" s="958">
        <v>46157</v>
      </c>
      <c r="S308" s="958" t="s">
        <v>98</v>
      </c>
      <c r="T308" s="958" t="s">
        <v>2621</v>
      </c>
      <c r="U308" s="958"/>
      <c r="V308" s="1061" t="s">
        <v>2622</v>
      </c>
      <c r="W308" s="959" t="s">
        <v>2623</v>
      </c>
      <c r="X308" s="1062">
        <v>1.8832</v>
      </c>
      <c r="Y308" s="961">
        <f t="shared" si="114"/>
        <v>1273.0432</v>
      </c>
      <c r="Z308" s="961"/>
      <c r="AA308" s="954"/>
      <c r="AB308" s="951" t="s">
        <v>1532</v>
      </c>
      <c r="AC308" s="951" t="s">
        <v>93</v>
      </c>
      <c r="AD308" s="954" t="s">
        <v>94</v>
      </c>
      <c r="AE308" s="954"/>
      <c r="AF308" s="1063">
        <v>676</v>
      </c>
      <c r="AG308" s="979">
        <f t="shared" si="100"/>
        <v>0</v>
      </c>
      <c r="AH308" s="1064"/>
      <c r="AI308" s="954"/>
      <c r="AJ308" s="954"/>
      <c r="AK308" s="951">
        <f t="shared" si="118"/>
        <v>676</v>
      </c>
      <c r="AL308" s="962">
        <f>I308</f>
        <v>676</v>
      </c>
      <c r="AM308" s="962"/>
      <c r="AO308" s="859">
        <f t="shared" si="119"/>
        <v>676</v>
      </c>
      <c r="AP308" s="962"/>
      <c r="AQ308" s="962"/>
      <c r="AR308" s="859">
        <f t="shared" si="120"/>
        <v>52</v>
      </c>
      <c r="AT308" s="962"/>
      <c r="AU308" s="951"/>
      <c r="AV308" s="962"/>
      <c r="AW308" s="962"/>
      <c r="AX308" s="962"/>
      <c r="AY308" s="962"/>
      <c r="AZ308" s="962"/>
      <c r="BE308" s="950"/>
      <c r="BF308" s="950"/>
      <c r="BG308" s="950"/>
      <c r="BH308" s="950"/>
      <c r="BI308" s="950"/>
      <c r="BN308" s="963"/>
      <c r="BO308" s="963"/>
      <c r="BP308" s="963"/>
      <c r="BQ308" s="963"/>
      <c r="BR308" s="963"/>
      <c r="BS308" s="963"/>
      <c r="BV308" s="859">
        <f t="shared" si="111"/>
        <v>0</v>
      </c>
      <c r="BW308" s="859">
        <f t="shared" si="112"/>
        <v>0</v>
      </c>
      <c r="BX308" s="963">
        <f>AK308+BX306</f>
        <v>1017661</v>
      </c>
      <c r="BY308" s="963"/>
      <c r="BZ308" s="963"/>
      <c r="CA308" s="963"/>
      <c r="CB308" s="963">
        <f t="shared" si="117"/>
        <v>282339</v>
      </c>
      <c r="CC308" s="963"/>
      <c r="CH308" s="965"/>
      <c r="CI308" s="965"/>
      <c r="CJ308" s="965"/>
      <c r="CK308" s="965"/>
      <c r="CL308" s="965"/>
      <c r="CM308" s="965"/>
      <c r="CN308" s="965"/>
      <c r="CO308" s="965"/>
      <c r="CP308" s="965"/>
      <c r="CQ308" s="965"/>
      <c r="CR308" s="965"/>
      <c r="CS308" s="965"/>
      <c r="CT308" s="965"/>
      <c r="CU308" s="965"/>
      <c r="CV308" s="965"/>
      <c r="CW308" s="965"/>
      <c r="CX308" s="965"/>
      <c r="CY308" s="965"/>
      <c r="CZ308" s="965"/>
      <c r="DA308" s="965"/>
      <c r="DB308" s="965"/>
      <c r="DC308" s="965"/>
    </row>
    <row r="309" s="859" customFormat="1" ht="31" customHeight="1" spans="1:107">
      <c r="A309" s="948">
        <v>46141</v>
      </c>
      <c r="B309" s="949" t="s">
        <v>2624</v>
      </c>
      <c r="C309" s="1060" t="s">
        <v>676</v>
      </c>
      <c r="D309" s="949" t="s">
        <v>2625</v>
      </c>
      <c r="E309" s="954" t="s">
        <v>2556</v>
      </c>
      <c r="F309" s="859" t="s">
        <v>2626</v>
      </c>
      <c r="G309" s="953" t="s">
        <v>1523</v>
      </c>
      <c r="H309" s="954" t="s">
        <v>1524</v>
      </c>
      <c r="I309" s="954">
        <v>600</v>
      </c>
      <c r="J309" s="954">
        <v>0</v>
      </c>
      <c r="K309" s="954">
        <v>50</v>
      </c>
      <c r="L309" s="955">
        <f t="shared" si="113"/>
        <v>12</v>
      </c>
      <c r="M309" s="956">
        <v>46191</v>
      </c>
      <c r="N309" s="956">
        <v>46188</v>
      </c>
      <c r="O309" s="954"/>
      <c r="P309" s="931" t="s">
        <v>86</v>
      </c>
      <c r="Q309" s="954"/>
      <c r="R309" s="958">
        <v>46141</v>
      </c>
      <c r="S309" s="958" t="s">
        <v>98</v>
      </c>
      <c r="T309" s="958" t="s">
        <v>2627</v>
      </c>
      <c r="U309" s="958"/>
      <c r="V309" s="1061" t="s">
        <v>2628</v>
      </c>
      <c r="W309" s="959" t="s">
        <v>418</v>
      </c>
      <c r="X309" s="1062">
        <v>1.9788</v>
      </c>
      <c r="Y309" s="961">
        <f t="shared" si="114"/>
        <v>1187.28</v>
      </c>
      <c r="Z309" s="961"/>
      <c r="AA309" s="954"/>
      <c r="AB309" s="951" t="s">
        <v>1523</v>
      </c>
      <c r="AC309" s="951" t="s">
        <v>93</v>
      </c>
      <c r="AD309" s="954" t="s">
        <v>94</v>
      </c>
      <c r="AE309" s="954"/>
      <c r="AF309" s="1063">
        <v>600</v>
      </c>
      <c r="AG309" s="979">
        <f t="shared" si="100"/>
        <v>0</v>
      </c>
      <c r="AH309" s="1064"/>
      <c r="AI309" s="954"/>
      <c r="AJ309" s="954"/>
      <c r="AK309" s="951">
        <f t="shared" si="118"/>
        <v>600</v>
      </c>
      <c r="AL309" s="962">
        <f>I309</f>
        <v>600</v>
      </c>
      <c r="AM309" s="962"/>
      <c r="AO309" s="859">
        <f t="shared" si="119"/>
        <v>600</v>
      </c>
      <c r="AP309" s="962"/>
      <c r="AQ309" s="962"/>
      <c r="AR309" s="859"/>
      <c r="AT309" s="859">
        <f>L309*2</f>
        <v>24</v>
      </c>
      <c r="AU309" s="951"/>
      <c r="AV309" s="962"/>
      <c r="AW309" s="962"/>
      <c r="AX309" s="962"/>
      <c r="AY309" s="962"/>
      <c r="AZ309" s="962"/>
      <c r="BE309" s="950"/>
      <c r="BF309" s="950"/>
      <c r="BG309" s="950"/>
      <c r="BH309" s="950"/>
      <c r="BI309" s="950"/>
      <c r="BN309" s="963"/>
      <c r="BO309" s="963"/>
      <c r="BP309" s="963"/>
      <c r="BQ309" s="963"/>
      <c r="BR309" s="963"/>
      <c r="BS309" s="963"/>
      <c r="BV309" s="859">
        <f t="shared" si="111"/>
        <v>24</v>
      </c>
      <c r="BW309" s="859">
        <f t="shared" si="112"/>
        <v>0</v>
      </c>
      <c r="BX309" s="963">
        <f>AK309+BX313</f>
        <v>997405</v>
      </c>
      <c r="BY309" s="963"/>
      <c r="BZ309" s="963"/>
      <c r="CA309" s="963"/>
      <c r="CB309" s="963">
        <f t="shared" si="117"/>
        <v>302595</v>
      </c>
      <c r="CC309" s="963"/>
      <c r="CH309" s="965"/>
      <c r="CI309" s="965"/>
      <c r="CJ309" s="965"/>
      <c r="CK309" s="965"/>
      <c r="CL309" s="965"/>
      <c r="CM309" s="965"/>
      <c r="CN309" s="965"/>
      <c r="CO309" s="965"/>
      <c r="CP309" s="965"/>
      <c r="CQ309" s="965"/>
      <c r="CR309" s="965"/>
      <c r="CS309" s="965"/>
      <c r="CT309" s="965"/>
      <c r="CU309" s="965"/>
      <c r="CV309" s="965"/>
      <c r="CW309" s="965"/>
      <c r="CX309" s="965"/>
      <c r="CY309" s="965"/>
      <c r="CZ309" s="965"/>
      <c r="DA309" s="965"/>
      <c r="DB309" s="965"/>
      <c r="DC309" s="965"/>
    </row>
    <row r="310" s="857" customFormat="1" ht="31" customHeight="1" spans="1:107">
      <c r="A310" s="923">
        <v>46128</v>
      </c>
      <c r="B310" s="924" t="s">
        <v>194</v>
      </c>
      <c r="C310" s="941" t="s">
        <v>125</v>
      </c>
      <c r="D310" s="924">
        <v>4500202166</v>
      </c>
      <c r="E310" s="928">
        <v>60295831</v>
      </c>
      <c r="F310" s="857" t="s">
        <v>2629</v>
      </c>
      <c r="G310" s="927" t="s">
        <v>1746</v>
      </c>
      <c r="H310" s="928" t="s">
        <v>2549</v>
      </c>
      <c r="I310" s="928">
        <v>3000</v>
      </c>
      <c r="J310" s="928">
        <v>0</v>
      </c>
      <c r="K310" s="928">
        <v>12</v>
      </c>
      <c r="L310" s="929">
        <f t="shared" si="113"/>
        <v>250</v>
      </c>
      <c r="M310" s="930">
        <v>46183</v>
      </c>
      <c r="N310" s="930">
        <v>46179</v>
      </c>
      <c r="O310" s="928"/>
      <c r="P310" s="931" t="s">
        <v>86</v>
      </c>
      <c r="Q310" s="928"/>
      <c r="R310" s="932">
        <v>46139</v>
      </c>
      <c r="S310" s="932" t="s">
        <v>98</v>
      </c>
      <c r="T310" s="932" t="s">
        <v>2630</v>
      </c>
      <c r="U310" s="932"/>
      <c r="V310" s="942" t="s">
        <v>2631</v>
      </c>
      <c r="W310" s="934" t="s">
        <v>874</v>
      </c>
      <c r="X310" s="1043">
        <v>1.6736</v>
      </c>
      <c r="Y310" s="936">
        <f t="shared" si="114"/>
        <v>5020.8</v>
      </c>
      <c r="Z310" s="936"/>
      <c r="AA310" s="928"/>
      <c r="AB310" s="926" t="s">
        <v>2337</v>
      </c>
      <c r="AC310" s="926" t="s">
        <v>93</v>
      </c>
      <c r="AD310" s="928" t="s">
        <v>94</v>
      </c>
      <c r="AE310" s="928"/>
      <c r="AF310" s="943">
        <v>3000</v>
      </c>
      <c r="AG310" s="946">
        <f t="shared" si="100"/>
        <v>0</v>
      </c>
      <c r="AH310" s="944"/>
      <c r="AI310" s="928"/>
      <c r="AJ310" s="928"/>
      <c r="AK310" s="926">
        <f>I310*2</f>
        <v>6000</v>
      </c>
      <c r="AL310" s="858">
        <f>I310*2</f>
        <v>6000</v>
      </c>
      <c r="AM310" s="858"/>
      <c r="AO310" s="857">
        <f>I310*2</f>
        <v>6000</v>
      </c>
      <c r="AP310" s="858"/>
      <c r="AQ310" s="858"/>
      <c r="AR310" s="858"/>
      <c r="AT310" s="858"/>
      <c r="AU310" s="926"/>
      <c r="AV310" s="858"/>
      <c r="AW310" s="858"/>
      <c r="AX310" s="858"/>
      <c r="AY310" s="858"/>
      <c r="AZ310" s="858"/>
      <c r="BE310" s="925"/>
      <c r="BF310" s="925"/>
      <c r="BG310" s="925"/>
      <c r="BH310" s="925"/>
      <c r="BI310" s="925"/>
      <c r="BJ310" s="857">
        <f>I310</f>
        <v>3000</v>
      </c>
      <c r="BK310" s="857">
        <f>I310</f>
        <v>3000</v>
      </c>
      <c r="BL310" s="857">
        <f>I310</f>
        <v>3000</v>
      </c>
      <c r="BN310" s="939"/>
      <c r="BO310" s="939"/>
      <c r="BP310" s="939"/>
      <c r="BQ310" s="939"/>
      <c r="BR310" s="939"/>
      <c r="BS310" s="939"/>
      <c r="BV310" s="857">
        <f t="shared" si="111"/>
        <v>0</v>
      </c>
      <c r="BW310" s="857">
        <f t="shared" si="112"/>
        <v>0</v>
      </c>
      <c r="BX310" s="939">
        <f>AK310+BX255</f>
        <v>1020474</v>
      </c>
      <c r="BY310" s="939"/>
      <c r="BZ310" s="939"/>
      <c r="CA310" s="939"/>
      <c r="CB310" s="939">
        <f t="shared" si="117"/>
        <v>279526</v>
      </c>
      <c r="CC310" s="939"/>
      <c r="CH310" s="940"/>
      <c r="CI310" s="940"/>
      <c r="CJ310" s="940"/>
      <c r="CK310" s="940"/>
      <c r="CL310" s="940"/>
      <c r="CM310" s="940"/>
      <c r="CN310" s="940"/>
      <c r="CO310" s="940"/>
      <c r="CP310" s="940"/>
      <c r="CQ310" s="940"/>
      <c r="CR310" s="940"/>
      <c r="CS310" s="940"/>
      <c r="CT310" s="940"/>
      <c r="CU310" s="940"/>
      <c r="CV310" s="940"/>
      <c r="CW310" s="940"/>
      <c r="CX310" s="940"/>
      <c r="CY310" s="940"/>
      <c r="CZ310" s="940"/>
      <c r="DA310" s="940"/>
      <c r="DB310" s="940"/>
      <c r="DC310" s="940"/>
    </row>
    <row r="311" s="857" customFormat="1" ht="31" customHeight="1" spans="1:107">
      <c r="A311" s="923">
        <v>46142</v>
      </c>
      <c r="B311" s="924" t="s">
        <v>1574</v>
      </c>
      <c r="C311" s="941" t="s">
        <v>125</v>
      </c>
      <c r="D311" s="924" t="s">
        <v>2632</v>
      </c>
      <c r="E311" s="928" t="s">
        <v>2633</v>
      </c>
      <c r="F311" s="857" t="s">
        <v>2634</v>
      </c>
      <c r="G311" s="927" t="s">
        <v>1537</v>
      </c>
      <c r="H311" s="928" t="s">
        <v>2582</v>
      </c>
      <c r="I311" s="928">
        <v>3120</v>
      </c>
      <c r="J311" s="928">
        <v>0</v>
      </c>
      <c r="K311" s="928">
        <v>13</v>
      </c>
      <c r="L311" s="929">
        <f t="shared" si="113"/>
        <v>240</v>
      </c>
      <c r="M311" s="930">
        <v>46189</v>
      </c>
      <c r="N311" s="930">
        <v>46185</v>
      </c>
      <c r="O311" s="928"/>
      <c r="P311" s="931" t="s">
        <v>86</v>
      </c>
      <c r="Q311" s="928"/>
      <c r="R311" s="932">
        <v>46142</v>
      </c>
      <c r="S311" s="932" t="s">
        <v>98</v>
      </c>
      <c r="T311" s="932" t="s">
        <v>98</v>
      </c>
      <c r="U311" s="932"/>
      <c r="V311" s="942" t="s">
        <v>2635</v>
      </c>
      <c r="W311" s="934" t="s">
        <v>1578</v>
      </c>
      <c r="X311" s="1043">
        <v>1.1254</v>
      </c>
      <c r="Y311" s="936">
        <f t="shared" si="114"/>
        <v>3511.248</v>
      </c>
      <c r="Z311" s="936"/>
      <c r="AA311" s="928"/>
      <c r="AB311" s="927" t="s">
        <v>1537</v>
      </c>
      <c r="AC311" s="926" t="s">
        <v>93</v>
      </c>
      <c r="AD311" s="928" t="s">
        <v>94</v>
      </c>
      <c r="AE311" s="928"/>
      <c r="AF311" s="943">
        <v>3120</v>
      </c>
      <c r="AG311" s="946">
        <f t="shared" si="100"/>
        <v>0</v>
      </c>
      <c r="AH311" s="944"/>
      <c r="AI311" s="928"/>
      <c r="AJ311" s="928"/>
      <c r="AK311" s="926">
        <f>I311</f>
        <v>3120</v>
      </c>
      <c r="AL311" s="858">
        <f>I311</f>
        <v>3120</v>
      </c>
      <c r="AM311" s="858"/>
      <c r="AN311" s="858"/>
      <c r="AO311" s="857">
        <f>I311</f>
        <v>3120</v>
      </c>
      <c r="AP311" s="858"/>
      <c r="AQ311" s="858"/>
      <c r="AR311" s="857">
        <f>I311/13</f>
        <v>240</v>
      </c>
      <c r="AT311" s="858"/>
      <c r="AU311" s="926"/>
      <c r="AV311" s="858"/>
      <c r="AW311" s="858"/>
      <c r="AX311" s="858"/>
      <c r="AY311" s="858"/>
      <c r="AZ311" s="858"/>
      <c r="BE311" s="925"/>
      <c r="BF311" s="925"/>
      <c r="BG311" s="925"/>
      <c r="BH311" s="925"/>
      <c r="BI311" s="925"/>
      <c r="BN311" s="939"/>
      <c r="BO311" s="939"/>
      <c r="BP311" s="939"/>
      <c r="BQ311" s="939"/>
      <c r="BR311" s="939"/>
      <c r="BS311" s="939"/>
      <c r="BV311" s="857">
        <f t="shared" si="111"/>
        <v>0</v>
      </c>
      <c r="BW311" s="857">
        <f t="shared" si="112"/>
        <v>0</v>
      </c>
      <c r="BX311" s="939">
        <f>AK311+BX305</f>
        <v>1019897</v>
      </c>
      <c r="BY311" s="939"/>
      <c r="BZ311" s="939"/>
      <c r="CA311" s="939"/>
      <c r="CB311" s="939">
        <f t="shared" si="117"/>
        <v>280103</v>
      </c>
      <c r="CC311" s="939"/>
      <c r="CH311" s="940"/>
      <c r="CI311" s="940"/>
      <c r="CJ311" s="940"/>
      <c r="CK311" s="940"/>
      <c r="CL311" s="940"/>
      <c r="CM311" s="940"/>
      <c r="CN311" s="940"/>
      <c r="CO311" s="940"/>
      <c r="CP311" s="940"/>
      <c r="CQ311" s="940"/>
      <c r="CR311" s="940"/>
      <c r="CS311" s="940"/>
      <c r="CT311" s="940"/>
      <c r="CU311" s="940"/>
      <c r="CV311" s="940"/>
      <c r="CW311" s="940"/>
      <c r="CX311" s="940"/>
      <c r="CY311" s="940"/>
      <c r="CZ311" s="940"/>
      <c r="DA311" s="940"/>
      <c r="DB311" s="940"/>
      <c r="DC311" s="940"/>
    </row>
    <row r="312" s="857" customFormat="1" ht="31" customHeight="1" spans="1:107">
      <c r="A312" s="923">
        <v>46142</v>
      </c>
      <c r="B312" s="924" t="s">
        <v>1574</v>
      </c>
      <c r="C312" s="941" t="s">
        <v>125</v>
      </c>
      <c r="D312" s="924" t="s">
        <v>2632</v>
      </c>
      <c r="E312" s="928" t="s">
        <v>2636</v>
      </c>
      <c r="F312" s="857" t="s">
        <v>2637</v>
      </c>
      <c r="G312" s="927" t="s">
        <v>1537</v>
      </c>
      <c r="H312" s="928" t="s">
        <v>2582</v>
      </c>
      <c r="I312" s="928">
        <v>1690</v>
      </c>
      <c r="J312" s="928">
        <v>0</v>
      </c>
      <c r="K312" s="928">
        <v>13</v>
      </c>
      <c r="L312" s="929">
        <f t="shared" si="113"/>
        <v>130</v>
      </c>
      <c r="M312" s="930">
        <v>46189</v>
      </c>
      <c r="N312" s="930">
        <v>46185</v>
      </c>
      <c r="O312" s="928"/>
      <c r="P312" s="931" t="s">
        <v>86</v>
      </c>
      <c r="Q312" s="928"/>
      <c r="R312" s="932">
        <v>46142</v>
      </c>
      <c r="S312" s="932" t="s">
        <v>98</v>
      </c>
      <c r="T312" s="932" t="s">
        <v>98</v>
      </c>
      <c r="U312" s="932"/>
      <c r="V312" s="942" t="s">
        <v>2635</v>
      </c>
      <c r="W312" s="934" t="s">
        <v>1578</v>
      </c>
      <c r="X312" s="1043">
        <v>1.129</v>
      </c>
      <c r="Y312" s="936">
        <f t="shared" si="114"/>
        <v>1908.01</v>
      </c>
      <c r="Z312" s="936"/>
      <c r="AA312" s="928"/>
      <c r="AB312" s="927" t="s">
        <v>1537</v>
      </c>
      <c r="AC312" s="926" t="s">
        <v>93</v>
      </c>
      <c r="AD312" s="928" t="s">
        <v>94</v>
      </c>
      <c r="AE312" s="928"/>
      <c r="AF312" s="943">
        <v>1690</v>
      </c>
      <c r="AG312" s="946">
        <f t="shared" si="100"/>
        <v>0</v>
      </c>
      <c r="AH312" s="944"/>
      <c r="AI312" s="928"/>
      <c r="AJ312" s="928"/>
      <c r="AK312" s="926">
        <f>I312</f>
        <v>1690</v>
      </c>
      <c r="AL312" s="858">
        <f>I312</f>
        <v>1690</v>
      </c>
      <c r="AM312" s="858"/>
      <c r="AN312" s="858"/>
      <c r="AO312" s="857">
        <f>I312</f>
        <v>1690</v>
      </c>
      <c r="AP312" s="858"/>
      <c r="AQ312" s="858"/>
      <c r="AR312" s="857">
        <f>I312/13</f>
        <v>130</v>
      </c>
      <c r="AT312" s="858"/>
      <c r="AU312" s="926"/>
      <c r="AV312" s="858"/>
      <c r="AW312" s="858"/>
      <c r="AX312" s="858"/>
      <c r="AY312" s="858"/>
      <c r="AZ312" s="858"/>
      <c r="BE312" s="925"/>
      <c r="BF312" s="925"/>
      <c r="BG312" s="925"/>
      <c r="BH312" s="925"/>
      <c r="BI312" s="925"/>
      <c r="BN312" s="939"/>
      <c r="BO312" s="939"/>
      <c r="BP312" s="939"/>
      <c r="BQ312" s="939"/>
      <c r="BR312" s="939"/>
      <c r="BS312" s="939"/>
      <c r="BV312" s="857">
        <f t="shared" si="111"/>
        <v>0</v>
      </c>
      <c r="BW312" s="857">
        <f t="shared" si="112"/>
        <v>0</v>
      </c>
      <c r="BX312" s="939">
        <f>AK312+BX306</f>
        <v>1018675</v>
      </c>
      <c r="BY312" s="939"/>
      <c r="BZ312" s="939"/>
      <c r="CA312" s="939"/>
      <c r="CB312" s="939">
        <f t="shared" si="117"/>
        <v>281325</v>
      </c>
      <c r="CC312" s="939"/>
      <c r="CH312" s="940"/>
      <c r="CI312" s="940"/>
      <c r="CJ312" s="940"/>
      <c r="CK312" s="940"/>
      <c r="CL312" s="940"/>
      <c r="CM312" s="940"/>
      <c r="CN312" s="940"/>
      <c r="CO312" s="940"/>
      <c r="CP312" s="940"/>
      <c r="CQ312" s="940"/>
      <c r="CR312" s="940"/>
      <c r="CS312" s="940"/>
      <c r="CT312" s="940"/>
      <c r="CU312" s="940"/>
      <c r="CV312" s="940"/>
      <c r="CW312" s="940"/>
      <c r="CX312" s="940"/>
      <c r="CY312" s="940"/>
      <c r="CZ312" s="940"/>
      <c r="DA312" s="940"/>
      <c r="DB312" s="940"/>
      <c r="DC312" s="940"/>
    </row>
    <row r="313" s="857" customFormat="1" ht="31" customHeight="1" spans="1:107">
      <c r="A313" s="923">
        <v>46093</v>
      </c>
      <c r="B313" s="924" t="s">
        <v>2638</v>
      </c>
      <c r="C313" s="925" t="s">
        <v>125</v>
      </c>
      <c r="D313" s="857">
        <v>4500196353</v>
      </c>
      <c r="E313" s="926">
        <v>52424</v>
      </c>
      <c r="F313" s="857" t="s">
        <v>2639</v>
      </c>
      <c r="G313" s="927" t="s">
        <v>1532</v>
      </c>
      <c r="H313" s="928" t="s">
        <v>1524</v>
      </c>
      <c r="I313" s="928">
        <v>520</v>
      </c>
      <c r="J313" s="928">
        <v>0</v>
      </c>
      <c r="K313" s="928">
        <v>52</v>
      </c>
      <c r="L313" s="929">
        <f t="shared" si="113"/>
        <v>10</v>
      </c>
      <c r="M313" s="930">
        <v>46190</v>
      </c>
      <c r="N313" s="930">
        <v>46186</v>
      </c>
      <c r="O313" s="926"/>
      <c r="P313" s="931" t="s">
        <v>86</v>
      </c>
      <c r="Q313" s="926"/>
      <c r="R313" s="932">
        <v>46153</v>
      </c>
      <c r="S313" s="932" t="s">
        <v>98</v>
      </c>
      <c r="T313" s="932" t="s">
        <v>98</v>
      </c>
      <c r="U313" s="932"/>
      <c r="V313" s="1065" t="s">
        <v>2640</v>
      </c>
      <c r="W313" s="934" t="s">
        <v>2641</v>
      </c>
      <c r="X313" s="935">
        <v>1.1299</v>
      </c>
      <c r="Y313" s="936">
        <f t="shared" si="114"/>
        <v>587.548</v>
      </c>
      <c r="Z313" s="936"/>
      <c r="AA313" s="926"/>
      <c r="AB313" s="927" t="s">
        <v>1532</v>
      </c>
      <c r="AC313" s="928" t="s">
        <v>93</v>
      </c>
      <c r="AD313" s="928" t="s">
        <v>94</v>
      </c>
      <c r="AE313" s="926"/>
      <c r="AF313" s="946">
        <v>520</v>
      </c>
      <c r="AG313" s="946">
        <f t="shared" ref="AG313:AG318" si="121">AF313-I313</f>
        <v>0</v>
      </c>
      <c r="AH313" s="947"/>
      <c r="AI313" s="926"/>
      <c r="AJ313" s="926"/>
      <c r="AK313" s="926">
        <f>I313</f>
        <v>520</v>
      </c>
      <c r="AL313" s="858">
        <f>I313</f>
        <v>520</v>
      </c>
      <c r="AM313" s="858"/>
      <c r="AN313" s="858"/>
      <c r="AO313" s="857">
        <f>I313</f>
        <v>520</v>
      </c>
      <c r="AR313" s="857">
        <f>I313/13</f>
        <v>40</v>
      </c>
      <c r="BE313" s="925"/>
      <c r="BF313" s="925"/>
      <c r="BG313" s="925"/>
      <c r="BH313" s="925"/>
      <c r="BI313" s="925"/>
      <c r="BN313" s="939"/>
      <c r="BO313" s="939"/>
      <c r="BP313" s="939"/>
      <c r="BQ313" s="939"/>
      <c r="BR313" s="939"/>
      <c r="BS313" s="939"/>
      <c r="BV313" s="857">
        <f t="shared" si="111"/>
        <v>0</v>
      </c>
      <c r="BW313" s="857">
        <f t="shared" si="112"/>
        <v>0</v>
      </c>
      <c r="BX313" s="939">
        <f>AK313+BX237</f>
        <v>996805</v>
      </c>
      <c r="BY313" s="939"/>
      <c r="BZ313" s="939"/>
      <c r="CA313" s="939"/>
      <c r="CB313" s="939">
        <f t="shared" si="117"/>
        <v>303195</v>
      </c>
      <c r="CC313" s="939"/>
      <c r="CH313" s="940"/>
      <c r="CI313" s="940"/>
      <c r="CJ313" s="940"/>
      <c r="CK313" s="940"/>
      <c r="CL313" s="940"/>
      <c r="CM313" s="940"/>
      <c r="CN313" s="940"/>
      <c r="CO313" s="940"/>
      <c r="CP313" s="940"/>
      <c r="CQ313" s="940"/>
      <c r="CR313" s="940"/>
      <c r="CS313" s="940"/>
      <c r="CT313" s="940"/>
      <c r="CU313" s="940"/>
      <c r="CV313" s="940"/>
      <c r="CW313" s="940"/>
      <c r="CX313" s="940"/>
      <c r="CY313" s="940"/>
      <c r="CZ313" s="940"/>
      <c r="DA313" s="940"/>
      <c r="DB313" s="940"/>
      <c r="DC313" s="940"/>
    </row>
    <row r="314" s="857" customFormat="1" ht="31" customHeight="1" spans="1:107">
      <c r="A314" s="923">
        <v>46139</v>
      </c>
      <c r="B314" s="924" t="s">
        <v>594</v>
      </c>
      <c r="C314" s="941" t="s">
        <v>103</v>
      </c>
      <c r="D314" s="924" t="s">
        <v>2642</v>
      </c>
      <c r="E314" s="928" t="s">
        <v>2643</v>
      </c>
      <c r="F314" s="857" t="s">
        <v>2644</v>
      </c>
      <c r="G314" s="927" t="s">
        <v>1746</v>
      </c>
      <c r="H314" s="928" t="s">
        <v>2549</v>
      </c>
      <c r="I314" s="928">
        <v>504</v>
      </c>
      <c r="J314" s="928">
        <v>0</v>
      </c>
      <c r="K314" s="928">
        <v>12</v>
      </c>
      <c r="L314" s="929">
        <f t="shared" si="113"/>
        <v>42</v>
      </c>
      <c r="M314" s="930">
        <v>46191</v>
      </c>
      <c r="N314" s="930">
        <v>46188</v>
      </c>
      <c r="O314" s="928"/>
      <c r="P314" s="931" t="s">
        <v>86</v>
      </c>
      <c r="Q314" s="928"/>
      <c r="R314" s="932" t="s">
        <v>2645</v>
      </c>
      <c r="S314" s="932" t="s">
        <v>88</v>
      </c>
      <c r="T314" s="932" t="s">
        <v>2646</v>
      </c>
      <c r="U314" s="932"/>
      <c r="V314" s="942" t="s">
        <v>2647</v>
      </c>
      <c r="W314" s="934" t="s">
        <v>1391</v>
      </c>
      <c r="X314" s="1043">
        <v>2.8011</v>
      </c>
      <c r="Y314" s="936">
        <f t="shared" si="114"/>
        <v>1411.7544</v>
      </c>
      <c r="Z314" s="936"/>
      <c r="AA314" s="928"/>
      <c r="AB314" s="926" t="s">
        <v>1746</v>
      </c>
      <c r="AC314" s="926" t="s">
        <v>93</v>
      </c>
      <c r="AD314" s="928" t="s">
        <v>94</v>
      </c>
      <c r="AE314" s="928"/>
      <c r="AF314" s="943">
        <v>504</v>
      </c>
      <c r="AG314" s="946">
        <f t="shared" si="121"/>
        <v>0</v>
      </c>
      <c r="AH314" s="944"/>
      <c r="AI314" s="928"/>
      <c r="AJ314" s="928"/>
      <c r="AK314" s="926">
        <f>I314*2</f>
        <v>1008</v>
      </c>
      <c r="AL314" s="858"/>
      <c r="AM314" s="858">
        <f>I314*2</f>
        <v>1008</v>
      </c>
      <c r="AN314" s="858"/>
      <c r="AO314" s="857">
        <f>I314*2</f>
        <v>1008</v>
      </c>
      <c r="AP314" s="858"/>
      <c r="AQ314" s="858"/>
      <c r="AR314" s="858"/>
      <c r="AT314" s="858"/>
      <c r="AU314" s="926"/>
      <c r="AV314" s="858"/>
      <c r="AW314" s="858"/>
      <c r="AX314" s="858"/>
      <c r="AY314" s="858"/>
      <c r="AZ314" s="858"/>
      <c r="BE314" s="925"/>
      <c r="BF314" s="925"/>
      <c r="BG314" s="925"/>
      <c r="BH314" s="925"/>
      <c r="BI314" s="925"/>
      <c r="BJ314" s="857">
        <f>I314</f>
        <v>504</v>
      </c>
      <c r="BK314" s="857">
        <f>I314</f>
        <v>504</v>
      </c>
      <c r="BL314" s="857">
        <f>I314</f>
        <v>504</v>
      </c>
      <c r="BN314" s="939"/>
      <c r="BO314" s="939"/>
      <c r="BP314" s="939"/>
      <c r="BQ314" s="939"/>
      <c r="BR314" s="939"/>
      <c r="BS314" s="939"/>
      <c r="BV314" s="857">
        <f t="shared" si="111"/>
        <v>0</v>
      </c>
      <c r="BW314" s="857">
        <f t="shared" si="112"/>
        <v>0</v>
      </c>
      <c r="BX314" s="939">
        <f>AK314+BX344</f>
        <v>1000849</v>
      </c>
      <c r="BY314" s="939"/>
      <c r="BZ314" s="939"/>
      <c r="CA314" s="939"/>
      <c r="CB314" s="939">
        <f t="shared" si="117"/>
        <v>299151</v>
      </c>
      <c r="CC314" s="939"/>
      <c r="CH314" s="940"/>
      <c r="CI314" s="940"/>
      <c r="CJ314" s="940"/>
      <c r="CK314" s="940"/>
      <c r="CL314" s="940"/>
      <c r="CM314" s="940"/>
      <c r="CN314" s="940"/>
      <c r="CO314" s="940"/>
      <c r="CP314" s="940"/>
      <c r="CQ314" s="940"/>
      <c r="CR314" s="940"/>
      <c r="CS314" s="940"/>
      <c r="CT314" s="940"/>
      <c r="CU314" s="940"/>
      <c r="CV314" s="940"/>
      <c r="CW314" s="940"/>
      <c r="CX314" s="940"/>
      <c r="CY314" s="940"/>
      <c r="CZ314" s="940"/>
      <c r="DA314" s="940"/>
      <c r="DB314" s="940"/>
      <c r="DC314" s="940"/>
    </row>
    <row r="315" s="857" customFormat="1" ht="31" customHeight="1" spans="1:107">
      <c r="A315" s="923">
        <v>46150</v>
      </c>
      <c r="B315" s="924" t="s">
        <v>2648</v>
      </c>
      <c r="C315" s="925" t="s">
        <v>720</v>
      </c>
      <c r="D315" s="857" t="s">
        <v>2649</v>
      </c>
      <c r="E315" s="926" t="s">
        <v>2650</v>
      </c>
      <c r="F315" s="857" t="s">
        <v>2651</v>
      </c>
      <c r="G315" s="927" t="s">
        <v>1523</v>
      </c>
      <c r="H315" s="928" t="s">
        <v>1524</v>
      </c>
      <c r="I315" s="1042">
        <v>500</v>
      </c>
      <c r="J315" s="928">
        <v>0</v>
      </c>
      <c r="K315" s="928">
        <v>50</v>
      </c>
      <c r="L315" s="929">
        <f t="shared" si="113"/>
        <v>10</v>
      </c>
      <c r="M315" s="930">
        <v>46191</v>
      </c>
      <c r="N315" s="1066">
        <v>46191</v>
      </c>
      <c r="O315" s="926"/>
      <c r="P315" s="931" t="s">
        <v>86</v>
      </c>
      <c r="Q315" s="926"/>
      <c r="R315" s="932">
        <v>46157</v>
      </c>
      <c r="S315" s="932" t="s">
        <v>98</v>
      </c>
      <c r="T315" s="932" t="s">
        <v>2652</v>
      </c>
      <c r="U315" s="932"/>
      <c r="V315" s="933" t="s">
        <v>2653</v>
      </c>
      <c r="W315" s="934" t="s">
        <v>2654</v>
      </c>
      <c r="X315" s="1043">
        <v>1.9613</v>
      </c>
      <c r="Y315" s="936">
        <f t="shared" si="114"/>
        <v>980.65</v>
      </c>
      <c r="Z315" s="936"/>
      <c r="AA315" s="926"/>
      <c r="AB315" s="927" t="s">
        <v>1727</v>
      </c>
      <c r="AC315" s="926" t="s">
        <v>93</v>
      </c>
      <c r="AD315" s="928" t="s">
        <v>94</v>
      </c>
      <c r="AE315" s="926"/>
      <c r="AF315" s="946">
        <v>500</v>
      </c>
      <c r="AG315" s="946">
        <f t="shared" si="121"/>
        <v>0</v>
      </c>
      <c r="AH315" s="947"/>
      <c r="AI315" s="928"/>
      <c r="AJ315" s="926"/>
      <c r="AK315" s="926">
        <f>I315</f>
        <v>500</v>
      </c>
      <c r="AL315" s="858"/>
      <c r="AM315" s="858"/>
      <c r="AN315" s="857">
        <f>I315</f>
        <v>500</v>
      </c>
      <c r="AO315" s="857">
        <f>I315</f>
        <v>500</v>
      </c>
      <c r="AU315" s="926">
        <f>I315/25</f>
        <v>20</v>
      </c>
      <c r="BE315" s="925"/>
      <c r="BF315" s="925"/>
      <c r="BG315" s="925"/>
      <c r="BH315" s="925"/>
      <c r="BI315" s="925"/>
      <c r="BN315" s="939"/>
      <c r="BO315" s="939"/>
      <c r="BP315" s="939"/>
      <c r="BQ315" s="939"/>
      <c r="BR315" s="939"/>
      <c r="BS315" s="939"/>
      <c r="BV315" s="857">
        <f t="shared" si="111"/>
        <v>20</v>
      </c>
      <c r="BW315" s="857">
        <f t="shared" si="112"/>
        <v>0</v>
      </c>
      <c r="BX315" s="939">
        <f>AK315+BX275</f>
        <v>997937</v>
      </c>
      <c r="BY315" s="939"/>
      <c r="BZ315" s="939"/>
      <c r="CA315" s="939"/>
      <c r="CB315" s="939">
        <f t="shared" si="117"/>
        <v>302063</v>
      </c>
      <c r="CC315" s="939"/>
      <c r="CH315" s="940"/>
      <c r="CI315" s="940"/>
      <c r="CJ315" s="940"/>
      <c r="CK315" s="940"/>
      <c r="CL315" s="940"/>
      <c r="CM315" s="940"/>
      <c r="CN315" s="940"/>
      <c r="CO315" s="940"/>
      <c r="CP315" s="940"/>
      <c r="CQ315" s="940"/>
      <c r="CR315" s="940"/>
      <c r="CS315" s="940"/>
      <c r="CT315" s="940"/>
      <c r="CU315" s="940"/>
      <c r="CV315" s="940"/>
      <c r="CW315" s="940"/>
      <c r="CX315" s="940"/>
      <c r="CY315" s="940"/>
      <c r="CZ315" s="940"/>
      <c r="DA315" s="940"/>
      <c r="DB315" s="940"/>
      <c r="DC315" s="940"/>
    </row>
    <row r="316" s="857" customFormat="1" ht="31" customHeight="1" spans="1:107">
      <c r="A316" s="923">
        <v>46115</v>
      </c>
      <c r="B316" s="924" t="s">
        <v>2655</v>
      </c>
      <c r="C316" s="941" t="s">
        <v>534</v>
      </c>
      <c r="D316" s="924" t="s">
        <v>2656</v>
      </c>
      <c r="E316" s="928" t="s">
        <v>2556</v>
      </c>
      <c r="F316" s="857" t="s">
        <v>2657</v>
      </c>
      <c r="G316" s="927" t="s">
        <v>1523</v>
      </c>
      <c r="H316" s="928" t="s">
        <v>1524</v>
      </c>
      <c r="I316" s="928">
        <v>350</v>
      </c>
      <c r="J316" s="928">
        <v>0</v>
      </c>
      <c r="K316" s="928">
        <v>50</v>
      </c>
      <c r="L316" s="929">
        <f t="shared" si="113"/>
        <v>7</v>
      </c>
      <c r="M316" s="930">
        <v>46195</v>
      </c>
      <c r="N316" s="930">
        <v>46191</v>
      </c>
      <c r="O316" s="928"/>
      <c r="P316" s="931" t="s">
        <v>86</v>
      </c>
      <c r="Q316" s="928"/>
      <c r="R316" s="932">
        <v>46162</v>
      </c>
      <c r="S316" s="932" t="s">
        <v>98</v>
      </c>
      <c r="T316" s="932" t="s">
        <v>2658</v>
      </c>
      <c r="U316" s="932"/>
      <c r="V316" s="942" t="s">
        <v>2659</v>
      </c>
      <c r="W316" s="934" t="s">
        <v>225</v>
      </c>
      <c r="X316" s="1043">
        <v>1.9788</v>
      </c>
      <c r="Y316" s="936">
        <f t="shared" si="114"/>
        <v>692.58</v>
      </c>
      <c r="Z316" s="936"/>
      <c r="AA316" s="928"/>
      <c r="AB316" s="927" t="s">
        <v>1727</v>
      </c>
      <c r="AC316" s="926" t="s">
        <v>93</v>
      </c>
      <c r="AD316" s="928" t="s">
        <v>94</v>
      </c>
      <c r="AE316" s="928"/>
      <c r="AF316" s="943">
        <v>350</v>
      </c>
      <c r="AG316" s="946">
        <f t="shared" si="121"/>
        <v>0</v>
      </c>
      <c r="AH316" s="944"/>
      <c r="AI316" s="928"/>
      <c r="AJ316" s="928"/>
      <c r="AK316" s="926">
        <f>I316</f>
        <v>350</v>
      </c>
      <c r="AL316" s="858"/>
      <c r="AM316" s="858"/>
      <c r="AN316" s="857">
        <f>I316</f>
        <v>350</v>
      </c>
      <c r="AO316" s="858">
        <f>I316</f>
        <v>350</v>
      </c>
      <c r="AP316" s="858"/>
      <c r="AQ316" s="858"/>
      <c r="AR316" s="858"/>
      <c r="AT316" s="858"/>
      <c r="AU316" s="926">
        <f>I316/25</f>
        <v>14</v>
      </c>
      <c r="AV316" s="858"/>
      <c r="AW316" s="858"/>
      <c r="AX316" s="858"/>
      <c r="AY316" s="858"/>
      <c r="AZ316" s="858"/>
      <c r="BE316" s="925"/>
      <c r="BF316" s="925"/>
      <c r="BG316" s="925"/>
      <c r="BH316" s="925"/>
      <c r="BI316" s="925"/>
      <c r="BN316" s="939"/>
      <c r="BO316" s="939"/>
      <c r="BP316" s="939"/>
      <c r="BQ316" s="939"/>
      <c r="BR316" s="939"/>
      <c r="BS316" s="939"/>
      <c r="BV316" s="857">
        <f t="shared" si="111"/>
        <v>14</v>
      </c>
      <c r="BW316" s="857">
        <f t="shared" si="112"/>
        <v>0</v>
      </c>
      <c r="BX316" s="939">
        <f>AK316+BX309</f>
        <v>997755</v>
      </c>
      <c r="BY316" s="939"/>
      <c r="BZ316" s="939"/>
      <c r="CA316" s="939"/>
      <c r="CB316" s="939">
        <f t="shared" si="117"/>
        <v>302245</v>
      </c>
      <c r="CC316" s="939"/>
      <c r="CH316" s="940"/>
      <c r="CI316" s="940"/>
      <c r="CJ316" s="940"/>
      <c r="CK316" s="940"/>
      <c r="CL316" s="940"/>
      <c r="CM316" s="940"/>
      <c r="CN316" s="940"/>
      <c r="CO316" s="940"/>
      <c r="CP316" s="940"/>
      <c r="CQ316" s="940"/>
      <c r="CR316" s="940"/>
      <c r="CS316" s="940"/>
      <c r="CT316" s="940"/>
      <c r="CU316" s="940"/>
      <c r="CV316" s="940"/>
      <c r="CW316" s="940"/>
      <c r="CX316" s="940"/>
      <c r="CY316" s="940"/>
      <c r="CZ316" s="940"/>
      <c r="DA316" s="940"/>
      <c r="DB316" s="940"/>
      <c r="DC316" s="940"/>
    </row>
    <row r="317" s="857" customFormat="1" ht="31" customHeight="1" spans="1:107">
      <c r="A317" s="923">
        <v>46164</v>
      </c>
      <c r="B317" s="924" t="s">
        <v>2660</v>
      </c>
      <c r="C317" s="925" t="s">
        <v>81</v>
      </c>
      <c r="D317" s="857" t="s">
        <v>2661</v>
      </c>
      <c r="E317" s="926" t="s">
        <v>2556</v>
      </c>
      <c r="F317" s="857" t="s">
        <v>2662</v>
      </c>
      <c r="G317" s="927" t="s">
        <v>1529</v>
      </c>
      <c r="H317" s="928" t="s">
        <v>1524</v>
      </c>
      <c r="I317" s="1042">
        <v>1992</v>
      </c>
      <c r="J317" s="928">
        <v>0</v>
      </c>
      <c r="K317" s="928">
        <v>24</v>
      </c>
      <c r="L317" s="929">
        <f t="shared" si="113"/>
        <v>83</v>
      </c>
      <c r="M317" s="930">
        <v>46195</v>
      </c>
      <c r="N317" s="1066">
        <v>46193</v>
      </c>
      <c r="O317" s="926"/>
      <c r="P317" s="931" t="s">
        <v>86</v>
      </c>
      <c r="Q317" s="926"/>
      <c r="R317" s="932">
        <v>46164</v>
      </c>
      <c r="S317" s="932" t="s">
        <v>98</v>
      </c>
      <c r="T317" s="1067" t="s">
        <v>2663</v>
      </c>
      <c r="U317" s="1067"/>
      <c r="V317" s="933" t="s">
        <v>2664</v>
      </c>
      <c r="W317" s="934" t="s">
        <v>2665</v>
      </c>
      <c r="X317" s="1043">
        <v>1.8706</v>
      </c>
      <c r="Y317" s="936">
        <f t="shared" si="114"/>
        <v>3726.2352</v>
      </c>
      <c r="Z317" s="936"/>
      <c r="AA317" s="926"/>
      <c r="AB317" s="926" t="s">
        <v>1529</v>
      </c>
      <c r="AC317" s="926" t="s">
        <v>93</v>
      </c>
      <c r="AD317" s="928" t="s">
        <v>94</v>
      </c>
      <c r="AE317" s="926"/>
      <c r="AF317" s="946">
        <v>1992</v>
      </c>
      <c r="AG317" s="946">
        <f t="shared" si="121"/>
        <v>0</v>
      </c>
      <c r="AH317" s="947"/>
      <c r="AI317" s="926"/>
      <c r="AJ317" s="926"/>
      <c r="AK317" s="926">
        <f>I317</f>
        <v>1992</v>
      </c>
      <c r="AL317" s="858">
        <f>I317</f>
        <v>1992</v>
      </c>
      <c r="AM317" s="858"/>
      <c r="AN317" s="858"/>
      <c r="AO317" s="858">
        <f>I317</f>
        <v>1992</v>
      </c>
      <c r="BE317" s="925"/>
      <c r="BF317" s="925"/>
      <c r="BG317" s="925"/>
      <c r="BH317" s="925"/>
      <c r="BI317" s="925"/>
      <c r="BN317" s="939"/>
      <c r="BO317" s="939"/>
      <c r="BP317" s="939"/>
      <c r="BQ317" s="939"/>
      <c r="BR317" s="939"/>
      <c r="BS317" s="939"/>
      <c r="BV317" s="857">
        <f t="shared" si="111"/>
        <v>0</v>
      </c>
      <c r="BW317" s="857">
        <f t="shared" si="112"/>
        <v>0</v>
      </c>
      <c r="BX317" s="939">
        <f>AK317+BX318</f>
        <v>1026824</v>
      </c>
      <c r="BY317" s="939"/>
      <c r="BZ317" s="939"/>
      <c r="CA317" s="939">
        <f>$BZ$1+$CA$1-BX317</f>
        <v>-166824</v>
      </c>
      <c r="CB317" s="939"/>
      <c r="CC317" s="939"/>
      <c r="CH317" s="940"/>
      <c r="CI317" s="940"/>
      <c r="CJ317" s="940"/>
      <c r="CK317" s="940"/>
      <c r="CL317" s="940"/>
      <c r="CM317" s="940"/>
      <c r="CN317" s="940"/>
      <c r="CO317" s="940"/>
      <c r="CP317" s="940"/>
      <c r="CQ317" s="940"/>
      <c r="CR317" s="940"/>
      <c r="CS317" s="940"/>
      <c r="CT317" s="940"/>
      <c r="CU317" s="940"/>
      <c r="CV317" s="940"/>
      <c r="CW317" s="940"/>
      <c r="CX317" s="940"/>
      <c r="CY317" s="940"/>
      <c r="CZ317" s="940"/>
      <c r="DA317" s="940"/>
      <c r="DB317" s="940"/>
      <c r="DC317" s="940"/>
    </row>
    <row r="318" s="857" customFormat="1" ht="31" customHeight="1" spans="1:107">
      <c r="A318" s="923">
        <v>46148</v>
      </c>
      <c r="B318" s="924" t="s">
        <v>2096</v>
      </c>
      <c r="C318" s="941" t="s">
        <v>81</v>
      </c>
      <c r="D318" s="924" t="s">
        <v>2666</v>
      </c>
      <c r="E318" s="928" t="s">
        <v>2667</v>
      </c>
      <c r="F318" s="857" t="s">
        <v>2668</v>
      </c>
      <c r="G318" s="927" t="s">
        <v>1523</v>
      </c>
      <c r="H318" s="928" t="s">
        <v>1524</v>
      </c>
      <c r="I318" s="928">
        <v>600</v>
      </c>
      <c r="J318" s="928">
        <v>0</v>
      </c>
      <c r="K318" s="928">
        <v>50</v>
      </c>
      <c r="L318" s="929">
        <f t="shared" si="113"/>
        <v>12</v>
      </c>
      <c r="M318" s="930">
        <v>46195</v>
      </c>
      <c r="N318" s="1066">
        <v>46204</v>
      </c>
      <c r="O318" s="928"/>
      <c r="P318" s="1068" t="s">
        <v>86</v>
      </c>
      <c r="Q318" s="928"/>
      <c r="R318" s="932">
        <v>46171</v>
      </c>
      <c r="S318" s="932" t="s">
        <v>98</v>
      </c>
      <c r="T318" s="1067" t="s">
        <v>2669</v>
      </c>
      <c r="U318" s="932"/>
      <c r="V318" s="942" t="s">
        <v>2670</v>
      </c>
      <c r="W318" s="934" t="s">
        <v>225</v>
      </c>
      <c r="X318" s="1043">
        <v>1.9788</v>
      </c>
      <c r="Y318" s="936">
        <f t="shared" si="114"/>
        <v>1187.28</v>
      </c>
      <c r="Z318" s="936"/>
      <c r="AA318" s="928"/>
      <c r="AB318" s="927" t="s">
        <v>1727</v>
      </c>
      <c r="AC318" s="926" t="s">
        <v>93</v>
      </c>
      <c r="AD318" s="928" t="s">
        <v>94</v>
      </c>
      <c r="AE318" s="928"/>
      <c r="AF318" s="943">
        <v>600</v>
      </c>
      <c r="AG318" s="946">
        <f t="shared" si="121"/>
        <v>0</v>
      </c>
      <c r="AH318" s="944"/>
      <c r="AI318" s="928"/>
      <c r="AJ318" s="928"/>
      <c r="AK318" s="926">
        <f>I318</f>
        <v>600</v>
      </c>
      <c r="AL318" s="858"/>
      <c r="AM318" s="858"/>
      <c r="AN318" s="857">
        <f>I318</f>
        <v>600</v>
      </c>
      <c r="AO318" s="858">
        <f>I318</f>
        <v>600</v>
      </c>
      <c r="AP318" s="858"/>
      <c r="AQ318" s="858"/>
      <c r="AR318" s="858"/>
      <c r="AU318" s="926">
        <f>I318/25</f>
        <v>24</v>
      </c>
      <c r="AV318" s="858"/>
      <c r="AW318" s="858"/>
      <c r="AX318" s="858"/>
      <c r="AY318" s="858"/>
      <c r="AZ318" s="858"/>
      <c r="BE318" s="925"/>
      <c r="BF318" s="925"/>
      <c r="BG318" s="925"/>
      <c r="BH318" s="925"/>
      <c r="BI318" s="925"/>
      <c r="BN318" s="939"/>
      <c r="BO318" s="939"/>
      <c r="BP318" s="939"/>
      <c r="BQ318" s="939"/>
      <c r="BR318" s="939"/>
      <c r="BS318" s="939"/>
      <c r="BV318" s="857">
        <f t="shared" si="111"/>
        <v>24</v>
      </c>
      <c r="BW318" s="857">
        <f t="shared" si="112"/>
        <v>0</v>
      </c>
      <c r="BX318" s="939">
        <f>AK318+BX293</f>
        <v>1024832</v>
      </c>
      <c r="BY318" s="939"/>
      <c r="BZ318" s="939"/>
      <c r="CA318" s="939"/>
      <c r="CB318" s="939">
        <f>$BZ$1+$CA$1+$CB$1-BX318</f>
        <v>275168</v>
      </c>
      <c r="CC318" s="939"/>
      <c r="CH318" s="940"/>
      <c r="CI318" s="940"/>
      <c r="CJ318" s="940"/>
      <c r="CK318" s="940"/>
      <c r="CL318" s="940"/>
      <c r="CM318" s="940"/>
      <c r="CN318" s="940"/>
      <c r="CO318" s="940"/>
      <c r="CP318" s="940"/>
      <c r="CQ318" s="940"/>
      <c r="CR318" s="940"/>
      <c r="CS318" s="940"/>
      <c r="CT318" s="940"/>
      <c r="CU318" s="940"/>
      <c r="CV318" s="940"/>
      <c r="CW318" s="940"/>
      <c r="CX318" s="940"/>
      <c r="CY318" s="940"/>
      <c r="CZ318" s="940"/>
      <c r="DA318" s="940"/>
      <c r="DB318" s="940"/>
      <c r="DC318" s="940"/>
    </row>
    <row r="319" s="857" customFormat="1" ht="31" customHeight="1" spans="1:107">
      <c r="A319" s="923">
        <v>46191</v>
      </c>
      <c r="B319" s="924"/>
      <c r="C319" s="925" t="s">
        <v>2671</v>
      </c>
      <c r="D319" s="857" t="s">
        <v>2672</v>
      </c>
      <c r="E319" s="926"/>
      <c r="F319" s="857" t="s">
        <v>2673</v>
      </c>
      <c r="G319" s="927" t="s">
        <v>1529</v>
      </c>
      <c r="H319" s="928" t="s">
        <v>2674</v>
      </c>
      <c r="I319" s="1042"/>
      <c r="J319" s="928">
        <v>0</v>
      </c>
      <c r="K319" s="928">
        <v>24</v>
      </c>
      <c r="L319" s="929"/>
      <c r="M319" s="930">
        <v>46203</v>
      </c>
      <c r="N319" s="930">
        <v>46199</v>
      </c>
      <c r="O319" s="926"/>
      <c r="P319" s="931"/>
      <c r="Q319" s="926"/>
      <c r="R319" s="932"/>
      <c r="S319" s="932"/>
      <c r="T319" s="932"/>
      <c r="U319" s="932"/>
      <c r="V319" s="933" t="s">
        <v>2675</v>
      </c>
      <c r="W319" s="934" t="s">
        <v>541</v>
      </c>
      <c r="X319" s="1043"/>
      <c r="Y319" s="936"/>
      <c r="Z319" s="936"/>
      <c r="AA319" s="926"/>
      <c r="AB319" s="926"/>
      <c r="AC319" s="1069" t="s">
        <v>743</v>
      </c>
      <c r="AD319" s="928"/>
      <c r="AE319" s="926"/>
      <c r="AF319" s="946"/>
      <c r="AG319" s="946"/>
      <c r="AH319" s="947"/>
      <c r="AI319" s="926"/>
      <c r="AJ319" s="926"/>
      <c r="AK319" s="926"/>
      <c r="AL319" s="858"/>
      <c r="AM319" s="858"/>
      <c r="AN319" s="858"/>
      <c r="AO319" s="857"/>
      <c r="BE319" s="925"/>
      <c r="BF319" s="925"/>
      <c r="BG319" s="925"/>
      <c r="BH319" s="925"/>
      <c r="BI319" s="925"/>
      <c r="BN319" s="939"/>
      <c r="BO319" s="939"/>
      <c r="BP319" s="939"/>
      <c r="BQ319" s="939"/>
      <c r="BR319" s="939"/>
      <c r="BS319" s="939"/>
      <c r="BX319" s="939"/>
      <c r="BY319" s="939"/>
      <c r="BZ319" s="939"/>
      <c r="CA319" s="939"/>
      <c r="CB319" s="939"/>
      <c r="CC319" s="939"/>
      <c r="CH319" s="940"/>
      <c r="CI319" s="940"/>
      <c r="CJ319" s="940"/>
      <c r="CK319" s="940"/>
      <c r="CL319" s="940"/>
      <c r="CM319" s="940"/>
      <c r="CN319" s="940"/>
      <c r="CO319" s="940"/>
      <c r="CP319" s="940"/>
      <c r="CQ319" s="940"/>
      <c r="CR319" s="940"/>
      <c r="CS319" s="940"/>
      <c r="CT319" s="940"/>
      <c r="CU319" s="940"/>
      <c r="CV319" s="940"/>
      <c r="CW319" s="940"/>
      <c r="CX319" s="940"/>
      <c r="CY319" s="940"/>
      <c r="CZ319" s="940"/>
      <c r="DA319" s="940"/>
      <c r="DB319" s="940"/>
      <c r="DC319" s="940"/>
    </row>
    <row r="320" s="857" customFormat="1" ht="31" customHeight="1" spans="1:107">
      <c r="A320" s="923">
        <v>46184</v>
      </c>
      <c r="B320" s="924" t="s">
        <v>1090</v>
      </c>
      <c r="C320" s="925" t="s">
        <v>125</v>
      </c>
      <c r="D320" s="857" t="s">
        <v>2676</v>
      </c>
      <c r="E320" s="926" t="s">
        <v>2677</v>
      </c>
      <c r="F320" s="857" t="s">
        <v>2678</v>
      </c>
      <c r="G320" s="1070" t="s">
        <v>1529</v>
      </c>
      <c r="H320" s="1071" t="s">
        <v>2679</v>
      </c>
      <c r="I320" s="1072">
        <v>12704</v>
      </c>
      <c r="J320" s="928">
        <v>0</v>
      </c>
      <c r="K320" s="928">
        <v>24</v>
      </c>
      <c r="L320" s="929">
        <f t="shared" ref="L320:L380" si="122">I320/K320</f>
        <v>529.333333333333</v>
      </c>
      <c r="M320" s="930">
        <v>46205</v>
      </c>
      <c r="N320" s="930">
        <v>46202</v>
      </c>
      <c r="O320" s="926"/>
      <c r="P320" s="1068" t="s">
        <v>86</v>
      </c>
      <c r="Q320" s="926"/>
      <c r="R320" s="1067" t="s">
        <v>2679</v>
      </c>
      <c r="S320" s="1067" t="s">
        <v>98</v>
      </c>
      <c r="T320" s="1067" t="s">
        <v>2680</v>
      </c>
      <c r="U320" s="932"/>
      <c r="V320" s="933" t="s">
        <v>2681</v>
      </c>
      <c r="W320" s="934" t="s">
        <v>217</v>
      </c>
      <c r="X320" s="1043">
        <v>1.09386</v>
      </c>
      <c r="Y320" s="936">
        <f t="shared" ref="Y320:Y360" si="123">X320*I320</f>
        <v>13896.39744</v>
      </c>
      <c r="Z320" s="936"/>
      <c r="AA320" s="926"/>
      <c r="AB320" s="926" t="s">
        <v>1529</v>
      </c>
      <c r="AC320" s="1069" t="s">
        <v>93</v>
      </c>
      <c r="AD320" s="1071" t="s">
        <v>94</v>
      </c>
      <c r="AE320" s="926"/>
      <c r="AF320" s="946">
        <v>12704</v>
      </c>
      <c r="AG320" s="946">
        <f t="shared" ref="AG320:AG360" si="124">AF320-I320</f>
        <v>0</v>
      </c>
      <c r="AH320" s="947"/>
      <c r="AI320" s="1073" t="s">
        <v>95</v>
      </c>
      <c r="AJ320" s="926"/>
      <c r="AK320" s="926">
        <f>I320</f>
        <v>12704</v>
      </c>
      <c r="AL320" s="858">
        <f>I320</f>
        <v>12704</v>
      </c>
      <c r="AM320" s="858"/>
      <c r="AN320" s="858"/>
      <c r="AO320" s="858">
        <f>I320</f>
        <v>12704</v>
      </c>
      <c r="BE320" s="925"/>
      <c r="BF320" s="925"/>
      <c r="BG320" s="925"/>
      <c r="BH320" s="925"/>
      <c r="BI320" s="925"/>
      <c r="BN320" s="939"/>
      <c r="BO320" s="939"/>
      <c r="BP320" s="939"/>
      <c r="BQ320" s="939"/>
      <c r="BR320" s="939"/>
      <c r="BS320" s="939"/>
      <c r="BX320" s="939"/>
      <c r="BY320" s="939"/>
      <c r="BZ320" s="939"/>
      <c r="CA320" s="939"/>
      <c r="CB320" s="939"/>
      <c r="CC320" s="939"/>
      <c r="CH320" s="940"/>
      <c r="CI320" s="940"/>
      <c r="CJ320" s="940"/>
      <c r="CK320" s="940"/>
      <c r="CL320" s="940"/>
      <c r="CM320" s="940"/>
      <c r="CN320" s="940"/>
      <c r="CO320" s="940"/>
      <c r="CP320" s="940"/>
      <c r="CQ320" s="940"/>
      <c r="CR320" s="940"/>
      <c r="CS320" s="940"/>
      <c r="CT320" s="940"/>
      <c r="CU320" s="940"/>
      <c r="CV320" s="940"/>
      <c r="CW320" s="940"/>
      <c r="CX320" s="940"/>
      <c r="CY320" s="940"/>
      <c r="CZ320" s="940"/>
      <c r="DA320" s="940"/>
      <c r="DB320" s="940"/>
      <c r="DC320" s="940"/>
    </row>
    <row r="321" s="857" customFormat="1" ht="31" customHeight="1" spans="1:107">
      <c r="A321" s="923">
        <v>46184</v>
      </c>
      <c r="B321" s="924" t="s">
        <v>1090</v>
      </c>
      <c r="C321" s="925" t="s">
        <v>125</v>
      </c>
      <c r="D321" s="857" t="s">
        <v>2676</v>
      </c>
      <c r="E321" s="926" t="s">
        <v>2682</v>
      </c>
      <c r="F321" s="857" t="s">
        <v>2683</v>
      </c>
      <c r="G321" s="1070" t="s">
        <v>1529</v>
      </c>
      <c r="H321" s="1071" t="s">
        <v>2679</v>
      </c>
      <c r="I321" s="1072">
        <v>11296</v>
      </c>
      <c r="J321" s="928">
        <v>0</v>
      </c>
      <c r="K321" s="928">
        <v>24</v>
      </c>
      <c r="L321" s="929">
        <f t="shared" si="122"/>
        <v>470.666666666667</v>
      </c>
      <c r="M321" s="930">
        <v>46205</v>
      </c>
      <c r="N321" s="930">
        <v>46202</v>
      </c>
      <c r="O321" s="926"/>
      <c r="P321" s="1068" t="s">
        <v>86</v>
      </c>
      <c r="Q321" s="926"/>
      <c r="R321" s="1067" t="s">
        <v>2679</v>
      </c>
      <c r="S321" s="1067" t="s">
        <v>98</v>
      </c>
      <c r="T321" s="1067" t="s">
        <v>2680</v>
      </c>
      <c r="U321" s="932"/>
      <c r="V321" s="933" t="s">
        <v>2681</v>
      </c>
      <c r="W321" s="934" t="s">
        <v>217</v>
      </c>
      <c r="X321" s="1043">
        <v>1.09386</v>
      </c>
      <c r="Y321" s="936">
        <f t="shared" si="123"/>
        <v>12356.24256</v>
      </c>
      <c r="Z321" s="936"/>
      <c r="AA321" s="926"/>
      <c r="AB321" s="926" t="s">
        <v>1529</v>
      </c>
      <c r="AC321" s="1069" t="s">
        <v>93</v>
      </c>
      <c r="AD321" s="1071" t="s">
        <v>94</v>
      </c>
      <c r="AE321" s="926"/>
      <c r="AF321" s="946">
        <v>11296</v>
      </c>
      <c r="AG321" s="946">
        <f t="shared" si="124"/>
        <v>0</v>
      </c>
      <c r="AH321" s="947"/>
      <c r="AI321" s="1040"/>
      <c r="AJ321" s="926"/>
      <c r="AK321" s="926">
        <f>I321</f>
        <v>11296</v>
      </c>
      <c r="AL321" s="858">
        <f>I321</f>
        <v>11296</v>
      </c>
      <c r="AM321" s="858"/>
      <c r="AN321" s="858"/>
      <c r="AO321" s="858">
        <f>I321</f>
        <v>11296</v>
      </c>
      <c r="BE321" s="925"/>
      <c r="BF321" s="925"/>
      <c r="BG321" s="925"/>
      <c r="BH321" s="925"/>
      <c r="BI321" s="925"/>
      <c r="BN321" s="939"/>
      <c r="BO321" s="939"/>
      <c r="BP321" s="939"/>
      <c r="BQ321" s="939"/>
      <c r="BR321" s="939"/>
      <c r="BS321" s="939"/>
      <c r="BX321" s="939"/>
      <c r="BY321" s="939"/>
      <c r="BZ321" s="939"/>
      <c r="CA321" s="939"/>
      <c r="CB321" s="939"/>
      <c r="CC321" s="939"/>
      <c r="CH321" s="940"/>
      <c r="CI321" s="940"/>
      <c r="CJ321" s="940"/>
      <c r="CK321" s="940"/>
      <c r="CL321" s="940"/>
      <c r="CM321" s="940"/>
      <c r="CN321" s="940"/>
      <c r="CO321" s="940"/>
      <c r="CP321" s="940"/>
      <c r="CQ321" s="940"/>
      <c r="CR321" s="940"/>
      <c r="CS321" s="940"/>
      <c r="CT321" s="940"/>
      <c r="CU321" s="940"/>
      <c r="CV321" s="940"/>
      <c r="CW321" s="940"/>
      <c r="CX321" s="940"/>
      <c r="CY321" s="940"/>
      <c r="CZ321" s="940"/>
      <c r="DA321" s="940"/>
      <c r="DB321" s="940"/>
      <c r="DC321" s="940"/>
    </row>
    <row r="322" s="857" customFormat="1" ht="31" customHeight="1" spans="1:107">
      <c r="A322" s="923">
        <v>46154</v>
      </c>
      <c r="B322" s="924" t="s">
        <v>761</v>
      </c>
      <c r="C322" s="925" t="s">
        <v>632</v>
      </c>
      <c r="D322" s="857" t="s">
        <v>2684</v>
      </c>
      <c r="E322" s="926" t="s">
        <v>2685</v>
      </c>
      <c r="F322" s="857" t="s">
        <v>2686</v>
      </c>
      <c r="G322" s="927" t="s">
        <v>1746</v>
      </c>
      <c r="H322" s="928" t="s">
        <v>2549</v>
      </c>
      <c r="I322" s="1042">
        <v>24</v>
      </c>
      <c r="J322" s="928">
        <v>0</v>
      </c>
      <c r="K322" s="928">
        <v>12</v>
      </c>
      <c r="L322" s="929">
        <f t="shared" si="122"/>
        <v>2</v>
      </c>
      <c r="M322" s="930">
        <v>46204</v>
      </c>
      <c r="N322" s="1066">
        <v>46204</v>
      </c>
      <c r="O322" s="926"/>
      <c r="P322" s="1068" t="s">
        <v>86</v>
      </c>
      <c r="Q322" s="926"/>
      <c r="R322" s="932">
        <v>46154</v>
      </c>
      <c r="S322" s="932" t="s">
        <v>88</v>
      </c>
      <c r="T322" s="1067" t="s">
        <v>2687</v>
      </c>
      <c r="U322" s="932"/>
      <c r="V322" s="933" t="s">
        <v>2688</v>
      </c>
      <c r="W322" s="934" t="s">
        <v>731</v>
      </c>
      <c r="X322" s="1043">
        <v>2.8011</v>
      </c>
      <c r="Y322" s="936">
        <f t="shared" si="123"/>
        <v>67.2264</v>
      </c>
      <c r="Z322" s="936"/>
      <c r="AA322" s="926"/>
      <c r="AB322" s="926" t="s">
        <v>2442</v>
      </c>
      <c r="AC322" s="926" t="s">
        <v>93</v>
      </c>
      <c r="AD322" s="1071" t="s">
        <v>94</v>
      </c>
      <c r="AE322" s="926"/>
      <c r="AF322" s="946">
        <v>24</v>
      </c>
      <c r="AG322" s="946">
        <f t="shared" si="124"/>
        <v>0</v>
      </c>
      <c r="AH322" s="947"/>
      <c r="AI322" s="926"/>
      <c r="AJ322" s="926"/>
      <c r="AK322" s="926">
        <f t="shared" ref="AK322:AK329" si="125">I322*2</f>
        <v>48</v>
      </c>
      <c r="AL322" s="858"/>
      <c r="AM322" s="858">
        <f>I322*2</f>
        <v>48</v>
      </c>
      <c r="AN322" s="928"/>
      <c r="AO322" s="857">
        <f t="shared" ref="AO322:AO329" si="126">I322*2</f>
        <v>48</v>
      </c>
      <c r="BE322" s="925"/>
      <c r="BF322" s="925"/>
      <c r="BG322" s="925"/>
      <c r="BH322" s="925"/>
      <c r="BI322" s="925"/>
      <c r="BJ322" s="857">
        <f t="shared" ref="BJ322:BJ329" si="127">I322</f>
        <v>24</v>
      </c>
      <c r="BK322" s="857">
        <f t="shared" ref="BK322:BK329" si="128">I322</f>
        <v>24</v>
      </c>
      <c r="BL322" s="857">
        <f t="shared" ref="BL322:BL329" si="129">I322</f>
        <v>24</v>
      </c>
      <c r="BN322" s="939"/>
      <c r="BO322" s="939"/>
      <c r="BP322" s="939"/>
      <c r="BQ322" s="939"/>
      <c r="BR322" s="939"/>
      <c r="BS322" s="939"/>
      <c r="BV322" s="857">
        <f t="shared" ref="BV322:BV334" si="130">AT322+AU322+AY322</f>
        <v>0</v>
      </c>
      <c r="BW322" s="857">
        <f t="shared" ref="BW322:BW334" si="131">BF322+BG322+BI322</f>
        <v>0</v>
      </c>
      <c r="BX322" s="939">
        <f t="shared" ref="BX322:BX329" si="132">AK322+BX275</f>
        <v>997485</v>
      </c>
      <c r="BY322" s="939"/>
      <c r="BZ322" s="939"/>
      <c r="CA322" s="939"/>
      <c r="CB322" s="939">
        <f t="shared" ref="CB322:CB334" si="133">$BZ$1+$CA$1+$CB$1-BX322</f>
        <v>302515</v>
      </c>
      <c r="CC322" s="939"/>
      <c r="CH322" s="940"/>
      <c r="CI322" s="940"/>
      <c r="CJ322" s="940"/>
      <c r="CK322" s="940"/>
      <c r="CL322" s="940"/>
      <c r="CM322" s="940"/>
      <c r="CN322" s="940"/>
      <c r="CO322" s="940"/>
      <c r="CP322" s="940"/>
      <c r="CQ322" s="940"/>
      <c r="CR322" s="940"/>
      <c r="CS322" s="940"/>
      <c r="CT322" s="940"/>
      <c r="CU322" s="940"/>
      <c r="CV322" s="940"/>
      <c r="CW322" s="940"/>
      <c r="CX322" s="940"/>
      <c r="CY322" s="940"/>
      <c r="CZ322" s="940"/>
      <c r="DA322" s="940"/>
      <c r="DB322" s="940"/>
      <c r="DC322" s="940"/>
    </row>
    <row r="323" s="857" customFormat="1" ht="31" customHeight="1" spans="1:107">
      <c r="A323" s="923">
        <v>46154</v>
      </c>
      <c r="B323" s="924" t="s">
        <v>761</v>
      </c>
      <c r="C323" s="925" t="s">
        <v>632</v>
      </c>
      <c r="D323" s="857" t="s">
        <v>2684</v>
      </c>
      <c r="E323" s="926" t="s">
        <v>2689</v>
      </c>
      <c r="F323" s="857" t="s">
        <v>2690</v>
      </c>
      <c r="G323" s="927" t="s">
        <v>1746</v>
      </c>
      <c r="H323" s="928" t="s">
        <v>2549</v>
      </c>
      <c r="I323" s="1042">
        <v>12</v>
      </c>
      <c r="J323" s="928">
        <v>0</v>
      </c>
      <c r="K323" s="928">
        <v>12</v>
      </c>
      <c r="L323" s="929">
        <f t="shared" si="122"/>
        <v>1</v>
      </c>
      <c r="M323" s="930">
        <v>46204</v>
      </c>
      <c r="N323" s="1066">
        <v>46204</v>
      </c>
      <c r="O323" s="926"/>
      <c r="P323" s="1068" t="s">
        <v>86</v>
      </c>
      <c r="Q323" s="926"/>
      <c r="R323" s="932">
        <v>46154</v>
      </c>
      <c r="S323" s="932" t="s">
        <v>88</v>
      </c>
      <c r="T323" s="1067" t="s">
        <v>2687</v>
      </c>
      <c r="U323" s="932"/>
      <c r="V323" s="933" t="s">
        <v>2688</v>
      </c>
      <c r="W323" s="934" t="s">
        <v>731</v>
      </c>
      <c r="X323" s="1043">
        <v>2.8011</v>
      </c>
      <c r="Y323" s="936">
        <f t="shared" si="123"/>
        <v>33.6132</v>
      </c>
      <c r="Z323" s="936"/>
      <c r="AA323" s="926"/>
      <c r="AB323" s="926" t="s">
        <v>2442</v>
      </c>
      <c r="AC323" s="926" t="s">
        <v>93</v>
      </c>
      <c r="AD323" s="1071" t="s">
        <v>94</v>
      </c>
      <c r="AE323" s="926"/>
      <c r="AF323" s="946">
        <v>12</v>
      </c>
      <c r="AG323" s="946">
        <f t="shared" si="124"/>
        <v>0</v>
      </c>
      <c r="AH323" s="947"/>
      <c r="AI323" s="926"/>
      <c r="AJ323" s="926"/>
      <c r="AK323" s="926">
        <f t="shared" si="125"/>
        <v>24</v>
      </c>
      <c r="AL323" s="858"/>
      <c r="AM323" s="858">
        <f t="shared" ref="AM323:AM329" si="134">I323*2</f>
        <v>24</v>
      </c>
      <c r="AN323" s="928"/>
      <c r="AO323" s="857">
        <f t="shared" si="126"/>
        <v>24</v>
      </c>
      <c r="BE323" s="925"/>
      <c r="BF323" s="925"/>
      <c r="BG323" s="925"/>
      <c r="BH323" s="925"/>
      <c r="BI323" s="925"/>
      <c r="BJ323" s="857">
        <f t="shared" si="127"/>
        <v>12</v>
      </c>
      <c r="BK323" s="857">
        <f t="shared" si="128"/>
        <v>12</v>
      </c>
      <c r="BL323" s="857">
        <f t="shared" si="129"/>
        <v>12</v>
      </c>
      <c r="BN323" s="939"/>
      <c r="BO323" s="939"/>
      <c r="BP323" s="939"/>
      <c r="BQ323" s="939"/>
      <c r="BR323" s="939"/>
      <c r="BS323" s="939"/>
      <c r="BV323" s="857">
        <f t="shared" si="130"/>
        <v>0</v>
      </c>
      <c r="BW323" s="857">
        <f t="shared" si="131"/>
        <v>0</v>
      </c>
      <c r="BX323" s="939">
        <f t="shared" si="132"/>
        <v>998865</v>
      </c>
      <c r="BY323" s="939"/>
      <c r="BZ323" s="939"/>
      <c r="CA323" s="939"/>
      <c r="CB323" s="939">
        <f t="shared" si="133"/>
        <v>301135</v>
      </c>
      <c r="CC323" s="939"/>
      <c r="CH323" s="940"/>
      <c r="CI323" s="940"/>
      <c r="CJ323" s="940"/>
      <c r="CK323" s="940"/>
      <c r="CL323" s="940"/>
      <c r="CM323" s="940"/>
      <c r="CN323" s="940"/>
      <c r="CO323" s="940"/>
      <c r="CP323" s="940"/>
      <c r="CQ323" s="940"/>
      <c r="CR323" s="940"/>
      <c r="CS323" s="940"/>
      <c r="CT323" s="940"/>
      <c r="CU323" s="940"/>
      <c r="CV323" s="940"/>
      <c r="CW323" s="940"/>
      <c r="CX323" s="940"/>
      <c r="CY323" s="940"/>
      <c r="CZ323" s="940"/>
      <c r="DA323" s="940"/>
      <c r="DB323" s="940"/>
      <c r="DC323" s="940"/>
    </row>
    <row r="324" s="857" customFormat="1" ht="31" customHeight="1" spans="1:107">
      <c r="A324" s="923">
        <v>46154</v>
      </c>
      <c r="B324" s="924" t="s">
        <v>761</v>
      </c>
      <c r="C324" s="925" t="s">
        <v>632</v>
      </c>
      <c r="D324" s="857" t="s">
        <v>2684</v>
      </c>
      <c r="E324" s="926" t="s">
        <v>2691</v>
      </c>
      <c r="F324" s="857" t="s">
        <v>2692</v>
      </c>
      <c r="G324" s="927" t="s">
        <v>1746</v>
      </c>
      <c r="H324" s="928" t="s">
        <v>2549</v>
      </c>
      <c r="I324" s="1042">
        <v>72</v>
      </c>
      <c r="J324" s="928">
        <v>0</v>
      </c>
      <c r="K324" s="928">
        <v>12</v>
      </c>
      <c r="L324" s="929">
        <f t="shared" si="122"/>
        <v>6</v>
      </c>
      <c r="M324" s="930">
        <v>46204</v>
      </c>
      <c r="N324" s="1066">
        <v>46204</v>
      </c>
      <c r="O324" s="926"/>
      <c r="P324" s="1068" t="s">
        <v>86</v>
      </c>
      <c r="Q324" s="926"/>
      <c r="R324" s="932">
        <v>46154</v>
      </c>
      <c r="S324" s="932" t="s">
        <v>88</v>
      </c>
      <c r="T324" s="1067" t="s">
        <v>2687</v>
      </c>
      <c r="U324" s="932"/>
      <c r="V324" s="933" t="s">
        <v>2688</v>
      </c>
      <c r="W324" s="934" t="s">
        <v>731</v>
      </c>
      <c r="X324" s="1043">
        <v>2.8011</v>
      </c>
      <c r="Y324" s="936">
        <f t="shared" si="123"/>
        <v>201.6792</v>
      </c>
      <c r="Z324" s="936"/>
      <c r="AA324" s="926"/>
      <c r="AB324" s="926" t="s">
        <v>2442</v>
      </c>
      <c r="AC324" s="926" t="s">
        <v>93</v>
      </c>
      <c r="AD324" s="1071" t="s">
        <v>94</v>
      </c>
      <c r="AE324" s="926"/>
      <c r="AF324" s="946">
        <v>72</v>
      </c>
      <c r="AG324" s="946">
        <f t="shared" si="124"/>
        <v>0</v>
      </c>
      <c r="AH324" s="947"/>
      <c r="AI324" s="926"/>
      <c r="AJ324" s="926"/>
      <c r="AK324" s="926">
        <f t="shared" si="125"/>
        <v>144</v>
      </c>
      <c r="AL324" s="858"/>
      <c r="AM324" s="858">
        <f t="shared" si="134"/>
        <v>144</v>
      </c>
      <c r="AN324" s="928"/>
      <c r="AO324" s="857">
        <f t="shared" si="126"/>
        <v>144</v>
      </c>
      <c r="BE324" s="925"/>
      <c r="BF324" s="925"/>
      <c r="BG324" s="925"/>
      <c r="BH324" s="925"/>
      <c r="BI324" s="925"/>
      <c r="BJ324" s="857">
        <f t="shared" si="127"/>
        <v>72</v>
      </c>
      <c r="BK324" s="857">
        <f t="shared" si="128"/>
        <v>72</v>
      </c>
      <c r="BL324" s="857">
        <f t="shared" si="129"/>
        <v>72</v>
      </c>
      <c r="BN324" s="939"/>
      <c r="BO324" s="939"/>
      <c r="BP324" s="939"/>
      <c r="BQ324" s="939"/>
      <c r="BR324" s="939"/>
      <c r="BS324" s="939"/>
      <c r="BV324" s="857">
        <f t="shared" si="130"/>
        <v>0</v>
      </c>
      <c r="BW324" s="857">
        <f t="shared" si="131"/>
        <v>0</v>
      </c>
      <c r="BX324" s="939">
        <f t="shared" si="132"/>
        <v>999089</v>
      </c>
      <c r="BY324" s="939"/>
      <c r="BZ324" s="939"/>
      <c r="CA324" s="939"/>
      <c r="CB324" s="939">
        <f t="shared" si="133"/>
        <v>300911</v>
      </c>
      <c r="CC324" s="939"/>
      <c r="CH324" s="940"/>
      <c r="CI324" s="940"/>
      <c r="CJ324" s="940"/>
      <c r="CK324" s="940"/>
      <c r="CL324" s="940"/>
      <c r="CM324" s="940"/>
      <c r="CN324" s="940"/>
      <c r="CO324" s="940"/>
      <c r="CP324" s="940"/>
      <c r="CQ324" s="940"/>
      <c r="CR324" s="940"/>
      <c r="CS324" s="940"/>
      <c r="CT324" s="940"/>
      <c r="CU324" s="940"/>
      <c r="CV324" s="940"/>
      <c r="CW324" s="940"/>
      <c r="CX324" s="940"/>
      <c r="CY324" s="940"/>
      <c r="CZ324" s="940"/>
      <c r="DA324" s="940"/>
      <c r="DB324" s="940"/>
      <c r="DC324" s="940"/>
    </row>
    <row r="325" s="857" customFormat="1" ht="31" customHeight="1" spans="1:107">
      <c r="A325" s="923">
        <v>46154</v>
      </c>
      <c r="B325" s="924" t="s">
        <v>761</v>
      </c>
      <c r="C325" s="925" t="s">
        <v>632</v>
      </c>
      <c r="D325" s="857" t="s">
        <v>2684</v>
      </c>
      <c r="E325" s="926" t="s">
        <v>2693</v>
      </c>
      <c r="F325" s="857" t="s">
        <v>2694</v>
      </c>
      <c r="G325" s="927" t="s">
        <v>1746</v>
      </c>
      <c r="H325" s="928" t="s">
        <v>2549</v>
      </c>
      <c r="I325" s="1042">
        <v>60</v>
      </c>
      <c r="J325" s="928">
        <v>0</v>
      </c>
      <c r="K325" s="928">
        <v>12</v>
      </c>
      <c r="L325" s="929">
        <f t="shared" si="122"/>
        <v>5</v>
      </c>
      <c r="M325" s="930">
        <v>46204</v>
      </c>
      <c r="N325" s="1066">
        <v>46204</v>
      </c>
      <c r="O325" s="926"/>
      <c r="P325" s="1068" t="s">
        <v>86</v>
      </c>
      <c r="Q325" s="926"/>
      <c r="R325" s="932">
        <v>46154</v>
      </c>
      <c r="S325" s="932" t="s">
        <v>88</v>
      </c>
      <c r="T325" s="1067" t="s">
        <v>2687</v>
      </c>
      <c r="U325" s="932"/>
      <c r="V325" s="933" t="s">
        <v>2688</v>
      </c>
      <c r="W325" s="934" t="s">
        <v>731</v>
      </c>
      <c r="X325" s="1043">
        <v>2.8011</v>
      </c>
      <c r="Y325" s="936">
        <f t="shared" si="123"/>
        <v>168.066</v>
      </c>
      <c r="Z325" s="936"/>
      <c r="AA325" s="926"/>
      <c r="AB325" s="926" t="s">
        <v>2442</v>
      </c>
      <c r="AC325" s="926" t="s">
        <v>93</v>
      </c>
      <c r="AD325" s="1071" t="s">
        <v>94</v>
      </c>
      <c r="AE325" s="926"/>
      <c r="AF325" s="946">
        <v>60</v>
      </c>
      <c r="AG325" s="946">
        <f t="shared" si="124"/>
        <v>0</v>
      </c>
      <c r="AH325" s="947"/>
      <c r="AI325" s="926"/>
      <c r="AJ325" s="926"/>
      <c r="AK325" s="926">
        <f t="shared" si="125"/>
        <v>120</v>
      </c>
      <c r="AL325" s="858"/>
      <c r="AM325" s="858">
        <f t="shared" si="134"/>
        <v>120</v>
      </c>
      <c r="AN325" s="928"/>
      <c r="AO325" s="857">
        <f t="shared" si="126"/>
        <v>120</v>
      </c>
      <c r="BE325" s="925"/>
      <c r="BF325" s="925"/>
      <c r="BG325" s="925"/>
      <c r="BH325" s="925"/>
      <c r="BI325" s="925"/>
      <c r="BJ325" s="857">
        <f t="shared" si="127"/>
        <v>60</v>
      </c>
      <c r="BK325" s="857">
        <f t="shared" si="128"/>
        <v>60</v>
      </c>
      <c r="BL325" s="857">
        <f t="shared" si="129"/>
        <v>60</v>
      </c>
      <c r="BN325" s="939"/>
      <c r="BO325" s="939"/>
      <c r="BP325" s="939"/>
      <c r="BQ325" s="939"/>
      <c r="BR325" s="939"/>
      <c r="BS325" s="939"/>
      <c r="BV325" s="857">
        <f t="shared" si="130"/>
        <v>0</v>
      </c>
      <c r="BW325" s="857">
        <f t="shared" si="131"/>
        <v>0</v>
      </c>
      <c r="BX325" s="939">
        <f t="shared" si="132"/>
        <v>995757</v>
      </c>
      <c r="BY325" s="939"/>
      <c r="BZ325" s="939"/>
      <c r="CA325" s="939"/>
      <c r="CB325" s="939">
        <f t="shared" si="133"/>
        <v>304243</v>
      </c>
      <c r="CC325" s="939"/>
      <c r="CH325" s="940"/>
      <c r="CI325" s="940"/>
      <c r="CJ325" s="940"/>
      <c r="CK325" s="940"/>
      <c r="CL325" s="940"/>
      <c r="CM325" s="940"/>
      <c r="CN325" s="940"/>
      <c r="CO325" s="940"/>
      <c r="CP325" s="940"/>
      <c r="CQ325" s="940"/>
      <c r="CR325" s="940"/>
      <c r="CS325" s="940"/>
      <c r="CT325" s="940"/>
      <c r="CU325" s="940"/>
      <c r="CV325" s="940"/>
      <c r="CW325" s="940"/>
      <c r="CX325" s="940"/>
      <c r="CY325" s="940"/>
      <c r="CZ325" s="940"/>
      <c r="DA325" s="940"/>
      <c r="DB325" s="940"/>
      <c r="DC325" s="940"/>
    </row>
    <row r="326" s="857" customFormat="1" ht="31" customHeight="1" spans="1:107">
      <c r="A326" s="923">
        <v>46154</v>
      </c>
      <c r="B326" s="924" t="s">
        <v>761</v>
      </c>
      <c r="C326" s="925" t="s">
        <v>632</v>
      </c>
      <c r="D326" s="857" t="s">
        <v>2684</v>
      </c>
      <c r="E326" s="926" t="s">
        <v>2695</v>
      </c>
      <c r="F326" s="857" t="s">
        <v>2696</v>
      </c>
      <c r="G326" s="927" t="s">
        <v>1746</v>
      </c>
      <c r="H326" s="928" t="s">
        <v>2549</v>
      </c>
      <c r="I326" s="1042">
        <v>84</v>
      </c>
      <c r="J326" s="928">
        <v>0</v>
      </c>
      <c r="K326" s="928">
        <v>12</v>
      </c>
      <c r="L326" s="929">
        <f t="shared" si="122"/>
        <v>7</v>
      </c>
      <c r="M326" s="930">
        <v>46204</v>
      </c>
      <c r="N326" s="1066">
        <v>46204</v>
      </c>
      <c r="O326" s="926"/>
      <c r="P326" s="1068" t="s">
        <v>86</v>
      </c>
      <c r="Q326" s="926"/>
      <c r="R326" s="932">
        <v>46154</v>
      </c>
      <c r="S326" s="932" t="s">
        <v>88</v>
      </c>
      <c r="T326" s="1067" t="s">
        <v>2687</v>
      </c>
      <c r="U326" s="932"/>
      <c r="V326" s="933" t="s">
        <v>2688</v>
      </c>
      <c r="W326" s="934" t="s">
        <v>731</v>
      </c>
      <c r="X326" s="1043">
        <v>2.8011</v>
      </c>
      <c r="Y326" s="936">
        <f t="shared" si="123"/>
        <v>235.2924</v>
      </c>
      <c r="Z326" s="936"/>
      <c r="AA326" s="926"/>
      <c r="AB326" s="926" t="s">
        <v>2442</v>
      </c>
      <c r="AC326" s="926" t="s">
        <v>93</v>
      </c>
      <c r="AD326" s="1071" t="s">
        <v>94</v>
      </c>
      <c r="AE326" s="926"/>
      <c r="AF326" s="946">
        <v>87</v>
      </c>
      <c r="AG326" s="946">
        <f t="shared" si="124"/>
        <v>3</v>
      </c>
      <c r="AH326" s="947"/>
      <c r="AI326" s="926"/>
      <c r="AJ326" s="926"/>
      <c r="AK326" s="926">
        <f t="shared" si="125"/>
        <v>168</v>
      </c>
      <c r="AL326" s="858"/>
      <c r="AM326" s="858">
        <f t="shared" si="134"/>
        <v>168</v>
      </c>
      <c r="AN326" s="928"/>
      <c r="AO326" s="857">
        <f t="shared" si="126"/>
        <v>168</v>
      </c>
      <c r="BE326" s="925"/>
      <c r="BF326" s="925"/>
      <c r="BG326" s="925"/>
      <c r="BH326" s="925"/>
      <c r="BI326" s="925"/>
      <c r="BJ326" s="857">
        <f t="shared" si="127"/>
        <v>84</v>
      </c>
      <c r="BK326" s="857">
        <f t="shared" si="128"/>
        <v>84</v>
      </c>
      <c r="BL326" s="857">
        <f t="shared" si="129"/>
        <v>84</v>
      </c>
      <c r="BN326" s="939"/>
      <c r="BO326" s="939"/>
      <c r="BP326" s="939"/>
      <c r="BQ326" s="939"/>
      <c r="BR326" s="939"/>
      <c r="BS326" s="939"/>
      <c r="BV326" s="857">
        <f t="shared" si="130"/>
        <v>0</v>
      </c>
      <c r="BW326" s="857">
        <f t="shared" si="131"/>
        <v>0</v>
      </c>
      <c r="BX326" s="939">
        <f t="shared" si="132"/>
        <v>995961</v>
      </c>
      <c r="BY326" s="939"/>
      <c r="BZ326" s="939"/>
      <c r="CA326" s="939"/>
      <c r="CB326" s="939">
        <f t="shared" si="133"/>
        <v>304039</v>
      </c>
      <c r="CC326" s="939"/>
      <c r="CH326" s="940"/>
      <c r="CI326" s="940"/>
      <c r="CJ326" s="940"/>
      <c r="CK326" s="940"/>
      <c r="CL326" s="940"/>
      <c r="CM326" s="940"/>
      <c r="CN326" s="940"/>
      <c r="CO326" s="940"/>
      <c r="CP326" s="940"/>
      <c r="CQ326" s="940"/>
      <c r="CR326" s="940"/>
      <c r="CS326" s="940"/>
      <c r="CT326" s="940"/>
      <c r="CU326" s="940"/>
      <c r="CV326" s="940"/>
      <c r="CW326" s="940"/>
      <c r="CX326" s="940"/>
      <c r="CY326" s="940"/>
      <c r="CZ326" s="940"/>
      <c r="DA326" s="940"/>
      <c r="DB326" s="940"/>
      <c r="DC326" s="940"/>
    </row>
    <row r="327" s="857" customFormat="1" ht="31" customHeight="1" spans="1:107">
      <c r="A327" s="923">
        <v>46154</v>
      </c>
      <c r="B327" s="924" t="s">
        <v>761</v>
      </c>
      <c r="C327" s="925" t="s">
        <v>632</v>
      </c>
      <c r="D327" s="857" t="s">
        <v>2684</v>
      </c>
      <c r="E327" s="926" t="s">
        <v>2697</v>
      </c>
      <c r="F327" s="857" t="s">
        <v>2698</v>
      </c>
      <c r="G327" s="927" t="s">
        <v>1746</v>
      </c>
      <c r="H327" s="928" t="s">
        <v>2549</v>
      </c>
      <c r="I327" s="1042">
        <v>24</v>
      </c>
      <c r="J327" s="928">
        <v>0</v>
      </c>
      <c r="K327" s="928">
        <v>12</v>
      </c>
      <c r="L327" s="929">
        <f t="shared" si="122"/>
        <v>2</v>
      </c>
      <c r="M327" s="930">
        <v>46204</v>
      </c>
      <c r="N327" s="1066">
        <v>46204</v>
      </c>
      <c r="O327" s="926"/>
      <c r="P327" s="1068" t="s">
        <v>86</v>
      </c>
      <c r="Q327" s="926"/>
      <c r="R327" s="932">
        <v>46154</v>
      </c>
      <c r="S327" s="932" t="s">
        <v>88</v>
      </c>
      <c r="T327" s="1067" t="s">
        <v>2687</v>
      </c>
      <c r="U327" s="932"/>
      <c r="V327" s="933" t="s">
        <v>2688</v>
      </c>
      <c r="W327" s="934" t="s">
        <v>731</v>
      </c>
      <c r="X327" s="1043">
        <v>2.8011</v>
      </c>
      <c r="Y327" s="936">
        <f t="shared" si="123"/>
        <v>67.2264</v>
      </c>
      <c r="Z327" s="936"/>
      <c r="AA327" s="926"/>
      <c r="AB327" s="926" t="s">
        <v>2442</v>
      </c>
      <c r="AC327" s="926" t="s">
        <v>93</v>
      </c>
      <c r="AD327" s="1071" t="s">
        <v>94</v>
      </c>
      <c r="AE327" s="926"/>
      <c r="AF327" s="946">
        <v>24</v>
      </c>
      <c r="AG327" s="946">
        <f t="shared" si="124"/>
        <v>0</v>
      </c>
      <c r="AH327" s="947"/>
      <c r="AI327" s="926"/>
      <c r="AJ327" s="926"/>
      <c r="AK327" s="926">
        <f t="shared" si="125"/>
        <v>48</v>
      </c>
      <c r="AL327" s="858"/>
      <c r="AM327" s="858">
        <f t="shared" si="134"/>
        <v>48</v>
      </c>
      <c r="AN327" s="928"/>
      <c r="AO327" s="857">
        <f t="shared" si="126"/>
        <v>48</v>
      </c>
      <c r="BE327" s="925"/>
      <c r="BF327" s="925"/>
      <c r="BG327" s="925"/>
      <c r="BH327" s="925"/>
      <c r="BI327" s="925"/>
      <c r="BJ327" s="857">
        <f t="shared" si="127"/>
        <v>24</v>
      </c>
      <c r="BK327" s="857">
        <f t="shared" si="128"/>
        <v>24</v>
      </c>
      <c r="BL327" s="857">
        <f t="shared" si="129"/>
        <v>24</v>
      </c>
      <c r="BN327" s="939"/>
      <c r="BO327" s="939"/>
      <c r="BP327" s="939"/>
      <c r="BQ327" s="939"/>
      <c r="BR327" s="939"/>
      <c r="BS327" s="939"/>
      <c r="BV327" s="857">
        <f t="shared" si="130"/>
        <v>0</v>
      </c>
      <c r="BW327" s="857">
        <f t="shared" si="131"/>
        <v>0</v>
      </c>
      <c r="BX327" s="939">
        <f t="shared" si="132"/>
        <v>1000416</v>
      </c>
      <c r="BY327" s="939"/>
      <c r="BZ327" s="939"/>
      <c r="CA327" s="939"/>
      <c r="CB327" s="939">
        <f t="shared" si="133"/>
        <v>299584</v>
      </c>
      <c r="CC327" s="939"/>
      <c r="CH327" s="940"/>
      <c r="CI327" s="940"/>
      <c r="CJ327" s="940"/>
      <c r="CK327" s="940"/>
      <c r="CL327" s="940"/>
      <c r="CM327" s="940"/>
      <c r="CN327" s="940"/>
      <c r="CO327" s="940"/>
      <c r="CP327" s="940"/>
      <c r="CQ327" s="940"/>
      <c r="CR327" s="940"/>
      <c r="CS327" s="940"/>
      <c r="CT327" s="940"/>
      <c r="CU327" s="940"/>
      <c r="CV327" s="940"/>
      <c r="CW327" s="940"/>
      <c r="CX327" s="940"/>
      <c r="CY327" s="940"/>
      <c r="CZ327" s="940"/>
      <c r="DA327" s="940"/>
      <c r="DB327" s="940"/>
      <c r="DC327" s="940"/>
    </row>
    <row r="328" s="857" customFormat="1" ht="31" customHeight="1" spans="1:107">
      <c r="A328" s="923">
        <v>46154</v>
      </c>
      <c r="B328" s="924" t="s">
        <v>761</v>
      </c>
      <c r="C328" s="925" t="s">
        <v>632</v>
      </c>
      <c r="D328" s="857" t="s">
        <v>2684</v>
      </c>
      <c r="E328" s="926" t="s">
        <v>2699</v>
      </c>
      <c r="F328" s="857" t="s">
        <v>2700</v>
      </c>
      <c r="G328" s="927" t="s">
        <v>1746</v>
      </c>
      <c r="H328" s="928" t="s">
        <v>2549</v>
      </c>
      <c r="I328" s="1042">
        <v>36</v>
      </c>
      <c r="J328" s="928">
        <v>0</v>
      </c>
      <c r="K328" s="928">
        <v>12</v>
      </c>
      <c r="L328" s="929">
        <f t="shared" si="122"/>
        <v>3</v>
      </c>
      <c r="M328" s="930">
        <v>46204</v>
      </c>
      <c r="N328" s="1066">
        <v>46204</v>
      </c>
      <c r="O328" s="926"/>
      <c r="P328" s="1068" t="s">
        <v>86</v>
      </c>
      <c r="Q328" s="926"/>
      <c r="R328" s="932">
        <v>46154</v>
      </c>
      <c r="S328" s="932" t="s">
        <v>88</v>
      </c>
      <c r="T328" s="1067" t="s">
        <v>2687</v>
      </c>
      <c r="U328" s="932"/>
      <c r="V328" s="933" t="s">
        <v>2688</v>
      </c>
      <c r="W328" s="934" t="s">
        <v>731</v>
      </c>
      <c r="X328" s="1043">
        <v>2.8011</v>
      </c>
      <c r="Y328" s="936">
        <f t="shared" si="123"/>
        <v>100.8396</v>
      </c>
      <c r="Z328" s="936"/>
      <c r="AA328" s="926"/>
      <c r="AB328" s="926" t="s">
        <v>2442</v>
      </c>
      <c r="AC328" s="926" t="s">
        <v>93</v>
      </c>
      <c r="AD328" s="1071" t="s">
        <v>94</v>
      </c>
      <c r="AE328" s="926"/>
      <c r="AF328" s="946">
        <v>36</v>
      </c>
      <c r="AG328" s="946">
        <f t="shared" si="124"/>
        <v>0</v>
      </c>
      <c r="AH328" s="947"/>
      <c r="AI328" s="926"/>
      <c r="AJ328" s="926"/>
      <c r="AK328" s="926">
        <f t="shared" si="125"/>
        <v>72</v>
      </c>
      <c r="AL328" s="858"/>
      <c r="AM328" s="858">
        <f t="shared" si="134"/>
        <v>72</v>
      </c>
      <c r="AN328" s="928"/>
      <c r="AO328" s="857">
        <f t="shared" si="126"/>
        <v>72</v>
      </c>
      <c r="BE328" s="925"/>
      <c r="BF328" s="925"/>
      <c r="BG328" s="925"/>
      <c r="BH328" s="925"/>
      <c r="BI328" s="925"/>
      <c r="BJ328" s="857">
        <f t="shared" si="127"/>
        <v>36</v>
      </c>
      <c r="BK328" s="857">
        <f t="shared" si="128"/>
        <v>36</v>
      </c>
      <c r="BL328" s="857">
        <f t="shared" si="129"/>
        <v>36</v>
      </c>
      <c r="BN328" s="939"/>
      <c r="BO328" s="939"/>
      <c r="BP328" s="939"/>
      <c r="BQ328" s="939"/>
      <c r="BR328" s="939"/>
      <c r="BS328" s="939"/>
      <c r="BV328" s="857">
        <f t="shared" si="130"/>
        <v>0</v>
      </c>
      <c r="BW328" s="857">
        <f t="shared" si="131"/>
        <v>0</v>
      </c>
      <c r="BX328" s="939">
        <f t="shared" si="132"/>
        <v>1002740</v>
      </c>
      <c r="BY328" s="939"/>
      <c r="BZ328" s="939"/>
      <c r="CA328" s="939"/>
      <c r="CB328" s="939">
        <f t="shared" si="133"/>
        <v>297260</v>
      </c>
      <c r="CC328" s="939"/>
      <c r="CH328" s="940"/>
      <c r="CI328" s="940"/>
      <c r="CJ328" s="940"/>
      <c r="CK328" s="940"/>
      <c r="CL328" s="940"/>
      <c r="CM328" s="940"/>
      <c r="CN328" s="940"/>
      <c r="CO328" s="940"/>
      <c r="CP328" s="940"/>
      <c r="CQ328" s="940"/>
      <c r="CR328" s="940"/>
      <c r="CS328" s="940"/>
      <c r="CT328" s="940"/>
      <c r="CU328" s="940"/>
      <c r="CV328" s="940"/>
      <c r="CW328" s="940"/>
      <c r="CX328" s="940"/>
      <c r="CY328" s="940"/>
      <c r="CZ328" s="940"/>
      <c r="DA328" s="940"/>
      <c r="DB328" s="940"/>
      <c r="DC328" s="940"/>
    </row>
    <row r="329" s="857" customFormat="1" ht="31" customHeight="1" spans="1:107">
      <c r="A329" s="923">
        <v>46154</v>
      </c>
      <c r="B329" s="924" t="s">
        <v>761</v>
      </c>
      <c r="C329" s="925" t="s">
        <v>632</v>
      </c>
      <c r="D329" s="857" t="s">
        <v>2684</v>
      </c>
      <c r="E329" s="926" t="s">
        <v>2701</v>
      </c>
      <c r="F329" s="857" t="s">
        <v>2702</v>
      </c>
      <c r="G329" s="927" t="s">
        <v>1746</v>
      </c>
      <c r="H329" s="928" t="s">
        <v>2549</v>
      </c>
      <c r="I329" s="1042">
        <v>48</v>
      </c>
      <c r="J329" s="928">
        <v>0</v>
      </c>
      <c r="K329" s="928">
        <v>12</v>
      </c>
      <c r="L329" s="929">
        <f t="shared" si="122"/>
        <v>4</v>
      </c>
      <c r="M329" s="930">
        <v>46204</v>
      </c>
      <c r="N329" s="1066">
        <v>46204</v>
      </c>
      <c r="O329" s="926"/>
      <c r="P329" s="1068" t="s">
        <v>86</v>
      </c>
      <c r="Q329" s="926"/>
      <c r="R329" s="932">
        <v>46154</v>
      </c>
      <c r="S329" s="932" t="s">
        <v>88</v>
      </c>
      <c r="T329" s="1067" t="s">
        <v>2687</v>
      </c>
      <c r="U329" s="932"/>
      <c r="V329" s="933" t="s">
        <v>2688</v>
      </c>
      <c r="W329" s="934" t="s">
        <v>731</v>
      </c>
      <c r="X329" s="1043">
        <v>2.8011</v>
      </c>
      <c r="Y329" s="936">
        <f t="shared" si="123"/>
        <v>134.4528</v>
      </c>
      <c r="Z329" s="936"/>
      <c r="AA329" s="926"/>
      <c r="AB329" s="926" t="s">
        <v>2442</v>
      </c>
      <c r="AC329" s="926" t="s">
        <v>93</v>
      </c>
      <c r="AD329" s="1071" t="s">
        <v>94</v>
      </c>
      <c r="AE329" s="926"/>
      <c r="AF329" s="946">
        <v>48</v>
      </c>
      <c r="AG329" s="946">
        <f t="shared" si="124"/>
        <v>0</v>
      </c>
      <c r="AH329" s="947"/>
      <c r="AI329" s="926"/>
      <c r="AJ329" s="926"/>
      <c r="AK329" s="926">
        <f t="shared" si="125"/>
        <v>96</v>
      </c>
      <c r="AL329" s="858"/>
      <c r="AM329" s="858">
        <f t="shared" si="134"/>
        <v>96</v>
      </c>
      <c r="AN329" s="928"/>
      <c r="AO329" s="857">
        <f t="shared" si="126"/>
        <v>96</v>
      </c>
      <c r="BE329" s="925"/>
      <c r="BF329" s="925"/>
      <c r="BG329" s="925"/>
      <c r="BH329" s="925"/>
      <c r="BI329" s="925"/>
      <c r="BJ329" s="857">
        <f t="shared" si="127"/>
        <v>48</v>
      </c>
      <c r="BK329" s="857">
        <f t="shared" si="128"/>
        <v>48</v>
      </c>
      <c r="BL329" s="857">
        <f t="shared" si="129"/>
        <v>48</v>
      </c>
      <c r="BN329" s="939"/>
      <c r="BO329" s="939"/>
      <c r="BP329" s="939"/>
      <c r="BQ329" s="939"/>
      <c r="BR329" s="939"/>
      <c r="BS329" s="939"/>
      <c r="BV329" s="857">
        <f t="shared" si="130"/>
        <v>0</v>
      </c>
      <c r="BW329" s="857">
        <f t="shared" si="131"/>
        <v>0</v>
      </c>
      <c r="BX329" s="939">
        <f t="shared" si="132"/>
        <v>1003336</v>
      </c>
      <c r="BY329" s="939"/>
      <c r="BZ329" s="939"/>
      <c r="CA329" s="939"/>
      <c r="CB329" s="939">
        <f t="shared" si="133"/>
        <v>296664</v>
      </c>
      <c r="CC329" s="939"/>
      <c r="CH329" s="940"/>
      <c r="CI329" s="940"/>
      <c r="CJ329" s="940"/>
      <c r="CK329" s="940"/>
      <c r="CL329" s="940"/>
      <c r="CM329" s="940"/>
      <c r="CN329" s="940"/>
      <c r="CO329" s="940"/>
      <c r="CP329" s="940"/>
      <c r="CQ329" s="940"/>
      <c r="CR329" s="940"/>
      <c r="CS329" s="940"/>
      <c r="CT329" s="940"/>
      <c r="CU329" s="940"/>
      <c r="CV329" s="940"/>
      <c r="CW329" s="940"/>
      <c r="CX329" s="940"/>
      <c r="CY329" s="940"/>
      <c r="CZ329" s="940"/>
      <c r="DA329" s="940"/>
      <c r="DB329" s="940"/>
      <c r="DC329" s="940"/>
    </row>
    <row r="330" s="857" customFormat="1" ht="31" customHeight="1" spans="1:107">
      <c r="A330" s="923">
        <v>46160</v>
      </c>
      <c r="B330" s="924" t="s">
        <v>976</v>
      </c>
      <c r="C330" s="925" t="s">
        <v>447</v>
      </c>
      <c r="D330" s="857" t="s">
        <v>2703</v>
      </c>
      <c r="E330" s="926" t="s">
        <v>2704</v>
      </c>
      <c r="F330" s="857" t="s">
        <v>2705</v>
      </c>
      <c r="G330" s="927" t="s">
        <v>1523</v>
      </c>
      <c r="H330" s="928" t="s">
        <v>1524</v>
      </c>
      <c r="I330" s="1042">
        <v>1000</v>
      </c>
      <c r="J330" s="928">
        <v>0</v>
      </c>
      <c r="K330" s="928">
        <v>50</v>
      </c>
      <c r="L330" s="929">
        <f t="shared" si="122"/>
        <v>20</v>
      </c>
      <c r="M330" s="1074">
        <v>46210</v>
      </c>
      <c r="N330" s="1066">
        <v>46206</v>
      </c>
      <c r="O330" s="926"/>
      <c r="P330" s="1068" t="s">
        <v>86</v>
      </c>
      <c r="Q330" s="926"/>
      <c r="R330" s="932">
        <v>46160</v>
      </c>
      <c r="S330" s="932" t="s">
        <v>98</v>
      </c>
      <c r="T330" s="1067" t="s">
        <v>2706</v>
      </c>
      <c r="U330" s="932"/>
      <c r="V330" s="1075" t="s">
        <v>2707</v>
      </c>
      <c r="W330" s="934" t="s">
        <v>2708</v>
      </c>
      <c r="X330" s="1043">
        <v>2.0304</v>
      </c>
      <c r="Y330" s="936">
        <f t="shared" si="123"/>
        <v>2030.4</v>
      </c>
      <c r="Z330" s="936"/>
      <c r="AA330" s="926"/>
      <c r="AB330" s="926" t="s">
        <v>1523</v>
      </c>
      <c r="AC330" s="926" t="s">
        <v>93</v>
      </c>
      <c r="AD330" s="1071" t="s">
        <v>94</v>
      </c>
      <c r="AE330" s="926"/>
      <c r="AF330" s="946">
        <v>1000</v>
      </c>
      <c r="AG330" s="946">
        <f t="shared" si="124"/>
        <v>0</v>
      </c>
      <c r="AH330" s="1076">
        <v>46202</v>
      </c>
      <c r="AI330" s="1069" t="s">
        <v>95</v>
      </c>
      <c r="AJ330" s="926"/>
      <c r="AK330" s="926">
        <f>I330</f>
        <v>1000</v>
      </c>
      <c r="AL330" s="858">
        <f>I330</f>
        <v>1000</v>
      </c>
      <c r="AM330" s="858"/>
      <c r="AO330" s="858">
        <f>I330</f>
        <v>1000</v>
      </c>
      <c r="AT330" s="857">
        <f>L330*2</f>
        <v>40</v>
      </c>
      <c r="AU330" s="926"/>
      <c r="BE330" s="925"/>
      <c r="BF330" s="925"/>
      <c r="BG330" s="925"/>
      <c r="BH330" s="925"/>
      <c r="BI330" s="925"/>
      <c r="BN330" s="939"/>
      <c r="BO330" s="939"/>
      <c r="BP330" s="939"/>
      <c r="BQ330" s="939"/>
      <c r="BR330" s="939"/>
      <c r="BS330" s="939"/>
      <c r="BV330" s="857">
        <f t="shared" si="130"/>
        <v>40</v>
      </c>
      <c r="BW330" s="857">
        <f t="shared" si="131"/>
        <v>0</v>
      </c>
      <c r="BX330" s="939">
        <f>AK330+BX289</f>
        <v>1013098</v>
      </c>
      <c r="BY330" s="939"/>
      <c r="BZ330" s="939"/>
      <c r="CA330" s="939"/>
      <c r="CB330" s="939">
        <f t="shared" si="133"/>
        <v>286902</v>
      </c>
      <c r="CC330" s="939"/>
      <c r="CH330" s="940"/>
      <c r="CI330" s="940"/>
      <c r="CJ330" s="940"/>
      <c r="CK330" s="940"/>
      <c r="CL330" s="940"/>
      <c r="CM330" s="940"/>
      <c r="CN330" s="940"/>
      <c r="CO330" s="940"/>
      <c r="CP330" s="940"/>
      <c r="CQ330" s="940"/>
      <c r="CR330" s="940"/>
      <c r="CS330" s="940"/>
      <c r="CT330" s="940"/>
      <c r="CU330" s="940"/>
      <c r="CV330" s="940"/>
      <c r="CW330" s="940"/>
      <c r="CX330" s="940"/>
      <c r="CY330" s="940"/>
      <c r="CZ330" s="940"/>
      <c r="DA330" s="940"/>
      <c r="DB330" s="940"/>
      <c r="DC330" s="940"/>
    </row>
    <row r="331" s="857" customFormat="1" ht="31" customHeight="1" spans="1:107">
      <c r="A331" s="923">
        <v>46128</v>
      </c>
      <c r="B331" s="924" t="s">
        <v>194</v>
      </c>
      <c r="C331" s="941" t="s">
        <v>125</v>
      </c>
      <c r="D331" s="924">
        <v>4500202167</v>
      </c>
      <c r="E331" s="928">
        <v>60295832</v>
      </c>
      <c r="F331" s="857" t="s">
        <v>2709</v>
      </c>
      <c r="G331" s="927" t="s">
        <v>1746</v>
      </c>
      <c r="H331" s="928" t="s">
        <v>2549</v>
      </c>
      <c r="I331" s="928">
        <v>3000</v>
      </c>
      <c r="J331" s="928">
        <v>0</v>
      </c>
      <c r="K331" s="928">
        <v>12</v>
      </c>
      <c r="L331" s="929">
        <f t="shared" si="122"/>
        <v>250</v>
      </c>
      <c r="M331" s="930">
        <v>46198</v>
      </c>
      <c r="N331" s="930">
        <v>46195</v>
      </c>
      <c r="O331" s="928"/>
      <c r="P331" s="1068" t="s">
        <v>86</v>
      </c>
      <c r="Q331" s="928"/>
      <c r="R331" s="932">
        <v>46139</v>
      </c>
      <c r="S331" s="932" t="s">
        <v>98</v>
      </c>
      <c r="T331" s="932" t="s">
        <v>2710</v>
      </c>
      <c r="U331" s="932"/>
      <c r="V331" s="942" t="s">
        <v>2711</v>
      </c>
      <c r="W331" s="934" t="s">
        <v>874</v>
      </c>
      <c r="X331" s="1043">
        <v>1.651</v>
      </c>
      <c r="Y331" s="936">
        <f t="shared" si="123"/>
        <v>4953</v>
      </c>
      <c r="Z331" s="936"/>
      <c r="AA331" s="928"/>
      <c r="AB331" s="926" t="s">
        <v>2337</v>
      </c>
      <c r="AC331" s="926" t="s">
        <v>93</v>
      </c>
      <c r="AD331" s="928" t="s">
        <v>94</v>
      </c>
      <c r="AE331" s="928"/>
      <c r="AF331" s="943">
        <f>1944+1056</f>
        <v>3000</v>
      </c>
      <c r="AG331" s="946">
        <f t="shared" si="124"/>
        <v>0</v>
      </c>
      <c r="AH331" s="944"/>
      <c r="AI331" s="1071" t="s">
        <v>95</v>
      </c>
      <c r="AJ331" s="928"/>
      <c r="AK331" s="926">
        <f>I331*2</f>
        <v>6000</v>
      </c>
      <c r="AL331" s="858">
        <f>I331*2</f>
        <v>6000</v>
      </c>
      <c r="AM331" s="858"/>
      <c r="AO331" s="857">
        <f>I331*2</f>
        <v>6000</v>
      </c>
      <c r="AP331" s="858"/>
      <c r="AQ331" s="858"/>
      <c r="AR331" s="858"/>
      <c r="AT331" s="858"/>
      <c r="AU331" s="926"/>
      <c r="AV331" s="858"/>
      <c r="AW331" s="858"/>
      <c r="AX331" s="858"/>
      <c r="AY331" s="858"/>
      <c r="AZ331" s="858"/>
      <c r="BE331" s="925"/>
      <c r="BF331" s="925"/>
      <c r="BG331" s="925"/>
      <c r="BH331" s="925"/>
      <c r="BI331" s="925"/>
      <c r="BJ331" s="857">
        <f>I331</f>
        <v>3000</v>
      </c>
      <c r="BK331" s="857">
        <f>I331</f>
        <v>3000</v>
      </c>
      <c r="BL331" s="857">
        <f>I331</f>
        <v>3000</v>
      </c>
      <c r="BN331" s="939"/>
      <c r="BO331" s="939"/>
      <c r="BP331" s="939"/>
      <c r="BQ331" s="939"/>
      <c r="BR331" s="939"/>
      <c r="BS331" s="939"/>
      <c r="BV331" s="857">
        <f t="shared" si="130"/>
        <v>0</v>
      </c>
      <c r="BW331" s="857">
        <f t="shared" si="131"/>
        <v>0</v>
      </c>
      <c r="BX331" s="939">
        <f>AK331+BX260</f>
        <v>1026436</v>
      </c>
      <c r="BY331" s="939"/>
      <c r="BZ331" s="939"/>
      <c r="CA331" s="939"/>
      <c r="CB331" s="939">
        <f t="shared" si="133"/>
        <v>273564</v>
      </c>
      <c r="CC331" s="939"/>
      <c r="CH331" s="940"/>
      <c r="CI331" s="940"/>
      <c r="CJ331" s="940"/>
      <c r="CK331" s="940"/>
      <c r="CL331" s="940"/>
      <c r="CM331" s="940"/>
      <c r="CN331" s="940"/>
      <c r="CO331" s="940"/>
      <c r="CP331" s="940"/>
      <c r="CQ331" s="940"/>
      <c r="CR331" s="940"/>
      <c r="CS331" s="940"/>
      <c r="CT331" s="940"/>
      <c r="CU331" s="940"/>
      <c r="CV331" s="940"/>
      <c r="CW331" s="940"/>
      <c r="CX331" s="940"/>
      <c r="CY331" s="940"/>
      <c r="CZ331" s="940"/>
      <c r="DA331" s="940"/>
      <c r="DB331" s="940"/>
      <c r="DC331" s="940"/>
    </row>
    <row r="332" s="857" customFormat="1" ht="31" customHeight="1" spans="1:107">
      <c r="A332" s="923">
        <v>46153</v>
      </c>
      <c r="B332" s="924" t="s">
        <v>733</v>
      </c>
      <c r="C332" s="941" t="s">
        <v>720</v>
      </c>
      <c r="D332" s="924" t="s">
        <v>2712</v>
      </c>
      <c r="E332" s="928" t="s">
        <v>2713</v>
      </c>
      <c r="F332" s="857" t="s">
        <v>2714</v>
      </c>
      <c r="G332" s="927" t="s">
        <v>1523</v>
      </c>
      <c r="H332" s="928" t="s">
        <v>1524</v>
      </c>
      <c r="I332" s="928">
        <v>100</v>
      </c>
      <c r="J332" s="928">
        <v>0</v>
      </c>
      <c r="K332" s="928">
        <v>50</v>
      </c>
      <c r="L332" s="929">
        <f t="shared" si="122"/>
        <v>2</v>
      </c>
      <c r="M332" s="930">
        <v>46206</v>
      </c>
      <c r="N332" s="930">
        <v>46203</v>
      </c>
      <c r="O332" s="928"/>
      <c r="P332" s="1068" t="s">
        <v>86</v>
      </c>
      <c r="Q332" s="928"/>
      <c r="R332" s="932">
        <v>46177</v>
      </c>
      <c r="S332" s="932" t="s">
        <v>98</v>
      </c>
      <c r="T332" s="932" t="s">
        <v>2652</v>
      </c>
      <c r="U332" s="932"/>
      <c r="V332" s="942" t="s">
        <v>2715</v>
      </c>
      <c r="W332" s="934" t="s">
        <v>723</v>
      </c>
      <c r="X332" s="1043">
        <v>2.0125</v>
      </c>
      <c r="Y332" s="936">
        <f t="shared" si="123"/>
        <v>201.25</v>
      </c>
      <c r="Z332" s="936"/>
      <c r="AA332" s="928"/>
      <c r="AB332" s="927" t="s">
        <v>1727</v>
      </c>
      <c r="AC332" s="926" t="s">
        <v>93</v>
      </c>
      <c r="AD332" s="928" t="s">
        <v>94</v>
      </c>
      <c r="AE332" s="928"/>
      <c r="AF332" s="943">
        <v>100</v>
      </c>
      <c r="AG332" s="946">
        <f t="shared" si="124"/>
        <v>0</v>
      </c>
      <c r="AH332" s="944"/>
      <c r="AI332" s="1069" t="s">
        <v>95</v>
      </c>
      <c r="AJ332" s="928"/>
      <c r="AK332" s="926">
        <f>I332</f>
        <v>100</v>
      </c>
      <c r="AL332" s="858"/>
      <c r="AM332" s="858"/>
      <c r="AN332" s="857">
        <f>I332</f>
        <v>100</v>
      </c>
      <c r="AO332" s="857">
        <f>I332</f>
        <v>100</v>
      </c>
      <c r="AP332" s="858"/>
      <c r="AQ332" s="858"/>
      <c r="AR332" s="858"/>
      <c r="AT332" s="858"/>
      <c r="AU332" s="926">
        <f>I332/25</f>
        <v>4</v>
      </c>
      <c r="AV332" s="858"/>
      <c r="AW332" s="858"/>
      <c r="AX332" s="858"/>
      <c r="AY332" s="858"/>
      <c r="AZ332" s="858"/>
      <c r="BE332" s="925"/>
      <c r="BF332" s="925"/>
      <c r="BG332" s="925"/>
      <c r="BH332" s="925"/>
      <c r="BI332" s="925"/>
      <c r="BN332" s="939"/>
      <c r="BO332" s="939"/>
      <c r="BP332" s="939"/>
      <c r="BQ332" s="939"/>
      <c r="BR332" s="939"/>
      <c r="BS332" s="939"/>
      <c r="BV332" s="857">
        <f t="shared" si="130"/>
        <v>4</v>
      </c>
      <c r="BW332" s="857">
        <f t="shared" si="131"/>
        <v>0</v>
      </c>
      <c r="BX332" s="939">
        <f>AK332+BX279</f>
        <v>995893</v>
      </c>
      <c r="BY332" s="939"/>
      <c r="BZ332" s="939"/>
      <c r="CA332" s="939"/>
      <c r="CB332" s="939">
        <f t="shared" si="133"/>
        <v>304107</v>
      </c>
      <c r="CC332" s="939"/>
      <c r="CH332" s="940"/>
      <c r="CI332" s="940"/>
      <c r="CJ332" s="940"/>
      <c r="CK332" s="940"/>
      <c r="CL332" s="940"/>
      <c r="CM332" s="940"/>
      <c r="CN332" s="940"/>
      <c r="CO332" s="940"/>
      <c r="CP332" s="940"/>
      <c r="CQ332" s="940"/>
      <c r="CR332" s="940"/>
      <c r="CS332" s="940"/>
      <c r="CT332" s="940"/>
      <c r="CU332" s="940"/>
      <c r="CV332" s="940"/>
      <c r="CW332" s="940"/>
      <c r="CX332" s="940"/>
      <c r="CY332" s="940"/>
      <c r="CZ332" s="940"/>
      <c r="DA332" s="940"/>
      <c r="DB332" s="940"/>
      <c r="DC332" s="940"/>
    </row>
    <row r="333" s="857" customFormat="1" ht="31" customHeight="1" spans="1:107">
      <c r="A333" s="923">
        <v>46177</v>
      </c>
      <c r="B333" s="924" t="s">
        <v>2716</v>
      </c>
      <c r="C333" s="925" t="s">
        <v>632</v>
      </c>
      <c r="D333" s="857">
        <v>4500210757</v>
      </c>
      <c r="E333" s="926" t="s">
        <v>2717</v>
      </c>
      <c r="F333" s="857" t="s">
        <v>2718</v>
      </c>
      <c r="G333" s="927" t="s">
        <v>1746</v>
      </c>
      <c r="H333" s="928" t="s">
        <v>2549</v>
      </c>
      <c r="I333" s="1042">
        <v>12</v>
      </c>
      <c r="J333" s="928">
        <v>0</v>
      </c>
      <c r="K333" s="928">
        <v>12</v>
      </c>
      <c r="L333" s="929">
        <f t="shared" si="122"/>
        <v>1</v>
      </c>
      <c r="M333" s="930">
        <v>46206</v>
      </c>
      <c r="N333" s="1066">
        <v>46206</v>
      </c>
      <c r="O333" s="926"/>
      <c r="P333" s="1068" t="s">
        <v>86</v>
      </c>
      <c r="Q333" s="926"/>
      <c r="R333" s="1067" t="s">
        <v>2719</v>
      </c>
      <c r="S333" s="1067" t="s">
        <v>88</v>
      </c>
      <c r="T333" s="1067" t="s">
        <v>2720</v>
      </c>
      <c r="U333" s="1067"/>
      <c r="V333" s="1077" t="s">
        <v>2721</v>
      </c>
      <c r="W333" s="934" t="s">
        <v>2722</v>
      </c>
      <c r="X333" s="1043">
        <v>2.8742</v>
      </c>
      <c r="Y333" s="936">
        <f t="shared" si="123"/>
        <v>34.4904</v>
      </c>
      <c r="Z333" s="1078" t="s">
        <v>2723</v>
      </c>
      <c r="AA333" s="926"/>
      <c r="AB333" s="926" t="s">
        <v>2442</v>
      </c>
      <c r="AC333" s="1069" t="s">
        <v>93</v>
      </c>
      <c r="AD333" s="1071" t="s">
        <v>94</v>
      </c>
      <c r="AE333" s="926"/>
      <c r="AF333" s="946">
        <v>12</v>
      </c>
      <c r="AG333" s="946">
        <f t="shared" si="124"/>
        <v>0</v>
      </c>
      <c r="AH333" s="947"/>
      <c r="AI333" s="926"/>
      <c r="AJ333" s="926"/>
      <c r="AK333" s="926">
        <f>I333*2</f>
        <v>24</v>
      </c>
      <c r="AL333" s="858"/>
      <c r="AM333" s="858">
        <f>I333*2</f>
        <v>24</v>
      </c>
      <c r="AN333" s="928"/>
      <c r="AO333" s="857">
        <f>I333*2</f>
        <v>24</v>
      </c>
      <c r="BE333" s="925"/>
      <c r="BF333" s="925"/>
      <c r="BG333" s="925"/>
      <c r="BH333" s="925"/>
      <c r="BI333" s="925"/>
      <c r="BJ333" s="857">
        <f>I333</f>
        <v>12</v>
      </c>
      <c r="BK333" s="857">
        <f>I333</f>
        <v>12</v>
      </c>
      <c r="BL333" s="857">
        <f>I333</f>
        <v>12</v>
      </c>
      <c r="BN333" s="939"/>
      <c r="BO333" s="939"/>
      <c r="BP333" s="939"/>
      <c r="BQ333" s="939"/>
      <c r="BR333" s="939"/>
      <c r="BS333" s="939"/>
      <c r="BX333" s="939"/>
      <c r="BY333" s="939"/>
      <c r="BZ333" s="939"/>
      <c r="CA333" s="939"/>
      <c r="CB333" s="939"/>
      <c r="CC333" s="939"/>
      <c r="CH333" s="940"/>
      <c r="CI333" s="940"/>
      <c r="CJ333" s="940"/>
      <c r="CK333" s="940"/>
      <c r="CL333" s="940"/>
      <c r="CM333" s="940"/>
      <c r="CN333" s="940"/>
      <c r="CO333" s="940"/>
      <c r="CP333" s="940"/>
      <c r="CQ333" s="940"/>
      <c r="CR333" s="940"/>
      <c r="CS333" s="940"/>
      <c r="CT333" s="940"/>
      <c r="CU333" s="940"/>
      <c r="CV333" s="940"/>
      <c r="CW333" s="940"/>
      <c r="CX333" s="940"/>
      <c r="CY333" s="940"/>
      <c r="CZ333" s="940"/>
      <c r="DA333" s="940"/>
      <c r="DB333" s="940"/>
      <c r="DC333" s="940"/>
    </row>
    <row r="334" s="857" customFormat="1" ht="31" customHeight="1" spans="1:107">
      <c r="A334" s="923">
        <v>46168</v>
      </c>
      <c r="B334" s="924" t="s">
        <v>733</v>
      </c>
      <c r="C334" s="925" t="s">
        <v>720</v>
      </c>
      <c r="D334" s="857" t="s">
        <v>2724</v>
      </c>
      <c r="E334" s="926" t="s">
        <v>2556</v>
      </c>
      <c r="F334" s="857" t="s">
        <v>2725</v>
      </c>
      <c r="G334" s="927" t="s">
        <v>1523</v>
      </c>
      <c r="H334" s="928" t="s">
        <v>1524</v>
      </c>
      <c r="I334" s="1042">
        <v>2400</v>
      </c>
      <c r="J334" s="928">
        <v>0</v>
      </c>
      <c r="K334" s="928">
        <v>50</v>
      </c>
      <c r="L334" s="929">
        <f t="shared" si="122"/>
        <v>48</v>
      </c>
      <c r="M334" s="930">
        <v>46212</v>
      </c>
      <c r="N334" s="930">
        <v>46209</v>
      </c>
      <c r="O334" s="926"/>
      <c r="P334" s="1068" t="s">
        <v>86</v>
      </c>
      <c r="Q334" s="926"/>
      <c r="R334" s="932">
        <v>46178</v>
      </c>
      <c r="S334" s="932" t="s">
        <v>98</v>
      </c>
      <c r="T334" s="1067" t="s">
        <v>2726</v>
      </c>
      <c r="U334" s="1067"/>
      <c r="V334" s="933" t="s">
        <v>2727</v>
      </c>
      <c r="W334" s="934" t="s">
        <v>723</v>
      </c>
      <c r="X334" s="1043">
        <v>2.0304</v>
      </c>
      <c r="Y334" s="936">
        <f t="shared" si="123"/>
        <v>4872.96</v>
      </c>
      <c r="Z334" s="936"/>
      <c r="AA334" s="926"/>
      <c r="AB334" s="927" t="s">
        <v>1727</v>
      </c>
      <c r="AC334" s="1069" t="s">
        <v>93</v>
      </c>
      <c r="AD334" s="928" t="s">
        <v>94</v>
      </c>
      <c r="AE334" s="926"/>
      <c r="AF334" s="946">
        <v>2400</v>
      </c>
      <c r="AG334" s="946">
        <f t="shared" si="124"/>
        <v>0</v>
      </c>
      <c r="AH334" s="947"/>
      <c r="AI334" s="1079" t="s">
        <v>95</v>
      </c>
      <c r="AJ334" s="926"/>
      <c r="AK334" s="926">
        <f>I334</f>
        <v>2400</v>
      </c>
      <c r="AL334" s="858"/>
      <c r="AM334" s="858"/>
      <c r="AN334" s="857">
        <f>I334</f>
        <v>2400</v>
      </c>
      <c r="AO334" s="857">
        <f>I334</f>
        <v>2400</v>
      </c>
      <c r="AU334" s="926">
        <f>I334/25</f>
        <v>96</v>
      </c>
      <c r="BE334" s="925"/>
      <c r="BF334" s="925"/>
      <c r="BG334" s="925"/>
      <c r="BH334" s="925"/>
      <c r="BI334" s="925"/>
      <c r="BN334" s="939"/>
      <c r="BO334" s="939"/>
      <c r="BP334" s="939"/>
      <c r="BQ334" s="939"/>
      <c r="BR334" s="939"/>
      <c r="BS334" s="939"/>
      <c r="BV334" s="857">
        <f t="shared" ref="BV334:BV350" si="135">AT334+AU334+AY334</f>
        <v>96</v>
      </c>
      <c r="BW334" s="857">
        <f t="shared" ref="BW334:BW350" si="136">BF334+BG334+BI334</f>
        <v>0</v>
      </c>
      <c r="BX334" s="939">
        <f>AK334+BX283</f>
        <v>1006108</v>
      </c>
      <c r="BY334" s="939"/>
      <c r="BZ334" s="939"/>
      <c r="CA334" s="939"/>
      <c r="CB334" s="939">
        <f>$BZ$1+$CA$1+$CB$1-BX334</f>
        <v>293892</v>
      </c>
      <c r="CC334" s="939"/>
      <c r="CH334" s="940"/>
      <c r="CI334" s="940"/>
      <c r="CJ334" s="940"/>
      <c r="CK334" s="940"/>
      <c r="CL334" s="940"/>
      <c r="CM334" s="940"/>
      <c r="CN334" s="940"/>
      <c r="CO334" s="940"/>
      <c r="CP334" s="940"/>
      <c r="CQ334" s="940"/>
      <c r="CR334" s="940"/>
      <c r="CS334" s="940"/>
      <c r="CT334" s="940"/>
      <c r="CU334" s="940"/>
      <c r="CV334" s="940"/>
      <c r="CW334" s="940"/>
      <c r="CX334" s="940"/>
      <c r="CY334" s="940"/>
      <c r="CZ334" s="940"/>
      <c r="DA334" s="940"/>
      <c r="DB334" s="940"/>
      <c r="DC334" s="940"/>
    </row>
    <row r="335" s="857" customFormat="1" ht="31" customHeight="1" spans="1:107">
      <c r="A335" s="923">
        <v>46167</v>
      </c>
      <c r="B335" s="924" t="s">
        <v>869</v>
      </c>
      <c r="C335" s="925" t="s">
        <v>632</v>
      </c>
      <c r="D335" s="857" t="s">
        <v>2728</v>
      </c>
      <c r="E335" s="926">
        <v>40060304</v>
      </c>
      <c r="F335" s="857" t="s">
        <v>2729</v>
      </c>
      <c r="G335" s="927" t="s">
        <v>1746</v>
      </c>
      <c r="H335" s="928" t="s">
        <v>2549</v>
      </c>
      <c r="I335" s="1042">
        <v>600</v>
      </c>
      <c r="J335" s="928">
        <v>0</v>
      </c>
      <c r="K335" s="928">
        <v>12</v>
      </c>
      <c r="L335" s="929">
        <f t="shared" si="122"/>
        <v>50</v>
      </c>
      <c r="M335" s="930">
        <v>46213</v>
      </c>
      <c r="N335" s="930">
        <v>46209</v>
      </c>
      <c r="O335" s="926"/>
      <c r="P335" s="1068" t="s">
        <v>86</v>
      </c>
      <c r="Q335" s="926"/>
      <c r="R335" s="932">
        <v>46174</v>
      </c>
      <c r="S335" s="932" t="s">
        <v>98</v>
      </c>
      <c r="T335" s="1067" t="s">
        <v>2730</v>
      </c>
      <c r="U335" s="932"/>
      <c r="V335" s="933" t="s">
        <v>2731</v>
      </c>
      <c r="W335" s="934" t="s">
        <v>2732</v>
      </c>
      <c r="X335" s="1043">
        <v>2.8742</v>
      </c>
      <c r="Y335" s="936">
        <f t="shared" si="123"/>
        <v>1724.52</v>
      </c>
      <c r="Z335" s="936"/>
      <c r="AA335" s="926"/>
      <c r="AB335" s="926" t="s">
        <v>2442</v>
      </c>
      <c r="AC335" s="1069" t="s">
        <v>93</v>
      </c>
      <c r="AD335" s="1071" t="s">
        <v>94</v>
      </c>
      <c r="AE335" s="926"/>
      <c r="AF335" s="946">
        <v>600</v>
      </c>
      <c r="AG335" s="946">
        <f t="shared" si="124"/>
        <v>0</v>
      </c>
      <c r="AH335" s="947"/>
      <c r="AI335" s="926"/>
      <c r="AJ335" s="926"/>
      <c r="AK335" s="926">
        <f>I335*2</f>
        <v>1200</v>
      </c>
      <c r="AL335" s="858"/>
      <c r="AM335" s="858">
        <f>I335*2</f>
        <v>1200</v>
      </c>
      <c r="AN335" s="928"/>
      <c r="AO335" s="857">
        <f>I335*2</f>
        <v>1200</v>
      </c>
      <c r="BE335" s="925"/>
      <c r="BF335" s="925"/>
      <c r="BG335" s="925"/>
      <c r="BH335" s="925"/>
      <c r="BI335" s="925"/>
      <c r="BJ335" s="857">
        <f>I335</f>
        <v>600</v>
      </c>
      <c r="BK335" s="857">
        <f>I335</f>
        <v>600</v>
      </c>
      <c r="BL335" s="857">
        <f>I335</f>
        <v>600</v>
      </c>
      <c r="BN335" s="939"/>
      <c r="BO335" s="939"/>
      <c r="BP335" s="939"/>
      <c r="BQ335" s="939"/>
      <c r="BR335" s="939"/>
      <c r="BS335" s="939"/>
      <c r="BV335" s="857">
        <f t="shared" si="135"/>
        <v>0</v>
      </c>
      <c r="BW335" s="857">
        <f t="shared" si="136"/>
        <v>0</v>
      </c>
      <c r="BX335" s="939">
        <f>AK335+取消单!BX249</f>
        <v>1003350</v>
      </c>
      <c r="BY335" s="939"/>
      <c r="BZ335" s="939"/>
      <c r="CA335" s="939"/>
      <c r="CB335" s="939">
        <f>$BZ$1+$CA$1+$CB$1-BX335</f>
        <v>296650</v>
      </c>
      <c r="CC335" s="939"/>
      <c r="CH335" s="940"/>
      <c r="CI335" s="940"/>
      <c r="CJ335" s="940"/>
      <c r="CK335" s="940"/>
      <c r="CL335" s="940"/>
      <c r="CM335" s="940"/>
      <c r="CN335" s="940"/>
      <c r="CO335" s="940"/>
      <c r="CP335" s="940"/>
      <c r="CQ335" s="940"/>
      <c r="CR335" s="940"/>
      <c r="CS335" s="940"/>
      <c r="CT335" s="940"/>
      <c r="CU335" s="940"/>
      <c r="CV335" s="940"/>
      <c r="CW335" s="940"/>
      <c r="CX335" s="940"/>
      <c r="CY335" s="940"/>
      <c r="CZ335" s="940"/>
      <c r="DA335" s="940"/>
      <c r="DB335" s="940"/>
      <c r="DC335" s="940"/>
    </row>
    <row r="336" s="857" customFormat="1" ht="31" customHeight="1" spans="1:107">
      <c r="A336" s="923">
        <v>46167</v>
      </c>
      <c r="B336" s="924" t="s">
        <v>869</v>
      </c>
      <c r="C336" s="925" t="s">
        <v>632</v>
      </c>
      <c r="D336" s="857" t="s">
        <v>2728</v>
      </c>
      <c r="E336" s="926" t="s">
        <v>2733</v>
      </c>
      <c r="F336" s="857" t="s">
        <v>2734</v>
      </c>
      <c r="G336" s="927" t="s">
        <v>1746</v>
      </c>
      <c r="H336" s="928" t="s">
        <v>2549</v>
      </c>
      <c r="I336" s="1042">
        <v>144</v>
      </c>
      <c r="J336" s="928">
        <v>0</v>
      </c>
      <c r="K336" s="928">
        <v>12</v>
      </c>
      <c r="L336" s="929">
        <f t="shared" si="122"/>
        <v>12</v>
      </c>
      <c r="M336" s="930">
        <v>46213</v>
      </c>
      <c r="N336" s="930">
        <v>46209</v>
      </c>
      <c r="O336" s="926"/>
      <c r="P336" s="1068" t="s">
        <v>86</v>
      </c>
      <c r="Q336" s="926"/>
      <c r="R336" s="932">
        <v>46174</v>
      </c>
      <c r="S336" s="932" t="s">
        <v>98</v>
      </c>
      <c r="T336" s="1067" t="s">
        <v>2730</v>
      </c>
      <c r="U336" s="932"/>
      <c r="V336" s="933" t="s">
        <v>2735</v>
      </c>
      <c r="W336" s="934" t="s">
        <v>2732</v>
      </c>
      <c r="X336" s="1043">
        <v>2.8742</v>
      </c>
      <c r="Y336" s="936">
        <f t="shared" si="123"/>
        <v>413.8848</v>
      </c>
      <c r="Z336" s="936"/>
      <c r="AA336" s="926"/>
      <c r="AB336" s="926" t="s">
        <v>2442</v>
      </c>
      <c r="AC336" s="1069" t="s">
        <v>93</v>
      </c>
      <c r="AD336" s="1071" t="s">
        <v>94</v>
      </c>
      <c r="AE336" s="926"/>
      <c r="AF336" s="946">
        <v>144</v>
      </c>
      <c r="AG336" s="946">
        <f t="shared" si="124"/>
        <v>0</v>
      </c>
      <c r="AH336" s="947"/>
      <c r="AI336" s="926"/>
      <c r="AJ336" s="926"/>
      <c r="AK336" s="926">
        <f>I336*2</f>
        <v>288</v>
      </c>
      <c r="AL336" s="858"/>
      <c r="AM336" s="858">
        <f>I336*2</f>
        <v>288</v>
      </c>
      <c r="AN336" s="928"/>
      <c r="AO336" s="857">
        <f>I336*2</f>
        <v>288</v>
      </c>
      <c r="BE336" s="925"/>
      <c r="BF336" s="925"/>
      <c r="BG336" s="925"/>
      <c r="BH336" s="925"/>
      <c r="BI336" s="925"/>
      <c r="BJ336" s="857">
        <f>I336</f>
        <v>144</v>
      </c>
      <c r="BK336" s="857">
        <f>I336</f>
        <v>144</v>
      </c>
      <c r="BL336" s="857">
        <f>I336</f>
        <v>144</v>
      </c>
      <c r="BN336" s="939"/>
      <c r="BO336" s="939"/>
      <c r="BP336" s="939"/>
      <c r="BQ336" s="939"/>
      <c r="BR336" s="939"/>
      <c r="BS336" s="939"/>
      <c r="BV336" s="857">
        <f t="shared" si="135"/>
        <v>0</v>
      </c>
      <c r="BW336" s="857">
        <f t="shared" si="136"/>
        <v>0</v>
      </c>
      <c r="BX336" s="939">
        <f>AK336+BX288</f>
        <v>1058802</v>
      </c>
      <c r="BY336" s="939"/>
      <c r="BZ336" s="939"/>
      <c r="CA336" s="939"/>
      <c r="CB336" s="939">
        <f>$BZ$1+$CA$1+$CB$1-BX336</f>
        <v>241198</v>
      </c>
      <c r="CC336" s="939"/>
      <c r="CH336" s="940"/>
      <c r="CI336" s="940"/>
      <c r="CJ336" s="940"/>
      <c r="CK336" s="940"/>
      <c r="CL336" s="940"/>
      <c r="CM336" s="940"/>
      <c r="CN336" s="940"/>
      <c r="CO336" s="940"/>
      <c r="CP336" s="940"/>
      <c r="CQ336" s="940"/>
      <c r="CR336" s="940"/>
      <c r="CS336" s="940"/>
      <c r="CT336" s="940"/>
      <c r="CU336" s="940"/>
      <c r="CV336" s="940"/>
      <c r="CW336" s="940"/>
      <c r="CX336" s="940"/>
      <c r="CY336" s="940"/>
      <c r="CZ336" s="940"/>
      <c r="DA336" s="940"/>
      <c r="DB336" s="940"/>
      <c r="DC336" s="940"/>
    </row>
    <row r="337" s="857" customFormat="1" ht="31" customHeight="1" spans="1:107">
      <c r="A337" s="923">
        <v>46105</v>
      </c>
      <c r="B337" s="924" t="s">
        <v>620</v>
      </c>
      <c r="C337" s="925" t="s">
        <v>621</v>
      </c>
      <c r="D337" s="857">
        <v>4500197940</v>
      </c>
      <c r="E337" s="926"/>
      <c r="F337" s="857" t="s">
        <v>2736</v>
      </c>
      <c r="G337" s="927" t="s">
        <v>1523</v>
      </c>
      <c r="H337" s="928" t="s">
        <v>1524</v>
      </c>
      <c r="I337" s="1042">
        <v>1000</v>
      </c>
      <c r="J337" s="928">
        <v>0</v>
      </c>
      <c r="K337" s="928">
        <v>50</v>
      </c>
      <c r="L337" s="929">
        <f t="shared" si="122"/>
        <v>20</v>
      </c>
      <c r="M337" s="930">
        <v>46214</v>
      </c>
      <c r="N337" s="930">
        <f>M337-4</f>
        <v>46210</v>
      </c>
      <c r="O337" s="926"/>
      <c r="P337" s="1068" t="s">
        <v>86</v>
      </c>
      <c r="Q337" s="926"/>
      <c r="R337" s="932">
        <v>46108</v>
      </c>
      <c r="S337" s="932" t="s">
        <v>98</v>
      </c>
      <c r="T337" s="1067" t="s">
        <v>2737</v>
      </c>
      <c r="U337" s="1067"/>
      <c r="V337" s="933" t="s">
        <v>2738</v>
      </c>
      <c r="W337" s="934" t="s">
        <v>1725</v>
      </c>
      <c r="X337" s="1043">
        <v>1.9613</v>
      </c>
      <c r="Y337" s="936">
        <f t="shared" si="123"/>
        <v>1961.3</v>
      </c>
      <c r="Z337" s="936"/>
      <c r="AA337" s="926"/>
      <c r="AB337" s="926" t="s">
        <v>1523</v>
      </c>
      <c r="AC337" s="926" t="s">
        <v>93</v>
      </c>
      <c r="AD337" s="928" t="s">
        <v>94</v>
      </c>
      <c r="AE337" s="926"/>
      <c r="AF337" s="946">
        <v>1000</v>
      </c>
      <c r="AG337" s="946">
        <f t="shared" si="124"/>
        <v>0</v>
      </c>
      <c r="AH337" s="947"/>
      <c r="AI337" s="926"/>
      <c r="AJ337" s="926"/>
      <c r="AK337" s="926">
        <f>I337</f>
        <v>1000</v>
      </c>
      <c r="AL337" s="858">
        <f>I337</f>
        <v>1000</v>
      </c>
      <c r="AM337" s="858"/>
      <c r="AN337" s="928"/>
      <c r="AO337" s="857">
        <f>I337</f>
        <v>1000</v>
      </c>
      <c r="AT337" s="857">
        <f>L337*2</f>
        <v>40</v>
      </c>
      <c r="BE337" s="925"/>
      <c r="BF337" s="925"/>
      <c r="BG337" s="925"/>
      <c r="BH337" s="925"/>
      <c r="BI337" s="925"/>
      <c r="BN337" s="939"/>
      <c r="BO337" s="939"/>
      <c r="BP337" s="939"/>
      <c r="BQ337" s="939"/>
      <c r="BR337" s="939"/>
      <c r="BS337" s="939"/>
      <c r="BV337" s="857">
        <f t="shared" si="135"/>
        <v>40</v>
      </c>
      <c r="BW337" s="857">
        <f t="shared" si="136"/>
        <v>0</v>
      </c>
      <c r="BX337" s="939">
        <f>AK337+BX274</f>
        <v>997021</v>
      </c>
      <c r="BY337" s="939"/>
      <c r="BZ337" s="939"/>
      <c r="CA337" s="939">
        <f>$BZ$1+$CA$1-BX337</f>
        <v>-137021</v>
      </c>
      <c r="CB337" s="939"/>
      <c r="CC337" s="939"/>
      <c r="CH337" s="940"/>
      <c r="CI337" s="940"/>
      <c r="CJ337" s="940"/>
      <c r="CK337" s="940"/>
      <c r="CL337" s="940"/>
      <c r="CM337" s="940"/>
      <c r="CN337" s="940"/>
      <c r="CO337" s="940"/>
      <c r="CP337" s="940"/>
      <c r="CQ337" s="940"/>
      <c r="CR337" s="940"/>
      <c r="CS337" s="940"/>
      <c r="CT337" s="940"/>
      <c r="CU337" s="940"/>
      <c r="CV337" s="940"/>
      <c r="CW337" s="940"/>
      <c r="CX337" s="940"/>
      <c r="CY337" s="940"/>
      <c r="CZ337" s="940"/>
      <c r="DA337" s="940"/>
      <c r="DB337" s="940"/>
      <c r="DC337" s="940"/>
    </row>
    <row r="338" s="857" customFormat="1" ht="31" customHeight="1" spans="1:107">
      <c r="A338" s="923">
        <v>46174</v>
      </c>
      <c r="B338" s="924" t="s">
        <v>1535</v>
      </c>
      <c r="C338" s="925" t="s">
        <v>377</v>
      </c>
      <c r="D338" s="857" t="s">
        <v>2739</v>
      </c>
      <c r="E338" s="926" t="s">
        <v>2740</v>
      </c>
      <c r="F338" s="857" t="s">
        <v>2741</v>
      </c>
      <c r="G338" s="927" t="s">
        <v>1537</v>
      </c>
      <c r="H338" s="928" t="s">
        <v>2582</v>
      </c>
      <c r="I338" s="1042">
        <v>1365</v>
      </c>
      <c r="J338" s="928">
        <v>0</v>
      </c>
      <c r="K338" s="928">
        <v>13</v>
      </c>
      <c r="L338" s="929">
        <f t="shared" si="122"/>
        <v>105</v>
      </c>
      <c r="M338" s="930">
        <v>46216</v>
      </c>
      <c r="N338" s="930">
        <v>46212</v>
      </c>
      <c r="O338" s="926"/>
      <c r="P338" s="1068" t="s">
        <v>86</v>
      </c>
      <c r="Q338" s="926"/>
      <c r="R338" s="1067">
        <v>46184</v>
      </c>
      <c r="S338" s="1067" t="s">
        <v>88</v>
      </c>
      <c r="T338" s="1067" t="s">
        <v>2742</v>
      </c>
      <c r="U338" s="1067"/>
      <c r="V338" s="1077" t="s">
        <v>2743</v>
      </c>
      <c r="W338" s="934" t="s">
        <v>2323</v>
      </c>
      <c r="X338" s="1043">
        <v>1.9678</v>
      </c>
      <c r="Y338" s="936">
        <f t="shared" si="123"/>
        <v>2686.047</v>
      </c>
      <c r="Z338" s="936"/>
      <c r="AA338" s="926"/>
      <c r="AB338" s="927" t="s">
        <v>1537</v>
      </c>
      <c r="AC338" s="1069" t="s">
        <v>93</v>
      </c>
      <c r="AD338" s="928" t="s">
        <v>94</v>
      </c>
      <c r="AE338" s="926"/>
      <c r="AF338" s="946">
        <v>1365</v>
      </c>
      <c r="AG338" s="946">
        <f t="shared" si="124"/>
        <v>0</v>
      </c>
      <c r="AH338" s="947"/>
      <c r="AI338" s="1069" t="s">
        <v>95</v>
      </c>
      <c r="AJ338" s="926"/>
      <c r="AK338" s="926">
        <f>I338</f>
        <v>1365</v>
      </c>
      <c r="AL338" s="858">
        <f>I338</f>
        <v>1365</v>
      </c>
      <c r="AM338" s="858"/>
      <c r="AN338" s="858"/>
      <c r="AO338" s="857">
        <f>I338</f>
        <v>1365</v>
      </c>
      <c r="AP338" s="858"/>
      <c r="AQ338" s="858"/>
      <c r="AR338" s="857">
        <f>I338/13</f>
        <v>105</v>
      </c>
      <c r="BE338" s="925"/>
      <c r="BF338" s="925"/>
      <c r="BG338" s="925"/>
      <c r="BH338" s="925"/>
      <c r="BI338" s="925"/>
      <c r="BN338" s="939"/>
      <c r="BO338" s="939"/>
      <c r="BP338" s="939"/>
      <c r="BQ338" s="939"/>
      <c r="BR338" s="939"/>
      <c r="BS338" s="939"/>
      <c r="BV338" s="857">
        <f t="shared" si="135"/>
        <v>0</v>
      </c>
      <c r="BW338" s="857">
        <f t="shared" si="136"/>
        <v>0</v>
      </c>
      <c r="BX338" s="939">
        <f>AK338+BX337</f>
        <v>998386</v>
      </c>
      <c r="BY338" s="939"/>
      <c r="BZ338" s="939"/>
      <c r="CA338" s="939"/>
      <c r="CB338" s="939">
        <f t="shared" ref="CB338:CB347" si="137">$BZ$1+$CA$1+$CB$1-BX338</f>
        <v>301614</v>
      </c>
      <c r="CC338" s="939"/>
      <c r="CH338" s="940"/>
      <c r="CI338" s="940"/>
      <c r="CJ338" s="940"/>
      <c r="CK338" s="940"/>
      <c r="CL338" s="940"/>
      <c r="CM338" s="940"/>
      <c r="CN338" s="940"/>
      <c r="CO338" s="940"/>
      <c r="CP338" s="940"/>
      <c r="CQ338" s="940"/>
      <c r="CR338" s="940"/>
      <c r="CS338" s="940"/>
      <c r="CT338" s="940"/>
      <c r="CU338" s="940"/>
      <c r="CV338" s="940"/>
      <c r="CW338" s="940"/>
      <c r="CX338" s="940"/>
      <c r="CY338" s="940"/>
      <c r="CZ338" s="940"/>
      <c r="DA338" s="940"/>
      <c r="DB338" s="940"/>
      <c r="DC338" s="940"/>
    </row>
    <row r="339" s="857" customFormat="1" ht="31" customHeight="1" spans="1:107">
      <c r="A339" s="923">
        <v>46174</v>
      </c>
      <c r="B339" s="924" t="s">
        <v>1543</v>
      </c>
      <c r="C339" s="925" t="s">
        <v>1544</v>
      </c>
      <c r="D339" s="857" t="s">
        <v>2744</v>
      </c>
      <c r="E339" s="926" t="s">
        <v>2745</v>
      </c>
      <c r="F339" s="857" t="s">
        <v>2746</v>
      </c>
      <c r="G339" s="927" t="s">
        <v>1537</v>
      </c>
      <c r="H339" s="928" t="s">
        <v>2582</v>
      </c>
      <c r="I339" s="1042">
        <v>143</v>
      </c>
      <c r="J339" s="928">
        <v>0</v>
      </c>
      <c r="K339" s="928">
        <v>13</v>
      </c>
      <c r="L339" s="929">
        <f t="shared" si="122"/>
        <v>11</v>
      </c>
      <c r="M339" s="930">
        <v>46216</v>
      </c>
      <c r="N339" s="930">
        <v>46212</v>
      </c>
      <c r="O339" s="926"/>
      <c r="P339" s="1068" t="s">
        <v>86</v>
      </c>
      <c r="Q339" s="926"/>
      <c r="R339" s="1067">
        <v>46184</v>
      </c>
      <c r="S339" s="1067" t="s">
        <v>88</v>
      </c>
      <c r="T339" s="1067" t="s">
        <v>2747</v>
      </c>
      <c r="U339" s="1067"/>
      <c r="V339" s="1077" t="s">
        <v>2748</v>
      </c>
      <c r="W339" s="934" t="s">
        <v>2323</v>
      </c>
      <c r="X339" s="1043">
        <v>1.9678</v>
      </c>
      <c r="Y339" s="936">
        <f t="shared" si="123"/>
        <v>281.3954</v>
      </c>
      <c r="Z339" s="936"/>
      <c r="AA339" s="926"/>
      <c r="AB339" s="927" t="s">
        <v>1537</v>
      </c>
      <c r="AC339" s="1069" t="s">
        <v>93</v>
      </c>
      <c r="AD339" s="928" t="s">
        <v>94</v>
      </c>
      <c r="AE339" s="926"/>
      <c r="AF339" s="946">
        <v>143</v>
      </c>
      <c r="AG339" s="946">
        <f t="shared" si="124"/>
        <v>0</v>
      </c>
      <c r="AH339" s="947"/>
      <c r="AI339" s="926"/>
      <c r="AJ339" s="926"/>
      <c r="AK339" s="926">
        <f>I339</f>
        <v>143</v>
      </c>
      <c r="AL339" s="858">
        <f>I339</f>
        <v>143</v>
      </c>
      <c r="AM339" s="858"/>
      <c r="AN339" s="858"/>
      <c r="AO339" s="857">
        <f>I339</f>
        <v>143</v>
      </c>
      <c r="AR339" s="857">
        <f>I339/13</f>
        <v>11</v>
      </c>
      <c r="BE339" s="925"/>
      <c r="BF339" s="925"/>
      <c r="BG339" s="925"/>
      <c r="BH339" s="925"/>
      <c r="BI339" s="925"/>
      <c r="BN339" s="939"/>
      <c r="BO339" s="939"/>
      <c r="BP339" s="939"/>
      <c r="BQ339" s="939"/>
      <c r="BR339" s="939"/>
      <c r="BS339" s="939"/>
      <c r="BV339" s="857">
        <f t="shared" si="135"/>
        <v>0</v>
      </c>
      <c r="BW339" s="857">
        <f t="shared" si="136"/>
        <v>0</v>
      </c>
      <c r="BX339" s="939">
        <f>AK339+BX338</f>
        <v>998529</v>
      </c>
      <c r="BY339" s="939"/>
      <c r="BZ339" s="939"/>
      <c r="CA339" s="939"/>
      <c r="CB339" s="939">
        <f t="shared" si="137"/>
        <v>301471</v>
      </c>
      <c r="CC339" s="939"/>
      <c r="CH339" s="940"/>
      <c r="CI339" s="940"/>
      <c r="CJ339" s="940"/>
      <c r="CK339" s="940"/>
      <c r="CL339" s="940"/>
      <c r="CM339" s="940"/>
      <c r="CN339" s="940"/>
      <c r="CO339" s="940"/>
      <c r="CP339" s="940"/>
      <c r="CQ339" s="940"/>
      <c r="CR339" s="940"/>
      <c r="CS339" s="940"/>
      <c r="CT339" s="940"/>
      <c r="CU339" s="940"/>
      <c r="CV339" s="940"/>
      <c r="CW339" s="940"/>
      <c r="CX339" s="940"/>
      <c r="CY339" s="940"/>
      <c r="CZ339" s="940"/>
      <c r="DA339" s="940"/>
      <c r="DB339" s="940"/>
      <c r="DC339" s="940"/>
    </row>
    <row r="340" s="857" customFormat="1" ht="31" customHeight="1" spans="1:107">
      <c r="A340" s="923">
        <v>46168</v>
      </c>
      <c r="B340" s="924" t="s">
        <v>2749</v>
      </c>
      <c r="C340" s="925" t="s">
        <v>125</v>
      </c>
      <c r="D340" s="857" t="s">
        <v>2750</v>
      </c>
      <c r="E340" s="926" t="s">
        <v>2751</v>
      </c>
      <c r="F340" s="857" t="s">
        <v>2752</v>
      </c>
      <c r="G340" s="927" t="s">
        <v>1523</v>
      </c>
      <c r="H340" s="928" t="s">
        <v>1524</v>
      </c>
      <c r="I340" s="1072">
        <v>1300</v>
      </c>
      <c r="J340" s="928">
        <v>0</v>
      </c>
      <c r="K340" s="928">
        <v>50</v>
      </c>
      <c r="L340" s="929">
        <f t="shared" si="122"/>
        <v>26</v>
      </c>
      <c r="M340" s="1066">
        <v>46225</v>
      </c>
      <c r="N340" s="1066">
        <v>46221</v>
      </c>
      <c r="O340" s="926"/>
      <c r="P340" s="1068" t="s">
        <v>86</v>
      </c>
      <c r="Q340" s="926"/>
      <c r="R340" s="932">
        <v>46168</v>
      </c>
      <c r="S340" s="932" t="s">
        <v>88</v>
      </c>
      <c r="T340" s="1067" t="s">
        <v>2753</v>
      </c>
      <c r="U340" s="932"/>
      <c r="V340" s="933" t="s">
        <v>2754</v>
      </c>
      <c r="W340" s="934" t="s">
        <v>874</v>
      </c>
      <c r="X340" s="1043">
        <v>1.2075</v>
      </c>
      <c r="Y340" s="936">
        <f t="shared" si="123"/>
        <v>1569.75</v>
      </c>
      <c r="Z340" s="936"/>
      <c r="AA340" s="926"/>
      <c r="AB340" s="926" t="s">
        <v>1523</v>
      </c>
      <c r="AC340" s="1069" t="s">
        <v>93</v>
      </c>
      <c r="AD340" s="928" t="s">
        <v>94</v>
      </c>
      <c r="AE340" s="926"/>
      <c r="AF340" s="946">
        <v>1300</v>
      </c>
      <c r="AG340" s="946">
        <f t="shared" si="124"/>
        <v>0</v>
      </c>
      <c r="AH340" s="947"/>
      <c r="AI340" s="926"/>
      <c r="AJ340" s="926"/>
      <c r="AK340" s="926">
        <f>I340</f>
        <v>1300</v>
      </c>
      <c r="AL340" s="858">
        <f>I340</f>
        <v>1300</v>
      </c>
      <c r="AM340" s="858"/>
      <c r="AN340" s="858"/>
      <c r="AO340" s="857">
        <f>I340</f>
        <v>1300</v>
      </c>
      <c r="AT340" s="857">
        <f>L340*2</f>
        <v>52</v>
      </c>
      <c r="BE340" s="925"/>
      <c r="BF340" s="925"/>
      <c r="BG340" s="925"/>
      <c r="BH340" s="925"/>
      <c r="BI340" s="925"/>
      <c r="BN340" s="939"/>
      <c r="BO340" s="939"/>
      <c r="BP340" s="939"/>
      <c r="BQ340" s="939"/>
      <c r="BR340" s="939"/>
      <c r="BS340" s="939"/>
      <c r="BV340" s="857">
        <f t="shared" si="135"/>
        <v>52</v>
      </c>
      <c r="BW340" s="857">
        <f t="shared" si="136"/>
        <v>0</v>
      </c>
      <c r="BX340" s="939">
        <f>AK340+BX281</f>
        <v>1003968</v>
      </c>
      <c r="BY340" s="939"/>
      <c r="BZ340" s="939"/>
      <c r="CA340" s="939"/>
      <c r="CB340" s="939">
        <f t="shared" si="137"/>
        <v>296032</v>
      </c>
      <c r="CC340" s="939"/>
      <c r="CH340" s="940"/>
      <c r="CI340" s="940"/>
      <c r="CJ340" s="940"/>
      <c r="CK340" s="940"/>
      <c r="CL340" s="940"/>
      <c r="CM340" s="940"/>
      <c r="CN340" s="940"/>
      <c r="CO340" s="940"/>
      <c r="CP340" s="940"/>
      <c r="CQ340" s="940"/>
      <c r="CR340" s="940"/>
      <c r="CS340" s="940"/>
      <c r="CT340" s="940"/>
      <c r="CU340" s="940"/>
      <c r="CV340" s="940"/>
      <c r="CW340" s="940"/>
      <c r="CX340" s="940"/>
      <c r="CY340" s="940"/>
      <c r="CZ340" s="940"/>
      <c r="DA340" s="940"/>
      <c r="DB340" s="940"/>
      <c r="DC340" s="940"/>
    </row>
    <row r="341" s="857" customFormat="1" ht="31" customHeight="1" spans="1:107">
      <c r="A341" s="923">
        <v>46160</v>
      </c>
      <c r="B341" s="924" t="s">
        <v>1956</v>
      </c>
      <c r="C341" s="925" t="s">
        <v>110</v>
      </c>
      <c r="D341" s="857" t="s">
        <v>2755</v>
      </c>
      <c r="E341" s="926" t="s">
        <v>2756</v>
      </c>
      <c r="F341" s="857" t="s">
        <v>2757</v>
      </c>
      <c r="G341" s="927" t="s">
        <v>1746</v>
      </c>
      <c r="H341" s="928" t="s">
        <v>2549</v>
      </c>
      <c r="I341" s="1042">
        <v>564</v>
      </c>
      <c r="J341" s="928">
        <v>0</v>
      </c>
      <c r="K341" s="928">
        <v>12</v>
      </c>
      <c r="L341" s="929">
        <f t="shared" si="122"/>
        <v>47</v>
      </c>
      <c r="M341" s="930">
        <v>46177</v>
      </c>
      <c r="N341" s="930">
        <v>46174</v>
      </c>
      <c r="O341" s="926"/>
      <c r="P341" s="1068" t="s">
        <v>86</v>
      </c>
      <c r="Q341" s="926"/>
      <c r="R341" s="932" t="s">
        <v>2550</v>
      </c>
      <c r="S341" s="932" t="s">
        <v>88</v>
      </c>
      <c r="T341" s="1067" t="s">
        <v>2758</v>
      </c>
      <c r="U341" s="932"/>
      <c r="V341" s="933" t="s">
        <v>2759</v>
      </c>
      <c r="W341" s="934" t="s">
        <v>599</v>
      </c>
      <c r="X341" s="1043">
        <v>2.8011</v>
      </c>
      <c r="Y341" s="936">
        <f t="shared" si="123"/>
        <v>1579.8204</v>
      </c>
      <c r="Z341" s="936"/>
      <c r="AA341" s="926"/>
      <c r="AB341" s="926" t="s">
        <v>2442</v>
      </c>
      <c r="AC341" s="926" t="s">
        <v>93</v>
      </c>
      <c r="AD341" s="1071" t="s">
        <v>94</v>
      </c>
      <c r="AE341" s="926"/>
      <c r="AF341" s="946">
        <v>564</v>
      </c>
      <c r="AG341" s="946">
        <f t="shared" si="124"/>
        <v>0</v>
      </c>
      <c r="AH341" s="947"/>
      <c r="AI341" s="926"/>
      <c r="AJ341" s="926"/>
      <c r="AK341" s="926">
        <f>I341*2</f>
        <v>1128</v>
      </c>
      <c r="AL341" s="858"/>
      <c r="AM341" s="858">
        <f>I341*2</f>
        <v>1128</v>
      </c>
      <c r="AN341" s="858"/>
      <c r="AO341" s="857">
        <f>I341*2</f>
        <v>1128</v>
      </c>
      <c r="BE341" s="925"/>
      <c r="BF341" s="925"/>
      <c r="BG341" s="925"/>
      <c r="BH341" s="925"/>
      <c r="BI341" s="925"/>
      <c r="BJ341" s="857">
        <f>I341</f>
        <v>564</v>
      </c>
      <c r="BK341" s="857">
        <f>I341</f>
        <v>564</v>
      </c>
      <c r="BL341" s="857">
        <f>I341</f>
        <v>564</v>
      </c>
      <c r="BN341" s="939"/>
      <c r="BO341" s="939"/>
      <c r="BP341" s="939"/>
      <c r="BQ341" s="939"/>
      <c r="BR341" s="939"/>
      <c r="BS341" s="939"/>
      <c r="BV341" s="857">
        <f t="shared" si="135"/>
        <v>0</v>
      </c>
      <c r="BW341" s="857">
        <f t="shared" si="136"/>
        <v>0</v>
      </c>
      <c r="BX341" s="939">
        <f>AK341+BX251</f>
        <v>1015482</v>
      </c>
      <c r="BY341" s="939"/>
      <c r="BZ341" s="939"/>
      <c r="CA341" s="939"/>
      <c r="CB341" s="939">
        <f t="shared" si="137"/>
        <v>284518</v>
      </c>
      <c r="CC341" s="939"/>
      <c r="CH341" s="940"/>
      <c r="CI341" s="940"/>
      <c r="CJ341" s="940"/>
      <c r="CK341" s="940"/>
      <c r="CL341" s="940"/>
      <c r="CM341" s="940"/>
      <c r="CN341" s="940"/>
      <c r="CO341" s="940"/>
      <c r="CP341" s="940"/>
      <c r="CQ341" s="940"/>
      <c r="CR341" s="940"/>
      <c r="CS341" s="940"/>
      <c r="CT341" s="940"/>
      <c r="CU341" s="940"/>
      <c r="CV341" s="940"/>
      <c r="CW341" s="940"/>
      <c r="CX341" s="940"/>
      <c r="CY341" s="940"/>
      <c r="CZ341" s="940"/>
      <c r="DA341" s="940"/>
      <c r="DB341" s="940"/>
      <c r="DC341" s="940"/>
    </row>
    <row r="342" s="857" customFormat="1" ht="31" customHeight="1" spans="1:107">
      <c r="A342" s="923">
        <v>46153</v>
      </c>
      <c r="B342" s="924" t="s">
        <v>1758</v>
      </c>
      <c r="C342" s="941" t="s">
        <v>125</v>
      </c>
      <c r="D342" s="924" t="s">
        <v>2760</v>
      </c>
      <c r="E342" s="928" t="s">
        <v>2761</v>
      </c>
      <c r="F342" s="857" t="s">
        <v>2762</v>
      </c>
      <c r="G342" s="927" t="s">
        <v>1537</v>
      </c>
      <c r="H342" s="928" t="s">
        <v>2582</v>
      </c>
      <c r="I342" s="928">
        <v>2600</v>
      </c>
      <c r="J342" s="928">
        <v>0</v>
      </c>
      <c r="K342" s="928">
        <v>13</v>
      </c>
      <c r="L342" s="929">
        <f t="shared" si="122"/>
        <v>200</v>
      </c>
      <c r="M342" s="930">
        <v>46196</v>
      </c>
      <c r="N342" s="930">
        <v>46192</v>
      </c>
      <c r="O342" s="928"/>
      <c r="P342" s="1068" t="s">
        <v>86</v>
      </c>
      <c r="Q342" s="928"/>
      <c r="R342" s="932">
        <v>46153</v>
      </c>
      <c r="S342" s="932" t="s">
        <v>98</v>
      </c>
      <c r="T342" s="932" t="s">
        <v>98</v>
      </c>
      <c r="U342" s="932"/>
      <c r="V342" s="942" t="s">
        <v>2763</v>
      </c>
      <c r="W342" s="934" t="s">
        <v>1766</v>
      </c>
      <c r="X342" s="1043">
        <v>1.1584</v>
      </c>
      <c r="Y342" s="936">
        <f t="shared" si="123"/>
        <v>3011.84</v>
      </c>
      <c r="Z342" s="936"/>
      <c r="AA342" s="928"/>
      <c r="AB342" s="927" t="s">
        <v>1537</v>
      </c>
      <c r="AC342" s="926" t="s">
        <v>93</v>
      </c>
      <c r="AD342" s="928" t="s">
        <v>94</v>
      </c>
      <c r="AE342" s="928"/>
      <c r="AF342" s="943">
        <v>2600</v>
      </c>
      <c r="AG342" s="946">
        <f t="shared" si="124"/>
        <v>0</v>
      </c>
      <c r="AH342" s="944"/>
      <c r="AI342" s="928"/>
      <c r="AJ342" s="928"/>
      <c r="AK342" s="926">
        <f t="shared" ref="AK342:AK348" si="138">I342</f>
        <v>2600</v>
      </c>
      <c r="AL342" s="858">
        <f>I342*2</f>
        <v>5200</v>
      </c>
      <c r="AM342" s="858"/>
      <c r="AN342" s="858"/>
      <c r="AO342" s="857">
        <f t="shared" ref="AO342:AO348" si="139">I342</f>
        <v>2600</v>
      </c>
      <c r="AP342" s="858"/>
      <c r="AQ342" s="858"/>
      <c r="AR342" s="857">
        <f>I342/13</f>
        <v>200</v>
      </c>
      <c r="AT342" s="858"/>
      <c r="AU342" s="926"/>
      <c r="AV342" s="858"/>
      <c r="AW342" s="858"/>
      <c r="AX342" s="858"/>
      <c r="AY342" s="858"/>
      <c r="AZ342" s="858"/>
      <c r="BE342" s="925"/>
      <c r="BF342" s="925"/>
      <c r="BG342" s="925"/>
      <c r="BH342" s="925"/>
      <c r="BI342" s="925"/>
      <c r="BN342" s="939"/>
      <c r="BO342" s="939"/>
      <c r="BP342" s="939"/>
      <c r="BQ342" s="939"/>
      <c r="BR342" s="939"/>
      <c r="BS342" s="939"/>
      <c r="BV342" s="857">
        <f t="shared" si="135"/>
        <v>0</v>
      </c>
      <c r="BW342" s="857">
        <f t="shared" si="136"/>
        <v>0</v>
      </c>
      <c r="BX342" s="939">
        <f>AK342+BX316</f>
        <v>1000355</v>
      </c>
      <c r="BY342" s="939"/>
      <c r="BZ342" s="939"/>
      <c r="CA342" s="939"/>
      <c r="CB342" s="939">
        <f t="shared" si="137"/>
        <v>299645</v>
      </c>
      <c r="CC342" s="939"/>
      <c r="CH342" s="940"/>
      <c r="CI342" s="940"/>
      <c r="CJ342" s="940"/>
      <c r="CK342" s="940"/>
      <c r="CL342" s="940"/>
      <c r="CM342" s="940"/>
      <c r="CN342" s="940"/>
      <c r="CO342" s="940"/>
      <c r="CP342" s="940"/>
      <c r="CQ342" s="940"/>
      <c r="CR342" s="940"/>
      <c r="CS342" s="940"/>
      <c r="CT342" s="940"/>
      <c r="CU342" s="940"/>
      <c r="CV342" s="940"/>
      <c r="CW342" s="940"/>
      <c r="CX342" s="940"/>
      <c r="CY342" s="940"/>
      <c r="CZ342" s="940"/>
      <c r="DA342" s="940"/>
      <c r="DB342" s="940"/>
      <c r="DC342" s="940"/>
    </row>
    <row r="343" s="857" customFormat="1" ht="31" customHeight="1" spans="1:107">
      <c r="A343" s="923">
        <v>46174</v>
      </c>
      <c r="B343" s="924" t="s">
        <v>439</v>
      </c>
      <c r="C343" s="925" t="s">
        <v>440</v>
      </c>
      <c r="D343" s="857" t="s">
        <v>2764</v>
      </c>
      <c r="E343" s="926" t="s">
        <v>2765</v>
      </c>
      <c r="F343" s="857" t="s">
        <v>2766</v>
      </c>
      <c r="G343" s="927" t="s">
        <v>1523</v>
      </c>
      <c r="H343" s="928" t="s">
        <v>1524</v>
      </c>
      <c r="I343" s="1042">
        <v>2000</v>
      </c>
      <c r="J343" s="928">
        <v>0</v>
      </c>
      <c r="K343" s="928">
        <v>50</v>
      </c>
      <c r="L343" s="929">
        <f t="shared" si="122"/>
        <v>40</v>
      </c>
      <c r="M343" s="1066">
        <v>46225</v>
      </c>
      <c r="N343" s="1066">
        <f>M343-4</f>
        <v>46221</v>
      </c>
      <c r="O343" s="926"/>
      <c r="P343" s="1068" t="s">
        <v>86</v>
      </c>
      <c r="Q343" s="926"/>
      <c r="R343" s="932">
        <v>46174</v>
      </c>
      <c r="S343" s="1067" t="s">
        <v>98</v>
      </c>
      <c r="T343" s="1067" t="s">
        <v>2767</v>
      </c>
      <c r="U343" s="1067"/>
      <c r="V343" s="1077" t="s">
        <v>2768</v>
      </c>
      <c r="W343" s="934" t="s">
        <v>1059</v>
      </c>
      <c r="X343" s="1043">
        <v>2.0125</v>
      </c>
      <c r="Y343" s="936">
        <f t="shared" si="123"/>
        <v>4025</v>
      </c>
      <c r="Z343" s="936"/>
      <c r="AA343" s="926"/>
      <c r="AB343" s="926" t="s">
        <v>1523</v>
      </c>
      <c r="AC343" s="1069" t="s">
        <v>93</v>
      </c>
      <c r="AD343" s="928" t="s">
        <v>94</v>
      </c>
      <c r="AE343" s="926"/>
      <c r="AF343" s="946">
        <v>2000</v>
      </c>
      <c r="AG343" s="946">
        <f t="shared" si="124"/>
        <v>0</v>
      </c>
      <c r="AH343" s="947"/>
      <c r="AI343" s="1069" t="s">
        <v>95</v>
      </c>
      <c r="AJ343" s="926"/>
      <c r="AK343" s="926">
        <f t="shared" si="138"/>
        <v>2000</v>
      </c>
      <c r="AL343" s="858">
        <f>I343</f>
        <v>2000</v>
      </c>
      <c r="AM343" s="858"/>
      <c r="AN343" s="928"/>
      <c r="AO343" s="857">
        <f t="shared" si="139"/>
        <v>2000</v>
      </c>
      <c r="AT343" s="857">
        <f>L343*2</f>
        <v>80</v>
      </c>
      <c r="BE343" s="925"/>
      <c r="BF343" s="925"/>
      <c r="BG343" s="925"/>
      <c r="BH343" s="925"/>
      <c r="BI343" s="925"/>
      <c r="BN343" s="939"/>
      <c r="BO343" s="939"/>
      <c r="BP343" s="939"/>
      <c r="BQ343" s="939"/>
      <c r="BR343" s="939"/>
      <c r="BS343" s="939"/>
      <c r="BV343" s="857">
        <f t="shared" si="135"/>
        <v>80</v>
      </c>
      <c r="BW343" s="857">
        <f t="shared" si="136"/>
        <v>0</v>
      </c>
      <c r="BX343" s="939">
        <f>AK343+BX282</f>
        <v>1005240</v>
      </c>
      <c r="BY343" s="939"/>
      <c r="BZ343" s="939"/>
      <c r="CA343" s="939"/>
      <c r="CB343" s="939">
        <f t="shared" si="137"/>
        <v>294760</v>
      </c>
      <c r="CC343" s="939"/>
      <c r="CH343" s="940"/>
      <c r="CI343" s="940"/>
      <c r="CJ343" s="940"/>
      <c r="CK343" s="940"/>
      <c r="CL343" s="940"/>
      <c r="CM343" s="940"/>
      <c r="CN343" s="940"/>
      <c r="CO343" s="940"/>
      <c r="CP343" s="940"/>
      <c r="CQ343" s="940"/>
      <c r="CR343" s="940"/>
      <c r="CS343" s="940"/>
      <c r="CT343" s="940"/>
      <c r="CU343" s="940"/>
      <c r="CV343" s="940"/>
      <c r="CW343" s="940"/>
      <c r="CX343" s="940"/>
      <c r="CY343" s="940"/>
      <c r="CZ343" s="940"/>
      <c r="DA343" s="940"/>
      <c r="DB343" s="940"/>
      <c r="DC343" s="940"/>
    </row>
    <row r="344" s="857" customFormat="1" ht="31" customHeight="1" spans="1:107">
      <c r="A344" s="923">
        <v>46132</v>
      </c>
      <c r="B344" s="924" t="s">
        <v>2096</v>
      </c>
      <c r="C344" s="941" t="s">
        <v>81</v>
      </c>
      <c r="D344" s="924" t="s">
        <v>2769</v>
      </c>
      <c r="E344" s="928" t="s">
        <v>2556</v>
      </c>
      <c r="F344" s="857" t="s">
        <v>2770</v>
      </c>
      <c r="G344" s="927" t="s">
        <v>1523</v>
      </c>
      <c r="H344" s="928" t="s">
        <v>1524</v>
      </c>
      <c r="I344" s="928">
        <v>1000</v>
      </c>
      <c r="J344" s="928">
        <v>0</v>
      </c>
      <c r="K344" s="928">
        <v>50</v>
      </c>
      <c r="L344" s="929">
        <f t="shared" si="122"/>
        <v>20</v>
      </c>
      <c r="M344" s="930">
        <v>46191</v>
      </c>
      <c r="N344" s="1066">
        <v>46216</v>
      </c>
      <c r="O344" s="928"/>
      <c r="P344" s="1068" t="s">
        <v>86</v>
      </c>
      <c r="Q344" s="1080">
        <v>46220</v>
      </c>
      <c r="R344" s="932">
        <v>46162</v>
      </c>
      <c r="S344" s="932" t="s">
        <v>98</v>
      </c>
      <c r="T344" s="1081" t="s">
        <v>2771</v>
      </c>
      <c r="U344" s="932"/>
      <c r="V344" s="942" t="s">
        <v>2772</v>
      </c>
      <c r="W344" s="934" t="s">
        <v>225</v>
      </c>
      <c r="X344" s="1043">
        <v>1.9788</v>
      </c>
      <c r="Y344" s="936">
        <f t="shared" si="123"/>
        <v>1978.8</v>
      </c>
      <c r="Z344" s="936"/>
      <c r="AA344" s="928"/>
      <c r="AB344" s="927" t="s">
        <v>1727</v>
      </c>
      <c r="AC344" s="926" t="s">
        <v>93</v>
      </c>
      <c r="AD344" s="928" t="s">
        <v>94</v>
      </c>
      <c r="AE344" s="928"/>
      <c r="AF344" s="943">
        <v>1000</v>
      </c>
      <c r="AG344" s="946">
        <f t="shared" si="124"/>
        <v>0</v>
      </c>
      <c r="AH344" s="944"/>
      <c r="AI344" s="1071" t="s">
        <v>95</v>
      </c>
      <c r="AJ344" s="928"/>
      <c r="AK344" s="926">
        <f t="shared" si="138"/>
        <v>1000</v>
      </c>
      <c r="AL344" s="858"/>
      <c r="AM344" s="858"/>
      <c r="AN344" s="857">
        <f>I344</f>
        <v>1000</v>
      </c>
      <c r="AO344" s="857">
        <f t="shared" si="139"/>
        <v>1000</v>
      </c>
      <c r="AP344" s="858"/>
      <c r="AQ344" s="858"/>
      <c r="AR344" s="858"/>
      <c r="AT344" s="858"/>
      <c r="AU344" s="926">
        <f>I344/25</f>
        <v>40</v>
      </c>
      <c r="AV344" s="858"/>
      <c r="AW344" s="858"/>
      <c r="AX344" s="858"/>
      <c r="AY344" s="858"/>
      <c r="AZ344" s="858"/>
      <c r="BE344" s="925"/>
      <c r="BF344" s="925"/>
      <c r="BG344" s="925"/>
      <c r="BH344" s="925"/>
      <c r="BI344" s="925"/>
      <c r="BN344" s="939"/>
      <c r="BO344" s="939"/>
      <c r="BP344" s="939"/>
      <c r="BQ344" s="939"/>
      <c r="BR344" s="939"/>
      <c r="BS344" s="939"/>
      <c r="BV344" s="857">
        <f t="shared" si="135"/>
        <v>40</v>
      </c>
      <c r="BW344" s="857">
        <f t="shared" si="136"/>
        <v>0</v>
      </c>
      <c r="BX344" s="939">
        <f>AK344+BX276</f>
        <v>999841</v>
      </c>
      <c r="BY344" s="939"/>
      <c r="BZ344" s="939"/>
      <c r="CA344" s="939"/>
      <c r="CB344" s="939">
        <f t="shared" si="137"/>
        <v>300159</v>
      </c>
      <c r="CC344" s="939"/>
      <c r="CH344" s="940"/>
      <c r="CI344" s="940"/>
      <c r="CJ344" s="940"/>
      <c r="CK344" s="940"/>
      <c r="CL344" s="940"/>
      <c r="CM344" s="940"/>
      <c r="CN344" s="940"/>
      <c r="CO344" s="940"/>
      <c r="CP344" s="940"/>
      <c r="CQ344" s="940"/>
      <c r="CR344" s="940"/>
      <c r="CS344" s="940"/>
      <c r="CT344" s="940"/>
      <c r="CU344" s="940"/>
      <c r="CV344" s="940"/>
      <c r="CW344" s="940"/>
      <c r="CX344" s="940"/>
      <c r="CY344" s="940"/>
      <c r="CZ344" s="940"/>
      <c r="DA344" s="940"/>
      <c r="DB344" s="940"/>
      <c r="DC344" s="940"/>
    </row>
    <row r="345" s="857" customFormat="1" ht="31" customHeight="1" spans="1:107">
      <c r="A345" s="923">
        <v>46162</v>
      </c>
      <c r="B345" s="924" t="s">
        <v>2262</v>
      </c>
      <c r="C345" s="925" t="s">
        <v>228</v>
      </c>
      <c r="D345" s="857" t="s">
        <v>2773</v>
      </c>
      <c r="E345" s="926" t="s">
        <v>2556</v>
      </c>
      <c r="F345" s="857" t="s">
        <v>2774</v>
      </c>
      <c r="G345" s="927" t="s">
        <v>1532</v>
      </c>
      <c r="H345" s="928" t="s">
        <v>1524</v>
      </c>
      <c r="I345" s="928">
        <v>520</v>
      </c>
      <c r="J345" s="928">
        <v>0</v>
      </c>
      <c r="K345" s="928">
        <v>52</v>
      </c>
      <c r="L345" s="929">
        <f t="shared" si="122"/>
        <v>10</v>
      </c>
      <c r="M345" s="930">
        <v>46217</v>
      </c>
      <c r="N345" s="930">
        <v>46213</v>
      </c>
      <c r="O345" s="926" t="s">
        <v>2775</v>
      </c>
      <c r="P345" s="1068" t="s">
        <v>86</v>
      </c>
      <c r="Q345" s="1069" t="s">
        <v>2776</v>
      </c>
      <c r="R345" s="932">
        <v>46189</v>
      </c>
      <c r="S345" s="932" t="s">
        <v>98</v>
      </c>
      <c r="T345" s="932" t="s">
        <v>2777</v>
      </c>
      <c r="U345" s="932"/>
      <c r="V345" s="933" t="s">
        <v>2778</v>
      </c>
      <c r="W345" s="934" t="s">
        <v>225</v>
      </c>
      <c r="X345" s="935">
        <v>1.9323</v>
      </c>
      <c r="Y345" s="936">
        <f t="shared" si="123"/>
        <v>1004.796</v>
      </c>
      <c r="Z345" s="936"/>
      <c r="AA345" s="926"/>
      <c r="AB345" s="926" t="s">
        <v>2174</v>
      </c>
      <c r="AC345" s="928" t="s">
        <v>93</v>
      </c>
      <c r="AD345" s="928" t="s">
        <v>94</v>
      </c>
      <c r="AE345" s="926"/>
      <c r="AF345" s="946">
        <v>520</v>
      </c>
      <c r="AG345" s="946">
        <f t="shared" si="124"/>
        <v>0</v>
      </c>
      <c r="AH345" s="947"/>
      <c r="AI345" s="1069" t="s">
        <v>95</v>
      </c>
      <c r="AJ345" s="926"/>
      <c r="AK345" s="926">
        <f t="shared" si="138"/>
        <v>520</v>
      </c>
      <c r="AL345" s="858"/>
      <c r="AM345" s="858"/>
      <c r="AN345" s="928">
        <f>I345</f>
        <v>520</v>
      </c>
      <c r="AO345" s="857">
        <f t="shared" si="139"/>
        <v>520</v>
      </c>
      <c r="AS345" s="857">
        <f>I345/13</f>
        <v>40</v>
      </c>
      <c r="BE345" s="925"/>
      <c r="BF345" s="925"/>
      <c r="BG345" s="925"/>
      <c r="BH345" s="925"/>
      <c r="BI345" s="925"/>
      <c r="BN345" s="939"/>
      <c r="BO345" s="939"/>
      <c r="BP345" s="939"/>
      <c r="BQ345" s="939"/>
      <c r="BR345" s="939"/>
      <c r="BS345" s="939"/>
      <c r="BV345" s="857">
        <f t="shared" si="135"/>
        <v>0</v>
      </c>
      <c r="BW345" s="857">
        <f t="shared" si="136"/>
        <v>0</v>
      </c>
      <c r="BX345" s="939">
        <f>AK345+BX289</f>
        <v>1012618</v>
      </c>
      <c r="BY345" s="939"/>
      <c r="BZ345" s="939"/>
      <c r="CA345" s="939"/>
      <c r="CB345" s="939">
        <f t="shared" si="137"/>
        <v>287382</v>
      </c>
      <c r="CC345" s="939"/>
      <c r="CH345" s="940"/>
      <c r="CI345" s="940"/>
      <c r="CJ345" s="940"/>
      <c r="CK345" s="940"/>
      <c r="CL345" s="940"/>
      <c r="CM345" s="940"/>
      <c r="CN345" s="940"/>
      <c r="CO345" s="940"/>
      <c r="CP345" s="940"/>
      <c r="CQ345" s="940"/>
      <c r="CR345" s="940"/>
      <c r="CS345" s="940"/>
      <c r="CT345" s="940"/>
      <c r="CU345" s="940"/>
      <c r="CV345" s="940"/>
      <c r="CW345" s="940"/>
      <c r="CX345" s="940"/>
      <c r="CY345" s="940"/>
      <c r="CZ345" s="940"/>
      <c r="DA345" s="940"/>
      <c r="DB345" s="940"/>
      <c r="DC345" s="940"/>
    </row>
    <row r="346" s="857" customFormat="1" ht="31" customHeight="1" spans="1:107">
      <c r="A346" s="923">
        <v>46154</v>
      </c>
      <c r="B346" s="924" t="s">
        <v>733</v>
      </c>
      <c r="C346" s="925" t="s">
        <v>720</v>
      </c>
      <c r="D346" s="857" t="s">
        <v>2779</v>
      </c>
      <c r="E346" s="926" t="s">
        <v>2780</v>
      </c>
      <c r="F346" s="857" t="s">
        <v>2781</v>
      </c>
      <c r="G346" s="927" t="s">
        <v>1523</v>
      </c>
      <c r="H346" s="928" t="s">
        <v>1524</v>
      </c>
      <c r="I346" s="1042">
        <v>600</v>
      </c>
      <c r="J346" s="928">
        <v>0</v>
      </c>
      <c r="K346" s="928">
        <v>50</v>
      </c>
      <c r="L346" s="929">
        <f t="shared" si="122"/>
        <v>12</v>
      </c>
      <c r="M346" s="930">
        <v>46220</v>
      </c>
      <c r="N346" s="930">
        <v>46216</v>
      </c>
      <c r="O346" s="926"/>
      <c r="P346" s="1068" t="s">
        <v>86</v>
      </c>
      <c r="Q346" s="1041">
        <v>46247</v>
      </c>
      <c r="R346" s="932">
        <v>46184</v>
      </c>
      <c r="S346" s="932" t="s">
        <v>98</v>
      </c>
      <c r="T346" s="1067" t="s">
        <v>2726</v>
      </c>
      <c r="U346" s="1067"/>
      <c r="V346" s="933" t="s">
        <v>2782</v>
      </c>
      <c r="W346" s="934" t="s">
        <v>723</v>
      </c>
      <c r="X346" s="1043">
        <v>1.9788</v>
      </c>
      <c r="Y346" s="936">
        <f t="shared" si="123"/>
        <v>1187.28</v>
      </c>
      <c r="Z346" s="936"/>
      <c r="AA346" s="926"/>
      <c r="AB346" s="927" t="s">
        <v>1727</v>
      </c>
      <c r="AC346" s="926" t="s">
        <v>93</v>
      </c>
      <c r="AD346" s="928" t="s">
        <v>94</v>
      </c>
      <c r="AE346" s="926"/>
      <c r="AF346" s="946">
        <v>600</v>
      </c>
      <c r="AG346" s="946">
        <f t="shared" si="124"/>
        <v>0</v>
      </c>
      <c r="AH346" s="947"/>
      <c r="AI346" s="1069" t="s">
        <v>95</v>
      </c>
      <c r="AJ346" s="926"/>
      <c r="AK346" s="926">
        <f t="shared" si="138"/>
        <v>600</v>
      </c>
      <c r="AL346" s="858"/>
      <c r="AM346" s="858"/>
      <c r="AN346" s="857">
        <f>I346</f>
        <v>600</v>
      </c>
      <c r="AO346" s="857">
        <f t="shared" si="139"/>
        <v>600</v>
      </c>
      <c r="AU346" s="926">
        <f>I346/25</f>
        <v>24</v>
      </c>
      <c r="BE346" s="925"/>
      <c r="BF346" s="925"/>
      <c r="BG346" s="925"/>
      <c r="BH346" s="925"/>
      <c r="BI346" s="925"/>
      <c r="BN346" s="939"/>
      <c r="BO346" s="939"/>
      <c r="BP346" s="939"/>
      <c r="BQ346" s="939"/>
      <c r="BR346" s="939"/>
      <c r="BS346" s="939"/>
      <c r="BV346" s="857">
        <f t="shared" si="135"/>
        <v>24</v>
      </c>
      <c r="BW346" s="857">
        <f t="shared" si="136"/>
        <v>0</v>
      </c>
      <c r="BX346" s="939">
        <f>AK346+BX281</f>
        <v>1003268</v>
      </c>
      <c r="BY346" s="939"/>
      <c r="BZ346" s="939"/>
      <c r="CA346" s="939"/>
      <c r="CB346" s="939">
        <f t="shared" si="137"/>
        <v>296732</v>
      </c>
      <c r="CC346" s="939"/>
      <c r="CH346" s="940"/>
      <c r="CI346" s="940"/>
      <c r="CJ346" s="940"/>
      <c r="CK346" s="940"/>
      <c r="CL346" s="940"/>
      <c r="CM346" s="940"/>
      <c r="CN346" s="940"/>
      <c r="CO346" s="940"/>
      <c r="CP346" s="940"/>
      <c r="CQ346" s="940"/>
      <c r="CR346" s="940"/>
      <c r="CS346" s="940"/>
      <c r="CT346" s="940"/>
      <c r="CU346" s="940"/>
      <c r="CV346" s="940"/>
      <c r="CW346" s="940"/>
      <c r="CX346" s="940"/>
      <c r="CY346" s="940"/>
      <c r="CZ346" s="940"/>
      <c r="DA346" s="940"/>
      <c r="DB346" s="940"/>
      <c r="DC346" s="940"/>
    </row>
    <row r="347" s="857" customFormat="1" ht="31" customHeight="1" spans="1:107">
      <c r="A347" s="923">
        <v>46160</v>
      </c>
      <c r="B347" s="924" t="s">
        <v>733</v>
      </c>
      <c r="C347" s="925" t="s">
        <v>720</v>
      </c>
      <c r="D347" s="857" t="s">
        <v>2783</v>
      </c>
      <c r="E347" s="926" t="s">
        <v>2784</v>
      </c>
      <c r="F347" s="857" t="s">
        <v>2785</v>
      </c>
      <c r="G347" s="927" t="s">
        <v>1523</v>
      </c>
      <c r="H347" s="928" t="s">
        <v>1524</v>
      </c>
      <c r="I347" s="1042">
        <v>300</v>
      </c>
      <c r="J347" s="928">
        <v>0</v>
      </c>
      <c r="K347" s="928">
        <v>50</v>
      </c>
      <c r="L347" s="929">
        <f t="shared" si="122"/>
        <v>6</v>
      </c>
      <c r="M347" s="930">
        <v>46227</v>
      </c>
      <c r="N347" s="930">
        <v>46223</v>
      </c>
      <c r="O347" s="926"/>
      <c r="P347" s="1068" t="s">
        <v>86</v>
      </c>
      <c r="Q347" s="926"/>
      <c r="R347" s="932">
        <v>46189</v>
      </c>
      <c r="S347" s="932" t="s">
        <v>98</v>
      </c>
      <c r="T347" s="1067" t="s">
        <v>2786</v>
      </c>
      <c r="U347" s="932"/>
      <c r="V347" s="933" t="s">
        <v>2787</v>
      </c>
      <c r="W347" s="934" t="s">
        <v>723</v>
      </c>
      <c r="X347" s="1043">
        <v>2.0304</v>
      </c>
      <c r="Y347" s="936">
        <f t="shared" si="123"/>
        <v>609.12</v>
      </c>
      <c r="Z347" s="936"/>
      <c r="AA347" s="926"/>
      <c r="AB347" s="927" t="s">
        <v>1727</v>
      </c>
      <c r="AC347" s="926" t="s">
        <v>93</v>
      </c>
      <c r="AD347" s="928" t="s">
        <v>94</v>
      </c>
      <c r="AE347" s="926"/>
      <c r="AF347" s="946">
        <v>300</v>
      </c>
      <c r="AG347" s="946">
        <f t="shared" si="124"/>
        <v>0</v>
      </c>
      <c r="AH347" s="947"/>
      <c r="AI347" s="1069" t="s">
        <v>95</v>
      </c>
      <c r="AJ347" s="926"/>
      <c r="AK347" s="926">
        <f t="shared" si="138"/>
        <v>300</v>
      </c>
      <c r="AL347" s="858"/>
      <c r="AM347" s="858"/>
      <c r="AN347" s="857">
        <f>I347</f>
        <v>300</v>
      </c>
      <c r="AO347" s="857">
        <f t="shared" si="139"/>
        <v>300</v>
      </c>
      <c r="AU347" s="926">
        <f>I347/25</f>
        <v>12</v>
      </c>
      <c r="BE347" s="925"/>
      <c r="BF347" s="925"/>
      <c r="BG347" s="925"/>
      <c r="BH347" s="925"/>
      <c r="BI347" s="925"/>
      <c r="BN347" s="939"/>
      <c r="BO347" s="939"/>
      <c r="BP347" s="939"/>
      <c r="BQ347" s="939"/>
      <c r="BR347" s="939"/>
      <c r="BS347" s="939"/>
      <c r="BV347" s="857">
        <f t="shared" si="135"/>
        <v>12</v>
      </c>
      <c r="BW347" s="857">
        <f t="shared" si="136"/>
        <v>0</v>
      </c>
      <c r="BX347" s="939">
        <f>AK347+BX283</f>
        <v>1004008</v>
      </c>
      <c r="BY347" s="939"/>
      <c r="BZ347" s="939"/>
      <c r="CA347" s="939"/>
      <c r="CB347" s="939">
        <f t="shared" si="137"/>
        <v>295992</v>
      </c>
      <c r="CC347" s="939"/>
      <c r="CH347" s="940"/>
      <c r="CI347" s="940"/>
      <c r="CJ347" s="940"/>
      <c r="CK347" s="940"/>
      <c r="CL347" s="940"/>
      <c r="CM347" s="940"/>
      <c r="CN347" s="940"/>
      <c r="CO347" s="940"/>
      <c r="CP347" s="940"/>
      <c r="CQ347" s="940"/>
      <c r="CR347" s="940"/>
      <c r="CS347" s="940"/>
      <c r="CT347" s="940"/>
      <c r="CU347" s="940"/>
      <c r="CV347" s="940"/>
      <c r="CW347" s="940"/>
      <c r="CX347" s="940"/>
      <c r="CY347" s="940"/>
      <c r="CZ347" s="940"/>
      <c r="DA347" s="940"/>
      <c r="DB347" s="940"/>
      <c r="DC347" s="940"/>
    </row>
    <row r="348" s="857" customFormat="1" ht="31" customHeight="1" spans="1:107">
      <c r="A348" s="923">
        <v>46171</v>
      </c>
      <c r="B348" s="924" t="s">
        <v>2716</v>
      </c>
      <c r="C348" s="925" t="s">
        <v>632</v>
      </c>
      <c r="D348" s="1082" t="s">
        <v>2788</v>
      </c>
      <c r="E348" s="926" t="s">
        <v>2789</v>
      </c>
      <c r="F348" s="1082" t="s">
        <v>2790</v>
      </c>
      <c r="G348" s="927" t="s">
        <v>1746</v>
      </c>
      <c r="H348" s="928" t="s">
        <v>2549</v>
      </c>
      <c r="I348" s="1042">
        <v>12</v>
      </c>
      <c r="J348" s="928">
        <v>0</v>
      </c>
      <c r="K348" s="928">
        <v>12</v>
      </c>
      <c r="L348" s="929">
        <f t="shared" si="122"/>
        <v>1</v>
      </c>
      <c r="M348" s="930">
        <v>46225</v>
      </c>
      <c r="N348" s="1066">
        <v>46225</v>
      </c>
      <c r="O348" s="926"/>
      <c r="P348" s="1068" t="s">
        <v>86</v>
      </c>
      <c r="Q348" s="1041">
        <v>46233</v>
      </c>
      <c r="R348" s="1067" t="s">
        <v>2791</v>
      </c>
      <c r="S348" s="1067" t="s">
        <v>88</v>
      </c>
      <c r="T348" s="1067" t="s">
        <v>2792</v>
      </c>
      <c r="U348" s="1067"/>
      <c r="V348" s="1077" t="s">
        <v>2793</v>
      </c>
      <c r="W348" s="934" t="s">
        <v>2794</v>
      </c>
      <c r="X348" s="1043">
        <v>2.8742</v>
      </c>
      <c r="Y348" s="936">
        <f t="shared" si="123"/>
        <v>34.4904</v>
      </c>
      <c r="Z348" s="1078" t="s">
        <v>2723</v>
      </c>
      <c r="AA348" s="926"/>
      <c r="AB348" s="926" t="s">
        <v>2442</v>
      </c>
      <c r="AC348" s="1069" t="s">
        <v>93</v>
      </c>
      <c r="AD348" s="1071" t="s">
        <v>94</v>
      </c>
      <c r="AE348" s="926"/>
      <c r="AF348" s="946">
        <v>12</v>
      </c>
      <c r="AG348" s="946">
        <f t="shared" si="124"/>
        <v>0</v>
      </c>
      <c r="AH348" s="947"/>
      <c r="AI348" s="1069" t="s">
        <v>95</v>
      </c>
      <c r="AJ348" s="926"/>
      <c r="AK348" s="926">
        <f t="shared" ref="AK348:AK356" si="140">I348*2</f>
        <v>24</v>
      </c>
      <c r="AL348" s="858"/>
      <c r="AM348" s="858">
        <f t="shared" ref="AM348:AM356" si="141">I348*2</f>
        <v>24</v>
      </c>
      <c r="AN348" s="928"/>
      <c r="AO348" s="857">
        <f t="shared" ref="AO348:AO356" si="142">I348*2</f>
        <v>24</v>
      </c>
      <c r="BE348" s="925"/>
      <c r="BF348" s="925"/>
      <c r="BG348" s="925"/>
      <c r="BH348" s="925"/>
      <c r="BI348" s="925"/>
      <c r="BJ348" s="857">
        <f t="shared" ref="BJ348:BJ356" si="143">I348</f>
        <v>12</v>
      </c>
      <c r="BK348" s="857">
        <f t="shared" ref="BK348:BK356" si="144">I348</f>
        <v>12</v>
      </c>
      <c r="BL348" s="857">
        <f t="shared" ref="BL348:BL356" si="145">I348</f>
        <v>12</v>
      </c>
      <c r="BN348" s="939"/>
      <c r="BO348" s="939"/>
      <c r="BP348" s="939"/>
      <c r="BQ348" s="939"/>
      <c r="BR348" s="939"/>
      <c r="BS348" s="939"/>
      <c r="BV348" s="857">
        <f t="shared" ref="BV348:BV363" si="146">AT348+AU348+AY348</f>
        <v>0</v>
      </c>
      <c r="BW348" s="857">
        <f t="shared" ref="BW348:BW363" si="147">BF348+BG348+BI348</f>
        <v>0</v>
      </c>
      <c r="BX348" s="939">
        <f t="shared" ref="BX348:BX355" si="148">AK348+BX284</f>
        <v>1003940</v>
      </c>
      <c r="BY348" s="939"/>
      <c r="BZ348" s="939"/>
      <c r="CA348" s="939"/>
      <c r="CB348" s="939"/>
      <c r="CC348" s="939"/>
      <c r="CH348" s="940"/>
      <c r="CI348" s="940"/>
      <c r="CJ348" s="940"/>
      <c r="CK348" s="940"/>
      <c r="CL348" s="940"/>
      <c r="CM348" s="940"/>
      <c r="CN348" s="940"/>
      <c r="CO348" s="940"/>
      <c r="CP348" s="940"/>
      <c r="CQ348" s="940"/>
      <c r="CR348" s="940"/>
      <c r="CS348" s="940"/>
      <c r="CT348" s="940"/>
      <c r="CU348" s="940"/>
      <c r="CV348" s="940"/>
      <c r="CW348" s="940"/>
      <c r="CX348" s="940"/>
      <c r="CY348" s="940"/>
      <c r="CZ348" s="940"/>
      <c r="DA348" s="940"/>
      <c r="DB348" s="940"/>
      <c r="DC348" s="940"/>
    </row>
    <row r="349" s="857" customFormat="1" ht="31" customHeight="1" spans="1:107">
      <c r="A349" s="923">
        <v>46171</v>
      </c>
      <c r="B349" s="924" t="s">
        <v>2716</v>
      </c>
      <c r="C349" s="925" t="s">
        <v>632</v>
      </c>
      <c r="D349" s="1082" t="s">
        <v>2788</v>
      </c>
      <c r="E349" s="926" t="s">
        <v>2795</v>
      </c>
      <c r="F349" s="1082" t="s">
        <v>2796</v>
      </c>
      <c r="G349" s="927" t="s">
        <v>1746</v>
      </c>
      <c r="H349" s="928" t="s">
        <v>2549</v>
      </c>
      <c r="I349" s="1042">
        <v>24</v>
      </c>
      <c r="J349" s="928">
        <v>0</v>
      </c>
      <c r="K349" s="928">
        <v>12</v>
      </c>
      <c r="L349" s="929">
        <f t="shared" si="122"/>
        <v>2</v>
      </c>
      <c r="M349" s="930">
        <v>46225</v>
      </c>
      <c r="N349" s="1066">
        <v>46225</v>
      </c>
      <c r="O349" s="926"/>
      <c r="P349" s="1068" t="s">
        <v>86</v>
      </c>
      <c r="Q349" s="1041">
        <v>46233</v>
      </c>
      <c r="R349" s="1067" t="s">
        <v>2791</v>
      </c>
      <c r="S349" s="1067" t="s">
        <v>88</v>
      </c>
      <c r="T349" s="1067" t="s">
        <v>2792</v>
      </c>
      <c r="U349" s="1067"/>
      <c r="V349" s="1077" t="s">
        <v>2793</v>
      </c>
      <c r="W349" s="934" t="s">
        <v>2794</v>
      </c>
      <c r="X349" s="1043">
        <v>2.8742</v>
      </c>
      <c r="Y349" s="936">
        <f t="shared" si="123"/>
        <v>68.9808</v>
      </c>
      <c r="Z349" s="1078" t="s">
        <v>2723</v>
      </c>
      <c r="AA349" s="926"/>
      <c r="AB349" s="926" t="s">
        <v>2442</v>
      </c>
      <c r="AC349" s="1069" t="s">
        <v>93</v>
      </c>
      <c r="AD349" s="1071" t="s">
        <v>94</v>
      </c>
      <c r="AE349" s="926"/>
      <c r="AF349" s="946">
        <v>24</v>
      </c>
      <c r="AG349" s="946">
        <f t="shared" si="124"/>
        <v>0</v>
      </c>
      <c r="AH349" s="947"/>
      <c r="AI349" s="1069" t="s">
        <v>95</v>
      </c>
      <c r="AJ349" s="926"/>
      <c r="AK349" s="926">
        <f t="shared" si="140"/>
        <v>48</v>
      </c>
      <c r="AL349" s="858"/>
      <c r="AM349" s="858">
        <f t="shared" si="141"/>
        <v>48</v>
      </c>
      <c r="AN349" s="928"/>
      <c r="AO349" s="857">
        <f t="shared" si="142"/>
        <v>48</v>
      </c>
      <c r="BE349" s="925"/>
      <c r="BF349" s="925"/>
      <c r="BG349" s="925"/>
      <c r="BH349" s="925"/>
      <c r="BI349" s="925"/>
      <c r="BJ349" s="857">
        <f t="shared" si="143"/>
        <v>24</v>
      </c>
      <c r="BK349" s="857">
        <f t="shared" si="144"/>
        <v>24</v>
      </c>
      <c r="BL349" s="857">
        <f t="shared" si="145"/>
        <v>24</v>
      </c>
      <c r="BN349" s="939"/>
      <c r="BO349" s="939"/>
      <c r="BP349" s="939"/>
      <c r="BQ349" s="939"/>
      <c r="BR349" s="939"/>
      <c r="BS349" s="939"/>
      <c r="BV349" s="857">
        <f t="shared" si="146"/>
        <v>0</v>
      </c>
      <c r="BW349" s="857">
        <f t="shared" si="147"/>
        <v>0</v>
      </c>
      <c r="BX349" s="939">
        <f t="shared" si="148"/>
        <v>1000584</v>
      </c>
      <c r="BY349" s="939"/>
      <c r="BZ349" s="939"/>
      <c r="CA349" s="939"/>
      <c r="CB349" s="939"/>
      <c r="CC349" s="939"/>
      <c r="CH349" s="940"/>
      <c r="CI349" s="940"/>
      <c r="CJ349" s="940"/>
      <c r="CK349" s="940"/>
      <c r="CL349" s="940"/>
      <c r="CM349" s="940"/>
      <c r="CN349" s="940"/>
      <c r="CO349" s="940"/>
      <c r="CP349" s="940"/>
      <c r="CQ349" s="940"/>
      <c r="CR349" s="940"/>
      <c r="CS349" s="940"/>
      <c r="CT349" s="940"/>
      <c r="CU349" s="940"/>
      <c r="CV349" s="940"/>
      <c r="CW349" s="940"/>
      <c r="CX349" s="940"/>
      <c r="CY349" s="940"/>
      <c r="CZ349" s="940"/>
      <c r="DA349" s="940"/>
      <c r="DB349" s="940"/>
      <c r="DC349" s="940"/>
    </row>
    <row r="350" s="857" customFormat="1" ht="31" customHeight="1" spans="1:107">
      <c r="A350" s="923">
        <v>46171</v>
      </c>
      <c r="B350" s="924" t="s">
        <v>2716</v>
      </c>
      <c r="C350" s="925" t="s">
        <v>632</v>
      </c>
      <c r="D350" s="1082" t="s">
        <v>2788</v>
      </c>
      <c r="E350" s="926" t="s">
        <v>2797</v>
      </c>
      <c r="F350" s="1082" t="s">
        <v>2798</v>
      </c>
      <c r="G350" s="927" t="s">
        <v>1746</v>
      </c>
      <c r="H350" s="928" t="s">
        <v>2549</v>
      </c>
      <c r="I350" s="1042">
        <v>12</v>
      </c>
      <c r="J350" s="928">
        <v>0</v>
      </c>
      <c r="K350" s="928">
        <v>12</v>
      </c>
      <c r="L350" s="929">
        <f t="shared" si="122"/>
        <v>1</v>
      </c>
      <c r="M350" s="930">
        <v>46225</v>
      </c>
      <c r="N350" s="1066">
        <v>46225</v>
      </c>
      <c r="O350" s="926"/>
      <c r="P350" s="1068" t="s">
        <v>86</v>
      </c>
      <c r="Q350" s="1041">
        <v>46233</v>
      </c>
      <c r="R350" s="1067" t="s">
        <v>2791</v>
      </c>
      <c r="S350" s="1067" t="s">
        <v>88</v>
      </c>
      <c r="T350" s="1067" t="s">
        <v>2792</v>
      </c>
      <c r="U350" s="1067"/>
      <c r="V350" s="1077" t="s">
        <v>2793</v>
      </c>
      <c r="W350" s="934" t="s">
        <v>2794</v>
      </c>
      <c r="X350" s="1043">
        <v>2.8742</v>
      </c>
      <c r="Y350" s="936">
        <f t="shared" si="123"/>
        <v>34.4904</v>
      </c>
      <c r="Z350" s="1078" t="s">
        <v>2723</v>
      </c>
      <c r="AA350" s="926"/>
      <c r="AB350" s="926" t="s">
        <v>2442</v>
      </c>
      <c r="AC350" s="1069" t="s">
        <v>93</v>
      </c>
      <c r="AD350" s="1071" t="s">
        <v>94</v>
      </c>
      <c r="AE350" s="926"/>
      <c r="AF350" s="946">
        <v>12</v>
      </c>
      <c r="AG350" s="946">
        <f t="shared" si="124"/>
        <v>0</v>
      </c>
      <c r="AH350" s="947"/>
      <c r="AI350" s="1069" t="s">
        <v>95</v>
      </c>
      <c r="AJ350" s="926"/>
      <c r="AK350" s="926">
        <f t="shared" si="140"/>
        <v>24</v>
      </c>
      <c r="AL350" s="858"/>
      <c r="AM350" s="858">
        <f t="shared" si="141"/>
        <v>24</v>
      </c>
      <c r="AN350" s="928"/>
      <c r="AO350" s="857">
        <f t="shared" si="142"/>
        <v>24</v>
      </c>
      <c r="BE350" s="925"/>
      <c r="BF350" s="925"/>
      <c r="BG350" s="925"/>
      <c r="BH350" s="925"/>
      <c r="BI350" s="925"/>
      <c r="BJ350" s="857">
        <f t="shared" si="143"/>
        <v>12</v>
      </c>
      <c r="BK350" s="857">
        <f t="shared" si="144"/>
        <v>12</v>
      </c>
      <c r="BL350" s="857">
        <f t="shared" si="145"/>
        <v>12</v>
      </c>
      <c r="BN350" s="939"/>
      <c r="BO350" s="939"/>
      <c r="BP350" s="939"/>
      <c r="BQ350" s="939"/>
      <c r="BR350" s="939"/>
      <c r="BS350" s="939"/>
      <c r="BV350" s="857">
        <f t="shared" si="146"/>
        <v>0</v>
      </c>
      <c r="BW350" s="857">
        <f t="shared" si="147"/>
        <v>0</v>
      </c>
      <c r="BX350" s="939">
        <f t="shared" si="148"/>
        <v>1002068</v>
      </c>
      <c r="BY350" s="939"/>
      <c r="BZ350" s="939"/>
      <c r="CA350" s="939"/>
      <c r="CB350" s="939"/>
      <c r="CC350" s="939"/>
      <c r="CH350" s="940"/>
      <c r="CI350" s="940"/>
      <c r="CJ350" s="940"/>
      <c r="CK350" s="940"/>
      <c r="CL350" s="940"/>
      <c r="CM350" s="940"/>
      <c r="CN350" s="940"/>
      <c r="CO350" s="940"/>
      <c r="CP350" s="940"/>
      <c r="CQ350" s="940"/>
      <c r="CR350" s="940"/>
      <c r="CS350" s="940"/>
      <c r="CT350" s="940"/>
      <c r="CU350" s="940"/>
      <c r="CV350" s="940"/>
      <c r="CW350" s="940"/>
      <c r="CX350" s="940"/>
      <c r="CY350" s="940"/>
      <c r="CZ350" s="940"/>
      <c r="DA350" s="940"/>
      <c r="DB350" s="940"/>
      <c r="DC350" s="940"/>
    </row>
    <row r="351" s="857" customFormat="1" ht="31" customHeight="1" spans="1:107">
      <c r="A351" s="923">
        <v>46171</v>
      </c>
      <c r="B351" s="924" t="s">
        <v>2716</v>
      </c>
      <c r="C351" s="925" t="s">
        <v>632</v>
      </c>
      <c r="D351" s="1082" t="s">
        <v>2788</v>
      </c>
      <c r="E351" s="926" t="s">
        <v>2799</v>
      </c>
      <c r="F351" s="1082" t="s">
        <v>2800</v>
      </c>
      <c r="G351" s="927" t="s">
        <v>1746</v>
      </c>
      <c r="H351" s="928" t="s">
        <v>2549</v>
      </c>
      <c r="I351" s="1042">
        <v>36</v>
      </c>
      <c r="J351" s="928">
        <v>0</v>
      </c>
      <c r="K351" s="928">
        <v>12</v>
      </c>
      <c r="L351" s="929">
        <f t="shared" si="122"/>
        <v>3</v>
      </c>
      <c r="M351" s="930">
        <v>46225</v>
      </c>
      <c r="N351" s="1066">
        <v>46225</v>
      </c>
      <c r="O351" s="926"/>
      <c r="P351" s="1068" t="s">
        <v>86</v>
      </c>
      <c r="Q351" s="1041">
        <v>46233</v>
      </c>
      <c r="R351" s="1067" t="s">
        <v>2791</v>
      </c>
      <c r="S351" s="1067" t="s">
        <v>88</v>
      </c>
      <c r="T351" s="1067" t="s">
        <v>2792</v>
      </c>
      <c r="U351" s="1067"/>
      <c r="V351" s="1077" t="s">
        <v>2793</v>
      </c>
      <c r="W351" s="934" t="s">
        <v>2794</v>
      </c>
      <c r="X351" s="1043">
        <v>2.8742</v>
      </c>
      <c r="Y351" s="936">
        <f t="shared" si="123"/>
        <v>103.4712</v>
      </c>
      <c r="Z351" s="1078" t="s">
        <v>2723</v>
      </c>
      <c r="AA351" s="926"/>
      <c r="AB351" s="926" t="s">
        <v>2442</v>
      </c>
      <c r="AC351" s="1069" t="s">
        <v>93</v>
      </c>
      <c r="AD351" s="1071" t="s">
        <v>94</v>
      </c>
      <c r="AE351" s="926"/>
      <c r="AF351" s="946">
        <v>36</v>
      </c>
      <c r="AG351" s="946">
        <f t="shared" si="124"/>
        <v>0</v>
      </c>
      <c r="AH351" s="947"/>
      <c r="AI351" s="1069" t="s">
        <v>95</v>
      </c>
      <c r="AJ351" s="926"/>
      <c r="AK351" s="926">
        <f t="shared" si="140"/>
        <v>72</v>
      </c>
      <c r="AL351" s="858"/>
      <c r="AM351" s="858">
        <f t="shared" si="141"/>
        <v>72</v>
      </c>
      <c r="AN351" s="928"/>
      <c r="AO351" s="857">
        <f t="shared" si="142"/>
        <v>72</v>
      </c>
      <c r="BE351" s="925"/>
      <c r="BF351" s="925"/>
      <c r="BG351" s="925"/>
      <c r="BH351" s="925"/>
      <c r="BI351" s="925"/>
      <c r="BJ351" s="857">
        <f t="shared" si="143"/>
        <v>36</v>
      </c>
      <c r="BK351" s="857">
        <f t="shared" si="144"/>
        <v>36</v>
      </c>
      <c r="BL351" s="857">
        <f t="shared" si="145"/>
        <v>36</v>
      </c>
      <c r="BN351" s="939"/>
      <c r="BO351" s="939"/>
      <c r="BP351" s="939"/>
      <c r="BQ351" s="939"/>
      <c r="BR351" s="939"/>
      <c r="BS351" s="939"/>
      <c r="BV351" s="857">
        <f t="shared" si="146"/>
        <v>0</v>
      </c>
      <c r="BW351" s="857">
        <f t="shared" si="147"/>
        <v>0</v>
      </c>
      <c r="BX351" s="939">
        <f t="shared" si="148"/>
        <v>1026154</v>
      </c>
      <c r="BY351" s="939"/>
      <c r="BZ351" s="939"/>
      <c r="CA351" s="939"/>
      <c r="CB351" s="939"/>
      <c r="CC351" s="939"/>
      <c r="CH351" s="940"/>
      <c r="CI351" s="940"/>
      <c r="CJ351" s="940"/>
      <c r="CK351" s="940"/>
      <c r="CL351" s="940"/>
      <c r="CM351" s="940"/>
      <c r="CN351" s="940"/>
      <c r="CO351" s="940"/>
      <c r="CP351" s="940"/>
      <c r="CQ351" s="940"/>
      <c r="CR351" s="940"/>
      <c r="CS351" s="940"/>
      <c r="CT351" s="940"/>
      <c r="CU351" s="940"/>
      <c r="CV351" s="940"/>
      <c r="CW351" s="940"/>
      <c r="CX351" s="940"/>
      <c r="CY351" s="940"/>
      <c r="CZ351" s="940"/>
      <c r="DA351" s="940"/>
      <c r="DB351" s="940"/>
      <c r="DC351" s="940"/>
    </row>
    <row r="352" s="857" customFormat="1" ht="31" customHeight="1" spans="1:107">
      <c r="A352" s="923">
        <v>46171</v>
      </c>
      <c r="B352" s="924" t="s">
        <v>2716</v>
      </c>
      <c r="C352" s="925" t="s">
        <v>632</v>
      </c>
      <c r="D352" s="1082" t="s">
        <v>2788</v>
      </c>
      <c r="E352" s="926" t="s">
        <v>2801</v>
      </c>
      <c r="F352" s="1082" t="s">
        <v>2802</v>
      </c>
      <c r="G352" s="927" t="s">
        <v>1746</v>
      </c>
      <c r="H352" s="928" t="s">
        <v>2549</v>
      </c>
      <c r="I352" s="1042">
        <v>24</v>
      </c>
      <c r="J352" s="928">
        <v>0</v>
      </c>
      <c r="K352" s="928">
        <v>12</v>
      </c>
      <c r="L352" s="929">
        <f t="shared" si="122"/>
        <v>2</v>
      </c>
      <c r="M352" s="930">
        <v>46225</v>
      </c>
      <c r="N352" s="1066">
        <v>46225</v>
      </c>
      <c r="O352" s="926"/>
      <c r="P352" s="1068" t="s">
        <v>86</v>
      </c>
      <c r="Q352" s="1041">
        <v>46233</v>
      </c>
      <c r="R352" s="1067" t="s">
        <v>2791</v>
      </c>
      <c r="S352" s="1067" t="s">
        <v>88</v>
      </c>
      <c r="T352" s="1067" t="s">
        <v>2792</v>
      </c>
      <c r="U352" s="1067"/>
      <c r="V352" s="1077" t="s">
        <v>2793</v>
      </c>
      <c r="W352" s="934" t="s">
        <v>2794</v>
      </c>
      <c r="X352" s="1043">
        <v>2.8742</v>
      </c>
      <c r="Y352" s="936">
        <f t="shared" si="123"/>
        <v>68.9808</v>
      </c>
      <c r="Z352" s="1078" t="s">
        <v>2723</v>
      </c>
      <c r="AA352" s="926"/>
      <c r="AB352" s="926" t="s">
        <v>2442</v>
      </c>
      <c r="AC352" s="1069" t="s">
        <v>93</v>
      </c>
      <c r="AD352" s="1071" t="s">
        <v>94</v>
      </c>
      <c r="AE352" s="926"/>
      <c r="AF352" s="946">
        <v>24</v>
      </c>
      <c r="AG352" s="946">
        <f t="shared" si="124"/>
        <v>0</v>
      </c>
      <c r="AH352" s="947"/>
      <c r="AI352" s="1069" t="s">
        <v>95</v>
      </c>
      <c r="AJ352" s="926"/>
      <c r="AK352" s="926">
        <f t="shared" si="140"/>
        <v>48</v>
      </c>
      <c r="AL352" s="858"/>
      <c r="AM352" s="858">
        <f t="shared" si="141"/>
        <v>48</v>
      </c>
      <c r="AN352" s="928"/>
      <c r="AO352" s="857">
        <f t="shared" si="142"/>
        <v>48</v>
      </c>
      <c r="BE352" s="925"/>
      <c r="BF352" s="925"/>
      <c r="BG352" s="925"/>
      <c r="BH352" s="925"/>
      <c r="BI352" s="925"/>
      <c r="BJ352" s="857">
        <f t="shared" si="143"/>
        <v>24</v>
      </c>
      <c r="BK352" s="857">
        <f t="shared" si="144"/>
        <v>24</v>
      </c>
      <c r="BL352" s="857">
        <f t="shared" si="145"/>
        <v>24</v>
      </c>
      <c r="BN352" s="939"/>
      <c r="BO352" s="939"/>
      <c r="BP352" s="939"/>
      <c r="BQ352" s="939"/>
      <c r="BR352" s="939"/>
      <c r="BS352" s="939"/>
      <c r="BV352" s="857">
        <f t="shared" si="146"/>
        <v>0</v>
      </c>
      <c r="BW352" s="857">
        <f t="shared" si="147"/>
        <v>0</v>
      </c>
      <c r="BX352" s="939">
        <f t="shared" si="148"/>
        <v>1058562</v>
      </c>
      <c r="BY352" s="939"/>
      <c r="BZ352" s="939"/>
      <c r="CA352" s="939"/>
      <c r="CB352" s="939"/>
      <c r="CC352" s="939"/>
      <c r="CH352" s="940"/>
      <c r="CI352" s="940"/>
      <c r="CJ352" s="940"/>
      <c r="CK352" s="940"/>
      <c r="CL352" s="940"/>
      <c r="CM352" s="940"/>
      <c r="CN352" s="940"/>
      <c r="CO352" s="940"/>
      <c r="CP352" s="940"/>
      <c r="CQ352" s="940"/>
      <c r="CR352" s="940"/>
      <c r="CS352" s="940"/>
      <c r="CT352" s="940"/>
      <c r="CU352" s="940"/>
      <c r="CV352" s="940"/>
      <c r="CW352" s="940"/>
      <c r="CX352" s="940"/>
      <c r="CY352" s="940"/>
      <c r="CZ352" s="940"/>
      <c r="DA352" s="940"/>
      <c r="DB352" s="940"/>
      <c r="DC352" s="940"/>
    </row>
    <row r="353" s="857" customFormat="1" ht="31" customHeight="1" spans="1:107">
      <c r="A353" s="923">
        <v>46171</v>
      </c>
      <c r="B353" s="924" t="s">
        <v>2716</v>
      </c>
      <c r="C353" s="925" t="s">
        <v>632</v>
      </c>
      <c r="D353" s="1082" t="s">
        <v>2788</v>
      </c>
      <c r="E353" s="926" t="s">
        <v>2803</v>
      </c>
      <c r="F353" s="1082" t="s">
        <v>2804</v>
      </c>
      <c r="G353" s="927" t="s">
        <v>1746</v>
      </c>
      <c r="H353" s="928" t="s">
        <v>2549</v>
      </c>
      <c r="I353" s="1042">
        <v>48</v>
      </c>
      <c r="J353" s="928">
        <v>0</v>
      </c>
      <c r="K353" s="928">
        <v>12</v>
      </c>
      <c r="L353" s="929">
        <f t="shared" si="122"/>
        <v>4</v>
      </c>
      <c r="M353" s="930">
        <v>46225</v>
      </c>
      <c r="N353" s="1066">
        <v>46225</v>
      </c>
      <c r="O353" s="926"/>
      <c r="P353" s="1068" t="s">
        <v>86</v>
      </c>
      <c r="Q353" s="1041">
        <v>46233</v>
      </c>
      <c r="R353" s="1067" t="s">
        <v>2791</v>
      </c>
      <c r="S353" s="1067" t="s">
        <v>88</v>
      </c>
      <c r="T353" s="1067" t="s">
        <v>2792</v>
      </c>
      <c r="U353" s="1067"/>
      <c r="V353" s="1077" t="s">
        <v>2793</v>
      </c>
      <c r="W353" s="934" t="s">
        <v>2794</v>
      </c>
      <c r="X353" s="1043">
        <v>2.8742</v>
      </c>
      <c r="Y353" s="936">
        <f t="shared" si="123"/>
        <v>137.9616</v>
      </c>
      <c r="Z353" s="1078" t="s">
        <v>2723</v>
      </c>
      <c r="AA353" s="926"/>
      <c r="AB353" s="926" t="s">
        <v>2442</v>
      </c>
      <c r="AC353" s="1069" t="s">
        <v>93</v>
      </c>
      <c r="AD353" s="1071" t="s">
        <v>94</v>
      </c>
      <c r="AE353" s="926"/>
      <c r="AF353" s="946">
        <v>48</v>
      </c>
      <c r="AG353" s="946">
        <f t="shared" si="124"/>
        <v>0</v>
      </c>
      <c r="AH353" s="947"/>
      <c r="AI353" s="1069" t="s">
        <v>95</v>
      </c>
      <c r="AJ353" s="926"/>
      <c r="AK353" s="926">
        <f t="shared" si="140"/>
        <v>96</v>
      </c>
      <c r="AL353" s="858"/>
      <c r="AM353" s="858">
        <f t="shared" si="141"/>
        <v>96</v>
      </c>
      <c r="AN353" s="928"/>
      <c r="AO353" s="857">
        <f t="shared" si="142"/>
        <v>96</v>
      </c>
      <c r="BE353" s="925"/>
      <c r="BF353" s="925"/>
      <c r="BG353" s="925"/>
      <c r="BH353" s="925"/>
      <c r="BI353" s="925"/>
      <c r="BJ353" s="857">
        <f t="shared" si="143"/>
        <v>48</v>
      </c>
      <c r="BK353" s="857">
        <f t="shared" si="144"/>
        <v>48</v>
      </c>
      <c r="BL353" s="857">
        <f t="shared" si="145"/>
        <v>48</v>
      </c>
      <c r="BN353" s="939"/>
      <c r="BO353" s="939"/>
      <c r="BP353" s="939"/>
      <c r="BQ353" s="939"/>
      <c r="BR353" s="939"/>
      <c r="BS353" s="939"/>
      <c r="BV353" s="857">
        <f t="shared" si="146"/>
        <v>0</v>
      </c>
      <c r="BW353" s="857">
        <f t="shared" si="147"/>
        <v>0</v>
      </c>
      <c r="BX353" s="939">
        <f t="shared" si="148"/>
        <v>1012194</v>
      </c>
      <c r="BY353" s="939"/>
      <c r="BZ353" s="939"/>
      <c r="CA353" s="939"/>
      <c r="CB353" s="939"/>
      <c r="CC353" s="939"/>
      <c r="CH353" s="940"/>
      <c r="CI353" s="940"/>
      <c r="CJ353" s="940"/>
      <c r="CK353" s="940"/>
      <c r="CL353" s="940"/>
      <c r="CM353" s="940"/>
      <c r="CN353" s="940"/>
      <c r="CO353" s="940"/>
      <c r="CP353" s="940"/>
      <c r="CQ353" s="940"/>
      <c r="CR353" s="940"/>
      <c r="CS353" s="940"/>
      <c r="CT353" s="940"/>
      <c r="CU353" s="940"/>
      <c r="CV353" s="940"/>
      <c r="CW353" s="940"/>
      <c r="CX353" s="940"/>
      <c r="CY353" s="940"/>
      <c r="CZ353" s="940"/>
      <c r="DA353" s="940"/>
      <c r="DB353" s="940"/>
      <c r="DC353" s="940"/>
    </row>
    <row r="354" s="857" customFormat="1" ht="31" customHeight="1" spans="1:107">
      <c r="A354" s="923">
        <v>46171</v>
      </c>
      <c r="B354" s="924" t="s">
        <v>2716</v>
      </c>
      <c r="C354" s="925" t="s">
        <v>632</v>
      </c>
      <c r="D354" s="1082" t="s">
        <v>2788</v>
      </c>
      <c r="E354" s="926" t="s">
        <v>2805</v>
      </c>
      <c r="F354" s="1082" t="s">
        <v>2806</v>
      </c>
      <c r="G354" s="927" t="s">
        <v>1746</v>
      </c>
      <c r="H354" s="928" t="s">
        <v>2549</v>
      </c>
      <c r="I354" s="1042">
        <v>24</v>
      </c>
      <c r="J354" s="928">
        <v>0</v>
      </c>
      <c r="K354" s="928">
        <v>12</v>
      </c>
      <c r="L354" s="929">
        <f t="shared" si="122"/>
        <v>2</v>
      </c>
      <c r="M354" s="930">
        <v>46225</v>
      </c>
      <c r="N354" s="1066">
        <v>46225</v>
      </c>
      <c r="O354" s="926"/>
      <c r="P354" s="1068" t="s">
        <v>86</v>
      </c>
      <c r="Q354" s="1041">
        <v>46233</v>
      </c>
      <c r="R354" s="1067" t="s">
        <v>2791</v>
      </c>
      <c r="S354" s="1067" t="s">
        <v>88</v>
      </c>
      <c r="T354" s="1067" t="s">
        <v>2792</v>
      </c>
      <c r="U354" s="1067"/>
      <c r="V354" s="1077" t="s">
        <v>2793</v>
      </c>
      <c r="W354" s="934" t="s">
        <v>2794</v>
      </c>
      <c r="X354" s="1043">
        <v>2.8742</v>
      </c>
      <c r="Y354" s="936">
        <f t="shared" si="123"/>
        <v>68.9808</v>
      </c>
      <c r="Z354" s="1078" t="s">
        <v>2723</v>
      </c>
      <c r="AA354" s="926"/>
      <c r="AB354" s="926" t="s">
        <v>2442</v>
      </c>
      <c r="AC354" s="1069" t="s">
        <v>93</v>
      </c>
      <c r="AD354" s="1071" t="s">
        <v>94</v>
      </c>
      <c r="AE354" s="926"/>
      <c r="AF354" s="946">
        <v>24</v>
      </c>
      <c r="AG354" s="946">
        <f t="shared" si="124"/>
        <v>0</v>
      </c>
      <c r="AH354" s="947"/>
      <c r="AI354" s="1069" t="s">
        <v>95</v>
      </c>
      <c r="AJ354" s="926"/>
      <c r="AK354" s="926">
        <f t="shared" si="140"/>
        <v>48</v>
      </c>
      <c r="AL354" s="858"/>
      <c r="AM354" s="858">
        <f t="shared" si="141"/>
        <v>48</v>
      </c>
      <c r="AN354" s="928"/>
      <c r="AO354" s="857">
        <f t="shared" si="142"/>
        <v>48</v>
      </c>
      <c r="BE354" s="925"/>
      <c r="BF354" s="925"/>
      <c r="BG354" s="925"/>
      <c r="BH354" s="925"/>
      <c r="BI354" s="925"/>
      <c r="BJ354" s="857">
        <f t="shared" si="143"/>
        <v>24</v>
      </c>
      <c r="BK354" s="857">
        <f t="shared" si="144"/>
        <v>24</v>
      </c>
      <c r="BL354" s="857">
        <f t="shared" si="145"/>
        <v>24</v>
      </c>
      <c r="BN354" s="939"/>
      <c r="BO354" s="939"/>
      <c r="BP354" s="939"/>
      <c r="BQ354" s="939"/>
      <c r="BR354" s="939"/>
      <c r="BS354" s="939"/>
      <c r="BV354" s="857">
        <f t="shared" si="146"/>
        <v>0</v>
      </c>
      <c r="BW354" s="857">
        <f t="shared" si="147"/>
        <v>0</v>
      </c>
      <c r="BX354" s="939">
        <f t="shared" si="148"/>
        <v>1008898</v>
      </c>
      <c r="BY354" s="939"/>
      <c r="BZ354" s="939"/>
      <c r="CA354" s="939"/>
      <c r="CB354" s="939"/>
      <c r="CC354" s="939"/>
      <c r="CH354" s="940"/>
      <c r="CI354" s="940"/>
      <c r="CJ354" s="940"/>
      <c r="CK354" s="940"/>
      <c r="CL354" s="940"/>
      <c r="CM354" s="940"/>
      <c r="CN354" s="940"/>
      <c r="CO354" s="940"/>
      <c r="CP354" s="940"/>
      <c r="CQ354" s="940"/>
      <c r="CR354" s="940"/>
      <c r="CS354" s="940"/>
      <c r="CT354" s="940"/>
      <c r="CU354" s="940"/>
      <c r="CV354" s="940"/>
      <c r="CW354" s="940"/>
      <c r="CX354" s="940"/>
      <c r="CY354" s="940"/>
      <c r="CZ354" s="940"/>
      <c r="DA354" s="940"/>
      <c r="DB354" s="940"/>
      <c r="DC354" s="940"/>
    </row>
    <row r="355" s="857" customFormat="1" ht="31" customHeight="1" spans="1:107">
      <c r="A355" s="923">
        <v>46171</v>
      </c>
      <c r="B355" s="924" t="s">
        <v>2716</v>
      </c>
      <c r="C355" s="925" t="s">
        <v>632</v>
      </c>
      <c r="D355" s="1082" t="s">
        <v>2788</v>
      </c>
      <c r="E355" s="926" t="s">
        <v>2807</v>
      </c>
      <c r="F355" s="1082" t="s">
        <v>2808</v>
      </c>
      <c r="G355" s="927" t="s">
        <v>1746</v>
      </c>
      <c r="H355" s="928" t="s">
        <v>2549</v>
      </c>
      <c r="I355" s="1042">
        <v>48</v>
      </c>
      <c r="J355" s="928">
        <v>0</v>
      </c>
      <c r="K355" s="928">
        <v>12</v>
      </c>
      <c r="L355" s="929">
        <f t="shared" si="122"/>
        <v>4</v>
      </c>
      <c r="M355" s="930">
        <v>46225</v>
      </c>
      <c r="N355" s="1066">
        <v>46225</v>
      </c>
      <c r="O355" s="926"/>
      <c r="P355" s="1068" t="s">
        <v>86</v>
      </c>
      <c r="Q355" s="1041">
        <v>46233</v>
      </c>
      <c r="R355" s="1067" t="s">
        <v>2791</v>
      </c>
      <c r="S355" s="1067" t="s">
        <v>88</v>
      </c>
      <c r="T355" s="1067" t="s">
        <v>2792</v>
      </c>
      <c r="U355" s="1067"/>
      <c r="V355" s="1077" t="s">
        <v>2793</v>
      </c>
      <c r="W355" s="934" t="s">
        <v>2794</v>
      </c>
      <c r="X355" s="1043">
        <v>2.8742</v>
      </c>
      <c r="Y355" s="936">
        <f t="shared" si="123"/>
        <v>137.9616</v>
      </c>
      <c r="Z355" s="1078" t="s">
        <v>2723</v>
      </c>
      <c r="AA355" s="926"/>
      <c r="AB355" s="926" t="s">
        <v>2442</v>
      </c>
      <c r="AC355" s="1069" t="s">
        <v>93</v>
      </c>
      <c r="AD355" s="1071" t="s">
        <v>94</v>
      </c>
      <c r="AE355" s="926"/>
      <c r="AF355" s="946">
        <v>48</v>
      </c>
      <c r="AG355" s="946">
        <f t="shared" si="124"/>
        <v>0</v>
      </c>
      <c r="AH355" s="947"/>
      <c r="AI355" s="1069" t="s">
        <v>95</v>
      </c>
      <c r="AJ355" s="926"/>
      <c r="AK355" s="926">
        <f t="shared" si="140"/>
        <v>96</v>
      </c>
      <c r="AL355" s="858"/>
      <c r="AM355" s="858">
        <f t="shared" si="141"/>
        <v>96</v>
      </c>
      <c r="AN355" s="928"/>
      <c r="AO355" s="857">
        <f t="shared" si="142"/>
        <v>96</v>
      </c>
      <c r="BE355" s="925"/>
      <c r="BF355" s="925"/>
      <c r="BG355" s="925"/>
      <c r="BH355" s="925"/>
      <c r="BI355" s="925"/>
      <c r="BJ355" s="857">
        <f t="shared" si="143"/>
        <v>48</v>
      </c>
      <c r="BK355" s="857">
        <f t="shared" si="144"/>
        <v>48</v>
      </c>
      <c r="BL355" s="857">
        <f t="shared" si="145"/>
        <v>48</v>
      </c>
      <c r="BN355" s="939"/>
      <c r="BO355" s="939"/>
      <c r="BP355" s="939"/>
      <c r="BQ355" s="939"/>
      <c r="BR355" s="939"/>
      <c r="BS355" s="939"/>
      <c r="BV355" s="857">
        <f t="shared" si="146"/>
        <v>0</v>
      </c>
      <c r="BW355" s="857">
        <f t="shared" si="147"/>
        <v>0</v>
      </c>
      <c r="BX355" s="939">
        <f t="shared" si="148"/>
        <v>1012714</v>
      </c>
      <c r="BY355" s="939"/>
      <c r="BZ355" s="939"/>
      <c r="CA355" s="939"/>
      <c r="CB355" s="939"/>
      <c r="CC355" s="939"/>
      <c r="CH355" s="940"/>
      <c r="CI355" s="940"/>
      <c r="CJ355" s="940"/>
      <c r="CK355" s="940"/>
      <c r="CL355" s="940"/>
      <c r="CM355" s="940"/>
      <c r="CN355" s="940"/>
      <c r="CO355" s="940"/>
      <c r="CP355" s="940"/>
      <c r="CQ355" s="940"/>
      <c r="CR355" s="940"/>
      <c r="CS355" s="940"/>
      <c r="CT355" s="940"/>
      <c r="CU355" s="940"/>
      <c r="CV355" s="940"/>
      <c r="CW355" s="940"/>
      <c r="CX355" s="940"/>
      <c r="CY355" s="940"/>
      <c r="CZ355" s="940"/>
      <c r="DA355" s="940"/>
      <c r="DB355" s="940"/>
      <c r="DC355" s="940"/>
    </row>
    <row r="356" s="857" customFormat="1" ht="31" customHeight="1" spans="1:107">
      <c r="A356" s="923">
        <v>46167</v>
      </c>
      <c r="B356" s="924" t="s">
        <v>869</v>
      </c>
      <c r="C356" s="925" t="s">
        <v>632</v>
      </c>
      <c r="D356" s="857" t="s">
        <v>2809</v>
      </c>
      <c r="E356" s="926" t="s">
        <v>2810</v>
      </c>
      <c r="F356" s="857" t="s">
        <v>2811</v>
      </c>
      <c r="G356" s="927" t="s">
        <v>1746</v>
      </c>
      <c r="H356" s="928" t="s">
        <v>2549</v>
      </c>
      <c r="I356" s="1042">
        <v>204</v>
      </c>
      <c r="J356" s="928">
        <v>0</v>
      </c>
      <c r="K356" s="928">
        <v>12</v>
      </c>
      <c r="L356" s="929">
        <f t="shared" si="122"/>
        <v>17</v>
      </c>
      <c r="M356" s="930">
        <v>46225</v>
      </c>
      <c r="N356" s="1066">
        <v>46225</v>
      </c>
      <c r="O356" s="926"/>
      <c r="P356" s="1068" t="s">
        <v>86</v>
      </c>
      <c r="Q356" s="1041">
        <v>46233</v>
      </c>
      <c r="R356" s="932">
        <v>46174</v>
      </c>
      <c r="S356" s="932" t="s">
        <v>98</v>
      </c>
      <c r="T356" s="1067" t="s">
        <v>2792</v>
      </c>
      <c r="U356" s="932"/>
      <c r="V356" s="1077" t="s">
        <v>2731</v>
      </c>
      <c r="W356" s="934" t="s">
        <v>2732</v>
      </c>
      <c r="X356" s="1043">
        <v>2.8742</v>
      </c>
      <c r="Y356" s="936">
        <f t="shared" si="123"/>
        <v>586.3368</v>
      </c>
      <c r="Z356" s="936"/>
      <c r="AA356" s="926"/>
      <c r="AB356" s="926" t="s">
        <v>2442</v>
      </c>
      <c r="AC356" s="1069" t="s">
        <v>93</v>
      </c>
      <c r="AD356" s="1071" t="s">
        <v>94</v>
      </c>
      <c r="AE356" s="926"/>
      <c r="AF356" s="946">
        <v>204</v>
      </c>
      <c r="AG356" s="946">
        <f t="shared" si="124"/>
        <v>0</v>
      </c>
      <c r="AH356" s="947"/>
      <c r="AI356" s="1069" t="s">
        <v>95</v>
      </c>
      <c r="AJ356" s="926"/>
      <c r="AK356" s="926">
        <f t="shared" si="140"/>
        <v>408</v>
      </c>
      <c r="AL356" s="858"/>
      <c r="AM356" s="858">
        <f t="shared" si="141"/>
        <v>408</v>
      </c>
      <c r="AN356" s="928"/>
      <c r="AO356" s="857">
        <f t="shared" si="142"/>
        <v>408</v>
      </c>
      <c r="BE356" s="925"/>
      <c r="BF356" s="925"/>
      <c r="BG356" s="925"/>
      <c r="BH356" s="925"/>
      <c r="BI356" s="925"/>
      <c r="BJ356" s="857">
        <f t="shared" si="143"/>
        <v>204</v>
      </c>
      <c r="BK356" s="857">
        <f t="shared" si="144"/>
        <v>204</v>
      </c>
      <c r="BL356" s="857">
        <f t="shared" si="145"/>
        <v>204</v>
      </c>
      <c r="BN356" s="939"/>
      <c r="BO356" s="939"/>
      <c r="BP356" s="939"/>
      <c r="BQ356" s="939"/>
      <c r="BR356" s="939"/>
      <c r="BS356" s="939"/>
      <c r="BV356" s="857">
        <f t="shared" si="146"/>
        <v>0</v>
      </c>
      <c r="BW356" s="857">
        <f t="shared" si="147"/>
        <v>0</v>
      </c>
      <c r="BX356" s="939">
        <f>AK356+BX294</f>
        <v>1006598</v>
      </c>
      <c r="BY356" s="939"/>
      <c r="BZ356" s="939"/>
      <c r="CA356" s="939"/>
      <c r="CB356" s="939">
        <f>$BZ$1+$CA$1+$CB$1-BX356</f>
        <v>293402</v>
      </c>
      <c r="CC356" s="939"/>
      <c r="CH356" s="940"/>
      <c r="CI356" s="940"/>
      <c r="CJ356" s="940"/>
      <c r="CK356" s="940"/>
      <c r="CL356" s="940"/>
      <c r="CM356" s="940"/>
      <c r="CN356" s="940"/>
      <c r="CO356" s="940"/>
      <c r="CP356" s="940"/>
      <c r="CQ356" s="940"/>
      <c r="CR356" s="940"/>
      <c r="CS356" s="940"/>
      <c r="CT356" s="940"/>
      <c r="CU356" s="940"/>
      <c r="CV356" s="940"/>
      <c r="CW356" s="940"/>
      <c r="CX356" s="940"/>
      <c r="CY356" s="940"/>
      <c r="CZ356" s="940"/>
      <c r="DA356" s="940"/>
      <c r="DB356" s="940"/>
      <c r="DC356" s="940"/>
    </row>
    <row r="357" s="857" customFormat="1" ht="31" customHeight="1" spans="1:107">
      <c r="A357" s="923">
        <v>46177</v>
      </c>
      <c r="B357" s="924" t="s">
        <v>263</v>
      </c>
      <c r="C357" s="941" t="s">
        <v>264</v>
      </c>
      <c r="D357" s="924" t="s">
        <v>2812</v>
      </c>
      <c r="E357" s="928" t="s">
        <v>2813</v>
      </c>
      <c r="F357" s="857" t="s">
        <v>2814</v>
      </c>
      <c r="G357" s="927" t="s">
        <v>1523</v>
      </c>
      <c r="H357" s="928" t="s">
        <v>1524</v>
      </c>
      <c r="I357" s="928">
        <v>1200</v>
      </c>
      <c r="J357" s="928">
        <v>0</v>
      </c>
      <c r="K357" s="928">
        <v>50</v>
      </c>
      <c r="L357" s="929">
        <f t="shared" si="122"/>
        <v>24</v>
      </c>
      <c r="M357" s="930">
        <v>46224</v>
      </c>
      <c r="N357" s="930">
        <v>46220</v>
      </c>
      <c r="O357" s="928"/>
      <c r="P357" s="1068" t="s">
        <v>86</v>
      </c>
      <c r="Q357" s="1083">
        <v>46237</v>
      </c>
      <c r="R357" s="1067">
        <v>46198</v>
      </c>
      <c r="S357" s="1067" t="s">
        <v>98</v>
      </c>
      <c r="T357" s="1067" t="s">
        <v>2815</v>
      </c>
      <c r="U357" s="1067"/>
      <c r="V357" s="1077" t="s">
        <v>2816</v>
      </c>
      <c r="W357" s="934" t="s">
        <v>2817</v>
      </c>
      <c r="X357" s="1043">
        <v>2.0304</v>
      </c>
      <c r="Y357" s="936">
        <f t="shared" si="123"/>
        <v>2436.48</v>
      </c>
      <c r="Z357" s="936"/>
      <c r="AA357" s="928"/>
      <c r="AB357" s="926" t="s">
        <v>1727</v>
      </c>
      <c r="AC357" s="1069" t="s">
        <v>93</v>
      </c>
      <c r="AD357" s="928" t="s">
        <v>94</v>
      </c>
      <c r="AE357" s="928"/>
      <c r="AF357" s="943">
        <v>1200</v>
      </c>
      <c r="AG357" s="946">
        <f t="shared" si="124"/>
        <v>0</v>
      </c>
      <c r="AH357" s="944"/>
      <c r="AI357" s="1071" t="s">
        <v>95</v>
      </c>
      <c r="AJ357" s="928"/>
      <c r="AK357" s="926">
        <f>I357</f>
        <v>1200</v>
      </c>
      <c r="AL357" s="858"/>
      <c r="AM357" s="858"/>
      <c r="AN357" s="858">
        <f>I357</f>
        <v>1200</v>
      </c>
      <c r="AO357" s="858">
        <f>I357</f>
        <v>1200</v>
      </c>
      <c r="AP357" s="858"/>
      <c r="AQ357" s="858"/>
      <c r="AR357" s="858"/>
      <c r="AT357" s="858"/>
      <c r="AU357" s="857">
        <f>L357*2</f>
        <v>48</v>
      </c>
      <c r="AV357" s="858"/>
      <c r="AW357" s="858"/>
      <c r="AX357" s="858"/>
      <c r="AY357" s="858"/>
      <c r="AZ357" s="858"/>
      <c r="BE357" s="925"/>
      <c r="BF357" s="925"/>
      <c r="BG357" s="925"/>
      <c r="BH357" s="925"/>
      <c r="BI357" s="925"/>
      <c r="BN357" s="939"/>
      <c r="BO357" s="939"/>
      <c r="BP357" s="939"/>
      <c r="BQ357" s="939"/>
      <c r="BR357" s="939"/>
      <c r="BS357" s="939"/>
      <c r="BV357" s="857">
        <f t="shared" si="146"/>
        <v>48</v>
      </c>
      <c r="BW357" s="857">
        <f t="shared" si="147"/>
        <v>0</v>
      </c>
      <c r="BX357" s="939">
        <f>AK357+BX356</f>
        <v>1007798</v>
      </c>
      <c r="BY357" s="939"/>
      <c r="BZ357" s="939"/>
      <c r="CA357" s="939">
        <f>$BZ$1+$CA$1-BX357</f>
        <v>-147798</v>
      </c>
      <c r="CB357" s="939"/>
      <c r="CC357" s="939"/>
      <c r="CH357" s="940"/>
      <c r="CI357" s="940"/>
      <c r="CJ357" s="940"/>
      <c r="CK357" s="940"/>
      <c r="CL357" s="940"/>
      <c r="CM357" s="940"/>
      <c r="CN357" s="940"/>
      <c r="CO357" s="940"/>
      <c r="CP357" s="940"/>
      <c r="CQ357" s="940"/>
      <c r="CR357" s="940"/>
      <c r="CS357" s="940"/>
      <c r="CT357" s="940"/>
      <c r="CU357" s="940"/>
      <c r="CV357" s="940"/>
      <c r="CW357" s="940"/>
      <c r="CX357" s="940"/>
      <c r="CY357" s="940"/>
      <c r="CZ357" s="940"/>
      <c r="DA357" s="940"/>
      <c r="DB357" s="940"/>
      <c r="DC357" s="940"/>
    </row>
    <row r="358" s="857" customFormat="1" ht="31" customHeight="1" spans="1:107">
      <c r="A358" s="923">
        <v>46185</v>
      </c>
      <c r="B358" s="924" t="s">
        <v>2818</v>
      </c>
      <c r="C358" s="925" t="s">
        <v>228</v>
      </c>
      <c r="D358" s="857" t="s">
        <v>2819</v>
      </c>
      <c r="E358" s="926"/>
      <c r="F358" s="857" t="s">
        <v>2820</v>
      </c>
      <c r="G358" s="927" t="s">
        <v>1523</v>
      </c>
      <c r="H358" s="928" t="s">
        <v>1524</v>
      </c>
      <c r="I358" s="1042">
        <v>200</v>
      </c>
      <c r="J358" s="928">
        <v>0</v>
      </c>
      <c r="K358" s="928">
        <v>50</v>
      </c>
      <c r="L358" s="929">
        <f t="shared" si="122"/>
        <v>4</v>
      </c>
      <c r="M358" s="930">
        <v>46233</v>
      </c>
      <c r="N358" s="930">
        <v>46230</v>
      </c>
      <c r="O358" s="926"/>
      <c r="P358" s="1068" t="s">
        <v>86</v>
      </c>
      <c r="Q358" s="926"/>
      <c r="R358" s="1067">
        <v>46198</v>
      </c>
      <c r="S358" s="1067" t="s">
        <v>98</v>
      </c>
      <c r="T358" s="1067" t="s">
        <v>2821</v>
      </c>
      <c r="U358" s="932"/>
      <c r="V358" s="1077" t="s">
        <v>2822</v>
      </c>
      <c r="W358" s="934" t="s">
        <v>2823</v>
      </c>
      <c r="X358" s="1043">
        <v>2.0304</v>
      </c>
      <c r="Y358" s="936">
        <f t="shared" si="123"/>
        <v>406.08</v>
      </c>
      <c r="Z358" s="936"/>
      <c r="AA358" s="926"/>
      <c r="AB358" s="927" t="s">
        <v>1727</v>
      </c>
      <c r="AC358" s="1069" t="s">
        <v>93</v>
      </c>
      <c r="AD358" s="928" t="s">
        <v>94</v>
      </c>
      <c r="AE358" s="926"/>
      <c r="AF358" s="946">
        <v>200</v>
      </c>
      <c r="AG358" s="946">
        <f t="shared" si="124"/>
        <v>0</v>
      </c>
      <c r="AH358" s="947"/>
      <c r="AI358" s="926"/>
      <c r="AJ358" s="926"/>
      <c r="AK358" s="926">
        <f>I358</f>
        <v>200</v>
      </c>
      <c r="AL358" s="858"/>
      <c r="AM358" s="858"/>
      <c r="AN358" s="857">
        <f>I358</f>
        <v>200</v>
      </c>
      <c r="AO358" s="857">
        <f>I358</f>
        <v>200</v>
      </c>
      <c r="AU358" s="926">
        <f>I358/25</f>
        <v>8</v>
      </c>
      <c r="BE358" s="925"/>
      <c r="BF358" s="925"/>
      <c r="BG358" s="925"/>
      <c r="BH358" s="925"/>
      <c r="BI358" s="925"/>
      <c r="BN358" s="939"/>
      <c r="BO358" s="939"/>
      <c r="BP358" s="939"/>
      <c r="BQ358" s="939"/>
      <c r="BR358" s="939"/>
      <c r="BS358" s="939"/>
      <c r="BV358" s="857">
        <f t="shared" si="146"/>
        <v>8</v>
      </c>
      <c r="BW358" s="857">
        <f t="shared" si="147"/>
        <v>0</v>
      </c>
      <c r="BX358" s="939">
        <f>AK358+BX284</f>
        <v>1004116</v>
      </c>
      <c r="BY358" s="939"/>
      <c r="BZ358" s="939"/>
      <c r="CA358" s="939"/>
      <c r="CB358" s="939">
        <f>$BZ$1+$CA$1+$CB$1-BX358</f>
        <v>295884</v>
      </c>
      <c r="CC358" s="939"/>
      <c r="CH358" s="940"/>
      <c r="CI358" s="940"/>
      <c r="CJ358" s="940"/>
      <c r="CK358" s="940"/>
      <c r="CL358" s="940"/>
      <c r="CM358" s="940"/>
      <c r="CN358" s="940"/>
      <c r="CO358" s="940"/>
      <c r="CP358" s="940"/>
      <c r="CQ358" s="940"/>
      <c r="CR358" s="940"/>
      <c r="CS358" s="940"/>
      <c r="CT358" s="940"/>
      <c r="CU358" s="940"/>
      <c r="CV358" s="940"/>
      <c r="CW358" s="940"/>
      <c r="CX358" s="940"/>
      <c r="CY358" s="940"/>
      <c r="CZ358" s="940"/>
      <c r="DA358" s="940"/>
      <c r="DB358" s="940"/>
      <c r="DC358" s="940"/>
    </row>
    <row r="359" s="975" customFormat="1" ht="31" customHeight="1" spans="1:107">
      <c r="A359" s="1084">
        <v>46188</v>
      </c>
      <c r="B359" s="1085" t="s">
        <v>2824</v>
      </c>
      <c r="C359" s="975" t="s">
        <v>440</v>
      </c>
      <c r="D359" s="975" t="s">
        <v>2825</v>
      </c>
      <c r="E359" s="1085"/>
      <c r="F359" s="975" t="s">
        <v>2826</v>
      </c>
      <c r="G359" s="1086" t="s">
        <v>1532</v>
      </c>
      <c r="H359" s="1087" t="s">
        <v>1524</v>
      </c>
      <c r="I359" s="1087">
        <v>520</v>
      </c>
      <c r="J359" s="1087">
        <v>0</v>
      </c>
      <c r="K359" s="1087">
        <v>52</v>
      </c>
      <c r="L359" s="1088">
        <f t="shared" si="122"/>
        <v>10</v>
      </c>
      <c r="M359" s="1089">
        <v>46227</v>
      </c>
      <c r="N359" s="1089">
        <v>46223</v>
      </c>
      <c r="O359" s="1085"/>
      <c r="P359" s="1068" t="s">
        <v>86</v>
      </c>
      <c r="Q359" s="1090">
        <v>46233</v>
      </c>
      <c r="R359" s="1091">
        <v>46188</v>
      </c>
      <c r="S359" s="1092" t="s">
        <v>98</v>
      </c>
      <c r="T359" s="1092" t="s">
        <v>98</v>
      </c>
      <c r="U359" s="1091"/>
      <c r="V359" s="1093" t="s">
        <v>2827</v>
      </c>
      <c r="W359" s="1094" t="s">
        <v>2828</v>
      </c>
      <c r="X359" s="1095">
        <v>1.9136</v>
      </c>
      <c r="Y359" s="1096">
        <f t="shared" si="123"/>
        <v>995.072</v>
      </c>
      <c r="Z359" s="1096"/>
      <c r="AA359" s="1085"/>
      <c r="AB359" s="1085" t="s">
        <v>1532</v>
      </c>
      <c r="AC359" s="1097" t="s">
        <v>93</v>
      </c>
      <c r="AD359" s="1087" t="s">
        <v>94</v>
      </c>
      <c r="AE359" s="1085"/>
      <c r="AF359" s="1098">
        <v>520</v>
      </c>
      <c r="AG359" s="1098">
        <f t="shared" si="124"/>
        <v>0</v>
      </c>
      <c r="AH359" s="1099"/>
      <c r="AI359" s="1100" t="s">
        <v>98</v>
      </c>
      <c r="AJ359" s="1085"/>
      <c r="AK359" s="1085">
        <f>I359</f>
        <v>520</v>
      </c>
      <c r="AL359" s="1101">
        <f>I359</f>
        <v>520</v>
      </c>
      <c r="AM359" s="1101"/>
      <c r="AN359" s="1087"/>
      <c r="AO359" s="975">
        <f>I359</f>
        <v>520</v>
      </c>
      <c r="AR359" s="975">
        <f>I359/13</f>
        <v>40</v>
      </c>
      <c r="BN359" s="1102"/>
      <c r="BO359" s="1102"/>
      <c r="BP359" s="1102"/>
      <c r="BQ359" s="1102"/>
      <c r="BR359" s="1102"/>
      <c r="BS359" s="1102"/>
      <c r="BV359" s="975">
        <f t="shared" si="146"/>
        <v>0</v>
      </c>
      <c r="BW359" s="975">
        <f t="shared" si="147"/>
        <v>0</v>
      </c>
      <c r="BX359" s="1102">
        <f>AK359+BX304</f>
        <v>1016881</v>
      </c>
      <c r="BY359" s="1102"/>
      <c r="BZ359" s="1102"/>
      <c r="CA359" s="1102"/>
      <c r="CB359" s="1102">
        <f>$BZ$1+$CA$1+$CB$1-BX359</f>
        <v>283119</v>
      </c>
      <c r="CC359" s="1102"/>
      <c r="CH359" s="1103"/>
      <c r="CI359" s="1103"/>
      <c r="CJ359" s="1103"/>
      <c r="CK359" s="1103"/>
      <c r="CL359" s="1103"/>
      <c r="CM359" s="1103"/>
      <c r="CN359" s="1103"/>
      <c r="CO359" s="1103"/>
      <c r="CP359" s="1103"/>
      <c r="CQ359" s="1103"/>
      <c r="CR359" s="1103"/>
      <c r="CS359" s="1103"/>
      <c r="CT359" s="1103"/>
      <c r="CU359" s="1103"/>
      <c r="CV359" s="1103"/>
      <c r="CW359" s="1103"/>
      <c r="CX359" s="1103"/>
      <c r="CY359" s="1103"/>
      <c r="CZ359" s="1103"/>
      <c r="DA359" s="1103"/>
      <c r="DB359" s="1103"/>
      <c r="DC359" s="1103"/>
    </row>
    <row r="360" s="976" customFormat="1" ht="31" customHeight="1" spans="1:107">
      <c r="A360" s="1104">
        <v>46162</v>
      </c>
      <c r="B360" s="1105" t="s">
        <v>2829</v>
      </c>
      <c r="C360" s="976" t="s">
        <v>81</v>
      </c>
      <c r="D360" s="1105" t="s">
        <v>2830</v>
      </c>
      <c r="E360" s="1106">
        <v>17410859</v>
      </c>
      <c r="F360" s="1105" t="s">
        <v>2831</v>
      </c>
      <c r="G360" s="1107" t="s">
        <v>1761</v>
      </c>
      <c r="H360" s="1108" t="s">
        <v>1954</v>
      </c>
      <c r="I360" s="1108">
        <v>510</v>
      </c>
      <c r="J360" s="1108">
        <v>0</v>
      </c>
      <c r="K360" s="1108">
        <v>30</v>
      </c>
      <c r="L360" s="1109">
        <f t="shared" si="122"/>
        <v>17</v>
      </c>
      <c r="M360" s="1110">
        <v>46226</v>
      </c>
      <c r="N360" s="1110">
        <v>46223</v>
      </c>
      <c r="O360" s="1111" t="s">
        <v>2832</v>
      </c>
      <c r="P360" s="1112" t="s">
        <v>86</v>
      </c>
      <c r="Q360" s="1113">
        <v>46233</v>
      </c>
      <c r="R360" s="1114">
        <v>46184</v>
      </c>
      <c r="S360" s="1114" t="s">
        <v>98</v>
      </c>
      <c r="T360" s="1115" t="s">
        <v>2833</v>
      </c>
      <c r="U360" s="1114"/>
      <c r="V360" s="1116" t="s">
        <v>2834</v>
      </c>
      <c r="W360" s="1117" t="s">
        <v>119</v>
      </c>
      <c r="X360" s="1118">
        <v>73.8387</v>
      </c>
      <c r="Y360" s="1119">
        <v>1255.2579</v>
      </c>
      <c r="Z360" s="1119"/>
      <c r="AA360" s="1105"/>
      <c r="AB360" s="1107" t="s">
        <v>1761</v>
      </c>
      <c r="AC360" s="1108" t="s">
        <v>93</v>
      </c>
      <c r="AD360" s="1108" t="s">
        <v>94</v>
      </c>
      <c r="AE360" s="1105"/>
      <c r="AF360" s="1120">
        <v>510</v>
      </c>
      <c r="AG360" s="1120">
        <v>0</v>
      </c>
      <c r="AH360" s="1121"/>
      <c r="AI360" s="1111" t="s">
        <v>95</v>
      </c>
      <c r="AJ360" s="1105"/>
      <c r="AK360" s="1105">
        <f>I360</f>
        <v>510</v>
      </c>
      <c r="AL360" s="1122"/>
      <c r="AN360" s="1108">
        <f>K360</f>
        <v>30</v>
      </c>
      <c r="AO360" s="976">
        <f>I360</f>
        <v>510</v>
      </c>
      <c r="AU360" s="1105"/>
      <c r="BG360" s="976">
        <f>L360</f>
        <v>17</v>
      </c>
      <c r="BN360" s="1123"/>
      <c r="BO360" s="1123"/>
      <c r="BP360" s="1123"/>
      <c r="BQ360" s="1123"/>
      <c r="BR360" s="1123"/>
      <c r="BS360" s="1123"/>
      <c r="BV360" s="976">
        <f t="shared" si="146"/>
        <v>0</v>
      </c>
      <c r="BW360" s="976">
        <f t="shared" si="147"/>
        <v>17</v>
      </c>
      <c r="BX360" s="1123">
        <f>AK360+BX346</f>
        <v>1003778</v>
      </c>
      <c r="BY360" s="1123"/>
      <c r="BZ360" s="1123"/>
      <c r="CA360" s="1123">
        <f>$BZ$1+$CA$1-BX360</f>
        <v>-143778</v>
      </c>
      <c r="CB360" s="1123"/>
      <c r="CC360" s="1123"/>
      <c r="CH360" s="1124"/>
      <c r="CI360" s="1124"/>
      <c r="CJ360" s="1124"/>
      <c r="CK360" s="1124"/>
      <c r="CL360" s="1124"/>
      <c r="CM360" s="1124"/>
      <c r="CN360" s="1124"/>
      <c r="CO360" s="1124"/>
      <c r="CP360" s="1124"/>
      <c r="CQ360" s="1124"/>
      <c r="CR360" s="1124"/>
      <c r="CS360" s="1124"/>
      <c r="CT360" s="1124"/>
      <c r="CU360" s="1124"/>
      <c r="CV360" s="1124"/>
      <c r="CW360" s="1124"/>
      <c r="CX360" s="1124"/>
      <c r="CY360" s="1124"/>
      <c r="CZ360" s="1124"/>
      <c r="DA360" s="1124"/>
      <c r="DB360" s="1124"/>
      <c r="DC360" s="1124"/>
    </row>
    <row r="361" s="977" customFormat="1" ht="31" customHeight="1" spans="1:107">
      <c r="A361" s="1125">
        <v>46183</v>
      </c>
      <c r="B361" s="1039" t="s">
        <v>2835</v>
      </c>
      <c r="C361" s="1126" t="s">
        <v>125</v>
      </c>
      <c r="D361" s="977" t="s">
        <v>2836</v>
      </c>
      <c r="E361" s="1040" t="s">
        <v>2837</v>
      </c>
      <c r="F361" s="977" t="s">
        <v>2838</v>
      </c>
      <c r="G361" s="1127" t="s">
        <v>2839</v>
      </c>
      <c r="H361" s="1128" t="s">
        <v>2840</v>
      </c>
      <c r="I361" s="1129">
        <v>5200</v>
      </c>
      <c r="J361" s="944">
        <v>0</v>
      </c>
      <c r="K361" s="944">
        <v>52</v>
      </c>
      <c r="L361" s="1130">
        <f t="shared" si="122"/>
        <v>100</v>
      </c>
      <c r="M361" s="1131">
        <v>46237</v>
      </c>
      <c r="N361" s="1131">
        <v>46233</v>
      </c>
      <c r="O361" s="1040"/>
      <c r="P361" s="1112" t="s">
        <v>86</v>
      </c>
      <c r="Q361" s="1132" t="s">
        <v>2841</v>
      </c>
      <c r="R361" s="1133">
        <v>46206</v>
      </c>
      <c r="S361" s="1133" t="s">
        <v>98</v>
      </c>
      <c r="T361" s="1133" t="s">
        <v>2842</v>
      </c>
      <c r="U361" s="1133" t="s">
        <v>2843</v>
      </c>
      <c r="V361" s="1134" t="s">
        <v>2844</v>
      </c>
      <c r="W361" s="1135" t="s">
        <v>283</v>
      </c>
      <c r="X361" s="1136">
        <v>1.1521</v>
      </c>
      <c r="Y361" s="1137">
        <f>X361*I361</f>
        <v>5990.92</v>
      </c>
      <c r="Z361" s="1137"/>
      <c r="AA361" s="1040"/>
      <c r="AB361" s="1132" t="s">
        <v>2839</v>
      </c>
      <c r="AC361" s="1132" t="s">
        <v>93</v>
      </c>
      <c r="AD361" s="944" t="s">
        <v>94</v>
      </c>
      <c r="AE361" s="1040"/>
      <c r="AF361" s="946">
        <v>5200</v>
      </c>
      <c r="AG361" s="946">
        <f>AF361-I361</f>
        <v>0</v>
      </c>
      <c r="AH361" s="947"/>
      <c r="AI361" s="1040"/>
      <c r="AJ361" s="1040"/>
      <c r="AK361" s="1040">
        <f>I361</f>
        <v>5200</v>
      </c>
      <c r="AL361" s="1138">
        <f>I361</f>
        <v>5200</v>
      </c>
      <c r="AM361" s="1138"/>
      <c r="AN361" s="1138"/>
      <c r="AO361" s="977">
        <f>I361</f>
        <v>5200</v>
      </c>
      <c r="AR361" s="977">
        <f>I361/13</f>
        <v>400</v>
      </c>
      <c r="BE361" s="1126"/>
      <c r="BF361" s="1126"/>
      <c r="BG361" s="1126"/>
      <c r="BH361" s="1126"/>
      <c r="BI361" s="1126"/>
      <c r="BN361" s="1139"/>
      <c r="BO361" s="1139"/>
      <c r="BP361" s="1139"/>
      <c r="BQ361" s="1139"/>
      <c r="BR361" s="1139"/>
      <c r="BS361" s="1139"/>
      <c r="BV361" s="977">
        <f t="shared" si="146"/>
        <v>0</v>
      </c>
      <c r="BW361" s="977">
        <f t="shared" si="147"/>
        <v>0</v>
      </c>
      <c r="BX361" s="1139">
        <f>AK361+BX310</f>
        <v>1025674</v>
      </c>
      <c r="BY361" s="1139"/>
      <c r="BZ361" s="1139"/>
      <c r="CA361" s="1139"/>
      <c r="CB361" s="1139">
        <f>$BZ$1+$CA$1+$CB$1-BX361</f>
        <v>274326</v>
      </c>
      <c r="CC361" s="1139"/>
      <c r="CH361" s="1140"/>
      <c r="CI361" s="1140"/>
      <c r="CJ361" s="1140"/>
      <c r="CK361" s="1140"/>
      <c r="CL361" s="1140"/>
      <c r="CM361" s="1140"/>
      <c r="CN361" s="1140"/>
      <c r="CO361" s="1140"/>
      <c r="CP361" s="1140"/>
      <c r="CQ361" s="1140"/>
      <c r="CR361" s="1140"/>
      <c r="CS361" s="1140"/>
      <c r="CT361" s="1140"/>
      <c r="CU361" s="1140"/>
      <c r="CV361" s="1140"/>
      <c r="CW361" s="1140"/>
      <c r="CX361" s="1140"/>
      <c r="CY361" s="1140"/>
      <c r="CZ361" s="1140"/>
      <c r="DA361" s="1140"/>
      <c r="DB361" s="1140"/>
      <c r="DC361" s="1140"/>
    </row>
    <row r="362" s="857" customFormat="1" ht="31" customHeight="1" spans="1:107">
      <c r="A362" s="923">
        <v>46195</v>
      </c>
      <c r="B362" s="924" t="s">
        <v>594</v>
      </c>
      <c r="C362" s="925" t="s">
        <v>103</v>
      </c>
      <c r="D362" s="857" t="s">
        <v>2845</v>
      </c>
      <c r="E362" s="926" t="s">
        <v>2846</v>
      </c>
      <c r="F362" s="857" t="s">
        <v>2847</v>
      </c>
      <c r="G362" s="927" t="s">
        <v>1746</v>
      </c>
      <c r="H362" s="1071" t="s">
        <v>2549</v>
      </c>
      <c r="I362" s="1042">
        <v>756</v>
      </c>
      <c r="J362" s="928">
        <v>0</v>
      </c>
      <c r="K362" s="928">
        <v>12</v>
      </c>
      <c r="L362" s="929">
        <f t="shared" si="122"/>
        <v>63</v>
      </c>
      <c r="M362" s="930">
        <v>46240</v>
      </c>
      <c r="N362" s="930">
        <v>46237</v>
      </c>
      <c r="O362" s="1069" t="s">
        <v>2848</v>
      </c>
      <c r="P362" s="1112" t="s">
        <v>86</v>
      </c>
      <c r="Q362" s="1041">
        <v>46246</v>
      </c>
      <c r="R362" s="1067" t="s">
        <v>2849</v>
      </c>
      <c r="S362" s="932" t="s">
        <v>88</v>
      </c>
      <c r="T362" s="1067">
        <v>46219</v>
      </c>
      <c r="U362" s="1067"/>
      <c r="V362" s="1077" t="s">
        <v>2850</v>
      </c>
      <c r="W362" s="934" t="s">
        <v>2851</v>
      </c>
      <c r="X362" s="1043">
        <v>2.8742</v>
      </c>
      <c r="Y362" s="936">
        <f>X362*I362</f>
        <v>2172.8952</v>
      </c>
      <c r="Z362" s="936"/>
      <c r="AA362" s="926"/>
      <c r="AB362" s="926" t="s">
        <v>1746</v>
      </c>
      <c r="AC362" s="1069" t="s">
        <v>93</v>
      </c>
      <c r="AD362" s="1097" t="s">
        <v>94</v>
      </c>
      <c r="AE362" s="926"/>
      <c r="AF362" s="946">
        <v>756</v>
      </c>
      <c r="AG362" s="946">
        <f>AF362-I362</f>
        <v>0</v>
      </c>
      <c r="AH362" s="947"/>
      <c r="AI362" s="926"/>
      <c r="AJ362" s="926"/>
      <c r="AK362" s="926">
        <f>I362*2</f>
        <v>1512</v>
      </c>
      <c r="AL362" s="858"/>
      <c r="AM362" s="858">
        <f>I362*2</f>
        <v>1512</v>
      </c>
      <c r="AN362" s="858"/>
      <c r="AO362" s="857">
        <f>I362*2</f>
        <v>1512</v>
      </c>
      <c r="BE362" s="925"/>
      <c r="BF362" s="925"/>
      <c r="BG362" s="925"/>
      <c r="BH362" s="925"/>
      <c r="BI362" s="925"/>
      <c r="BJ362" s="857">
        <f>I362</f>
        <v>756</v>
      </c>
      <c r="BK362" s="857">
        <f>I362</f>
        <v>756</v>
      </c>
      <c r="BL362" s="857">
        <f>I362</f>
        <v>756</v>
      </c>
      <c r="BN362" s="939"/>
      <c r="BO362" s="939"/>
      <c r="BP362" s="939"/>
      <c r="BQ362" s="939"/>
      <c r="BR362" s="939"/>
      <c r="BS362" s="939"/>
      <c r="BV362" s="857">
        <f t="shared" si="146"/>
        <v>0</v>
      </c>
      <c r="BW362" s="857">
        <f t="shared" si="147"/>
        <v>0</v>
      </c>
      <c r="BX362" s="939">
        <f>AK362+BX311</f>
        <v>1021409</v>
      </c>
      <c r="BY362" s="939"/>
      <c r="BZ362" s="939"/>
      <c r="CA362" s="939"/>
      <c r="CB362" s="939"/>
      <c r="CC362" s="939"/>
      <c r="CH362" s="940"/>
      <c r="CI362" s="940"/>
      <c r="CJ362" s="940"/>
      <c r="CK362" s="940"/>
      <c r="CL362" s="940"/>
      <c r="CM362" s="940"/>
      <c r="CN362" s="940"/>
      <c r="CO362" s="940"/>
      <c r="CP362" s="940"/>
      <c r="CQ362" s="940"/>
      <c r="CR362" s="940"/>
      <c r="CS362" s="940"/>
      <c r="CT362" s="940"/>
      <c r="CU362" s="940"/>
      <c r="CV362" s="940"/>
      <c r="CW362" s="940"/>
      <c r="CX362" s="940"/>
      <c r="CY362" s="940"/>
      <c r="CZ362" s="940"/>
      <c r="DA362" s="940"/>
      <c r="DB362" s="940"/>
      <c r="DC362" s="940"/>
    </row>
    <row r="363" s="978" customFormat="1" ht="31" customHeight="1" spans="1:107">
      <c r="A363" s="1141">
        <v>46167</v>
      </c>
      <c r="B363" s="1142" t="s">
        <v>869</v>
      </c>
      <c r="C363" s="978" t="s">
        <v>632</v>
      </c>
      <c r="D363" s="978" t="s">
        <v>2728</v>
      </c>
      <c r="E363" s="1142" t="s">
        <v>2852</v>
      </c>
      <c r="F363" s="978" t="s">
        <v>2853</v>
      </c>
      <c r="G363" s="1143" t="s">
        <v>1746</v>
      </c>
      <c r="H363" s="1144" t="s">
        <v>2549</v>
      </c>
      <c r="I363" s="1145">
        <v>804</v>
      </c>
      <c r="J363" s="1144">
        <v>0</v>
      </c>
      <c r="K363" s="1144">
        <v>12</v>
      </c>
      <c r="L363" s="1146">
        <f t="shared" si="122"/>
        <v>67</v>
      </c>
      <c r="M363" s="1147">
        <v>46225</v>
      </c>
      <c r="N363" s="1148">
        <v>46225</v>
      </c>
      <c r="O363" s="1142"/>
      <c r="P363" s="1149"/>
      <c r="Q363" s="1150">
        <v>46233</v>
      </c>
      <c r="R363" s="1151">
        <v>46174</v>
      </c>
      <c r="S363" s="1091" t="s">
        <v>98</v>
      </c>
      <c r="T363" s="1152" t="s">
        <v>2792</v>
      </c>
      <c r="U363" s="1151"/>
      <c r="V363" s="1153" t="s">
        <v>2854</v>
      </c>
      <c r="W363" s="1154" t="s">
        <v>2732</v>
      </c>
      <c r="X363" s="1155">
        <v>2.8742</v>
      </c>
      <c r="Y363" s="1156">
        <f>X363*I363</f>
        <v>2310.8568</v>
      </c>
      <c r="Z363" s="1156"/>
      <c r="AA363" s="1142"/>
      <c r="AB363" s="1142" t="s">
        <v>2442</v>
      </c>
      <c r="AC363" s="1157" t="s">
        <v>93</v>
      </c>
      <c r="AD363" s="1097" t="s">
        <v>94</v>
      </c>
      <c r="AE363" s="1142"/>
      <c r="AF363" s="1158">
        <v>804</v>
      </c>
      <c r="AG363" s="1158">
        <f>AF363-I363</f>
        <v>0</v>
      </c>
      <c r="AH363" s="1159"/>
      <c r="AI363" s="1157" t="s">
        <v>95</v>
      </c>
      <c r="AJ363" s="1142"/>
      <c r="AK363" s="1160">
        <f>I363*2</f>
        <v>1608</v>
      </c>
      <c r="AL363" s="1161"/>
      <c r="AM363" s="1161">
        <f>I363*2</f>
        <v>1608</v>
      </c>
      <c r="AN363" s="1144"/>
      <c r="AO363" s="1162">
        <f>I363*2</f>
        <v>1608</v>
      </c>
      <c r="BJ363" s="978">
        <f>I363</f>
        <v>804</v>
      </c>
      <c r="BK363" s="978">
        <f>I363</f>
        <v>804</v>
      </c>
      <c r="BL363" s="978">
        <f>I363</f>
        <v>804</v>
      </c>
      <c r="BN363" s="1163"/>
      <c r="BO363" s="1163"/>
      <c r="BP363" s="1163"/>
      <c r="BQ363" s="1163"/>
      <c r="BR363" s="1163"/>
      <c r="BS363" s="1163"/>
      <c r="BV363" s="978">
        <f t="shared" si="146"/>
        <v>0</v>
      </c>
      <c r="BW363" s="978">
        <f t="shared" si="147"/>
        <v>0</v>
      </c>
      <c r="BX363" s="1163">
        <f>AK363+BX293</f>
        <v>1025840</v>
      </c>
      <c r="BY363" s="1163"/>
      <c r="BZ363" s="1163"/>
      <c r="CA363" s="1163"/>
      <c r="CB363" s="1163">
        <f>$BZ$1+$CA$1+$CB$1-BX363</f>
        <v>274160</v>
      </c>
      <c r="CC363" s="1163"/>
      <c r="CH363" s="1164"/>
      <c r="CI363" s="1164"/>
      <c r="CJ363" s="1164"/>
      <c r="CK363" s="1164"/>
      <c r="CL363" s="1164"/>
      <c r="CM363" s="1164"/>
      <c r="CN363" s="1164"/>
      <c r="CO363" s="1164"/>
      <c r="CP363" s="1164"/>
      <c r="CQ363" s="1164"/>
      <c r="CR363" s="1164"/>
      <c r="CS363" s="1164"/>
      <c r="CT363" s="1164"/>
      <c r="CU363" s="1164"/>
      <c r="CV363" s="1164"/>
      <c r="CW363" s="1164"/>
      <c r="CX363" s="1164"/>
      <c r="CY363" s="1164"/>
      <c r="CZ363" s="1164"/>
      <c r="DA363" s="1164"/>
      <c r="DB363" s="1164"/>
      <c r="DC363" s="1164"/>
    </row>
    <row r="364" s="856" customFormat="1" ht="31" customHeight="1" spans="1:107">
      <c r="A364" s="1165">
        <v>46203</v>
      </c>
      <c r="B364" s="919" t="s">
        <v>2457</v>
      </c>
      <c r="C364" s="1166" t="s">
        <v>377</v>
      </c>
      <c r="D364" s="856" t="s">
        <v>2855</v>
      </c>
      <c r="E364" s="910" t="s">
        <v>2856</v>
      </c>
      <c r="F364" s="856" t="s">
        <v>2857</v>
      </c>
      <c r="G364" s="1167" t="s">
        <v>1537</v>
      </c>
      <c r="H364" s="904" t="s">
        <v>2582</v>
      </c>
      <c r="I364" s="1168">
        <v>1508</v>
      </c>
      <c r="J364" s="905">
        <v>0</v>
      </c>
      <c r="K364" s="905">
        <v>13</v>
      </c>
      <c r="L364" s="906">
        <f t="shared" si="122"/>
        <v>116</v>
      </c>
      <c r="M364" s="907">
        <v>46244</v>
      </c>
      <c r="N364" s="1169">
        <v>46242</v>
      </c>
      <c r="O364" s="910"/>
      <c r="P364" s="1170"/>
      <c r="Q364" s="910"/>
      <c r="R364" s="1171">
        <v>46213</v>
      </c>
      <c r="S364" s="1171" t="s">
        <v>88</v>
      </c>
      <c r="T364" s="1171" t="s">
        <v>2858</v>
      </c>
      <c r="U364" s="1171"/>
      <c r="V364" s="1172" t="s">
        <v>2859</v>
      </c>
      <c r="W364" s="1173" t="s">
        <v>2459</v>
      </c>
      <c r="X364" s="1174">
        <v>1.9678</v>
      </c>
      <c r="Y364" s="916">
        <f t="shared" ref="Y360:Y379" si="149">X364*I364</f>
        <v>2967.4424</v>
      </c>
      <c r="Z364" s="916"/>
      <c r="AA364" s="910"/>
      <c r="AB364" s="1167" t="s">
        <v>1537</v>
      </c>
      <c r="AC364" s="1079" t="s">
        <v>93</v>
      </c>
      <c r="AD364" s="928" t="s">
        <v>94</v>
      </c>
      <c r="AE364" s="910"/>
      <c r="AF364" s="1175">
        <v>1508</v>
      </c>
      <c r="AG364" s="1175">
        <f t="shared" ref="AG364:AG380" si="150">AF364-I364</f>
        <v>0</v>
      </c>
      <c r="AH364" s="1176"/>
      <c r="AI364" s="910"/>
      <c r="AJ364" s="910"/>
      <c r="AK364" s="910">
        <f>I364</f>
        <v>1508</v>
      </c>
      <c r="AL364" s="920">
        <f>I364</f>
        <v>1508</v>
      </c>
      <c r="AM364" s="920"/>
      <c r="AN364" s="920"/>
      <c r="AO364" s="856">
        <f>I364</f>
        <v>1508</v>
      </c>
      <c r="AR364" s="856">
        <f>I364/13</f>
        <v>116</v>
      </c>
      <c r="BE364" s="1166"/>
      <c r="BF364" s="1166"/>
      <c r="BG364" s="1166"/>
      <c r="BH364" s="1166"/>
      <c r="BI364" s="1166"/>
      <c r="BN364" s="1177"/>
      <c r="BO364" s="1177"/>
      <c r="BP364" s="1177"/>
      <c r="BQ364" s="1177"/>
      <c r="BR364" s="1177"/>
      <c r="BS364" s="1177"/>
      <c r="BV364" s="856">
        <f t="shared" ref="BV364:BV380" si="151">AT364+AU364+AY364</f>
        <v>0</v>
      </c>
      <c r="BW364" s="856">
        <f t="shared" ref="BW364:BW380" si="152">BF364+BG364+BI364</f>
        <v>0</v>
      </c>
      <c r="BX364" s="1177">
        <f>AK364+BX361</f>
        <v>1027182</v>
      </c>
      <c r="BY364" s="1177"/>
      <c r="BZ364" s="1177"/>
      <c r="CA364" s="1177"/>
      <c r="CB364" s="1177">
        <f t="shared" ref="CB364:CB370" si="153">$BZ$1+$CA$1+$CB$1-BX364</f>
        <v>272818</v>
      </c>
      <c r="CC364" s="1177"/>
      <c r="CH364" s="1178"/>
      <c r="CI364" s="1178"/>
      <c r="CJ364" s="1178"/>
      <c r="CK364" s="1178"/>
      <c r="CL364" s="1178"/>
      <c r="CM364" s="1178"/>
      <c r="CN364" s="1178"/>
      <c r="CO364" s="1178"/>
      <c r="CP364" s="1178"/>
      <c r="CQ364" s="1178"/>
      <c r="CR364" s="1178"/>
      <c r="CS364" s="1178"/>
      <c r="CT364" s="1178"/>
      <c r="CU364" s="1178"/>
      <c r="CV364" s="1178"/>
      <c r="CW364" s="1178"/>
      <c r="CX364" s="1178"/>
      <c r="CY364" s="1178"/>
      <c r="CZ364" s="1178"/>
      <c r="DA364" s="1178"/>
      <c r="DB364" s="1178"/>
      <c r="DC364" s="1178"/>
    </row>
    <row r="365" s="856" customFormat="1" ht="31" customHeight="1" spans="1:107">
      <c r="A365" s="1165">
        <v>46210</v>
      </c>
      <c r="B365" s="919" t="s">
        <v>2660</v>
      </c>
      <c r="C365" s="1166" t="s">
        <v>81</v>
      </c>
      <c r="D365" s="1179">
        <v>4500215278</v>
      </c>
      <c r="E365" s="910"/>
      <c r="F365" s="856" t="s">
        <v>2860</v>
      </c>
      <c r="G365" s="1167" t="s">
        <v>1523</v>
      </c>
      <c r="H365" s="905" t="s">
        <v>1524</v>
      </c>
      <c r="I365" s="1168">
        <v>2450</v>
      </c>
      <c r="J365" s="905">
        <v>0</v>
      </c>
      <c r="K365" s="905">
        <v>50</v>
      </c>
      <c r="L365" s="906">
        <f t="shared" si="122"/>
        <v>49</v>
      </c>
      <c r="M365" s="907">
        <v>46251</v>
      </c>
      <c r="N365" s="907">
        <v>46247</v>
      </c>
      <c r="O365" s="910"/>
      <c r="P365" s="1170"/>
      <c r="Q365" s="910"/>
      <c r="R365" s="1171">
        <v>46216</v>
      </c>
      <c r="S365" s="1171" t="s">
        <v>98</v>
      </c>
      <c r="T365" s="1171" t="s">
        <v>2861</v>
      </c>
      <c r="U365" s="1180"/>
      <c r="V365" s="1172" t="s">
        <v>2862</v>
      </c>
      <c r="W365" s="1173" t="s">
        <v>2863</v>
      </c>
      <c r="X365" s="1174">
        <v>2.0125</v>
      </c>
      <c r="Y365" s="916">
        <f t="shared" si="149"/>
        <v>4930.625</v>
      </c>
      <c r="Z365" s="916"/>
      <c r="AA365" s="910"/>
      <c r="AB365" s="1000" t="s">
        <v>1727</v>
      </c>
      <c r="AC365" s="1079" t="s">
        <v>93</v>
      </c>
      <c r="AD365" s="928" t="s">
        <v>94</v>
      </c>
      <c r="AE365" s="910"/>
      <c r="AF365" s="1175"/>
      <c r="AG365" s="1181">
        <f t="shared" si="150"/>
        <v>-2450</v>
      </c>
      <c r="AH365" s="1176"/>
      <c r="AI365" s="910"/>
      <c r="AJ365" s="910"/>
      <c r="AK365" s="910">
        <f>I365</f>
        <v>2450</v>
      </c>
      <c r="AL365" s="920"/>
      <c r="AM365" s="920"/>
      <c r="AN365" s="964">
        <f t="shared" ref="AN365:AN371" si="154">I365</f>
        <v>2450</v>
      </c>
      <c r="AO365" s="964">
        <f>I365</f>
        <v>2450</v>
      </c>
      <c r="AU365" s="307">
        <f t="shared" ref="AU365:AU371" si="155">I365/25</f>
        <v>98</v>
      </c>
      <c r="BE365" s="1166"/>
      <c r="BF365" s="1166"/>
      <c r="BG365" s="1166"/>
      <c r="BH365" s="1166"/>
      <c r="BI365" s="1166"/>
      <c r="BN365" s="1177"/>
      <c r="BO365" s="1177"/>
      <c r="BP365" s="1177"/>
      <c r="BQ365" s="1177"/>
      <c r="BR365" s="1177"/>
      <c r="BS365" s="1177"/>
      <c r="BV365" s="964">
        <f t="shared" si="151"/>
        <v>98</v>
      </c>
      <c r="BW365" s="964">
        <f t="shared" si="152"/>
        <v>0</v>
      </c>
      <c r="BX365" s="308">
        <f>AK365+BX287</f>
        <v>1028532</v>
      </c>
      <c r="BY365" s="1177"/>
      <c r="BZ365" s="1177"/>
      <c r="CA365" s="1177"/>
      <c r="CB365" s="308">
        <f t="shared" si="153"/>
        <v>271468</v>
      </c>
      <c r="CC365" s="1177"/>
      <c r="CH365" s="1178"/>
      <c r="CI365" s="1178"/>
      <c r="CJ365" s="1178"/>
      <c r="CK365" s="1178"/>
      <c r="CL365" s="1178"/>
      <c r="CM365" s="1178"/>
      <c r="CN365" s="1178"/>
      <c r="CO365" s="1178"/>
      <c r="CP365" s="1178"/>
      <c r="CQ365" s="1178"/>
      <c r="CR365" s="1178"/>
      <c r="CS365" s="1178"/>
      <c r="CT365" s="1178"/>
      <c r="CU365" s="1178"/>
      <c r="CV365" s="1178"/>
      <c r="CW365" s="1178"/>
      <c r="CX365" s="1178"/>
      <c r="CY365" s="1178"/>
      <c r="CZ365" s="1178"/>
      <c r="DA365" s="1178"/>
      <c r="DB365" s="1178"/>
      <c r="DC365" s="1178"/>
    </row>
    <row r="366" s="856" customFormat="1" ht="31" customHeight="1" spans="1:107">
      <c r="A366" s="1165">
        <v>46211</v>
      </c>
      <c r="B366" s="919" t="s">
        <v>2864</v>
      </c>
      <c r="C366" s="1166" t="s">
        <v>81</v>
      </c>
      <c r="D366" s="1179" t="s">
        <v>2865</v>
      </c>
      <c r="E366" s="910"/>
      <c r="F366" s="856" t="s">
        <v>2866</v>
      </c>
      <c r="G366" s="1167" t="s">
        <v>1523</v>
      </c>
      <c r="H366" s="905" t="s">
        <v>1524</v>
      </c>
      <c r="I366" s="1168">
        <v>1000</v>
      </c>
      <c r="J366" s="905">
        <v>0</v>
      </c>
      <c r="K366" s="905">
        <v>50</v>
      </c>
      <c r="L366" s="906">
        <f t="shared" si="122"/>
        <v>20</v>
      </c>
      <c r="M366" s="907">
        <v>46251</v>
      </c>
      <c r="N366" s="907">
        <v>46247</v>
      </c>
      <c r="O366" s="910"/>
      <c r="P366" s="1170"/>
      <c r="Q366" s="910"/>
      <c r="R366" s="1171">
        <v>46220</v>
      </c>
      <c r="S366" s="1171" t="s">
        <v>98</v>
      </c>
      <c r="T366" s="1171" t="s">
        <v>2867</v>
      </c>
      <c r="U366" s="1180"/>
      <c r="V366" s="1182" t="s">
        <v>2868</v>
      </c>
      <c r="W366" s="1173" t="s">
        <v>2869</v>
      </c>
      <c r="X366" s="1174">
        <v>2.0304</v>
      </c>
      <c r="Y366" s="916">
        <f t="shared" si="149"/>
        <v>2030.4</v>
      </c>
      <c r="Z366" s="916"/>
      <c r="AA366" s="910"/>
      <c r="AB366" s="1000" t="s">
        <v>1727</v>
      </c>
      <c r="AC366" s="1079" t="s">
        <v>93</v>
      </c>
      <c r="AD366" s="928" t="s">
        <v>94</v>
      </c>
      <c r="AE366" s="910"/>
      <c r="AF366" s="1175"/>
      <c r="AG366" s="1181">
        <f t="shared" si="150"/>
        <v>-1000</v>
      </c>
      <c r="AH366" s="1176"/>
      <c r="AI366" s="910"/>
      <c r="AJ366" s="910"/>
      <c r="AK366" s="910">
        <f>I366</f>
        <v>1000</v>
      </c>
      <c r="AL366" s="920"/>
      <c r="AM366" s="920"/>
      <c r="AN366" s="964">
        <f t="shared" si="154"/>
        <v>1000</v>
      </c>
      <c r="AO366" s="964">
        <f>I366</f>
        <v>1000</v>
      </c>
      <c r="AU366" s="307">
        <f t="shared" si="155"/>
        <v>40</v>
      </c>
      <c r="BE366" s="1166"/>
      <c r="BF366" s="1166"/>
      <c r="BG366" s="1166"/>
      <c r="BH366" s="1166"/>
      <c r="BI366" s="1166"/>
      <c r="BN366" s="1177"/>
      <c r="BO366" s="1177"/>
      <c r="BP366" s="1177"/>
      <c r="BQ366" s="1177"/>
      <c r="BR366" s="1177"/>
      <c r="BS366" s="1177"/>
      <c r="BV366" s="964">
        <f t="shared" si="151"/>
        <v>40</v>
      </c>
      <c r="BW366" s="964">
        <f t="shared" si="152"/>
        <v>0</v>
      </c>
      <c r="BX366" s="308">
        <f>AK366+BX288</f>
        <v>1059514</v>
      </c>
      <c r="BY366" s="1177"/>
      <c r="BZ366" s="1177"/>
      <c r="CA366" s="1177"/>
      <c r="CB366" s="308">
        <f t="shared" si="153"/>
        <v>240486</v>
      </c>
      <c r="CC366" s="1177"/>
      <c r="CH366" s="1178"/>
      <c r="CI366" s="1178"/>
      <c r="CJ366" s="1178"/>
      <c r="CK366" s="1178"/>
      <c r="CL366" s="1178"/>
      <c r="CM366" s="1178"/>
      <c r="CN366" s="1178"/>
      <c r="CO366" s="1178"/>
      <c r="CP366" s="1178"/>
      <c r="CQ366" s="1178"/>
      <c r="CR366" s="1178"/>
      <c r="CS366" s="1178"/>
      <c r="CT366" s="1178"/>
      <c r="CU366" s="1178"/>
      <c r="CV366" s="1178"/>
      <c r="CW366" s="1178"/>
      <c r="CX366" s="1178"/>
      <c r="CY366" s="1178"/>
      <c r="CZ366" s="1178"/>
      <c r="DA366" s="1178"/>
      <c r="DB366" s="1178"/>
      <c r="DC366" s="1178"/>
    </row>
    <row r="367" s="856" customFormat="1" ht="31" customHeight="1" spans="1:107">
      <c r="A367" s="1165">
        <v>46210</v>
      </c>
      <c r="B367" s="919" t="s">
        <v>2660</v>
      </c>
      <c r="C367" s="1166" t="s">
        <v>81</v>
      </c>
      <c r="D367" s="1179">
        <v>4500215306</v>
      </c>
      <c r="E367" s="910"/>
      <c r="F367" s="856" t="s">
        <v>2870</v>
      </c>
      <c r="G367" s="1167" t="s">
        <v>1523</v>
      </c>
      <c r="H367" s="905" t="s">
        <v>1524</v>
      </c>
      <c r="I367" s="1168">
        <v>500</v>
      </c>
      <c r="J367" s="905">
        <v>0</v>
      </c>
      <c r="K367" s="905">
        <v>50</v>
      </c>
      <c r="L367" s="906">
        <f t="shared" si="122"/>
        <v>10</v>
      </c>
      <c r="M367" s="907">
        <v>46251</v>
      </c>
      <c r="N367" s="907">
        <v>46247</v>
      </c>
      <c r="O367" s="910"/>
      <c r="P367" s="1170"/>
      <c r="Q367" s="910"/>
      <c r="R367" s="1171">
        <v>46216</v>
      </c>
      <c r="S367" s="1171" t="s">
        <v>98</v>
      </c>
      <c r="T367" s="1171" t="s">
        <v>2871</v>
      </c>
      <c r="U367" s="1180"/>
      <c r="V367" s="1172" t="s">
        <v>2872</v>
      </c>
      <c r="W367" s="1173" t="s">
        <v>2863</v>
      </c>
      <c r="X367" s="1174">
        <v>2.0125</v>
      </c>
      <c r="Y367" s="916">
        <f t="shared" si="149"/>
        <v>1006.25</v>
      </c>
      <c r="Z367" s="916"/>
      <c r="AA367" s="910"/>
      <c r="AB367" s="1000" t="s">
        <v>1727</v>
      </c>
      <c r="AC367" s="1079" t="s">
        <v>93</v>
      </c>
      <c r="AD367" s="928" t="s">
        <v>94</v>
      </c>
      <c r="AE367" s="910"/>
      <c r="AF367" s="1175"/>
      <c r="AG367" s="1181">
        <f t="shared" si="150"/>
        <v>-500</v>
      </c>
      <c r="AH367" s="1176"/>
      <c r="AI367" s="910"/>
      <c r="AJ367" s="910"/>
      <c r="AK367" s="910">
        <f>I367</f>
        <v>500</v>
      </c>
      <c r="AL367" s="920"/>
      <c r="AM367" s="920"/>
      <c r="AN367" s="964">
        <f t="shared" si="154"/>
        <v>500</v>
      </c>
      <c r="AO367" s="964">
        <f>I367</f>
        <v>500</v>
      </c>
      <c r="AU367" s="307">
        <f t="shared" si="155"/>
        <v>20</v>
      </c>
      <c r="BE367" s="1166"/>
      <c r="BF367" s="1166"/>
      <c r="BG367" s="1166"/>
      <c r="BH367" s="1166"/>
      <c r="BI367" s="1166"/>
      <c r="BN367" s="1177"/>
      <c r="BO367" s="1177"/>
      <c r="BP367" s="1177"/>
      <c r="BQ367" s="1177"/>
      <c r="BR367" s="1177"/>
      <c r="BS367" s="1177"/>
      <c r="BV367" s="964">
        <f t="shared" si="151"/>
        <v>20</v>
      </c>
      <c r="BW367" s="964">
        <f t="shared" si="152"/>
        <v>0</v>
      </c>
      <c r="BX367" s="308">
        <f>AK367+BX289</f>
        <v>1012598</v>
      </c>
      <c r="BY367" s="1177"/>
      <c r="BZ367" s="1177"/>
      <c r="CA367" s="1177"/>
      <c r="CB367" s="308">
        <f t="shared" si="153"/>
        <v>287402</v>
      </c>
      <c r="CC367" s="1177"/>
      <c r="CH367" s="1178"/>
      <c r="CI367" s="1178"/>
      <c r="CJ367" s="1178"/>
      <c r="CK367" s="1178"/>
      <c r="CL367" s="1178"/>
      <c r="CM367" s="1178"/>
      <c r="CN367" s="1178"/>
      <c r="CO367" s="1178"/>
      <c r="CP367" s="1178"/>
      <c r="CQ367" s="1178"/>
      <c r="CR367" s="1178"/>
      <c r="CS367" s="1178"/>
      <c r="CT367" s="1178"/>
      <c r="CU367" s="1178"/>
      <c r="CV367" s="1178"/>
      <c r="CW367" s="1178"/>
      <c r="CX367" s="1178"/>
      <c r="CY367" s="1178"/>
      <c r="CZ367" s="1178"/>
      <c r="DA367" s="1178"/>
      <c r="DB367" s="1178"/>
      <c r="DC367" s="1178"/>
    </row>
    <row r="368" s="964" customFormat="1" ht="31" customHeight="1" spans="1:107">
      <c r="A368" s="1183">
        <v>46205</v>
      </c>
      <c r="B368" s="1184" t="s">
        <v>2873</v>
      </c>
      <c r="C368" s="1185" t="s">
        <v>440</v>
      </c>
      <c r="D368" s="964" t="s">
        <v>2874</v>
      </c>
      <c r="E368" s="307" t="s">
        <v>2875</v>
      </c>
      <c r="F368" s="964" t="s">
        <v>2876</v>
      </c>
      <c r="G368" s="1000" t="s">
        <v>1523</v>
      </c>
      <c r="H368" s="904" t="s">
        <v>1524</v>
      </c>
      <c r="I368" s="1186">
        <v>250</v>
      </c>
      <c r="J368" s="1036">
        <v>0</v>
      </c>
      <c r="K368" s="1036">
        <v>50</v>
      </c>
      <c r="L368" s="1187">
        <f t="shared" si="122"/>
        <v>5</v>
      </c>
      <c r="M368" s="1188">
        <v>46259</v>
      </c>
      <c r="N368" s="914">
        <v>46255</v>
      </c>
      <c r="O368" s="307"/>
      <c r="P368" s="1189"/>
      <c r="Q368" s="307"/>
      <c r="R368" s="1171">
        <v>46205</v>
      </c>
      <c r="S368" s="1067" t="s">
        <v>98</v>
      </c>
      <c r="T368" s="1171" t="s">
        <v>2877</v>
      </c>
      <c r="U368" s="1171"/>
      <c r="V368" s="1182" t="s">
        <v>2878</v>
      </c>
      <c r="W368" s="1190" t="s">
        <v>1289</v>
      </c>
      <c r="X368" s="1191">
        <v>2.0304</v>
      </c>
      <c r="Y368" s="1192">
        <f t="shared" si="149"/>
        <v>507.6</v>
      </c>
      <c r="Z368" s="1192"/>
      <c r="AA368" s="307"/>
      <c r="AB368" s="307" t="s">
        <v>1523</v>
      </c>
      <c r="AC368" s="1079" t="s">
        <v>93</v>
      </c>
      <c r="AD368" s="928" t="s">
        <v>94</v>
      </c>
      <c r="AE368" s="307"/>
      <c r="AF368" s="1181"/>
      <c r="AG368" s="1175">
        <f t="shared" si="150"/>
        <v>-250</v>
      </c>
      <c r="AH368" s="1193"/>
      <c r="AI368" s="307"/>
      <c r="AJ368" s="307"/>
      <c r="AK368" s="910">
        <f>I368</f>
        <v>250</v>
      </c>
      <c r="AL368" s="1194">
        <f>I368</f>
        <v>250</v>
      </c>
      <c r="AM368" s="1194"/>
      <c r="AN368" s="1194"/>
      <c r="AO368" s="964">
        <f t="shared" ref="AO368:AO380" si="156">I368</f>
        <v>250</v>
      </c>
      <c r="AR368" s="974"/>
      <c r="AT368" s="974">
        <f>L368*2</f>
        <v>10</v>
      </c>
      <c r="BE368" s="1185"/>
      <c r="BF368" s="1185"/>
      <c r="BG368" s="1185"/>
      <c r="BH368" s="1185"/>
      <c r="BI368" s="1185"/>
      <c r="BN368" s="308"/>
      <c r="BO368" s="308"/>
      <c r="BP368" s="308"/>
      <c r="BQ368" s="308"/>
      <c r="BR368" s="308"/>
      <c r="BS368" s="308"/>
      <c r="BV368" s="964">
        <f t="shared" si="151"/>
        <v>10</v>
      </c>
      <c r="BW368" s="964">
        <f t="shared" si="152"/>
        <v>0</v>
      </c>
      <c r="BX368" s="308">
        <f>AK368+BX287</f>
        <v>1026332</v>
      </c>
      <c r="BY368" s="308"/>
      <c r="BZ368" s="308"/>
      <c r="CA368" s="308"/>
      <c r="CB368" s="308">
        <f t="shared" si="153"/>
        <v>273668</v>
      </c>
      <c r="CC368" s="308"/>
      <c r="CH368" s="1195"/>
      <c r="CI368" s="1195"/>
      <c r="CJ368" s="1195"/>
      <c r="CK368" s="1195"/>
      <c r="CL368" s="1195"/>
      <c r="CM368" s="1195"/>
      <c r="CN368" s="1195"/>
      <c r="CO368" s="1195"/>
      <c r="CP368" s="1195"/>
      <c r="CQ368" s="1195"/>
      <c r="CR368" s="1195"/>
      <c r="CS368" s="1195"/>
      <c r="CT368" s="1195"/>
      <c r="CU368" s="1195"/>
      <c r="CV368" s="1195"/>
      <c r="CW368" s="1195"/>
      <c r="CX368" s="1195"/>
      <c r="CY368" s="1195"/>
      <c r="CZ368" s="1195"/>
      <c r="DA368" s="1195"/>
      <c r="DB368" s="1195"/>
      <c r="DC368" s="1195"/>
    </row>
    <row r="369" s="964" customFormat="1" ht="31" customHeight="1" spans="1:107">
      <c r="A369" s="1183">
        <v>46169</v>
      </c>
      <c r="B369" s="1184" t="s">
        <v>194</v>
      </c>
      <c r="C369" s="1185" t="s">
        <v>125</v>
      </c>
      <c r="D369" s="964" t="s">
        <v>2879</v>
      </c>
      <c r="E369" s="307" t="s">
        <v>2880</v>
      </c>
      <c r="F369" s="964" t="s">
        <v>2881</v>
      </c>
      <c r="G369" s="1000" t="s">
        <v>1746</v>
      </c>
      <c r="H369" s="1036" t="s">
        <v>2549</v>
      </c>
      <c r="I369" s="1186">
        <v>5400</v>
      </c>
      <c r="J369" s="1036">
        <v>0</v>
      </c>
      <c r="K369" s="1036">
        <v>12</v>
      </c>
      <c r="L369" s="1187">
        <f t="shared" si="122"/>
        <v>450</v>
      </c>
      <c r="M369" s="1188">
        <v>46261</v>
      </c>
      <c r="N369" s="1188">
        <v>46258</v>
      </c>
      <c r="O369" s="307"/>
      <c r="P369" s="1189"/>
      <c r="Q369" s="307"/>
      <c r="R369" s="1196">
        <v>46169</v>
      </c>
      <c r="S369" s="1196" t="s">
        <v>98</v>
      </c>
      <c r="T369" s="1171" t="s">
        <v>1467</v>
      </c>
      <c r="U369" s="1196"/>
      <c r="V369" s="1197" t="s">
        <v>2882</v>
      </c>
      <c r="W369" s="1190" t="s">
        <v>2883</v>
      </c>
      <c r="X369" s="1191">
        <v>1.6868</v>
      </c>
      <c r="Y369" s="1192">
        <f t="shared" si="149"/>
        <v>9108.72</v>
      </c>
      <c r="Z369" s="1192"/>
      <c r="AA369" s="307"/>
      <c r="AB369" s="1004" t="s">
        <v>2337</v>
      </c>
      <c r="AC369" s="1079" t="s">
        <v>93</v>
      </c>
      <c r="AD369" s="928" t="s">
        <v>94</v>
      </c>
      <c r="AE369" s="307"/>
      <c r="AF369" s="1181">
        <f>3888+1512</f>
        <v>5400</v>
      </c>
      <c r="AG369" s="1181">
        <f t="shared" si="150"/>
        <v>0</v>
      </c>
      <c r="AH369" s="1193"/>
      <c r="AI369" s="307"/>
      <c r="AJ369" s="307"/>
      <c r="AK369" s="910">
        <f>I369*2</f>
        <v>10800</v>
      </c>
      <c r="AL369" s="858">
        <f>I369*2</f>
        <v>10800</v>
      </c>
      <c r="AM369" s="1194"/>
      <c r="AN369" s="1194"/>
      <c r="AO369" s="856">
        <f>I369*2</f>
        <v>10800</v>
      </c>
      <c r="BE369" s="1185"/>
      <c r="BF369" s="1185"/>
      <c r="BG369" s="1185"/>
      <c r="BH369" s="1185"/>
      <c r="BI369" s="1185"/>
      <c r="BJ369" s="964">
        <f>I369</f>
        <v>5400</v>
      </c>
      <c r="BK369" s="964">
        <f>I369</f>
        <v>5400</v>
      </c>
      <c r="BL369" s="964">
        <f>I369</f>
        <v>5400</v>
      </c>
      <c r="BN369" s="308"/>
      <c r="BO369" s="308"/>
      <c r="BP369" s="308"/>
      <c r="BQ369" s="308"/>
      <c r="BR369" s="308"/>
      <c r="BS369" s="308"/>
      <c r="BV369" s="964">
        <f t="shared" si="151"/>
        <v>0</v>
      </c>
      <c r="BW369" s="964">
        <f t="shared" si="152"/>
        <v>0</v>
      </c>
      <c r="BX369" s="308">
        <f>AK369+BX285</f>
        <v>1011336</v>
      </c>
      <c r="BY369" s="308"/>
      <c r="BZ369" s="308"/>
      <c r="CA369" s="308"/>
      <c r="CB369" s="308">
        <f t="shared" si="153"/>
        <v>288664</v>
      </c>
      <c r="CC369" s="308"/>
      <c r="CH369" s="1195"/>
      <c r="CI369" s="1195"/>
      <c r="CJ369" s="1195"/>
      <c r="CK369" s="1195"/>
      <c r="CL369" s="1195"/>
      <c r="CM369" s="1195"/>
      <c r="CN369" s="1195"/>
      <c r="CO369" s="1195"/>
      <c r="CP369" s="1195"/>
      <c r="CQ369" s="1195"/>
      <c r="CR369" s="1195"/>
      <c r="CS369" s="1195"/>
      <c r="CT369" s="1195"/>
      <c r="CU369" s="1195"/>
      <c r="CV369" s="1195"/>
      <c r="CW369" s="1195"/>
      <c r="CX369" s="1195"/>
      <c r="CY369" s="1195"/>
      <c r="CZ369" s="1195"/>
      <c r="DA369" s="1195"/>
      <c r="DB369" s="1195"/>
      <c r="DC369" s="1195"/>
    </row>
    <row r="370" s="856" customFormat="1" ht="31" customHeight="1" spans="1:107">
      <c r="A370" s="1165">
        <v>46218</v>
      </c>
      <c r="B370" s="919" t="s">
        <v>733</v>
      </c>
      <c r="C370" s="1166" t="s">
        <v>720</v>
      </c>
      <c r="D370" s="856" t="s">
        <v>2884</v>
      </c>
      <c r="E370" s="910" t="s">
        <v>2885</v>
      </c>
      <c r="F370" s="856" t="s">
        <v>2886</v>
      </c>
      <c r="G370" s="1167" t="s">
        <v>1523</v>
      </c>
      <c r="H370" s="905" t="s">
        <v>1524</v>
      </c>
      <c r="I370" s="1168">
        <v>2400</v>
      </c>
      <c r="J370" s="905">
        <v>0</v>
      </c>
      <c r="K370" s="905">
        <v>50</v>
      </c>
      <c r="L370" s="906">
        <f t="shared" si="122"/>
        <v>48</v>
      </c>
      <c r="M370" s="907">
        <v>46262</v>
      </c>
      <c r="N370" s="907">
        <v>46258</v>
      </c>
      <c r="O370" s="910"/>
      <c r="P370" s="1170"/>
      <c r="Q370" s="910"/>
      <c r="R370" s="1171">
        <v>46231</v>
      </c>
      <c r="S370" s="1180" t="s">
        <v>98</v>
      </c>
      <c r="T370" s="1171" t="s">
        <v>2887</v>
      </c>
      <c r="U370" s="1180"/>
      <c r="V370" s="1172" t="s">
        <v>2888</v>
      </c>
      <c r="W370" s="1173" t="s">
        <v>723</v>
      </c>
      <c r="X370" s="1174">
        <v>2.0125</v>
      </c>
      <c r="Y370" s="916">
        <f t="shared" si="149"/>
        <v>4830</v>
      </c>
      <c r="Z370" s="916"/>
      <c r="AA370" s="910"/>
      <c r="AB370" s="1167" t="s">
        <v>1727</v>
      </c>
      <c r="AC370" s="1079" t="s">
        <v>93</v>
      </c>
      <c r="AD370" s="928" t="s">
        <v>94</v>
      </c>
      <c r="AE370" s="910"/>
      <c r="AF370" s="1175"/>
      <c r="AG370" s="1175">
        <f t="shared" si="150"/>
        <v>-2400</v>
      </c>
      <c r="AH370" s="1176"/>
      <c r="AI370" s="910"/>
      <c r="AJ370" s="910"/>
      <c r="AK370" s="910">
        <f t="shared" ref="AK370:AK380" si="157">I370</f>
        <v>2400</v>
      </c>
      <c r="AL370" s="920"/>
      <c r="AM370" s="920"/>
      <c r="AN370" s="856">
        <f t="shared" si="154"/>
        <v>2400</v>
      </c>
      <c r="AO370" s="856">
        <f>I370*2</f>
        <v>4800</v>
      </c>
      <c r="AU370" s="910">
        <f t="shared" si="155"/>
        <v>96</v>
      </c>
      <c r="BE370" s="1166"/>
      <c r="BF370" s="1166"/>
      <c r="BG370" s="1166"/>
      <c r="BH370" s="1166"/>
      <c r="BI370" s="1166"/>
      <c r="BN370" s="1177"/>
      <c r="BO370" s="1177"/>
      <c r="BP370" s="1177"/>
      <c r="BQ370" s="1177"/>
      <c r="BR370" s="1177"/>
      <c r="BS370" s="1177"/>
      <c r="BV370" s="964">
        <f t="shared" si="151"/>
        <v>96</v>
      </c>
      <c r="BW370" s="964">
        <f t="shared" si="152"/>
        <v>0</v>
      </c>
      <c r="BX370" s="308">
        <f>AK370+BX286</f>
        <v>1004444</v>
      </c>
      <c r="BY370" s="1177"/>
      <c r="BZ370" s="1177"/>
      <c r="CA370" s="1177"/>
      <c r="CB370" s="308">
        <f t="shared" ref="CB370:CB379" si="158">$BZ$1+$CA$1+$CB$1-BX370</f>
        <v>295556</v>
      </c>
      <c r="CC370" s="1177"/>
      <c r="CH370" s="1178"/>
      <c r="CI370" s="1178"/>
      <c r="CJ370" s="1178"/>
      <c r="CK370" s="1178"/>
      <c r="CL370" s="1178"/>
      <c r="CM370" s="1178"/>
      <c r="CN370" s="1178"/>
      <c r="CO370" s="1178"/>
      <c r="CP370" s="1178"/>
      <c r="CQ370" s="1178"/>
      <c r="CR370" s="1178"/>
      <c r="CS370" s="1178"/>
      <c r="CT370" s="1178"/>
      <c r="CU370" s="1178"/>
      <c r="CV370" s="1178"/>
      <c r="CW370" s="1178"/>
      <c r="CX370" s="1178"/>
      <c r="CY370" s="1178"/>
      <c r="CZ370" s="1178"/>
      <c r="DA370" s="1178"/>
      <c r="DB370" s="1178"/>
      <c r="DC370" s="1178"/>
    </row>
    <row r="371" s="856" customFormat="1" ht="31" customHeight="1" spans="1:107">
      <c r="A371" s="1165">
        <v>46204</v>
      </c>
      <c r="B371" s="919" t="s">
        <v>2889</v>
      </c>
      <c r="C371" s="1166" t="s">
        <v>2890</v>
      </c>
      <c r="D371" s="1179" t="s">
        <v>2891</v>
      </c>
      <c r="E371" s="910" t="s">
        <v>2556</v>
      </c>
      <c r="F371" s="856" t="s">
        <v>2892</v>
      </c>
      <c r="G371" s="1167" t="s">
        <v>1523</v>
      </c>
      <c r="H371" s="905" t="s">
        <v>1524</v>
      </c>
      <c r="I371" s="1168">
        <v>500</v>
      </c>
      <c r="J371" s="905">
        <v>0</v>
      </c>
      <c r="K371" s="905">
        <v>50</v>
      </c>
      <c r="L371" s="906">
        <f t="shared" si="122"/>
        <v>10</v>
      </c>
      <c r="M371" s="907">
        <v>46269</v>
      </c>
      <c r="N371" s="907">
        <v>46265</v>
      </c>
      <c r="O371" s="910"/>
      <c r="P371" s="1170"/>
      <c r="Q371" s="910"/>
      <c r="R371" s="1180">
        <v>46204</v>
      </c>
      <c r="S371" s="1171" t="s">
        <v>98</v>
      </c>
      <c r="T371" s="1171" t="s">
        <v>2893</v>
      </c>
      <c r="U371" s="1180"/>
      <c r="V371" s="1182" t="s">
        <v>2894</v>
      </c>
      <c r="W371" s="1173" t="s">
        <v>2895</v>
      </c>
      <c r="X371" s="1174">
        <v>2.0125</v>
      </c>
      <c r="Y371" s="916">
        <f t="shared" si="149"/>
        <v>1006.25</v>
      </c>
      <c r="Z371" s="916"/>
      <c r="AA371" s="910"/>
      <c r="AB371" s="1167" t="s">
        <v>1727</v>
      </c>
      <c r="AC371" s="1079" t="s">
        <v>93</v>
      </c>
      <c r="AD371" s="928" t="s">
        <v>94</v>
      </c>
      <c r="AE371" s="910"/>
      <c r="AF371" s="1175"/>
      <c r="AG371" s="1175">
        <f t="shared" si="150"/>
        <v>-500</v>
      </c>
      <c r="AH371" s="1176"/>
      <c r="AI371" s="910"/>
      <c r="AJ371" s="910"/>
      <c r="AK371" s="910">
        <f t="shared" si="157"/>
        <v>500</v>
      </c>
      <c r="AL371" s="920"/>
      <c r="AM371" s="920"/>
      <c r="AN371" s="856">
        <f t="shared" si="154"/>
        <v>500</v>
      </c>
      <c r="AO371" s="856">
        <f t="shared" si="156"/>
        <v>500</v>
      </c>
      <c r="AU371" s="910">
        <f t="shared" si="155"/>
        <v>20</v>
      </c>
      <c r="BE371" s="1166"/>
      <c r="BF371" s="1166"/>
      <c r="BG371" s="1166"/>
      <c r="BH371" s="1166"/>
      <c r="BI371" s="1166"/>
      <c r="BN371" s="1177"/>
      <c r="BO371" s="1177"/>
      <c r="BP371" s="1177"/>
      <c r="BQ371" s="1177"/>
      <c r="BR371" s="1177"/>
      <c r="BS371" s="1177"/>
      <c r="BV371" s="856">
        <f t="shared" si="151"/>
        <v>20</v>
      </c>
      <c r="BW371" s="856">
        <f t="shared" si="152"/>
        <v>0</v>
      </c>
      <c r="BX371" s="1177">
        <f>AK371+BX289</f>
        <v>1012598</v>
      </c>
      <c r="BY371" s="1177"/>
      <c r="BZ371" s="1177"/>
      <c r="CA371" s="1177"/>
      <c r="CB371" s="308">
        <f t="shared" si="158"/>
        <v>287402</v>
      </c>
      <c r="CC371" s="1177"/>
      <c r="CH371" s="1178"/>
      <c r="CI371" s="1178"/>
      <c r="CJ371" s="1178"/>
      <c r="CK371" s="1178"/>
      <c r="CL371" s="1178"/>
      <c r="CM371" s="1178"/>
      <c r="CN371" s="1178"/>
      <c r="CO371" s="1178"/>
      <c r="CP371" s="1178"/>
      <c r="CQ371" s="1178"/>
      <c r="CR371" s="1178"/>
      <c r="CS371" s="1178"/>
      <c r="CT371" s="1178"/>
      <c r="CU371" s="1178"/>
      <c r="CV371" s="1178"/>
      <c r="CW371" s="1178"/>
      <c r="CX371" s="1178"/>
      <c r="CY371" s="1178"/>
      <c r="CZ371" s="1178"/>
      <c r="DA371" s="1178"/>
      <c r="DB371" s="1178"/>
      <c r="DC371" s="1178"/>
    </row>
    <row r="372" s="856" customFormat="1" ht="31" customHeight="1" spans="1:107">
      <c r="A372" s="1165">
        <v>46227</v>
      </c>
      <c r="B372" s="919" t="s">
        <v>2896</v>
      </c>
      <c r="C372" s="1166" t="s">
        <v>272</v>
      </c>
      <c r="D372" s="1198">
        <v>4500217495</v>
      </c>
      <c r="E372" s="1199">
        <v>1100036976</v>
      </c>
      <c r="F372" s="856" t="s">
        <v>2897</v>
      </c>
      <c r="G372" s="1167" t="s">
        <v>1532</v>
      </c>
      <c r="H372" s="905" t="s">
        <v>1524</v>
      </c>
      <c r="I372" s="1168">
        <v>520</v>
      </c>
      <c r="J372" s="905">
        <v>0</v>
      </c>
      <c r="K372" s="905">
        <v>52</v>
      </c>
      <c r="L372" s="906">
        <f t="shared" si="122"/>
        <v>10</v>
      </c>
      <c r="M372" s="907">
        <v>46275</v>
      </c>
      <c r="N372" s="907">
        <v>46272</v>
      </c>
      <c r="O372" s="910"/>
      <c r="P372" s="1170"/>
      <c r="Q372" s="910"/>
      <c r="R372" s="1171">
        <v>46231</v>
      </c>
      <c r="S372" s="1171" t="s">
        <v>98</v>
      </c>
      <c r="T372" s="1200" t="s">
        <v>2898</v>
      </c>
      <c r="U372" s="1180"/>
      <c r="V372" s="1182" t="s">
        <v>2899</v>
      </c>
      <c r="W372" s="1173" t="s">
        <v>136</v>
      </c>
      <c r="X372" s="1174">
        <v>1.9323</v>
      </c>
      <c r="Y372" s="916">
        <f t="shared" si="149"/>
        <v>1004.796</v>
      </c>
      <c r="Z372" s="916"/>
      <c r="AA372" s="910"/>
      <c r="AB372" s="910" t="s">
        <v>1532</v>
      </c>
      <c r="AC372" s="904" t="s">
        <v>93</v>
      </c>
      <c r="AD372" s="928" t="s">
        <v>94</v>
      </c>
      <c r="AE372" s="910"/>
      <c r="AF372" s="1175"/>
      <c r="AG372" s="1175">
        <f t="shared" si="150"/>
        <v>-520</v>
      </c>
      <c r="AH372" s="1176"/>
      <c r="AI372" s="910"/>
      <c r="AJ372" s="910"/>
      <c r="AK372" s="910">
        <f t="shared" si="157"/>
        <v>520</v>
      </c>
      <c r="AL372" s="920">
        <f>I372</f>
        <v>520</v>
      </c>
      <c r="AM372" s="920"/>
      <c r="AO372" s="856">
        <f t="shared" si="156"/>
        <v>520</v>
      </c>
      <c r="AR372" s="856">
        <f>I372/13</f>
        <v>40</v>
      </c>
      <c r="AU372" s="910"/>
      <c r="BE372" s="1166"/>
      <c r="BF372" s="1166"/>
      <c r="BG372" s="1166"/>
      <c r="BH372" s="1166"/>
      <c r="BI372" s="1166"/>
      <c r="BN372" s="1177"/>
      <c r="BO372" s="1177"/>
      <c r="BP372" s="1177"/>
      <c r="BQ372" s="1177"/>
      <c r="BR372" s="1177"/>
      <c r="BS372" s="1177"/>
      <c r="BV372" s="856">
        <f t="shared" si="151"/>
        <v>0</v>
      </c>
      <c r="BW372" s="856">
        <f t="shared" si="152"/>
        <v>0</v>
      </c>
      <c r="BX372" s="1177">
        <f>AK372+BX315</f>
        <v>998457</v>
      </c>
      <c r="BY372" s="1177"/>
      <c r="BZ372" s="1177"/>
      <c r="CA372" s="1177"/>
      <c r="CB372" s="308">
        <f t="shared" si="158"/>
        <v>301543</v>
      </c>
      <c r="CC372" s="1177"/>
      <c r="CH372" s="1178"/>
      <c r="CI372" s="1178"/>
      <c r="CJ372" s="1178"/>
      <c r="CK372" s="1178"/>
      <c r="CL372" s="1178"/>
      <c r="CM372" s="1178"/>
      <c r="CN372" s="1178"/>
      <c r="CO372" s="1178"/>
      <c r="CP372" s="1178"/>
      <c r="CQ372" s="1178"/>
      <c r="CR372" s="1178"/>
      <c r="CS372" s="1178"/>
      <c r="CT372" s="1178"/>
      <c r="CU372" s="1178"/>
      <c r="CV372" s="1178"/>
      <c r="CW372" s="1178"/>
      <c r="CX372" s="1178"/>
      <c r="CY372" s="1178"/>
      <c r="CZ372" s="1178"/>
      <c r="DA372" s="1178"/>
      <c r="DB372" s="1178"/>
      <c r="DC372" s="1178"/>
    </row>
    <row r="373" s="856" customFormat="1" ht="31" customHeight="1" spans="1:107">
      <c r="A373" s="1165">
        <v>46234</v>
      </c>
      <c r="B373" s="919" t="s">
        <v>2900</v>
      </c>
      <c r="C373" s="1166" t="s">
        <v>2901</v>
      </c>
      <c r="D373" s="856" t="s">
        <v>2902</v>
      </c>
      <c r="E373" s="910" t="s">
        <v>2903</v>
      </c>
      <c r="F373" s="856" t="s">
        <v>2904</v>
      </c>
      <c r="G373" s="1167" t="s">
        <v>1523</v>
      </c>
      <c r="H373" s="905" t="s">
        <v>1524</v>
      </c>
      <c r="I373" s="1168">
        <v>450</v>
      </c>
      <c r="J373" s="905">
        <v>0</v>
      </c>
      <c r="K373" s="905">
        <v>50</v>
      </c>
      <c r="L373" s="906">
        <f t="shared" si="122"/>
        <v>9</v>
      </c>
      <c r="M373" s="907">
        <v>46276</v>
      </c>
      <c r="N373" s="907">
        <v>46272</v>
      </c>
      <c r="O373" s="910"/>
      <c r="P373" s="1170"/>
      <c r="Q373" s="910"/>
      <c r="R373" s="1171">
        <v>46247</v>
      </c>
      <c r="S373" s="1171" t="s">
        <v>98</v>
      </c>
      <c r="T373" s="1171" t="s">
        <v>2905</v>
      </c>
      <c r="U373" s="1180"/>
      <c r="V373" s="1172" t="s">
        <v>2906</v>
      </c>
      <c r="W373" s="1173" t="s">
        <v>2907</v>
      </c>
      <c r="X373" s="1174">
        <v>2.0304</v>
      </c>
      <c r="Y373" s="916">
        <f t="shared" si="149"/>
        <v>913.68</v>
      </c>
      <c r="Z373" s="916"/>
      <c r="AA373" s="910"/>
      <c r="AB373" s="1167" t="s">
        <v>1727</v>
      </c>
      <c r="AC373" s="1079" t="s">
        <v>93</v>
      </c>
      <c r="AD373" s="928" t="s">
        <v>94</v>
      </c>
      <c r="AE373" s="910"/>
      <c r="AF373" s="1175"/>
      <c r="AG373" s="1175">
        <f t="shared" si="150"/>
        <v>-450</v>
      </c>
      <c r="AH373" s="1176"/>
      <c r="AI373" s="910"/>
      <c r="AJ373" s="910"/>
      <c r="AK373" s="910">
        <f t="shared" si="157"/>
        <v>450</v>
      </c>
      <c r="AL373" s="920"/>
      <c r="AM373" s="920"/>
      <c r="AN373" s="856">
        <f>I373</f>
        <v>450</v>
      </c>
      <c r="AO373" s="856">
        <f t="shared" si="156"/>
        <v>450</v>
      </c>
      <c r="AU373" s="910">
        <f>I373/25</f>
        <v>18</v>
      </c>
      <c r="BE373" s="1166"/>
      <c r="BF373" s="1166"/>
      <c r="BG373" s="1166"/>
      <c r="BH373" s="1166"/>
      <c r="BI373" s="1166"/>
      <c r="BN373" s="1177"/>
      <c r="BO373" s="1177"/>
      <c r="BP373" s="1177"/>
      <c r="BQ373" s="1177"/>
      <c r="BR373" s="1177"/>
      <c r="BS373" s="1177"/>
      <c r="BV373" s="856">
        <f t="shared" si="151"/>
        <v>18</v>
      </c>
      <c r="BW373" s="856">
        <f t="shared" si="152"/>
        <v>0</v>
      </c>
      <c r="BX373" s="1177">
        <f>AK373+BX316</f>
        <v>998205</v>
      </c>
      <c r="BY373" s="1177"/>
      <c r="BZ373" s="1177"/>
      <c r="CA373" s="1177"/>
      <c r="CB373" s="1177">
        <f t="shared" si="158"/>
        <v>301795</v>
      </c>
      <c r="CC373" s="1177"/>
      <c r="CH373" s="1178"/>
      <c r="CI373" s="1178"/>
      <c r="CJ373" s="1178"/>
      <c r="CK373" s="1178"/>
      <c r="CL373" s="1178"/>
      <c r="CM373" s="1178"/>
      <c r="CN373" s="1178"/>
      <c r="CO373" s="1178"/>
      <c r="CP373" s="1178"/>
      <c r="CQ373" s="1178"/>
      <c r="CR373" s="1178"/>
      <c r="CS373" s="1178"/>
      <c r="CT373" s="1178"/>
      <c r="CU373" s="1178"/>
      <c r="CV373" s="1178"/>
      <c r="CW373" s="1178"/>
      <c r="CX373" s="1178"/>
      <c r="CY373" s="1178"/>
      <c r="CZ373" s="1178"/>
      <c r="DA373" s="1178"/>
      <c r="DB373" s="1178"/>
      <c r="DC373" s="1178"/>
    </row>
    <row r="374" s="856" customFormat="1" ht="31" customHeight="1" spans="1:107">
      <c r="A374" s="1165">
        <v>46230</v>
      </c>
      <c r="B374" s="919" t="s">
        <v>2908</v>
      </c>
      <c r="C374" s="1166" t="s">
        <v>2909</v>
      </c>
      <c r="D374" s="1198" t="s">
        <v>2910</v>
      </c>
      <c r="E374" s="910"/>
      <c r="F374" s="856" t="s">
        <v>2911</v>
      </c>
      <c r="G374" s="1167" t="s">
        <v>1532</v>
      </c>
      <c r="H374" s="905" t="s">
        <v>1524</v>
      </c>
      <c r="I374" s="1168">
        <v>312</v>
      </c>
      <c r="J374" s="905">
        <v>0</v>
      </c>
      <c r="K374" s="905">
        <v>52</v>
      </c>
      <c r="L374" s="906">
        <f t="shared" si="122"/>
        <v>6</v>
      </c>
      <c r="M374" s="907">
        <v>46279</v>
      </c>
      <c r="N374" s="907">
        <v>46275</v>
      </c>
      <c r="O374" s="910"/>
      <c r="P374" s="1170"/>
      <c r="Q374" s="910"/>
      <c r="R374" s="1171">
        <v>46237</v>
      </c>
      <c r="S374" s="1171" t="s">
        <v>98</v>
      </c>
      <c r="T374" s="1171" t="s">
        <v>2912</v>
      </c>
      <c r="U374" s="1180"/>
      <c r="V374" s="1172" t="s">
        <v>2913</v>
      </c>
      <c r="W374" s="1173" t="s">
        <v>1887</v>
      </c>
      <c r="X374" s="1174">
        <v>1.9136</v>
      </c>
      <c r="Y374" s="916">
        <f t="shared" si="149"/>
        <v>597.0432</v>
      </c>
      <c r="Z374" s="916"/>
      <c r="AA374" s="910"/>
      <c r="AB374" s="910" t="s">
        <v>1532</v>
      </c>
      <c r="AC374" s="904" t="s">
        <v>93</v>
      </c>
      <c r="AD374" s="928" t="s">
        <v>94</v>
      </c>
      <c r="AE374" s="910"/>
      <c r="AF374" s="1175"/>
      <c r="AG374" s="1175">
        <f t="shared" si="150"/>
        <v>-312</v>
      </c>
      <c r="AH374" s="1176"/>
      <c r="AI374" s="910"/>
      <c r="AJ374" s="910"/>
      <c r="AK374" s="910">
        <f t="shared" si="157"/>
        <v>312</v>
      </c>
      <c r="AL374" s="920">
        <f t="shared" ref="AL374:AL380" si="159">I374</f>
        <v>312</v>
      </c>
      <c r="AM374" s="920"/>
      <c r="AO374" s="856">
        <f t="shared" si="156"/>
        <v>312</v>
      </c>
      <c r="AR374" s="856">
        <f t="shared" ref="AR374:AR379" si="160">I374/13</f>
        <v>24</v>
      </c>
      <c r="AU374" s="910"/>
      <c r="BE374" s="1166"/>
      <c r="BF374" s="1166"/>
      <c r="BG374" s="1166"/>
      <c r="BH374" s="1166"/>
      <c r="BI374" s="1166"/>
      <c r="BN374" s="1177"/>
      <c r="BO374" s="1177"/>
      <c r="BP374" s="1177"/>
      <c r="BQ374" s="1177"/>
      <c r="BR374" s="1177"/>
      <c r="BS374" s="1177"/>
      <c r="BV374" s="856">
        <f t="shared" si="151"/>
        <v>0</v>
      </c>
      <c r="BW374" s="856">
        <f t="shared" si="152"/>
        <v>0</v>
      </c>
      <c r="BX374" s="1177">
        <f>AK374+BX316</f>
        <v>998067</v>
      </c>
      <c r="BY374" s="1177"/>
      <c r="BZ374" s="1177"/>
      <c r="CA374" s="1177"/>
      <c r="CB374" s="1177">
        <f t="shared" si="158"/>
        <v>301933</v>
      </c>
      <c r="CC374" s="1177"/>
      <c r="CH374" s="1178"/>
      <c r="CI374" s="1178"/>
      <c r="CJ374" s="1178"/>
      <c r="CK374" s="1178"/>
      <c r="CL374" s="1178"/>
      <c r="CM374" s="1178"/>
      <c r="CN374" s="1178"/>
      <c r="CO374" s="1178"/>
      <c r="CP374" s="1178"/>
      <c r="CQ374" s="1178"/>
      <c r="CR374" s="1178"/>
      <c r="CS374" s="1178"/>
      <c r="CT374" s="1178"/>
      <c r="CU374" s="1178"/>
      <c r="CV374" s="1178"/>
      <c r="CW374" s="1178"/>
      <c r="CX374" s="1178"/>
      <c r="CY374" s="1178"/>
      <c r="CZ374" s="1178"/>
      <c r="DA374" s="1178"/>
      <c r="DB374" s="1178"/>
      <c r="DC374" s="1178"/>
    </row>
    <row r="375" s="856" customFormat="1" ht="31" customHeight="1" spans="1:107">
      <c r="A375" s="1165">
        <v>46232</v>
      </c>
      <c r="B375" s="919" t="s">
        <v>1535</v>
      </c>
      <c r="C375" s="1166" t="s">
        <v>377</v>
      </c>
      <c r="D375" s="856" t="s">
        <v>2914</v>
      </c>
      <c r="E375" s="910" t="s">
        <v>2915</v>
      </c>
      <c r="F375" s="856" t="s">
        <v>2916</v>
      </c>
      <c r="G375" s="1167" t="s">
        <v>1537</v>
      </c>
      <c r="H375" s="904" t="s">
        <v>2582</v>
      </c>
      <c r="I375" s="1168">
        <v>1456</v>
      </c>
      <c r="J375" s="905">
        <v>0</v>
      </c>
      <c r="K375" s="905">
        <v>13</v>
      </c>
      <c r="L375" s="906">
        <f t="shared" si="122"/>
        <v>112</v>
      </c>
      <c r="M375" s="907">
        <v>46279</v>
      </c>
      <c r="N375" s="907">
        <v>46275</v>
      </c>
      <c r="O375" s="910"/>
      <c r="P375" s="1170"/>
      <c r="Q375" s="910"/>
      <c r="R375" s="1171">
        <v>46248</v>
      </c>
      <c r="S375" s="1171" t="s">
        <v>98</v>
      </c>
      <c r="T375" s="1171" t="s">
        <v>2917</v>
      </c>
      <c r="U375" s="1171"/>
      <c r="V375" s="1172" t="s">
        <v>2918</v>
      </c>
      <c r="W375" s="1173" t="s">
        <v>2323</v>
      </c>
      <c r="X375" s="1174">
        <v>1.9678</v>
      </c>
      <c r="Y375" s="916">
        <f t="shared" si="149"/>
        <v>2865.1168</v>
      </c>
      <c r="Z375" s="916"/>
      <c r="AA375" s="910"/>
      <c r="AB375" s="1167" t="s">
        <v>1537</v>
      </c>
      <c r="AC375" s="1079" t="s">
        <v>93</v>
      </c>
      <c r="AD375" s="928" t="s">
        <v>94</v>
      </c>
      <c r="AE375" s="910"/>
      <c r="AF375" s="1175"/>
      <c r="AG375" s="1175">
        <f t="shared" si="150"/>
        <v>-1456</v>
      </c>
      <c r="AH375" s="1176"/>
      <c r="AI375" s="910"/>
      <c r="AJ375" s="910"/>
      <c r="AK375" s="910">
        <f t="shared" si="157"/>
        <v>1456</v>
      </c>
      <c r="AL375" s="920">
        <f t="shared" si="159"/>
        <v>1456</v>
      </c>
      <c r="AM375" s="920"/>
      <c r="AN375" s="920"/>
      <c r="AO375" s="856">
        <f t="shared" si="156"/>
        <v>1456</v>
      </c>
      <c r="AR375" s="856">
        <f t="shared" si="160"/>
        <v>112</v>
      </c>
      <c r="BE375" s="1166"/>
      <c r="BF375" s="1166"/>
      <c r="BG375" s="1166"/>
      <c r="BH375" s="1166"/>
      <c r="BI375" s="1166"/>
      <c r="BN375" s="1177"/>
      <c r="BO375" s="1177"/>
      <c r="BP375" s="1177"/>
      <c r="BQ375" s="1177"/>
      <c r="BR375" s="1177"/>
      <c r="BS375" s="1177"/>
      <c r="BV375" s="856">
        <f t="shared" si="151"/>
        <v>0</v>
      </c>
      <c r="BW375" s="856">
        <f t="shared" si="152"/>
        <v>0</v>
      </c>
      <c r="BX375" s="1177">
        <f>AK375+BX372</f>
        <v>999913</v>
      </c>
      <c r="BY375" s="1177"/>
      <c r="BZ375" s="1177"/>
      <c r="CA375" s="1177"/>
      <c r="CB375" s="1177">
        <f t="shared" si="158"/>
        <v>300087</v>
      </c>
      <c r="CC375" s="1177"/>
      <c r="CH375" s="1178"/>
      <c r="CI375" s="1178"/>
      <c r="CJ375" s="1178"/>
      <c r="CK375" s="1178"/>
      <c r="CL375" s="1178"/>
      <c r="CM375" s="1178"/>
      <c r="CN375" s="1178"/>
      <c r="CO375" s="1178"/>
      <c r="CP375" s="1178"/>
      <c r="CQ375" s="1178"/>
      <c r="CR375" s="1178"/>
      <c r="CS375" s="1178"/>
      <c r="CT375" s="1178"/>
      <c r="CU375" s="1178"/>
      <c r="CV375" s="1178"/>
      <c r="CW375" s="1178"/>
      <c r="CX375" s="1178"/>
      <c r="CY375" s="1178"/>
      <c r="CZ375" s="1178"/>
      <c r="DA375" s="1178"/>
      <c r="DB375" s="1178"/>
      <c r="DC375" s="1178"/>
    </row>
    <row r="376" s="856" customFormat="1" ht="31" customHeight="1" spans="1:107">
      <c r="A376" s="1165">
        <v>46232</v>
      </c>
      <c r="B376" s="919" t="s">
        <v>1535</v>
      </c>
      <c r="C376" s="1166" t="s">
        <v>377</v>
      </c>
      <c r="D376" s="856" t="s">
        <v>2914</v>
      </c>
      <c r="E376" s="910" t="s">
        <v>2919</v>
      </c>
      <c r="F376" s="856" t="s">
        <v>2920</v>
      </c>
      <c r="G376" s="1167" t="s">
        <v>1537</v>
      </c>
      <c r="H376" s="904" t="s">
        <v>2582</v>
      </c>
      <c r="I376" s="1168">
        <v>1469</v>
      </c>
      <c r="J376" s="905">
        <v>0</v>
      </c>
      <c r="K376" s="905">
        <v>13</v>
      </c>
      <c r="L376" s="906">
        <f t="shared" si="122"/>
        <v>113</v>
      </c>
      <c r="M376" s="907">
        <v>46279</v>
      </c>
      <c r="N376" s="907">
        <v>46275</v>
      </c>
      <c r="O376" s="910"/>
      <c r="P376" s="1170"/>
      <c r="Q376" s="910"/>
      <c r="R376" s="1171">
        <v>46248</v>
      </c>
      <c r="S376" s="1171" t="s">
        <v>98</v>
      </c>
      <c r="T376" s="1171" t="s">
        <v>2917</v>
      </c>
      <c r="U376" s="1171"/>
      <c r="V376" s="1172" t="s">
        <v>2918</v>
      </c>
      <c r="W376" s="1173" t="s">
        <v>2323</v>
      </c>
      <c r="X376" s="1174">
        <v>1.9678</v>
      </c>
      <c r="Y376" s="916">
        <f t="shared" si="149"/>
        <v>2890.6982</v>
      </c>
      <c r="Z376" s="916"/>
      <c r="AA376" s="910"/>
      <c r="AB376" s="1167" t="s">
        <v>1537</v>
      </c>
      <c r="AC376" s="1079" t="s">
        <v>93</v>
      </c>
      <c r="AD376" s="928" t="s">
        <v>94</v>
      </c>
      <c r="AE376" s="910"/>
      <c r="AF376" s="1175"/>
      <c r="AG376" s="1175">
        <f t="shared" si="150"/>
        <v>-1469</v>
      </c>
      <c r="AH376" s="1176"/>
      <c r="AI376" s="910"/>
      <c r="AJ376" s="910"/>
      <c r="AK376" s="910">
        <f t="shared" si="157"/>
        <v>1469</v>
      </c>
      <c r="AL376" s="920">
        <f t="shared" si="159"/>
        <v>1469</v>
      </c>
      <c r="AM376" s="920"/>
      <c r="AN376" s="920"/>
      <c r="AO376" s="856">
        <f t="shared" si="156"/>
        <v>1469</v>
      </c>
      <c r="AR376" s="856">
        <f t="shared" si="160"/>
        <v>113</v>
      </c>
      <c r="BE376" s="1166"/>
      <c r="BF376" s="1166"/>
      <c r="BG376" s="1166"/>
      <c r="BH376" s="1166"/>
      <c r="BI376" s="1166"/>
      <c r="BN376" s="1177"/>
      <c r="BO376" s="1177"/>
      <c r="BP376" s="1177"/>
      <c r="BQ376" s="1177"/>
      <c r="BR376" s="1177"/>
      <c r="BS376" s="1177"/>
      <c r="BV376" s="856">
        <f t="shared" si="151"/>
        <v>0</v>
      </c>
      <c r="BW376" s="856">
        <f t="shared" si="152"/>
        <v>0</v>
      </c>
      <c r="BX376" s="1177">
        <f>AK376+BX374</f>
        <v>999536</v>
      </c>
      <c r="BY376" s="1177"/>
      <c r="BZ376" s="1177"/>
      <c r="CA376" s="1177"/>
      <c r="CB376" s="1177">
        <f t="shared" si="158"/>
        <v>300464</v>
      </c>
      <c r="CC376" s="1177"/>
      <c r="CH376" s="1178"/>
      <c r="CI376" s="1178"/>
      <c r="CJ376" s="1178"/>
      <c r="CK376" s="1178"/>
      <c r="CL376" s="1178"/>
      <c r="CM376" s="1178"/>
      <c r="CN376" s="1178"/>
      <c r="CO376" s="1178"/>
      <c r="CP376" s="1178"/>
      <c r="CQ376" s="1178"/>
      <c r="CR376" s="1178"/>
      <c r="CS376" s="1178"/>
      <c r="CT376" s="1178"/>
      <c r="CU376" s="1178"/>
      <c r="CV376" s="1178"/>
      <c r="CW376" s="1178"/>
      <c r="CX376" s="1178"/>
      <c r="CY376" s="1178"/>
      <c r="CZ376" s="1178"/>
      <c r="DA376" s="1178"/>
      <c r="DB376" s="1178"/>
      <c r="DC376" s="1178"/>
    </row>
    <row r="377" s="856" customFormat="1" ht="31" customHeight="1" spans="1:107">
      <c r="A377" s="1165">
        <v>46232</v>
      </c>
      <c r="B377" s="919" t="s">
        <v>1543</v>
      </c>
      <c r="C377" s="1166" t="s">
        <v>1544</v>
      </c>
      <c r="D377" s="856" t="s">
        <v>2921</v>
      </c>
      <c r="E377" s="910" t="s">
        <v>2922</v>
      </c>
      <c r="F377" s="856" t="s">
        <v>2923</v>
      </c>
      <c r="G377" s="1167" t="s">
        <v>1537</v>
      </c>
      <c r="H377" s="904" t="s">
        <v>2582</v>
      </c>
      <c r="I377" s="1168">
        <v>52</v>
      </c>
      <c r="J377" s="905">
        <v>0</v>
      </c>
      <c r="K377" s="905">
        <v>13</v>
      </c>
      <c r="L377" s="906">
        <f t="shared" si="122"/>
        <v>4</v>
      </c>
      <c r="M377" s="907">
        <v>46279</v>
      </c>
      <c r="N377" s="907">
        <v>46275</v>
      </c>
      <c r="O377" s="910"/>
      <c r="P377" s="1170"/>
      <c r="Q377" s="910"/>
      <c r="R377" s="1171">
        <v>46248</v>
      </c>
      <c r="S377" s="1171" t="s">
        <v>98</v>
      </c>
      <c r="T377" s="1171" t="s">
        <v>2917</v>
      </c>
      <c r="U377" s="1171"/>
      <c r="V377" s="1172" t="s">
        <v>2924</v>
      </c>
      <c r="W377" s="1173" t="s">
        <v>2323</v>
      </c>
      <c r="X377" s="1174">
        <v>1.9678</v>
      </c>
      <c r="Y377" s="916">
        <f t="shared" si="149"/>
        <v>102.3256</v>
      </c>
      <c r="Z377" s="916"/>
      <c r="AA377" s="910"/>
      <c r="AB377" s="1167" t="s">
        <v>1537</v>
      </c>
      <c r="AC377" s="1079" t="s">
        <v>93</v>
      </c>
      <c r="AD377" s="928" t="s">
        <v>94</v>
      </c>
      <c r="AE377" s="910"/>
      <c r="AF377" s="1175"/>
      <c r="AG377" s="1175">
        <f t="shared" si="150"/>
        <v>-52</v>
      </c>
      <c r="AH377" s="1176"/>
      <c r="AI377" s="910"/>
      <c r="AJ377" s="910"/>
      <c r="AK377" s="910">
        <f t="shared" si="157"/>
        <v>52</v>
      </c>
      <c r="AL377" s="920">
        <f t="shared" si="159"/>
        <v>52</v>
      </c>
      <c r="AM377" s="920"/>
      <c r="AN377" s="920"/>
      <c r="AO377" s="856">
        <f t="shared" si="156"/>
        <v>52</v>
      </c>
      <c r="AR377" s="856">
        <f t="shared" si="160"/>
        <v>4</v>
      </c>
      <c r="BE377" s="1166"/>
      <c r="BF377" s="1166"/>
      <c r="BG377" s="1166"/>
      <c r="BH377" s="1166"/>
      <c r="BI377" s="1166"/>
      <c r="BN377" s="1177"/>
      <c r="BO377" s="1177"/>
      <c r="BP377" s="1177"/>
      <c r="BQ377" s="1177"/>
      <c r="BR377" s="1177"/>
      <c r="BS377" s="1177"/>
      <c r="BV377" s="856">
        <f t="shared" si="151"/>
        <v>0</v>
      </c>
      <c r="BW377" s="856">
        <f t="shared" si="152"/>
        <v>0</v>
      </c>
      <c r="BX377" s="1177">
        <f>AK377+BX375</f>
        <v>999965</v>
      </c>
      <c r="BY377" s="1177"/>
      <c r="BZ377" s="1177"/>
      <c r="CA377" s="1177"/>
      <c r="CB377" s="1177">
        <f t="shared" si="158"/>
        <v>300035</v>
      </c>
      <c r="CC377" s="1177"/>
      <c r="CH377" s="1178"/>
      <c r="CI377" s="1178"/>
      <c r="CJ377" s="1178"/>
      <c r="CK377" s="1178"/>
      <c r="CL377" s="1178"/>
      <c r="CM377" s="1178"/>
      <c r="CN377" s="1178"/>
      <c r="CO377" s="1178"/>
      <c r="CP377" s="1178"/>
      <c r="CQ377" s="1178"/>
      <c r="CR377" s="1178"/>
      <c r="CS377" s="1178"/>
      <c r="CT377" s="1178"/>
      <c r="CU377" s="1178"/>
      <c r="CV377" s="1178"/>
      <c r="CW377" s="1178"/>
      <c r="CX377" s="1178"/>
      <c r="CY377" s="1178"/>
      <c r="CZ377" s="1178"/>
      <c r="DA377" s="1178"/>
      <c r="DB377" s="1178"/>
      <c r="DC377" s="1178"/>
    </row>
    <row r="378" s="856" customFormat="1" ht="31" customHeight="1" spans="1:107">
      <c r="A378" s="1165">
        <v>46232</v>
      </c>
      <c r="B378" s="919" t="s">
        <v>1543</v>
      </c>
      <c r="C378" s="1166" t="s">
        <v>1544</v>
      </c>
      <c r="D378" s="856" t="s">
        <v>2921</v>
      </c>
      <c r="E378" s="910" t="s">
        <v>2925</v>
      </c>
      <c r="F378" s="856" t="s">
        <v>2926</v>
      </c>
      <c r="G378" s="1167" t="s">
        <v>1537</v>
      </c>
      <c r="H378" s="904" t="s">
        <v>2582</v>
      </c>
      <c r="I378" s="1168">
        <v>39</v>
      </c>
      <c r="J378" s="905">
        <v>0</v>
      </c>
      <c r="K378" s="905">
        <v>13</v>
      </c>
      <c r="L378" s="906">
        <f t="shared" si="122"/>
        <v>3</v>
      </c>
      <c r="M378" s="907">
        <v>46279</v>
      </c>
      <c r="N378" s="907">
        <v>46275</v>
      </c>
      <c r="O378" s="910"/>
      <c r="P378" s="1170"/>
      <c r="Q378" s="910"/>
      <c r="R378" s="1171">
        <v>46248</v>
      </c>
      <c r="S378" s="1171" t="s">
        <v>98</v>
      </c>
      <c r="T378" s="1171" t="s">
        <v>2917</v>
      </c>
      <c r="U378" s="1171"/>
      <c r="V378" s="1172" t="s">
        <v>2924</v>
      </c>
      <c r="W378" s="1173" t="s">
        <v>2323</v>
      </c>
      <c r="X378" s="1174">
        <v>1.9678</v>
      </c>
      <c r="Y378" s="916">
        <f t="shared" si="149"/>
        <v>76.7442</v>
      </c>
      <c r="Z378" s="916"/>
      <c r="AA378" s="910"/>
      <c r="AB378" s="1167" t="s">
        <v>1537</v>
      </c>
      <c r="AC378" s="1079" t="s">
        <v>93</v>
      </c>
      <c r="AD378" s="928" t="s">
        <v>94</v>
      </c>
      <c r="AE378" s="910"/>
      <c r="AF378" s="1175"/>
      <c r="AG378" s="1175">
        <f t="shared" si="150"/>
        <v>-39</v>
      </c>
      <c r="AH378" s="1176"/>
      <c r="AI378" s="910"/>
      <c r="AJ378" s="910"/>
      <c r="AK378" s="910">
        <f t="shared" si="157"/>
        <v>39</v>
      </c>
      <c r="AL378" s="920">
        <f t="shared" si="159"/>
        <v>39</v>
      </c>
      <c r="AM378" s="920"/>
      <c r="AN378" s="920"/>
      <c r="AO378" s="856">
        <f t="shared" si="156"/>
        <v>39</v>
      </c>
      <c r="AR378" s="856">
        <f t="shared" si="160"/>
        <v>3</v>
      </c>
      <c r="BE378" s="1166"/>
      <c r="BF378" s="1166"/>
      <c r="BG378" s="1166"/>
      <c r="BH378" s="1166"/>
      <c r="BI378" s="1166"/>
      <c r="BN378" s="1177"/>
      <c r="BO378" s="1177"/>
      <c r="BP378" s="1177"/>
      <c r="BQ378" s="1177"/>
      <c r="BR378" s="1177"/>
      <c r="BS378" s="1177"/>
      <c r="BV378" s="856">
        <f t="shared" si="151"/>
        <v>0</v>
      </c>
      <c r="BW378" s="856">
        <f t="shared" si="152"/>
        <v>0</v>
      </c>
      <c r="BX378" s="1177">
        <f>AK378+BX376</f>
        <v>999575</v>
      </c>
      <c r="BY378" s="1177"/>
      <c r="BZ378" s="1177"/>
      <c r="CA378" s="1177"/>
      <c r="CB378" s="1177">
        <f t="shared" si="158"/>
        <v>300425</v>
      </c>
      <c r="CC378" s="1177"/>
      <c r="CH378" s="1178"/>
      <c r="CI378" s="1178"/>
      <c r="CJ378" s="1178"/>
      <c r="CK378" s="1178"/>
      <c r="CL378" s="1178"/>
      <c r="CM378" s="1178"/>
      <c r="CN378" s="1178"/>
      <c r="CO378" s="1178"/>
      <c r="CP378" s="1178"/>
      <c r="CQ378" s="1178"/>
      <c r="CR378" s="1178"/>
      <c r="CS378" s="1178"/>
      <c r="CT378" s="1178"/>
      <c r="CU378" s="1178"/>
      <c r="CV378" s="1178"/>
      <c r="CW378" s="1178"/>
      <c r="CX378" s="1178"/>
      <c r="CY378" s="1178"/>
      <c r="CZ378" s="1178"/>
      <c r="DA378" s="1178"/>
      <c r="DB378" s="1178"/>
      <c r="DC378" s="1178"/>
    </row>
    <row r="379" s="856" customFormat="1" ht="31" customHeight="1" spans="1:107">
      <c r="A379" s="1165">
        <v>46244</v>
      </c>
      <c r="B379" s="919" t="s">
        <v>2927</v>
      </c>
      <c r="C379" s="1166" t="s">
        <v>125</v>
      </c>
      <c r="D379" s="856" t="s">
        <v>2928</v>
      </c>
      <c r="E379" s="910" t="s">
        <v>2929</v>
      </c>
      <c r="F379" s="856" t="s">
        <v>2930</v>
      </c>
      <c r="G379" s="1167" t="s">
        <v>1537</v>
      </c>
      <c r="H379" s="904" t="s">
        <v>2582</v>
      </c>
      <c r="I379" s="1168">
        <v>3900</v>
      </c>
      <c r="J379" s="905">
        <v>0</v>
      </c>
      <c r="K379" s="905">
        <v>13</v>
      </c>
      <c r="L379" s="906">
        <f t="shared" si="122"/>
        <v>300</v>
      </c>
      <c r="M379" s="907">
        <v>46281</v>
      </c>
      <c r="N379" s="907">
        <v>46277</v>
      </c>
      <c r="O379" s="910"/>
      <c r="P379" s="1170"/>
      <c r="Q379" s="910"/>
      <c r="R379" s="1171" t="s">
        <v>89</v>
      </c>
      <c r="S379" s="1171" t="s">
        <v>98</v>
      </c>
      <c r="T379" s="1171" t="s">
        <v>98</v>
      </c>
      <c r="U379" s="1171"/>
      <c r="V379" s="1172" t="s">
        <v>2931</v>
      </c>
      <c r="W379" s="1173" t="s">
        <v>2932</v>
      </c>
      <c r="X379" s="1174">
        <v>1.1443</v>
      </c>
      <c r="Y379" s="916">
        <f t="shared" si="149"/>
        <v>4462.77</v>
      </c>
      <c r="Z379" s="916"/>
      <c r="AA379" s="910"/>
      <c r="AB379" s="1167" t="s">
        <v>1537</v>
      </c>
      <c r="AC379" s="1079" t="s">
        <v>93</v>
      </c>
      <c r="AD379" s="905"/>
      <c r="AE379" s="910"/>
      <c r="AF379" s="1175"/>
      <c r="AG379" s="1175">
        <f t="shared" si="150"/>
        <v>-3900</v>
      </c>
      <c r="AH379" s="1176"/>
      <c r="AI379" s="910"/>
      <c r="AJ379" s="910"/>
      <c r="AK379" s="910">
        <f t="shared" si="157"/>
        <v>3900</v>
      </c>
      <c r="AL379" s="920">
        <f t="shared" si="159"/>
        <v>3900</v>
      </c>
      <c r="AM379" s="920"/>
      <c r="AN379" s="920"/>
      <c r="AO379" s="856">
        <f t="shared" si="156"/>
        <v>3900</v>
      </c>
      <c r="AR379" s="856">
        <f t="shared" si="160"/>
        <v>300</v>
      </c>
      <c r="BE379" s="1166"/>
      <c r="BF379" s="1166"/>
      <c r="BG379" s="1166"/>
      <c r="BH379" s="1166"/>
      <c r="BI379" s="1166"/>
      <c r="BN379" s="1177"/>
      <c r="BO379" s="1177"/>
      <c r="BP379" s="1177"/>
      <c r="BQ379" s="1177"/>
      <c r="BR379" s="1177"/>
      <c r="BS379" s="1177"/>
      <c r="BV379" s="856">
        <f t="shared" si="151"/>
        <v>0</v>
      </c>
      <c r="BW379" s="856">
        <f t="shared" si="152"/>
        <v>0</v>
      </c>
      <c r="BX379" s="1177">
        <f>AK379+BX377</f>
        <v>1003865</v>
      </c>
      <c r="BY379" s="1177"/>
      <c r="BZ379" s="1177"/>
      <c r="CA379" s="1177"/>
      <c r="CB379" s="1177">
        <f t="shared" si="158"/>
        <v>296135</v>
      </c>
      <c r="CC379" s="1177"/>
      <c r="CH379" s="1178"/>
      <c r="CI379" s="1178"/>
      <c r="CJ379" s="1178"/>
      <c r="CK379" s="1178"/>
      <c r="CL379" s="1178"/>
      <c r="CM379" s="1178"/>
      <c r="CN379" s="1178"/>
      <c r="CO379" s="1178"/>
      <c r="CP379" s="1178"/>
      <c r="CQ379" s="1178"/>
      <c r="CR379" s="1178"/>
      <c r="CS379" s="1178"/>
      <c r="CT379" s="1178"/>
      <c r="CU379" s="1178"/>
      <c r="CV379" s="1178"/>
      <c r="CW379" s="1178"/>
      <c r="CX379" s="1178"/>
      <c r="CY379" s="1178"/>
      <c r="CZ379" s="1178"/>
      <c r="DA379" s="1178"/>
      <c r="DB379" s="1178"/>
      <c r="DC379" s="1178"/>
    </row>
    <row r="380" s="856" customFormat="1" ht="31" customHeight="1" spans="1:107">
      <c r="A380" s="1165">
        <v>46247</v>
      </c>
      <c r="B380" s="919" t="s">
        <v>2933</v>
      </c>
      <c r="C380" s="1166" t="s">
        <v>272</v>
      </c>
      <c r="D380" s="856">
        <v>4500219845</v>
      </c>
      <c r="E380" s="910" t="s">
        <v>2934</v>
      </c>
      <c r="F380" s="856" t="s">
        <v>2935</v>
      </c>
      <c r="G380" s="1167" t="s">
        <v>1981</v>
      </c>
      <c r="H380" s="904" t="s">
        <v>1982</v>
      </c>
      <c r="I380" s="1168">
        <v>1508</v>
      </c>
      <c r="J380" s="905">
        <v>0</v>
      </c>
      <c r="K380" s="905">
        <v>13</v>
      </c>
      <c r="L380" s="906">
        <f t="shared" si="122"/>
        <v>116</v>
      </c>
      <c r="M380" s="907">
        <v>46318</v>
      </c>
      <c r="N380" s="907">
        <v>46314</v>
      </c>
      <c r="O380" s="910"/>
      <c r="P380" s="1170"/>
      <c r="Q380" s="910"/>
      <c r="R380" s="1171">
        <v>46247</v>
      </c>
      <c r="S380" s="1171" t="s">
        <v>98</v>
      </c>
      <c r="T380" s="1171" t="s">
        <v>2936</v>
      </c>
      <c r="U380" s="1171"/>
      <c r="V380" s="1172" t="s">
        <v>2937</v>
      </c>
      <c r="W380" s="1173" t="s">
        <v>2938</v>
      </c>
      <c r="X380" s="1174">
        <v>1.8817</v>
      </c>
      <c r="Y380" s="916">
        <f>I380*X380</f>
        <v>2837.6036</v>
      </c>
      <c r="Z380" s="916"/>
      <c r="AA380" s="910"/>
      <c r="AB380" s="1167" t="s">
        <v>1981</v>
      </c>
      <c r="AC380" s="1079" t="s">
        <v>93</v>
      </c>
      <c r="AD380" s="905"/>
      <c r="AE380" s="910"/>
      <c r="AF380" s="1175"/>
      <c r="AG380" s="1175">
        <f t="shared" si="150"/>
        <v>-1508</v>
      </c>
      <c r="AH380" s="1176"/>
      <c r="AI380" s="910"/>
      <c r="AJ380" s="910"/>
      <c r="AK380" s="910">
        <f t="shared" si="157"/>
        <v>1508</v>
      </c>
      <c r="AL380" s="920">
        <f t="shared" si="159"/>
        <v>1508</v>
      </c>
      <c r="AM380" s="920"/>
      <c r="AN380" s="920"/>
      <c r="AO380" s="856">
        <f t="shared" si="156"/>
        <v>1508</v>
      </c>
      <c r="BE380" s="1166"/>
      <c r="BF380" s="1166"/>
      <c r="BG380" s="1166"/>
      <c r="BH380" s="1166"/>
      <c r="BI380" s="1166"/>
      <c r="BN380" s="1177"/>
      <c r="BO380" s="1177"/>
      <c r="BP380" s="1177"/>
      <c r="BQ380" s="1177"/>
      <c r="BR380" s="1177"/>
      <c r="BS380" s="1177"/>
      <c r="BV380" s="856">
        <f t="shared" si="151"/>
        <v>0</v>
      </c>
      <c r="BW380" s="856">
        <f t="shared" si="152"/>
        <v>0</v>
      </c>
      <c r="BX380" s="1177">
        <f>AK380+BX379</f>
        <v>1005373</v>
      </c>
      <c r="BY380" s="1177"/>
      <c r="BZ380" s="1177"/>
      <c r="CA380" s="1177">
        <f>$BZ$1+$CA$1-BX380</f>
        <v>-145373</v>
      </c>
      <c r="CB380" s="1177"/>
      <c r="CC380" s="1177"/>
      <c r="CH380" s="1178"/>
      <c r="CI380" s="1178"/>
      <c r="CJ380" s="1178"/>
      <c r="CK380" s="1178"/>
      <c r="CL380" s="1178"/>
      <c r="CM380" s="1178"/>
      <c r="CN380" s="1178"/>
      <c r="CO380" s="1178"/>
      <c r="CP380" s="1178"/>
      <c r="CQ380" s="1178"/>
      <c r="CR380" s="1178"/>
      <c r="CS380" s="1178"/>
      <c r="CT380" s="1178"/>
      <c r="CU380" s="1178"/>
      <c r="CV380" s="1178"/>
      <c r="CW380" s="1178"/>
      <c r="CX380" s="1178"/>
      <c r="CY380" s="1178"/>
      <c r="CZ380" s="1178"/>
      <c r="DA380" s="1178"/>
      <c r="DB380" s="1178"/>
      <c r="DC380" s="1178"/>
    </row>
    <row r="381" s="857" customFormat="1" ht="31" customHeight="1" spans="1:107">
      <c r="A381" s="923"/>
      <c r="B381" s="933"/>
      <c r="C381" s="926"/>
      <c r="E381" s="926"/>
      <c r="F381" s="926"/>
      <c r="G381" s="930"/>
      <c r="H381" s="926"/>
      <c r="I381" s="926"/>
      <c r="J381" s="926"/>
      <c r="K381" s="926"/>
      <c r="L381" s="1201"/>
      <c r="M381" s="930"/>
      <c r="N381" s="930"/>
      <c r="O381" s="926"/>
      <c r="P381" s="937"/>
      <c r="Q381" s="926"/>
      <c r="R381" s="1037"/>
      <c r="S381" s="1037"/>
      <c r="T381" s="1037"/>
      <c r="U381" s="1037"/>
      <c r="V381" s="1202"/>
      <c r="W381" s="930"/>
      <c r="X381" s="1203"/>
      <c r="Y381" s="1204"/>
      <c r="Z381" s="1204"/>
      <c r="AA381" s="926"/>
      <c r="AB381" s="926"/>
      <c r="AC381" s="926"/>
      <c r="AD381" s="926"/>
      <c r="AE381" s="926"/>
      <c r="AF381" s="937"/>
      <c r="AG381" s="937"/>
      <c r="AH381" s="926"/>
      <c r="AI381" s="1205"/>
      <c r="AJ381" s="926"/>
      <c r="AK381" s="926"/>
      <c r="BN381" s="939"/>
      <c r="BO381" s="939"/>
      <c r="BP381" s="939"/>
      <c r="BQ381" s="939"/>
      <c r="BR381" s="939"/>
      <c r="BS381" s="939"/>
      <c r="BX381" s="939"/>
      <c r="BY381" s="939"/>
      <c r="BZ381" s="939"/>
      <c r="CA381" s="939"/>
      <c r="CB381" s="939"/>
      <c r="CC381" s="939"/>
    </row>
    <row r="382" s="857" customFormat="1" ht="31" customHeight="1" spans="1:107">
      <c r="A382" s="923"/>
      <c r="B382" s="933"/>
      <c r="C382" s="926"/>
      <c r="E382" s="926"/>
      <c r="F382" s="926"/>
      <c r="G382" s="930"/>
      <c r="H382" s="926"/>
      <c r="I382" s="926"/>
      <c r="J382" s="926"/>
      <c r="K382" s="926"/>
      <c r="L382" s="1201"/>
      <c r="M382" s="930"/>
      <c r="N382" s="930"/>
      <c r="O382" s="926"/>
      <c r="P382" s="937"/>
      <c r="Q382" s="926"/>
      <c r="R382" s="1037"/>
      <c r="S382" s="1037"/>
      <c r="T382" s="1037"/>
      <c r="U382" s="1037"/>
      <c r="W382" s="930"/>
      <c r="X382" s="1203"/>
      <c r="Y382" s="1204"/>
      <c r="Z382" s="1204"/>
      <c r="AA382" s="926"/>
      <c r="AB382" s="926"/>
      <c r="AC382" s="926"/>
      <c r="AD382" s="926"/>
      <c r="AE382" s="926"/>
      <c r="AF382" s="937"/>
      <c r="AG382" s="937"/>
      <c r="AH382" s="926"/>
      <c r="AI382" s="1205"/>
      <c r="AJ382" s="926"/>
      <c r="AK382" s="926"/>
      <c r="BN382" s="939"/>
      <c r="BO382" s="939"/>
      <c r="BP382" s="939"/>
      <c r="BQ382" s="939"/>
      <c r="BR382" s="939"/>
      <c r="BS382" s="939"/>
      <c r="BX382" s="939"/>
      <c r="BY382" s="939"/>
      <c r="BZ382" s="939"/>
      <c r="CA382" s="939"/>
      <c r="CB382" s="939"/>
      <c r="CC382" s="939"/>
    </row>
    <row r="383" s="857" customFormat="1" ht="31" customHeight="1" spans="1:107">
      <c r="A383" s="923"/>
      <c r="B383" s="933"/>
      <c r="C383" s="926"/>
      <c r="E383" s="926"/>
      <c r="F383" s="926"/>
      <c r="G383" s="930"/>
      <c r="H383" s="926"/>
      <c r="I383" s="926"/>
      <c r="J383" s="926"/>
      <c r="K383" s="926"/>
      <c r="L383" s="1201"/>
      <c r="M383" s="930"/>
      <c r="N383" s="930"/>
      <c r="O383" s="926"/>
      <c r="P383" s="937"/>
      <c r="Q383" s="926"/>
      <c r="R383" s="1037"/>
      <c r="S383" s="1037"/>
      <c r="T383" s="1037"/>
      <c r="U383" s="1037"/>
      <c r="W383" s="930"/>
      <c r="X383" s="1203"/>
      <c r="Y383" s="1204"/>
      <c r="Z383" s="1204"/>
      <c r="AA383" s="926"/>
      <c r="AB383" s="926"/>
      <c r="AC383" s="926"/>
      <c r="AD383" s="926"/>
      <c r="AE383" s="926"/>
      <c r="AF383" s="937"/>
      <c r="AG383" s="937"/>
      <c r="AH383" s="926"/>
      <c r="AI383" s="1205"/>
      <c r="AJ383" s="926"/>
      <c r="AK383" s="926"/>
      <c r="BN383" s="939"/>
      <c r="BO383" s="939"/>
      <c r="BP383" s="939"/>
      <c r="BQ383" s="939"/>
      <c r="BR383" s="939"/>
      <c r="BS383" s="939"/>
      <c r="BX383" s="939"/>
      <c r="BY383" s="939"/>
      <c r="BZ383" s="939"/>
      <c r="CA383" s="939"/>
      <c r="CB383" s="939"/>
      <c r="CC383" s="939"/>
    </row>
    <row r="384" s="857" customFormat="1" ht="31" customHeight="1" spans="1:107">
      <c r="A384" s="923"/>
      <c r="B384" s="933"/>
      <c r="C384" s="926"/>
      <c r="E384" s="926"/>
      <c r="F384" s="926"/>
      <c r="G384" s="930"/>
      <c r="H384" s="926"/>
      <c r="I384" s="926"/>
      <c r="J384" s="926"/>
      <c r="K384" s="926"/>
      <c r="L384" s="1201"/>
      <c r="M384" s="930"/>
      <c r="N384" s="930"/>
      <c r="O384" s="926"/>
      <c r="P384" s="937"/>
      <c r="Q384" s="926"/>
      <c r="R384" s="1037"/>
      <c r="S384" s="1037"/>
      <c r="T384" s="1037"/>
      <c r="U384" s="1037"/>
      <c r="W384" s="930"/>
      <c r="X384" s="1203"/>
      <c r="Y384" s="1204"/>
      <c r="Z384" s="1204"/>
      <c r="AA384" s="926"/>
      <c r="AB384" s="926"/>
      <c r="AC384" s="926"/>
      <c r="AD384" s="926"/>
      <c r="AE384" s="926"/>
      <c r="AF384" s="937"/>
      <c r="AG384" s="937"/>
      <c r="AH384" s="926"/>
      <c r="AI384" s="1205"/>
      <c r="AJ384" s="926"/>
      <c r="AK384" s="926"/>
      <c r="BN384" s="939"/>
      <c r="BO384" s="939"/>
      <c r="BP384" s="939"/>
      <c r="BQ384" s="939"/>
      <c r="BR384" s="939"/>
      <c r="BS384" s="939"/>
      <c r="BX384" s="939"/>
      <c r="BY384" s="939"/>
      <c r="BZ384" s="939"/>
      <c r="CA384" s="939"/>
      <c r="CB384" s="939"/>
      <c r="CC384" s="939"/>
    </row>
    <row r="385" s="857" customFormat="1" ht="31" customHeight="1" spans="1:81">
      <c r="A385" s="923"/>
      <c r="B385" s="933"/>
      <c r="C385" s="926"/>
      <c r="E385" s="926"/>
      <c r="F385" s="926"/>
      <c r="G385" s="930"/>
      <c r="H385" s="926"/>
      <c r="I385" s="926"/>
      <c r="J385" s="926"/>
      <c r="K385" s="926"/>
      <c r="L385" s="1201"/>
      <c r="M385" s="930"/>
      <c r="N385" s="930"/>
      <c r="O385" s="926"/>
      <c r="P385" s="937"/>
      <c r="Q385" s="926"/>
      <c r="R385" s="1037"/>
      <c r="S385" s="1037"/>
      <c r="T385" s="1037"/>
      <c r="U385" s="1037"/>
      <c r="W385" s="930"/>
      <c r="X385" s="1203"/>
      <c r="Y385" s="1204"/>
      <c r="Z385" s="1204"/>
      <c r="AA385" s="926"/>
      <c r="AB385" s="926"/>
      <c r="AC385" s="926"/>
      <c r="AD385" s="926"/>
      <c r="AE385" s="926"/>
      <c r="AF385" s="937"/>
      <c r="AG385" s="937"/>
      <c r="AH385" s="926"/>
      <c r="AI385" s="1205"/>
      <c r="AJ385" s="926"/>
      <c r="AK385" s="926"/>
      <c r="BN385" s="939"/>
      <c r="BO385" s="939"/>
      <c r="BP385" s="939"/>
      <c r="BQ385" s="939"/>
      <c r="BR385" s="939"/>
      <c r="BS385" s="939"/>
      <c r="BX385" s="939"/>
      <c r="BY385" s="939"/>
      <c r="BZ385" s="939"/>
      <c r="CA385" s="939"/>
      <c r="CB385" s="939"/>
      <c r="CC385" s="939"/>
    </row>
    <row r="386" s="857" customFormat="1" ht="31" customHeight="1" spans="1:81">
      <c r="A386" s="923"/>
      <c r="B386" s="933"/>
      <c r="C386" s="926"/>
      <c r="E386" s="926"/>
      <c r="F386" s="926"/>
      <c r="G386" s="930"/>
      <c r="H386" s="926"/>
      <c r="I386" s="926"/>
      <c r="J386" s="926"/>
      <c r="K386" s="926"/>
      <c r="L386" s="1201"/>
      <c r="M386" s="930"/>
      <c r="N386" s="930"/>
      <c r="O386" s="926"/>
      <c r="P386" s="937"/>
      <c r="Q386" s="926"/>
      <c r="R386" s="1037"/>
      <c r="S386" s="1037"/>
      <c r="T386" s="1037"/>
      <c r="U386" s="1037"/>
      <c r="W386" s="930"/>
      <c r="X386" s="1203"/>
      <c r="Y386" s="1204"/>
      <c r="Z386" s="1204"/>
      <c r="AA386" s="926"/>
      <c r="AB386" s="926"/>
      <c r="AC386" s="926"/>
      <c r="AD386" s="926"/>
      <c r="AE386" s="926"/>
      <c r="AF386" s="937"/>
      <c r="AG386" s="937"/>
      <c r="AH386" s="926"/>
      <c r="AI386" s="1205"/>
      <c r="AJ386" s="926"/>
      <c r="AK386" s="926"/>
      <c r="BN386" s="939"/>
      <c r="BO386" s="939"/>
      <c r="BP386" s="939"/>
      <c r="BQ386" s="939"/>
      <c r="BR386" s="939"/>
      <c r="BS386" s="939"/>
      <c r="BX386" s="939"/>
      <c r="BY386" s="939"/>
      <c r="BZ386" s="939"/>
      <c r="CA386" s="939"/>
      <c r="CB386" s="939"/>
      <c r="CC386" s="939"/>
    </row>
    <row r="387" s="857" customFormat="1" ht="31" customHeight="1" spans="1:81">
      <c r="A387" s="923"/>
      <c r="B387" s="933"/>
      <c r="C387" s="926"/>
      <c r="E387" s="926"/>
      <c r="F387" s="926"/>
      <c r="G387" s="930"/>
      <c r="H387" s="926"/>
      <c r="I387" s="926"/>
      <c r="J387" s="926"/>
      <c r="K387" s="926"/>
      <c r="L387" s="1201"/>
      <c r="M387" s="930"/>
      <c r="N387" s="930"/>
      <c r="O387" s="926"/>
      <c r="P387" s="937"/>
      <c r="Q387" s="926"/>
      <c r="R387" s="1037"/>
      <c r="S387" s="1037"/>
      <c r="T387" s="1037"/>
      <c r="U387" s="1037"/>
      <c r="W387" s="930"/>
      <c r="X387" s="1203"/>
      <c r="Y387" s="1204"/>
      <c r="Z387" s="1204"/>
      <c r="AA387" s="926"/>
      <c r="AB387" s="926"/>
      <c r="AC387" s="926"/>
      <c r="AD387" s="926"/>
      <c r="AE387" s="926"/>
      <c r="AF387" s="937"/>
      <c r="AG387" s="937"/>
      <c r="AH387" s="926"/>
      <c r="AI387" s="1205"/>
      <c r="AJ387" s="926"/>
      <c r="AK387" s="926"/>
      <c r="BN387" s="939"/>
      <c r="BO387" s="939"/>
      <c r="BP387" s="939"/>
      <c r="BQ387" s="939"/>
      <c r="BR387" s="939"/>
      <c r="BS387" s="939"/>
      <c r="BX387" s="939"/>
      <c r="BY387" s="939"/>
      <c r="BZ387" s="939"/>
      <c r="CA387" s="939"/>
      <c r="CB387" s="939"/>
      <c r="CC387" s="939"/>
    </row>
    <row r="388" s="857" customFormat="1" ht="31" customHeight="1" spans="1:81">
      <c r="A388" s="923"/>
      <c r="B388" s="933"/>
      <c r="C388" s="926"/>
      <c r="E388" s="926"/>
      <c r="F388" s="926"/>
      <c r="G388" s="930"/>
      <c r="H388" s="926"/>
      <c r="I388" s="926"/>
      <c r="J388" s="926"/>
      <c r="K388" s="926"/>
      <c r="L388" s="1201"/>
      <c r="M388" s="930"/>
      <c r="N388" s="930"/>
      <c r="O388" s="926"/>
      <c r="P388" s="937"/>
      <c r="Q388" s="926"/>
      <c r="R388" s="1037"/>
      <c r="S388" s="1037"/>
      <c r="T388" s="1037"/>
      <c r="U388" s="1037"/>
      <c r="W388" s="930"/>
      <c r="X388" s="1203"/>
      <c r="Y388" s="1204"/>
      <c r="Z388" s="1204"/>
      <c r="AA388" s="926"/>
      <c r="AB388" s="926"/>
      <c r="AC388" s="926"/>
      <c r="AD388" s="926"/>
      <c r="AE388" s="926"/>
      <c r="AF388" s="937"/>
      <c r="AG388" s="937"/>
      <c r="AH388" s="926"/>
      <c r="AI388" s="1205"/>
      <c r="AJ388" s="926"/>
      <c r="AK388" s="926"/>
      <c r="BN388" s="939"/>
      <c r="BO388" s="939"/>
      <c r="BP388" s="939"/>
      <c r="BQ388" s="939"/>
      <c r="BR388" s="939"/>
      <c r="BS388" s="939"/>
      <c r="BX388" s="939"/>
      <c r="BY388" s="939"/>
      <c r="BZ388" s="939"/>
      <c r="CA388" s="939"/>
      <c r="CB388" s="939"/>
      <c r="CC388" s="939"/>
    </row>
    <row r="389" s="857" customFormat="1" ht="31" customHeight="1" spans="1:81">
      <c r="A389" s="923"/>
      <c r="B389" s="933"/>
      <c r="C389" s="926"/>
      <c r="E389" s="926"/>
      <c r="F389" s="926"/>
      <c r="G389" s="930"/>
      <c r="H389" s="926"/>
      <c r="I389" s="926"/>
      <c r="J389" s="926"/>
      <c r="K389" s="926"/>
      <c r="L389" s="1201"/>
      <c r="M389" s="930"/>
      <c r="N389" s="930"/>
      <c r="O389" s="926"/>
      <c r="P389" s="937"/>
      <c r="Q389" s="926"/>
      <c r="R389" s="1037"/>
      <c r="S389" s="1037"/>
      <c r="T389" s="1037"/>
      <c r="U389" s="1037"/>
      <c r="W389" s="930"/>
      <c r="X389" s="1203"/>
      <c r="Y389" s="1204"/>
      <c r="Z389" s="1204"/>
      <c r="AA389" s="926"/>
      <c r="AB389" s="926"/>
      <c r="AC389" s="926"/>
      <c r="AD389" s="926"/>
      <c r="AE389" s="926"/>
      <c r="AF389" s="937"/>
      <c r="AG389" s="937"/>
      <c r="AH389" s="926"/>
      <c r="AI389" s="1205"/>
      <c r="AJ389" s="926"/>
      <c r="AK389" s="926"/>
      <c r="BN389" s="939"/>
      <c r="BO389" s="939"/>
      <c r="BP389" s="939"/>
      <c r="BQ389" s="939"/>
      <c r="BR389" s="939"/>
      <c r="BS389" s="939"/>
      <c r="BX389" s="939"/>
      <c r="BY389" s="939"/>
      <c r="BZ389" s="939"/>
      <c r="CA389" s="939"/>
      <c r="CB389" s="939"/>
      <c r="CC389" s="939"/>
    </row>
    <row r="390" s="857" customFormat="1" ht="31" customHeight="1" spans="1:81">
      <c r="A390" s="923"/>
      <c r="B390" s="933"/>
      <c r="C390" s="926"/>
      <c r="E390" s="926"/>
      <c r="F390" s="926"/>
      <c r="G390" s="930"/>
      <c r="H390" s="926"/>
      <c r="I390" s="926"/>
      <c r="J390" s="926"/>
      <c r="K390" s="926"/>
      <c r="L390" s="1201"/>
      <c r="M390" s="930"/>
      <c r="N390" s="930"/>
      <c r="O390" s="926"/>
      <c r="P390" s="937"/>
      <c r="Q390" s="926"/>
      <c r="R390" s="1037"/>
      <c r="S390" s="1037"/>
      <c r="T390" s="1037"/>
      <c r="U390" s="1037"/>
      <c r="W390" s="930"/>
      <c r="X390" s="1203"/>
      <c r="Y390" s="1204"/>
      <c r="Z390" s="1204"/>
      <c r="AA390" s="926"/>
      <c r="AB390" s="926"/>
      <c r="AC390" s="926"/>
      <c r="AD390" s="926"/>
      <c r="AE390" s="926"/>
      <c r="AF390" s="937"/>
      <c r="AG390" s="937"/>
      <c r="AH390" s="926"/>
      <c r="AI390" s="1205"/>
      <c r="AJ390" s="926"/>
      <c r="AK390" s="926"/>
      <c r="BN390" s="939"/>
      <c r="BO390" s="939"/>
      <c r="BP390" s="939"/>
      <c r="BQ390" s="939"/>
      <c r="BR390" s="939"/>
      <c r="BS390" s="939"/>
      <c r="BX390" s="939"/>
      <c r="BY390" s="939"/>
      <c r="BZ390" s="939"/>
      <c r="CA390" s="939"/>
      <c r="CB390" s="939"/>
      <c r="CC390" s="939"/>
    </row>
    <row r="391" s="857" customFormat="1" ht="31" customHeight="1" spans="1:81">
      <c r="A391" s="923"/>
      <c r="B391" s="933"/>
      <c r="C391" s="926"/>
      <c r="E391" s="926"/>
      <c r="F391" s="926"/>
      <c r="G391" s="930"/>
      <c r="H391" s="926"/>
      <c r="I391" s="926"/>
      <c r="J391" s="926"/>
      <c r="K391" s="926"/>
      <c r="L391" s="1201"/>
      <c r="M391" s="930"/>
      <c r="N391" s="930"/>
      <c r="O391" s="926"/>
      <c r="P391" s="937"/>
      <c r="Q391" s="926"/>
      <c r="R391" s="1037"/>
      <c r="S391" s="1037"/>
      <c r="T391" s="1037"/>
      <c r="U391" s="1037"/>
      <c r="W391" s="930"/>
      <c r="X391" s="1203"/>
      <c r="Y391" s="1204"/>
      <c r="Z391" s="1204"/>
      <c r="AA391" s="926"/>
      <c r="AB391" s="926"/>
      <c r="AC391" s="926"/>
      <c r="AD391" s="926"/>
      <c r="AE391" s="926"/>
      <c r="AF391" s="937"/>
      <c r="AG391" s="937"/>
      <c r="AH391" s="926"/>
      <c r="AI391" s="1205"/>
      <c r="AJ391" s="926"/>
      <c r="AK391" s="926"/>
      <c r="BN391" s="939"/>
      <c r="BO391" s="939"/>
      <c r="BP391" s="939"/>
      <c r="BQ391" s="939"/>
      <c r="BR391" s="939"/>
      <c r="BS391" s="939"/>
      <c r="BX391" s="939"/>
      <c r="BY391" s="939"/>
      <c r="BZ391" s="939"/>
      <c r="CA391" s="939"/>
      <c r="CB391" s="939"/>
      <c r="CC391" s="939"/>
    </row>
    <row r="392" s="857" customFormat="1" ht="31" customHeight="1" spans="1:81">
      <c r="A392" s="923"/>
      <c r="B392" s="933"/>
      <c r="C392" s="926"/>
      <c r="E392" s="926"/>
      <c r="F392" s="926"/>
      <c r="G392" s="930"/>
      <c r="H392" s="926"/>
      <c r="I392" s="926"/>
      <c r="J392" s="926"/>
      <c r="K392" s="926"/>
      <c r="L392" s="1201"/>
      <c r="M392" s="930"/>
      <c r="N392" s="930"/>
      <c r="O392" s="926"/>
      <c r="P392" s="937"/>
      <c r="Q392" s="926"/>
      <c r="R392" s="1037"/>
      <c r="S392" s="1037"/>
      <c r="T392" s="1037"/>
      <c r="U392" s="1037"/>
      <c r="W392" s="930"/>
      <c r="X392" s="1203"/>
      <c r="Y392" s="1204"/>
      <c r="Z392" s="1204"/>
      <c r="AA392" s="926"/>
      <c r="AB392" s="926"/>
      <c r="AC392" s="926"/>
      <c r="AD392" s="926"/>
      <c r="AE392" s="926"/>
      <c r="AF392" s="937"/>
      <c r="AG392" s="937"/>
      <c r="AH392" s="926"/>
      <c r="AI392" s="1205"/>
      <c r="AJ392" s="926"/>
      <c r="AK392" s="926"/>
      <c r="BN392" s="939"/>
      <c r="BO392" s="939"/>
      <c r="BP392" s="939"/>
      <c r="BQ392" s="939"/>
      <c r="BR392" s="939"/>
      <c r="BS392" s="939"/>
      <c r="BX392" s="939"/>
      <c r="BY392" s="939"/>
      <c r="BZ392" s="939"/>
      <c r="CA392" s="939"/>
      <c r="CB392" s="939"/>
      <c r="CC392" s="939"/>
    </row>
    <row r="393" s="857" customFormat="1" ht="31" customHeight="1" spans="1:81">
      <c r="A393" s="923"/>
      <c r="B393" s="933"/>
      <c r="C393" s="926"/>
      <c r="E393" s="926"/>
      <c r="F393" s="926"/>
      <c r="G393" s="930"/>
      <c r="H393" s="926"/>
      <c r="I393" s="926"/>
      <c r="J393" s="926"/>
      <c r="K393" s="926"/>
      <c r="L393" s="1201"/>
      <c r="M393" s="930"/>
      <c r="N393" s="930"/>
      <c r="O393" s="926"/>
      <c r="P393" s="937"/>
      <c r="Q393" s="926"/>
      <c r="R393" s="1037"/>
      <c r="S393" s="1037"/>
      <c r="T393" s="1037"/>
      <c r="U393" s="1037"/>
      <c r="W393" s="930"/>
      <c r="X393" s="1203"/>
      <c r="Y393" s="1204"/>
      <c r="Z393" s="1204"/>
      <c r="AA393" s="926"/>
      <c r="AB393" s="926"/>
      <c r="AC393" s="926"/>
      <c r="AD393" s="926"/>
      <c r="AE393" s="926"/>
      <c r="AF393" s="937"/>
      <c r="AG393" s="937"/>
      <c r="AH393" s="926"/>
      <c r="AI393" s="1205"/>
      <c r="AJ393" s="926"/>
      <c r="AK393" s="926"/>
      <c r="BN393" s="939"/>
      <c r="BO393" s="939"/>
      <c r="BP393" s="939"/>
      <c r="BQ393" s="939"/>
      <c r="BR393" s="939"/>
      <c r="BS393" s="939"/>
      <c r="BX393" s="939"/>
      <c r="BY393" s="939"/>
      <c r="BZ393" s="939"/>
      <c r="CA393" s="939"/>
      <c r="CB393" s="939"/>
      <c r="CC393" s="939"/>
    </row>
    <row r="394" s="857" customFormat="1" ht="31" customHeight="1" spans="1:81">
      <c r="A394" s="923"/>
      <c r="B394" s="933"/>
      <c r="C394" s="926"/>
      <c r="E394" s="926"/>
      <c r="F394" s="926"/>
      <c r="G394" s="930"/>
      <c r="H394" s="926"/>
      <c r="I394" s="926"/>
      <c r="J394" s="926"/>
      <c r="K394" s="926"/>
      <c r="L394" s="1201"/>
      <c r="M394" s="930"/>
      <c r="N394" s="930"/>
      <c r="O394" s="926"/>
      <c r="P394" s="937"/>
      <c r="Q394" s="926"/>
      <c r="R394" s="1037"/>
      <c r="S394" s="1037"/>
      <c r="T394" s="1037"/>
      <c r="U394" s="1037"/>
      <c r="W394" s="930"/>
      <c r="X394" s="1203"/>
      <c r="Y394" s="1204"/>
      <c r="Z394" s="1204"/>
      <c r="AA394" s="926"/>
      <c r="AB394" s="926"/>
      <c r="AC394" s="926"/>
      <c r="AD394" s="926"/>
      <c r="AE394" s="926"/>
      <c r="AF394" s="937"/>
      <c r="AG394" s="937"/>
      <c r="AH394" s="926"/>
      <c r="AI394" s="1205"/>
      <c r="AJ394" s="926"/>
      <c r="AK394" s="926"/>
      <c r="BN394" s="939"/>
      <c r="BO394" s="939"/>
      <c r="BP394" s="939"/>
      <c r="BQ394" s="939"/>
      <c r="BR394" s="939"/>
      <c r="BS394" s="939"/>
      <c r="BX394" s="939"/>
      <c r="BY394" s="939"/>
      <c r="BZ394" s="939"/>
      <c r="CA394" s="939"/>
      <c r="CB394" s="939"/>
      <c r="CC394" s="939"/>
    </row>
    <row r="395" s="857" customFormat="1" ht="31" customHeight="1" spans="1:81">
      <c r="A395" s="923"/>
      <c r="B395" s="933"/>
      <c r="C395" s="926"/>
      <c r="E395" s="926"/>
      <c r="F395" s="926"/>
      <c r="G395" s="930"/>
      <c r="H395" s="926"/>
      <c r="I395" s="926"/>
      <c r="J395" s="926"/>
      <c r="K395" s="926"/>
      <c r="L395" s="1201"/>
      <c r="M395" s="930"/>
      <c r="N395" s="930"/>
      <c r="O395" s="926"/>
      <c r="P395" s="937"/>
      <c r="Q395" s="926"/>
      <c r="R395" s="1037"/>
      <c r="S395" s="1037"/>
      <c r="T395" s="1037"/>
      <c r="U395" s="1037"/>
      <c r="W395" s="930"/>
      <c r="X395" s="1203"/>
      <c r="Y395" s="1204"/>
      <c r="Z395" s="1204"/>
      <c r="AA395" s="926"/>
      <c r="AB395" s="926"/>
      <c r="AC395" s="926"/>
      <c r="AD395" s="926"/>
      <c r="AE395" s="926"/>
      <c r="AF395" s="937"/>
      <c r="AG395" s="937"/>
      <c r="AH395" s="926"/>
      <c r="AI395" s="1205"/>
      <c r="AJ395" s="926"/>
      <c r="AK395" s="926"/>
      <c r="BN395" s="939"/>
      <c r="BO395" s="939"/>
      <c r="BP395" s="939"/>
      <c r="BQ395" s="939"/>
      <c r="BR395" s="939"/>
      <c r="BS395" s="939"/>
      <c r="BX395" s="939"/>
      <c r="BY395" s="939"/>
      <c r="BZ395" s="939"/>
      <c r="CA395" s="939"/>
      <c r="CB395" s="939"/>
      <c r="CC395" s="939"/>
    </row>
    <row r="396" s="857" customFormat="1" ht="31" customHeight="1" spans="1:81">
      <c r="A396" s="923"/>
      <c r="B396" s="933"/>
      <c r="C396" s="926"/>
      <c r="E396" s="926"/>
      <c r="F396" s="926"/>
      <c r="G396" s="930"/>
      <c r="H396" s="926"/>
      <c r="I396" s="926"/>
      <c r="J396" s="926"/>
      <c r="K396" s="926"/>
      <c r="L396" s="1201"/>
      <c r="M396" s="930"/>
      <c r="N396" s="930"/>
      <c r="O396" s="926"/>
      <c r="P396" s="937"/>
      <c r="Q396" s="926"/>
      <c r="R396" s="1037"/>
      <c r="S396" s="1037"/>
      <c r="T396" s="1037"/>
      <c r="U396" s="1037"/>
      <c r="W396" s="930"/>
      <c r="X396" s="1203"/>
      <c r="Y396" s="1204"/>
      <c r="Z396" s="1204"/>
      <c r="AA396" s="926"/>
      <c r="AB396" s="926"/>
      <c r="AC396" s="926"/>
      <c r="AD396" s="926"/>
      <c r="AE396" s="926"/>
      <c r="AF396" s="937"/>
      <c r="AG396" s="937"/>
      <c r="AH396" s="926"/>
      <c r="AI396" s="1205"/>
      <c r="AJ396" s="926"/>
      <c r="AK396" s="926"/>
      <c r="BN396" s="939"/>
      <c r="BO396" s="939"/>
      <c r="BP396" s="939"/>
      <c r="BQ396" s="939"/>
      <c r="BR396" s="939"/>
      <c r="BS396" s="939"/>
      <c r="BX396" s="939"/>
      <c r="BY396" s="939"/>
      <c r="BZ396" s="872"/>
      <c r="CA396" s="872"/>
      <c r="CB396" s="872"/>
      <c r="CC396" s="939"/>
    </row>
    <row r="397" s="857" customFormat="1" ht="31" customHeight="1" spans="1:81">
      <c r="A397" s="923"/>
      <c r="B397" s="933"/>
      <c r="C397" s="926"/>
      <c r="E397" s="926"/>
      <c r="F397" s="926"/>
      <c r="G397" s="930"/>
      <c r="H397" s="926"/>
      <c r="I397" s="926"/>
      <c r="J397" s="926"/>
      <c r="K397" s="926"/>
      <c r="L397" s="1201"/>
      <c r="M397" s="930"/>
      <c r="N397" s="930"/>
      <c r="O397" s="926"/>
      <c r="P397" s="937"/>
      <c r="Q397" s="926"/>
      <c r="R397" s="1037"/>
      <c r="S397" s="1037"/>
      <c r="T397" s="1037"/>
      <c r="U397" s="1037"/>
      <c r="W397" s="930"/>
      <c r="X397" s="1203"/>
      <c r="Y397" s="1204"/>
      <c r="Z397" s="1204"/>
      <c r="AA397" s="926"/>
      <c r="AB397" s="926"/>
      <c r="AC397" s="926"/>
      <c r="AD397" s="926"/>
      <c r="AE397" s="926"/>
      <c r="AF397" s="937"/>
      <c r="AG397" s="937"/>
      <c r="AH397" s="926"/>
      <c r="AI397" s="1205"/>
      <c r="AJ397" s="926"/>
      <c r="AK397" s="926"/>
      <c r="BN397" s="939"/>
      <c r="BO397" s="939"/>
      <c r="BP397" s="939"/>
      <c r="BQ397" s="939"/>
      <c r="BR397" s="939"/>
      <c r="BS397" s="939"/>
      <c r="BX397" s="939"/>
      <c r="BY397" s="939"/>
      <c r="BZ397" s="872"/>
      <c r="CA397" s="872"/>
      <c r="CB397" s="872"/>
      <c r="CC397" s="939"/>
    </row>
    <row r="398" s="857" customFormat="1" ht="31" customHeight="1" spans="1:81">
      <c r="A398" s="923"/>
      <c r="B398" s="933"/>
      <c r="C398" s="926"/>
      <c r="E398" s="926"/>
      <c r="F398" s="926"/>
      <c r="G398" s="930"/>
      <c r="H398" s="926"/>
      <c r="I398" s="926"/>
      <c r="J398" s="926"/>
      <c r="K398" s="926"/>
      <c r="L398" s="1201"/>
      <c r="M398" s="930"/>
      <c r="N398" s="930"/>
      <c r="O398" s="926"/>
      <c r="P398" s="937"/>
      <c r="Q398" s="926"/>
      <c r="R398" s="1037"/>
      <c r="S398" s="1037"/>
      <c r="T398" s="1037"/>
      <c r="U398" s="1037"/>
      <c r="W398" s="930"/>
      <c r="X398" s="1203"/>
      <c r="Y398" s="1204"/>
      <c r="Z398" s="1204"/>
      <c r="AA398" s="926"/>
      <c r="AB398" s="926"/>
      <c r="AC398" s="926"/>
      <c r="AD398" s="926"/>
      <c r="AE398" s="926"/>
      <c r="AF398" s="937"/>
      <c r="AG398" s="937"/>
      <c r="AH398" s="926"/>
      <c r="AI398" s="1205"/>
      <c r="AJ398" s="926"/>
      <c r="AK398" s="926"/>
      <c r="BN398" s="939"/>
      <c r="BO398" s="939"/>
      <c r="BP398" s="939"/>
      <c r="BQ398" s="939"/>
      <c r="BR398" s="939"/>
      <c r="BS398" s="939"/>
      <c r="BX398" s="939"/>
      <c r="BY398" s="939"/>
      <c r="BZ398" s="872"/>
      <c r="CA398" s="872"/>
      <c r="CB398" s="872"/>
      <c r="CC398" s="939"/>
    </row>
    <row r="399" s="860" customFormat="1" ht="33" customHeight="1" spans="1:81">
      <c r="A399" s="861"/>
      <c r="B399" s="860"/>
      <c r="C399" s="860"/>
      <c r="D399" s="860"/>
      <c r="E399" s="862"/>
      <c r="F399" s="860"/>
      <c r="G399" s="860"/>
      <c r="H399" s="860"/>
      <c r="I399" s="973">
        <f>SUM(I4:I398)</f>
        <v>1180396</v>
      </c>
      <c r="X399" s="864"/>
      <c r="Y399" s="865"/>
      <c r="Z399" s="865"/>
      <c r="AA399" s="866"/>
      <c r="AB399" s="867"/>
      <c r="AC399" s="868"/>
      <c r="AD399" s="866"/>
      <c r="AE399" s="860"/>
      <c r="AF399" s="869">
        <f>SUM(AF1:AF398)</f>
        <v>1136048</v>
      </c>
      <c r="AG399" s="869"/>
      <c r="AH399" s="870"/>
      <c r="AI399" s="871"/>
      <c r="AJ399" s="870"/>
      <c r="AK399" s="973">
        <f t="shared" ref="AK399:AP399" si="161">SUM(AK2:AK398)</f>
        <v>1219950</v>
      </c>
      <c r="AL399" s="973">
        <f t="shared" si="161"/>
        <v>1080922</v>
      </c>
      <c r="AM399" s="973">
        <f t="shared" si="161"/>
        <v>33784</v>
      </c>
      <c r="AN399" s="973">
        <f t="shared" si="161"/>
        <v>109711</v>
      </c>
      <c r="AO399" s="973">
        <f t="shared" si="161"/>
        <v>1195895</v>
      </c>
      <c r="AP399" s="973">
        <f t="shared" si="161"/>
        <v>0</v>
      </c>
      <c r="AQ399" s="973">
        <f>SUM(AQ75:AQ398)</f>
        <v>25766</v>
      </c>
      <c r="AR399" s="973">
        <f t="shared" ref="AR399:BL399" si="162">SUM(AR2:AR398)</f>
        <v>10133</v>
      </c>
      <c r="AS399" s="973">
        <f t="shared" si="162"/>
        <v>1783</v>
      </c>
      <c r="AT399" s="973">
        <f t="shared" si="162"/>
        <v>15530</v>
      </c>
      <c r="AU399" s="973">
        <f t="shared" si="162"/>
        <v>3215</v>
      </c>
      <c r="AV399" s="973">
        <f t="shared" si="162"/>
        <v>0</v>
      </c>
      <c r="AW399" s="973">
        <f t="shared" si="162"/>
        <v>0</v>
      </c>
      <c r="AX399" s="973">
        <f t="shared" si="162"/>
        <v>0</v>
      </c>
      <c r="AY399" s="973">
        <f t="shared" si="162"/>
        <v>17899</v>
      </c>
      <c r="AZ399" s="973">
        <f t="shared" si="162"/>
        <v>0</v>
      </c>
      <c r="BA399" s="973">
        <f t="shared" si="162"/>
        <v>0</v>
      </c>
      <c r="BB399" s="973">
        <f t="shared" si="162"/>
        <v>4154</v>
      </c>
      <c r="BC399" s="973">
        <f t="shared" si="162"/>
        <v>0</v>
      </c>
      <c r="BD399" s="973">
        <f t="shared" si="162"/>
        <v>0</v>
      </c>
      <c r="BE399" s="973">
        <f t="shared" si="162"/>
        <v>0</v>
      </c>
      <c r="BF399" s="973">
        <f t="shared" si="162"/>
        <v>0</v>
      </c>
      <c r="BG399" s="973">
        <f t="shared" si="162"/>
        <v>17</v>
      </c>
      <c r="BH399" s="973">
        <f t="shared" si="162"/>
        <v>1000</v>
      </c>
      <c r="BI399" s="973">
        <f t="shared" si="162"/>
        <v>931</v>
      </c>
      <c r="BJ399" s="973">
        <f t="shared" si="162"/>
        <v>38520</v>
      </c>
      <c r="BK399" s="973">
        <f t="shared" si="162"/>
        <v>38520</v>
      </c>
      <c r="BL399" s="973">
        <f t="shared" si="162"/>
        <v>38520</v>
      </c>
      <c r="BN399" s="872"/>
      <c r="BO399" s="872"/>
      <c r="BP399" s="872"/>
      <c r="BQ399" s="872"/>
      <c r="BR399" s="872"/>
      <c r="BS399" s="872"/>
      <c r="BT399" s="860"/>
      <c r="BU399" s="860"/>
      <c r="BV399" s="860">
        <f>SUM(BV1:BV398)</f>
        <v>36644</v>
      </c>
      <c r="BW399" s="860">
        <f>SUM(BW1:BW398)</f>
        <v>948</v>
      </c>
      <c r="BX399" s="872"/>
      <c r="BY399" s="872"/>
      <c r="BZ399" s="872"/>
      <c r="CA399" s="872"/>
      <c r="CB399" s="872"/>
      <c r="CC399" s="872"/>
    </row>
    <row r="400" s="860" customFormat="1" ht="13.5" spans="1:81">
      <c r="A400" s="861"/>
      <c r="B400" s="860"/>
      <c r="C400" s="860"/>
      <c r="D400" s="860"/>
      <c r="E400" s="862"/>
      <c r="F400" s="860"/>
      <c r="G400" s="860"/>
      <c r="H400" s="860"/>
      <c r="I400" s="860"/>
      <c r="J400" s="860"/>
      <c r="K400" s="860"/>
      <c r="L400" s="860"/>
      <c r="M400" s="860"/>
      <c r="N400" s="860"/>
      <c r="O400" s="860"/>
      <c r="P400" s="860"/>
      <c r="Q400" s="860"/>
      <c r="R400" s="860"/>
      <c r="S400" s="860"/>
      <c r="T400" s="860"/>
      <c r="U400" s="860"/>
      <c r="V400" s="860"/>
      <c r="W400" s="860"/>
      <c r="X400" s="864"/>
      <c r="Y400" s="865"/>
      <c r="Z400" s="865"/>
      <c r="AA400" s="866"/>
      <c r="AB400" s="867"/>
      <c r="AC400" s="868"/>
      <c r="AD400" s="866"/>
      <c r="AE400" s="860"/>
      <c r="AF400" s="869"/>
      <c r="AG400" s="869"/>
      <c r="AH400" s="870"/>
      <c r="AI400" s="871"/>
      <c r="AJ400" s="870"/>
      <c r="AK400" s="870"/>
      <c r="AL400" s="860"/>
      <c r="AM400" s="860"/>
      <c r="AN400" s="860"/>
      <c r="AO400" s="860"/>
      <c r="AP400" s="860"/>
      <c r="AQ400" s="860"/>
      <c r="AR400" s="860"/>
      <c r="AS400" s="860"/>
      <c r="AT400" s="860"/>
      <c r="AU400" s="860"/>
      <c r="AV400" s="860"/>
      <c r="AW400" s="860"/>
      <c r="AX400" s="860"/>
      <c r="AY400" s="860"/>
      <c r="AZ400" s="860"/>
      <c r="BA400" s="860"/>
      <c r="BB400" s="860"/>
      <c r="BC400" s="860"/>
      <c r="BD400" s="860"/>
      <c r="BE400" s="860"/>
      <c r="BF400" s="860"/>
      <c r="BG400" s="860"/>
      <c r="BH400" s="860"/>
      <c r="BI400" s="860"/>
      <c r="BJ400" s="860"/>
      <c r="BK400" s="860"/>
      <c r="BL400" s="860"/>
      <c r="BM400" s="860"/>
      <c r="BN400" s="872"/>
      <c r="BO400" s="872"/>
      <c r="BP400" s="872"/>
      <c r="BQ400" s="872"/>
      <c r="BR400" s="872"/>
      <c r="BS400" s="872"/>
      <c r="BT400" s="860"/>
      <c r="BU400" s="860"/>
      <c r="BV400" s="860"/>
      <c r="BW400" s="860"/>
      <c r="BX400" s="872"/>
      <c r="BY400" s="872"/>
      <c r="BZ400" s="872"/>
      <c r="CA400" s="872"/>
      <c r="CB400" s="872"/>
      <c r="CC400" s="872"/>
    </row>
    <row r="401" s="860" customFormat="1" ht="13.5" spans="1:81">
      <c r="A401" s="861"/>
      <c r="B401" s="860"/>
      <c r="C401" s="860"/>
      <c r="D401" s="860"/>
      <c r="E401" s="862"/>
      <c r="F401" s="860"/>
      <c r="G401" s="860"/>
      <c r="H401" s="860"/>
      <c r="I401" s="860"/>
      <c r="J401" s="860"/>
      <c r="K401" s="860"/>
      <c r="L401" s="860"/>
      <c r="M401" s="860"/>
      <c r="N401" s="860"/>
      <c r="O401" s="860"/>
      <c r="P401" s="860"/>
      <c r="Q401" s="860"/>
      <c r="R401" s="860"/>
      <c r="S401" s="860"/>
      <c r="T401" s="860"/>
      <c r="U401" s="860"/>
      <c r="V401" s="860"/>
      <c r="W401" s="860"/>
      <c r="X401" s="864"/>
      <c r="Y401" s="865"/>
      <c r="Z401" s="865"/>
      <c r="AA401" s="866"/>
      <c r="AB401" s="867"/>
      <c r="AC401" s="868"/>
      <c r="AD401" s="866"/>
      <c r="AE401" s="860"/>
      <c r="AF401" s="869"/>
      <c r="AG401" s="869"/>
      <c r="AH401" s="870"/>
      <c r="AI401" s="871"/>
      <c r="AJ401" s="870"/>
      <c r="AK401" s="870"/>
      <c r="AL401" s="860"/>
      <c r="AM401" s="860"/>
      <c r="AN401" s="860"/>
      <c r="AO401" s="860"/>
      <c r="AP401" s="860"/>
      <c r="AQ401" s="860"/>
      <c r="AR401" s="860"/>
      <c r="AS401" s="860"/>
      <c r="AT401" s="860"/>
      <c r="AU401" s="860"/>
      <c r="AV401" s="860"/>
      <c r="AW401" s="860"/>
      <c r="AX401" s="860"/>
      <c r="AY401" s="860"/>
      <c r="AZ401" s="860"/>
      <c r="BA401" s="860"/>
      <c r="BB401" s="860"/>
      <c r="BC401" s="860"/>
      <c r="BD401" s="860"/>
      <c r="BE401" s="860"/>
      <c r="BF401" s="860"/>
      <c r="BG401" s="860"/>
      <c r="BH401" s="860"/>
      <c r="BI401" s="860"/>
      <c r="BJ401" s="860"/>
      <c r="BK401" s="860"/>
      <c r="BL401" s="860"/>
      <c r="BM401" s="860"/>
      <c r="BN401" s="872"/>
      <c r="BO401" s="872"/>
      <c r="BP401" s="872"/>
      <c r="BQ401" s="872"/>
      <c r="BR401" s="872"/>
      <c r="BS401" s="872"/>
      <c r="BT401" s="860"/>
      <c r="BU401" s="860"/>
      <c r="BV401" s="860"/>
      <c r="BW401" s="860"/>
      <c r="BX401" s="872"/>
      <c r="BY401" s="872"/>
      <c r="BZ401" s="872"/>
      <c r="CA401" s="872"/>
      <c r="CB401" s="872"/>
      <c r="CC401" s="872"/>
    </row>
    <row r="402" s="860" customFormat="1" ht="13.5" spans="1:81">
      <c r="A402" s="861"/>
      <c r="B402" s="860"/>
      <c r="C402" s="860"/>
      <c r="D402" s="860"/>
      <c r="E402" s="862"/>
      <c r="F402" s="860"/>
      <c r="G402" s="860"/>
      <c r="H402" s="860"/>
      <c r="I402" s="860"/>
      <c r="J402" s="860"/>
      <c r="K402" s="860"/>
      <c r="L402" s="860"/>
      <c r="M402" s="860"/>
      <c r="N402" s="860"/>
      <c r="O402" s="860"/>
      <c r="P402" s="860"/>
      <c r="Q402" s="860"/>
      <c r="R402" s="860"/>
      <c r="S402" s="860"/>
      <c r="T402" s="860"/>
      <c r="U402" s="860"/>
      <c r="V402" s="860"/>
      <c r="W402" s="860"/>
      <c r="X402" s="864"/>
      <c r="Y402" s="865"/>
      <c r="Z402" s="865"/>
      <c r="AA402" s="866"/>
      <c r="AB402" s="867"/>
      <c r="AC402" s="868"/>
      <c r="AD402" s="866"/>
      <c r="AE402" s="860"/>
      <c r="AF402" s="869"/>
      <c r="AG402" s="869"/>
      <c r="AH402" s="870"/>
      <c r="AI402" s="871"/>
      <c r="AJ402" s="870"/>
      <c r="AK402" s="870"/>
      <c r="AL402" s="860"/>
      <c r="AM402" s="860"/>
      <c r="AN402" s="860"/>
      <c r="AO402" s="860"/>
      <c r="AP402" s="860"/>
      <c r="AQ402" s="860"/>
      <c r="AR402" s="860"/>
      <c r="AS402" s="860"/>
      <c r="AT402" s="860"/>
      <c r="AU402" s="860"/>
      <c r="AV402" s="860"/>
      <c r="AW402" s="860"/>
      <c r="AX402" s="860"/>
      <c r="AY402" s="860"/>
      <c r="AZ402" s="860"/>
      <c r="BA402" s="860"/>
      <c r="BB402" s="860"/>
      <c r="BC402" s="860"/>
      <c r="BD402" s="860"/>
      <c r="BE402" s="860"/>
      <c r="BF402" s="860"/>
      <c r="BG402" s="860"/>
      <c r="BH402" s="860"/>
      <c r="BI402" s="860"/>
      <c r="BJ402" s="860"/>
      <c r="BK402" s="860"/>
      <c r="BL402" s="860"/>
      <c r="BM402" s="860"/>
      <c r="BN402" s="872"/>
      <c r="BO402" s="872"/>
      <c r="BP402" s="872"/>
      <c r="BQ402" s="872"/>
      <c r="BR402" s="872"/>
      <c r="BS402" s="872"/>
      <c r="BT402" s="860"/>
      <c r="BU402" s="860"/>
      <c r="BV402" s="860"/>
      <c r="BW402" s="860"/>
      <c r="BX402" s="872"/>
      <c r="BY402" s="872"/>
      <c r="BZ402" s="872"/>
      <c r="CA402" s="872"/>
      <c r="CB402" s="872"/>
      <c r="CC402" s="872"/>
    </row>
    <row r="403" s="860" customFormat="1" ht="13.5" spans="1:81">
      <c r="A403" s="861"/>
      <c r="B403" s="860"/>
      <c r="C403" s="860"/>
      <c r="D403" s="860"/>
      <c r="E403" s="862"/>
      <c r="F403" s="860"/>
      <c r="G403" s="860"/>
      <c r="H403" s="860"/>
      <c r="I403" s="860"/>
      <c r="J403" s="860"/>
      <c r="K403" s="860"/>
      <c r="L403" s="860"/>
      <c r="M403" s="860"/>
      <c r="N403" s="860"/>
      <c r="O403" s="860"/>
      <c r="P403" s="860"/>
      <c r="Q403" s="860"/>
      <c r="R403" s="860"/>
      <c r="S403" s="860"/>
      <c r="T403" s="860"/>
      <c r="U403" s="860"/>
      <c r="V403" s="860"/>
      <c r="W403" s="860"/>
      <c r="X403" s="864"/>
      <c r="Y403" s="865"/>
      <c r="Z403" s="865"/>
      <c r="AA403" s="866"/>
      <c r="AB403" s="867"/>
      <c r="AC403" s="868"/>
      <c r="AD403" s="866"/>
      <c r="AE403" s="860"/>
      <c r="AF403" s="869"/>
      <c r="AG403" s="869"/>
      <c r="AH403" s="870"/>
      <c r="AI403" s="871"/>
      <c r="AJ403" s="870"/>
      <c r="AK403" s="870"/>
      <c r="AL403" s="860"/>
      <c r="AM403" s="860"/>
      <c r="AN403" s="860"/>
      <c r="AO403" s="860"/>
      <c r="AP403" s="860"/>
      <c r="AQ403" s="860"/>
      <c r="AR403" s="860"/>
      <c r="AS403" s="860"/>
      <c r="AT403" s="860"/>
      <c r="AU403" s="860"/>
      <c r="AV403" s="860"/>
      <c r="AW403" s="860"/>
      <c r="AX403" s="860"/>
      <c r="AY403" s="860"/>
      <c r="AZ403" s="860"/>
      <c r="BA403" s="860"/>
      <c r="BB403" s="860"/>
      <c r="BC403" s="860"/>
      <c r="BD403" s="860"/>
      <c r="BE403" s="860"/>
      <c r="BF403" s="860"/>
      <c r="BG403" s="860"/>
      <c r="BH403" s="860"/>
      <c r="BI403" s="860"/>
      <c r="BJ403" s="860"/>
      <c r="BK403" s="860"/>
      <c r="BL403" s="860"/>
      <c r="BM403" s="860"/>
      <c r="BN403" s="872"/>
      <c r="BO403" s="872"/>
      <c r="BP403" s="872"/>
      <c r="BQ403" s="872"/>
      <c r="BR403" s="872"/>
      <c r="BS403" s="872"/>
      <c r="BT403" s="860"/>
      <c r="BU403" s="860"/>
      <c r="BV403" s="860"/>
      <c r="BW403" s="860"/>
      <c r="BX403" s="872"/>
      <c r="BY403" s="872"/>
      <c r="BZ403" s="872"/>
      <c r="CA403" s="872"/>
      <c r="CB403" s="872"/>
      <c r="CC403" s="872"/>
    </row>
    <row r="404" s="860" customFormat="1" ht="13.5" spans="1:81">
      <c r="A404" s="861"/>
      <c r="B404" s="860"/>
      <c r="C404" s="860"/>
      <c r="D404" s="860"/>
      <c r="E404" s="862"/>
      <c r="F404" s="860"/>
      <c r="G404" s="860"/>
      <c r="H404" s="860"/>
      <c r="I404" s="860"/>
      <c r="J404" s="860"/>
      <c r="K404" s="860"/>
      <c r="L404" s="860"/>
      <c r="M404" s="860"/>
      <c r="N404" s="860"/>
      <c r="O404" s="860"/>
      <c r="P404" s="860"/>
      <c r="Q404" s="860"/>
      <c r="R404" s="860"/>
      <c r="S404" s="860"/>
      <c r="T404" s="860"/>
      <c r="U404" s="860"/>
      <c r="V404" s="860"/>
      <c r="W404" s="860"/>
      <c r="X404" s="864"/>
      <c r="Y404" s="865"/>
      <c r="Z404" s="865"/>
      <c r="AA404" s="866"/>
      <c r="AB404" s="867"/>
      <c r="AC404" s="868"/>
      <c r="AD404" s="866"/>
      <c r="AE404" s="860"/>
      <c r="AF404" s="869"/>
      <c r="AG404" s="869"/>
      <c r="AH404" s="870"/>
      <c r="AI404" s="871"/>
      <c r="AJ404" s="870"/>
      <c r="AK404" s="870"/>
      <c r="AL404" s="860"/>
      <c r="AM404" s="860"/>
      <c r="AN404" s="860"/>
      <c r="AO404" s="860"/>
      <c r="AP404" s="860"/>
      <c r="AQ404" s="860"/>
      <c r="AR404" s="860"/>
      <c r="AS404" s="860"/>
      <c r="AT404" s="860"/>
      <c r="AU404" s="860"/>
      <c r="AV404" s="860"/>
      <c r="AW404" s="860"/>
      <c r="AX404" s="860"/>
      <c r="AY404" s="860"/>
      <c r="AZ404" s="860"/>
      <c r="BA404" s="860"/>
      <c r="BB404" s="860"/>
      <c r="BC404" s="860"/>
      <c r="BD404" s="860"/>
      <c r="BE404" s="860"/>
      <c r="BF404" s="860"/>
      <c r="BG404" s="860"/>
      <c r="BH404" s="860"/>
      <c r="BI404" s="860"/>
      <c r="BJ404" s="860"/>
      <c r="BK404" s="860"/>
      <c r="BL404" s="860"/>
      <c r="BM404" s="860"/>
      <c r="BN404" s="872"/>
      <c r="BO404" s="872"/>
      <c r="BP404" s="872"/>
      <c r="BQ404" s="872"/>
      <c r="BR404" s="872"/>
      <c r="BS404" s="872"/>
      <c r="BT404" s="860"/>
      <c r="BU404" s="860"/>
      <c r="BV404" s="860"/>
      <c r="BW404" s="860"/>
      <c r="BX404" s="872"/>
      <c r="BY404" s="872"/>
      <c r="BZ404" s="872"/>
      <c r="CA404" s="872"/>
      <c r="CB404" s="872"/>
      <c r="CC404" s="872"/>
    </row>
    <row r="405" s="860" customFormat="1" ht="13.5" spans="1:81">
      <c r="A405" s="861"/>
      <c r="B405" s="860"/>
      <c r="C405" s="860"/>
      <c r="D405" s="860"/>
      <c r="E405" s="862"/>
      <c r="F405" s="860"/>
      <c r="G405" s="860"/>
      <c r="H405" s="860"/>
      <c r="I405" s="860"/>
      <c r="J405" s="860"/>
      <c r="K405" s="860"/>
      <c r="L405" s="860"/>
      <c r="M405" s="860"/>
      <c r="N405" s="860"/>
      <c r="O405" s="860"/>
      <c r="P405" s="860"/>
      <c r="Q405" s="860"/>
      <c r="R405" s="860"/>
      <c r="S405" s="860"/>
      <c r="T405" s="860"/>
      <c r="U405" s="860"/>
      <c r="V405" s="860"/>
      <c r="W405" s="860"/>
      <c r="X405" s="864"/>
      <c r="Y405" s="865"/>
      <c r="Z405" s="865"/>
      <c r="AA405" s="866"/>
      <c r="AB405" s="867"/>
      <c r="AC405" s="868"/>
      <c r="AD405" s="866"/>
      <c r="AE405" s="860"/>
      <c r="AF405" s="869"/>
      <c r="AG405" s="869"/>
      <c r="AH405" s="870"/>
      <c r="AI405" s="871"/>
      <c r="AJ405" s="870"/>
      <c r="AK405" s="870"/>
      <c r="AL405" s="860"/>
      <c r="AM405" s="860"/>
      <c r="AN405" s="860"/>
      <c r="AO405" s="860"/>
      <c r="AP405" s="860"/>
      <c r="AQ405" s="860"/>
      <c r="AR405" s="860"/>
      <c r="AS405" s="860"/>
      <c r="AT405" s="860"/>
      <c r="AU405" s="860"/>
      <c r="AV405" s="860"/>
      <c r="AW405" s="860"/>
      <c r="AX405" s="860"/>
      <c r="AY405" s="860"/>
      <c r="AZ405" s="860"/>
      <c r="BA405" s="860"/>
      <c r="BB405" s="860"/>
      <c r="BC405" s="860"/>
      <c r="BD405" s="860"/>
      <c r="BE405" s="860"/>
      <c r="BF405" s="860"/>
      <c r="BG405" s="860"/>
      <c r="BH405" s="860"/>
      <c r="BI405" s="860"/>
      <c r="BJ405" s="860"/>
      <c r="BK405" s="860"/>
      <c r="BL405" s="860"/>
      <c r="BM405" s="860"/>
      <c r="BN405" s="872"/>
      <c r="BO405" s="872"/>
      <c r="BP405" s="872"/>
      <c r="BQ405" s="872"/>
      <c r="BR405" s="872"/>
      <c r="BS405" s="872"/>
      <c r="BT405" s="860"/>
      <c r="BU405" s="860"/>
      <c r="BV405" s="860"/>
      <c r="BW405" s="860"/>
      <c r="BX405" s="872"/>
      <c r="BY405" s="872"/>
      <c r="BZ405" s="872"/>
      <c r="CA405" s="872"/>
      <c r="CB405" s="872"/>
      <c r="CC405" s="872"/>
    </row>
    <row r="406" s="860" customFormat="1" ht="13.5" spans="1:81">
      <c r="A406" s="861"/>
      <c r="B406" s="860"/>
      <c r="C406" s="860"/>
      <c r="D406" s="860"/>
      <c r="E406" s="862"/>
      <c r="F406" s="860"/>
      <c r="G406" s="860"/>
      <c r="H406" s="860"/>
      <c r="I406" s="860"/>
      <c r="J406" s="860"/>
      <c r="K406" s="860"/>
      <c r="L406" s="860"/>
      <c r="M406" s="860"/>
      <c r="N406" s="860"/>
      <c r="O406" s="860"/>
      <c r="P406" s="860"/>
      <c r="Q406" s="860"/>
      <c r="R406" s="860"/>
      <c r="S406" s="860"/>
      <c r="T406" s="860"/>
      <c r="U406" s="860"/>
      <c r="V406" s="860"/>
      <c r="W406" s="860"/>
      <c r="X406" s="864"/>
      <c r="Y406" s="865"/>
      <c r="Z406" s="865"/>
      <c r="AA406" s="866"/>
      <c r="AB406" s="867"/>
      <c r="AC406" s="868"/>
      <c r="AD406" s="866"/>
      <c r="AE406" s="860"/>
      <c r="AF406" s="869"/>
      <c r="AG406" s="869"/>
      <c r="AH406" s="870"/>
      <c r="AI406" s="871"/>
      <c r="AJ406" s="870"/>
      <c r="AK406" s="870"/>
      <c r="AL406" s="860"/>
      <c r="AM406" s="860"/>
      <c r="AN406" s="860"/>
      <c r="AO406" s="860"/>
      <c r="AP406" s="860"/>
      <c r="AQ406" s="860"/>
      <c r="AR406" s="860"/>
      <c r="AS406" s="860"/>
      <c r="AT406" s="860"/>
      <c r="AU406" s="860"/>
      <c r="AV406" s="860"/>
      <c r="AW406" s="860"/>
      <c r="AX406" s="860"/>
      <c r="AY406" s="860"/>
      <c r="AZ406" s="860"/>
      <c r="BA406" s="860"/>
      <c r="BB406" s="860"/>
      <c r="BC406" s="860"/>
      <c r="BD406" s="860"/>
      <c r="BE406" s="860"/>
      <c r="BF406" s="860"/>
      <c r="BG406" s="860"/>
      <c r="BH406" s="860"/>
      <c r="BI406" s="860"/>
      <c r="BJ406" s="860"/>
      <c r="BK406" s="860"/>
      <c r="BL406" s="860"/>
      <c r="BM406" s="860"/>
      <c r="BN406" s="872"/>
      <c r="BO406" s="872"/>
      <c r="BP406" s="872"/>
      <c r="BQ406" s="872"/>
      <c r="BR406" s="872"/>
      <c r="BS406" s="872"/>
      <c r="BT406" s="860"/>
      <c r="BU406" s="860"/>
      <c r="BV406" s="860"/>
      <c r="BW406" s="860"/>
      <c r="BX406" s="872"/>
      <c r="BY406" s="872"/>
      <c r="BZ406" s="872"/>
      <c r="CA406" s="872"/>
      <c r="CB406" s="872"/>
      <c r="CC406" s="872"/>
    </row>
    <row r="407" s="860" customFormat="1" ht="13.5" spans="1:81">
      <c r="A407" s="861"/>
      <c r="B407" s="860"/>
      <c r="C407" s="860"/>
      <c r="D407" s="860"/>
      <c r="E407" s="862"/>
      <c r="F407" s="860"/>
      <c r="G407" s="860"/>
      <c r="H407" s="860"/>
      <c r="I407" s="860"/>
      <c r="J407" s="860"/>
      <c r="K407" s="860"/>
      <c r="L407" s="860"/>
      <c r="M407" s="860"/>
      <c r="N407" s="860"/>
      <c r="O407" s="860"/>
      <c r="P407" s="860"/>
      <c r="Q407" s="860"/>
      <c r="R407" s="860"/>
      <c r="S407" s="860"/>
      <c r="T407" s="860"/>
      <c r="U407" s="860"/>
      <c r="V407" s="860"/>
      <c r="W407" s="860"/>
      <c r="X407" s="864"/>
      <c r="Y407" s="865"/>
      <c r="Z407" s="865"/>
      <c r="AA407" s="866"/>
      <c r="AB407" s="867"/>
      <c r="AC407" s="868"/>
      <c r="AD407" s="866"/>
      <c r="AE407" s="860"/>
      <c r="AF407" s="869"/>
      <c r="AG407" s="869"/>
      <c r="AH407" s="870"/>
      <c r="AI407" s="871"/>
      <c r="AJ407" s="870"/>
      <c r="AK407" s="870"/>
      <c r="AL407" s="860"/>
      <c r="AM407" s="860"/>
      <c r="AN407" s="860"/>
      <c r="AO407" s="860"/>
      <c r="AP407" s="860"/>
      <c r="AQ407" s="860"/>
      <c r="AR407" s="860"/>
      <c r="AS407" s="860"/>
      <c r="AT407" s="860"/>
      <c r="AU407" s="860"/>
      <c r="AV407" s="860"/>
      <c r="AW407" s="860"/>
      <c r="AX407" s="860"/>
      <c r="AY407" s="860"/>
      <c r="AZ407" s="860"/>
      <c r="BA407" s="860"/>
      <c r="BB407" s="860"/>
      <c r="BC407" s="860"/>
      <c r="BD407" s="860"/>
      <c r="BE407" s="860"/>
      <c r="BF407" s="860"/>
      <c r="BG407" s="860"/>
      <c r="BH407" s="860"/>
      <c r="BI407" s="860"/>
      <c r="BJ407" s="860"/>
      <c r="BK407" s="860"/>
      <c r="BL407" s="860"/>
      <c r="BM407" s="860"/>
      <c r="BN407" s="872"/>
      <c r="BO407" s="872"/>
      <c r="BP407" s="872"/>
      <c r="BQ407" s="872"/>
      <c r="BR407" s="872"/>
      <c r="BS407" s="872"/>
      <c r="BT407" s="860"/>
      <c r="BU407" s="860"/>
      <c r="BV407" s="860"/>
      <c r="BW407" s="860"/>
      <c r="BX407" s="872"/>
      <c r="BY407" s="872"/>
      <c r="BZ407" s="872"/>
      <c r="CA407" s="872"/>
      <c r="CB407" s="872"/>
      <c r="CC407" s="872"/>
    </row>
    <row r="408" s="860" customFormat="1" ht="13.5" spans="1:81">
      <c r="A408" s="861"/>
      <c r="B408" s="860"/>
      <c r="C408" s="860"/>
      <c r="D408" s="860"/>
      <c r="E408" s="862"/>
      <c r="F408" s="860"/>
      <c r="G408" s="860"/>
      <c r="H408" s="860"/>
      <c r="I408" s="860"/>
      <c r="J408" s="860"/>
      <c r="K408" s="860"/>
      <c r="L408" s="860"/>
      <c r="M408" s="860"/>
      <c r="N408" s="860"/>
      <c r="O408" s="860"/>
      <c r="P408" s="860"/>
      <c r="Q408" s="860"/>
      <c r="R408" s="860"/>
      <c r="S408" s="860"/>
      <c r="T408" s="860"/>
      <c r="U408" s="860"/>
      <c r="V408" s="860"/>
      <c r="W408" s="860"/>
      <c r="X408" s="864"/>
      <c r="Y408" s="865"/>
      <c r="Z408" s="865"/>
      <c r="AA408" s="866"/>
      <c r="AB408" s="867"/>
      <c r="AC408" s="868"/>
      <c r="AD408" s="866"/>
      <c r="AE408" s="860"/>
      <c r="AF408" s="869"/>
      <c r="AG408" s="869"/>
      <c r="AH408" s="870"/>
      <c r="AI408" s="871"/>
      <c r="AJ408" s="870"/>
      <c r="AK408" s="870"/>
      <c r="AL408" s="860"/>
      <c r="AM408" s="860"/>
      <c r="AN408" s="860"/>
      <c r="AO408" s="860"/>
      <c r="AP408" s="860"/>
      <c r="AQ408" s="860"/>
      <c r="AR408" s="860"/>
      <c r="AS408" s="860"/>
      <c r="AT408" s="860"/>
      <c r="AU408" s="860"/>
      <c r="AV408" s="860"/>
      <c r="AW408" s="860"/>
      <c r="AX408" s="860"/>
      <c r="AY408" s="860"/>
      <c r="AZ408" s="860"/>
      <c r="BA408" s="860"/>
      <c r="BB408" s="860"/>
      <c r="BC408" s="860"/>
      <c r="BD408" s="860"/>
      <c r="BE408" s="860"/>
      <c r="BF408" s="860"/>
      <c r="BG408" s="860"/>
      <c r="BH408" s="860"/>
      <c r="BI408" s="860"/>
      <c r="BJ408" s="860"/>
      <c r="BK408" s="860"/>
      <c r="BL408" s="860"/>
      <c r="BM408" s="860"/>
      <c r="BN408" s="872"/>
      <c r="BO408" s="872"/>
      <c r="BP408" s="872"/>
      <c r="BQ408" s="872"/>
      <c r="BR408" s="872"/>
      <c r="BS408" s="872"/>
      <c r="BT408" s="860"/>
      <c r="BU408" s="860"/>
      <c r="BV408" s="860"/>
      <c r="BW408" s="860"/>
      <c r="BX408" s="872"/>
      <c r="BY408" s="872"/>
      <c r="BZ408" s="872"/>
      <c r="CA408" s="872"/>
      <c r="CB408" s="872"/>
      <c r="CC408" s="872"/>
    </row>
    <row r="409" s="860" customFormat="1" ht="13.5" spans="1:81">
      <c r="A409" s="861"/>
      <c r="B409" s="860"/>
      <c r="C409" s="860"/>
      <c r="D409" s="860"/>
      <c r="E409" s="862"/>
      <c r="F409" s="860"/>
      <c r="G409" s="860"/>
      <c r="H409" s="860"/>
      <c r="I409" s="860"/>
      <c r="J409" s="860"/>
      <c r="K409" s="860"/>
      <c r="L409" s="860"/>
      <c r="M409" s="860"/>
      <c r="N409" s="860"/>
      <c r="O409" s="860"/>
      <c r="P409" s="860"/>
      <c r="Q409" s="860"/>
      <c r="R409" s="860"/>
      <c r="S409" s="860"/>
      <c r="T409" s="860"/>
      <c r="U409" s="860"/>
      <c r="V409" s="860"/>
      <c r="W409" s="860"/>
      <c r="X409" s="864"/>
      <c r="Y409" s="865"/>
      <c r="Z409" s="865"/>
      <c r="AA409" s="866"/>
      <c r="AB409" s="867"/>
      <c r="AC409" s="868"/>
      <c r="AD409" s="866"/>
      <c r="AE409" s="860"/>
      <c r="AF409" s="869"/>
      <c r="AG409" s="869"/>
      <c r="AH409" s="870"/>
      <c r="AI409" s="871"/>
      <c r="AJ409" s="870"/>
      <c r="AK409" s="870"/>
      <c r="AL409" s="860"/>
      <c r="AM409" s="860"/>
      <c r="AN409" s="860"/>
      <c r="AO409" s="860"/>
      <c r="AP409" s="860"/>
      <c r="AQ409" s="860"/>
      <c r="AR409" s="860"/>
      <c r="AS409" s="860"/>
      <c r="AT409" s="860"/>
      <c r="AU409" s="860"/>
      <c r="AV409" s="860"/>
      <c r="AW409" s="860"/>
      <c r="AX409" s="860"/>
      <c r="AY409" s="860"/>
      <c r="AZ409" s="860"/>
      <c r="BA409" s="860"/>
      <c r="BB409" s="860"/>
      <c r="BC409" s="860"/>
      <c r="BD409" s="860"/>
      <c r="BE409" s="860"/>
      <c r="BF409" s="860"/>
      <c r="BG409" s="860"/>
      <c r="BH409" s="860"/>
      <c r="BI409" s="860"/>
      <c r="BJ409" s="860"/>
      <c r="BK409" s="860"/>
      <c r="BL409" s="860"/>
      <c r="BM409" s="860"/>
      <c r="BN409" s="872"/>
      <c r="BO409" s="872"/>
      <c r="BP409" s="872"/>
      <c r="BQ409" s="872"/>
      <c r="BR409" s="872"/>
      <c r="BS409" s="872"/>
      <c r="BT409" s="860"/>
      <c r="BU409" s="860"/>
      <c r="BV409" s="860"/>
      <c r="BW409" s="860"/>
      <c r="BX409" s="872"/>
      <c r="BY409" s="872"/>
      <c r="BZ409" s="872"/>
      <c r="CA409" s="872"/>
      <c r="CB409" s="872"/>
      <c r="CC409" s="872"/>
    </row>
    <row r="410" s="860" customFormat="1" ht="13.5" spans="1:81">
      <c r="A410" s="861"/>
      <c r="B410" s="860"/>
      <c r="C410" s="860"/>
      <c r="D410" s="860"/>
      <c r="E410" s="862"/>
      <c r="F410" s="860"/>
      <c r="G410" s="860"/>
      <c r="H410" s="860"/>
      <c r="I410" s="860"/>
      <c r="J410" s="860"/>
      <c r="K410" s="860"/>
      <c r="L410" s="860"/>
      <c r="M410" s="860"/>
      <c r="N410" s="860"/>
      <c r="O410" s="860"/>
      <c r="P410" s="860"/>
      <c r="Q410" s="860"/>
      <c r="R410" s="860"/>
      <c r="S410" s="860"/>
      <c r="T410" s="860"/>
      <c r="U410" s="860"/>
      <c r="V410" s="860"/>
      <c r="W410" s="860"/>
      <c r="X410" s="864"/>
      <c r="Y410" s="865"/>
      <c r="Z410" s="865"/>
      <c r="AA410" s="866"/>
      <c r="AB410" s="867"/>
      <c r="AC410" s="868"/>
      <c r="AD410" s="866"/>
      <c r="AE410" s="860"/>
      <c r="AF410" s="869"/>
      <c r="AG410" s="869"/>
      <c r="AH410" s="870"/>
      <c r="AI410" s="871"/>
      <c r="AJ410" s="870"/>
      <c r="AK410" s="870"/>
      <c r="AL410" s="860"/>
      <c r="AM410" s="860"/>
      <c r="AN410" s="860"/>
      <c r="AO410" s="860"/>
      <c r="AP410" s="860"/>
      <c r="AQ410" s="860"/>
      <c r="AR410" s="860"/>
      <c r="AS410" s="860"/>
      <c r="AT410" s="860"/>
      <c r="AU410" s="860"/>
      <c r="AV410" s="860"/>
      <c r="AW410" s="860"/>
      <c r="AX410" s="860"/>
      <c r="AY410" s="860"/>
      <c r="AZ410" s="860"/>
      <c r="BA410" s="860"/>
      <c r="BB410" s="860"/>
      <c r="BC410" s="860"/>
      <c r="BD410" s="860"/>
      <c r="BE410" s="860"/>
      <c r="BF410" s="860"/>
      <c r="BG410" s="860"/>
      <c r="BH410" s="860"/>
      <c r="BI410" s="860"/>
      <c r="BJ410" s="860"/>
      <c r="BK410" s="860"/>
      <c r="BL410" s="860"/>
      <c r="BM410" s="860"/>
      <c r="BN410" s="872"/>
      <c r="BO410" s="872"/>
      <c r="BP410" s="872"/>
      <c r="BQ410" s="872"/>
      <c r="BR410" s="872"/>
      <c r="BS410" s="872"/>
      <c r="BT410" s="860"/>
      <c r="BU410" s="860"/>
      <c r="BV410" s="860"/>
      <c r="BW410" s="860"/>
      <c r="BX410" s="872"/>
      <c r="BY410" s="872"/>
      <c r="BZ410" s="872"/>
      <c r="CA410" s="872"/>
      <c r="CB410" s="872"/>
      <c r="CC410" s="872"/>
    </row>
    <row r="411" s="860" customFormat="1" ht="13.5" spans="1:81">
      <c r="A411" s="861"/>
      <c r="B411" s="860"/>
      <c r="C411" s="860"/>
      <c r="D411" s="860"/>
      <c r="E411" s="862"/>
      <c r="F411" s="860"/>
      <c r="G411" s="860"/>
      <c r="H411" s="860"/>
      <c r="I411" s="860"/>
      <c r="J411" s="860"/>
      <c r="K411" s="860"/>
      <c r="L411" s="860"/>
      <c r="M411" s="860"/>
      <c r="N411" s="860"/>
      <c r="O411" s="860"/>
      <c r="P411" s="860"/>
      <c r="Q411" s="860"/>
      <c r="R411" s="860"/>
      <c r="S411" s="860"/>
      <c r="T411" s="860"/>
      <c r="U411" s="860"/>
      <c r="V411" s="860"/>
      <c r="W411" s="860"/>
      <c r="X411" s="864"/>
      <c r="Y411" s="865"/>
      <c r="Z411" s="865"/>
      <c r="AA411" s="866"/>
      <c r="AB411" s="867"/>
      <c r="AC411" s="868"/>
      <c r="AD411" s="866"/>
      <c r="AE411" s="860"/>
      <c r="AF411" s="869"/>
      <c r="AG411" s="869"/>
      <c r="AH411" s="870"/>
      <c r="AI411" s="871"/>
      <c r="AJ411" s="870"/>
      <c r="AK411" s="870"/>
      <c r="AL411" s="860"/>
      <c r="AM411" s="860"/>
      <c r="AN411" s="860"/>
      <c r="AO411" s="860"/>
      <c r="AP411" s="860"/>
      <c r="AQ411" s="860"/>
      <c r="AR411" s="860"/>
      <c r="AS411" s="860"/>
      <c r="AT411" s="860"/>
      <c r="AU411" s="860"/>
      <c r="AV411" s="860"/>
      <c r="AW411" s="860"/>
      <c r="AX411" s="860"/>
      <c r="AY411" s="860"/>
      <c r="AZ411" s="860"/>
      <c r="BA411" s="860"/>
      <c r="BB411" s="860"/>
      <c r="BC411" s="860"/>
      <c r="BD411" s="860"/>
      <c r="BE411" s="860"/>
      <c r="BF411" s="860"/>
      <c r="BG411" s="860"/>
      <c r="BH411" s="860"/>
      <c r="BI411" s="860"/>
      <c r="BJ411" s="860"/>
      <c r="BK411" s="860"/>
      <c r="BL411" s="860"/>
      <c r="BM411" s="860"/>
      <c r="BN411" s="872"/>
      <c r="BO411" s="872"/>
      <c r="BP411" s="872"/>
      <c r="BQ411" s="872"/>
      <c r="BR411" s="872"/>
      <c r="BS411" s="872"/>
      <c r="BT411" s="860"/>
      <c r="BU411" s="860"/>
      <c r="BV411" s="860"/>
      <c r="BW411" s="860"/>
      <c r="BX411" s="872"/>
      <c r="BY411" s="872"/>
      <c r="BZ411" s="872"/>
      <c r="CA411" s="872"/>
      <c r="CB411" s="872"/>
      <c r="CC411" s="872"/>
    </row>
    <row r="412" s="860" customFormat="1" ht="13.5" spans="1:81">
      <c r="A412" s="861"/>
      <c r="B412" s="860"/>
      <c r="C412" s="860"/>
      <c r="D412" s="860"/>
      <c r="E412" s="862"/>
      <c r="F412" s="860"/>
      <c r="G412" s="860"/>
      <c r="H412" s="860"/>
      <c r="I412" s="860"/>
      <c r="J412" s="860"/>
      <c r="K412" s="860"/>
      <c r="L412" s="860"/>
      <c r="M412" s="860"/>
      <c r="N412" s="860"/>
      <c r="O412" s="860"/>
      <c r="P412" s="860"/>
      <c r="Q412" s="860"/>
      <c r="R412" s="860"/>
      <c r="S412" s="860"/>
      <c r="T412" s="860"/>
      <c r="U412" s="860"/>
      <c r="V412" s="860"/>
      <c r="W412" s="860"/>
      <c r="X412" s="864"/>
      <c r="Y412" s="865"/>
      <c r="Z412" s="865"/>
      <c r="AA412" s="866"/>
      <c r="AB412" s="867"/>
      <c r="AC412" s="868"/>
      <c r="AD412" s="866"/>
      <c r="AE412" s="860"/>
      <c r="AF412" s="869"/>
      <c r="AG412" s="869"/>
      <c r="AH412" s="870"/>
      <c r="AI412" s="871"/>
      <c r="AJ412" s="870"/>
      <c r="AK412" s="870"/>
      <c r="AL412" s="860"/>
      <c r="AM412" s="860"/>
      <c r="AN412" s="860"/>
      <c r="AO412" s="860"/>
      <c r="AP412" s="860"/>
      <c r="AQ412" s="860"/>
      <c r="AR412" s="860"/>
      <c r="AS412" s="860"/>
      <c r="AT412" s="860"/>
      <c r="AU412" s="860"/>
      <c r="AV412" s="860"/>
      <c r="AW412" s="860"/>
      <c r="AX412" s="860"/>
      <c r="AY412" s="860"/>
      <c r="AZ412" s="860"/>
      <c r="BA412" s="860"/>
      <c r="BB412" s="860"/>
      <c r="BC412" s="860"/>
      <c r="BD412" s="860"/>
      <c r="BE412" s="860"/>
      <c r="BF412" s="860"/>
      <c r="BG412" s="860"/>
      <c r="BH412" s="860"/>
      <c r="BI412" s="860"/>
      <c r="BJ412" s="860"/>
      <c r="BK412" s="860"/>
      <c r="BL412" s="860"/>
      <c r="BM412" s="860"/>
      <c r="BN412" s="872"/>
      <c r="BO412" s="872"/>
      <c r="BP412" s="872"/>
      <c r="BQ412" s="872"/>
      <c r="BR412" s="872"/>
      <c r="BS412" s="872"/>
      <c r="BT412" s="860"/>
      <c r="BU412" s="860"/>
      <c r="BV412" s="860"/>
      <c r="BW412" s="860"/>
      <c r="BX412" s="872"/>
      <c r="BY412" s="872"/>
      <c r="BZ412" s="872"/>
      <c r="CA412" s="872"/>
      <c r="CB412" s="872"/>
      <c r="CC412" s="872"/>
    </row>
    <row r="413" s="860" customFormat="1" ht="13.5" spans="1:81">
      <c r="A413" s="861"/>
      <c r="B413" s="860"/>
      <c r="C413" s="860"/>
      <c r="D413" s="860"/>
      <c r="E413" s="862"/>
      <c r="F413" s="860"/>
      <c r="G413" s="860"/>
      <c r="H413" s="860"/>
      <c r="I413" s="860"/>
      <c r="J413" s="860"/>
      <c r="K413" s="860"/>
      <c r="L413" s="860"/>
      <c r="M413" s="860"/>
      <c r="N413" s="860"/>
      <c r="O413" s="860"/>
      <c r="P413" s="860"/>
      <c r="Q413" s="860"/>
      <c r="R413" s="860"/>
      <c r="S413" s="860"/>
      <c r="T413" s="860"/>
      <c r="U413" s="860"/>
      <c r="V413" s="860"/>
      <c r="W413" s="860"/>
      <c r="X413" s="864"/>
      <c r="Y413" s="865"/>
      <c r="Z413" s="865"/>
      <c r="AA413" s="866"/>
      <c r="AB413" s="867"/>
      <c r="AC413" s="868"/>
      <c r="AD413" s="866"/>
      <c r="AE413" s="860"/>
      <c r="AF413" s="869"/>
      <c r="AG413" s="869"/>
      <c r="AH413" s="870"/>
      <c r="AI413" s="871"/>
      <c r="AJ413" s="870"/>
      <c r="AK413" s="870"/>
      <c r="AL413" s="860"/>
      <c r="AM413" s="860"/>
      <c r="AN413" s="860"/>
      <c r="AO413" s="860"/>
      <c r="AP413" s="860"/>
      <c r="AQ413" s="860"/>
      <c r="AR413" s="860"/>
      <c r="AS413" s="860"/>
      <c r="AT413" s="860"/>
      <c r="AU413" s="860"/>
      <c r="AV413" s="860"/>
      <c r="AW413" s="860"/>
      <c r="AX413" s="860"/>
      <c r="AY413" s="860"/>
      <c r="AZ413" s="860"/>
      <c r="BA413" s="860"/>
      <c r="BB413" s="860"/>
      <c r="BC413" s="860"/>
      <c r="BD413" s="860"/>
      <c r="BE413" s="860"/>
      <c r="BF413" s="860"/>
      <c r="BG413" s="860"/>
      <c r="BH413" s="860"/>
      <c r="BI413" s="860"/>
      <c r="BJ413" s="860"/>
      <c r="BK413" s="860"/>
      <c r="BL413" s="860"/>
      <c r="BM413" s="860"/>
      <c r="BN413" s="872"/>
      <c r="BO413" s="872"/>
      <c r="BP413" s="872"/>
      <c r="BQ413" s="872"/>
      <c r="BR413" s="872"/>
      <c r="BS413" s="872"/>
      <c r="BT413" s="860"/>
      <c r="BU413" s="860"/>
      <c r="BV413" s="860"/>
      <c r="BW413" s="860"/>
      <c r="BX413" s="872"/>
      <c r="BY413" s="872"/>
      <c r="BZ413" s="872"/>
      <c r="CA413" s="872"/>
      <c r="CB413" s="872"/>
      <c r="CC413" s="872"/>
    </row>
    <row r="414" s="860" customFormat="1" ht="13.5" spans="1:81">
      <c r="A414" s="861"/>
      <c r="B414" s="860"/>
      <c r="C414" s="860"/>
      <c r="D414" s="860"/>
      <c r="E414" s="862"/>
      <c r="F414" s="860"/>
      <c r="G414" s="860"/>
      <c r="H414" s="860"/>
      <c r="I414" s="860"/>
      <c r="J414" s="860"/>
      <c r="K414" s="860"/>
      <c r="L414" s="860"/>
      <c r="M414" s="860"/>
      <c r="N414" s="860"/>
      <c r="O414" s="860"/>
      <c r="P414" s="860"/>
      <c r="Q414" s="860"/>
      <c r="R414" s="860"/>
      <c r="S414" s="860"/>
      <c r="T414" s="860"/>
      <c r="U414" s="860"/>
      <c r="V414" s="860"/>
      <c r="W414" s="860"/>
      <c r="X414" s="864"/>
      <c r="Y414" s="865"/>
      <c r="Z414" s="865"/>
      <c r="AA414" s="866"/>
      <c r="AB414" s="867"/>
      <c r="AC414" s="868"/>
      <c r="AD414" s="866"/>
      <c r="AE414" s="860"/>
      <c r="AF414" s="869"/>
      <c r="AG414" s="869"/>
      <c r="AH414" s="870"/>
      <c r="AI414" s="871"/>
      <c r="AJ414" s="870"/>
      <c r="AK414" s="870"/>
      <c r="AL414" s="860"/>
      <c r="AM414" s="860"/>
      <c r="AN414" s="860"/>
      <c r="AO414" s="860"/>
      <c r="AP414" s="860"/>
      <c r="AQ414" s="860"/>
      <c r="AR414" s="860"/>
      <c r="AS414" s="860"/>
      <c r="AT414" s="860"/>
      <c r="AU414" s="860"/>
      <c r="AV414" s="860"/>
      <c r="AW414" s="860"/>
      <c r="AX414" s="860"/>
      <c r="AY414" s="860"/>
      <c r="AZ414" s="860"/>
      <c r="BA414" s="860"/>
      <c r="BB414" s="860"/>
      <c r="BC414" s="860"/>
      <c r="BD414" s="860"/>
      <c r="BE414" s="860"/>
      <c r="BF414" s="860"/>
      <c r="BG414" s="860"/>
      <c r="BH414" s="860"/>
      <c r="BI414" s="860"/>
      <c r="BJ414" s="860"/>
      <c r="BK414" s="860"/>
      <c r="BL414" s="860"/>
      <c r="BM414" s="860"/>
      <c r="BN414" s="872"/>
      <c r="BO414" s="872"/>
      <c r="BP414" s="872"/>
      <c r="BQ414" s="872"/>
      <c r="BR414" s="872"/>
      <c r="BS414" s="872"/>
      <c r="BT414" s="860"/>
      <c r="BU414" s="860"/>
      <c r="BV414" s="860"/>
      <c r="BW414" s="860"/>
      <c r="BX414" s="872"/>
      <c r="BY414" s="872"/>
      <c r="BZ414" s="872"/>
      <c r="CA414" s="872"/>
      <c r="CB414" s="872"/>
      <c r="CC414" s="872"/>
    </row>
    <row r="415" s="860" customFormat="1" ht="13.5" spans="1:81">
      <c r="A415" s="861"/>
      <c r="B415" s="860"/>
      <c r="C415" s="860"/>
      <c r="D415" s="860"/>
      <c r="E415" s="862"/>
      <c r="F415" s="860"/>
      <c r="G415" s="860"/>
      <c r="H415" s="860"/>
      <c r="I415" s="860"/>
      <c r="J415" s="860"/>
      <c r="K415" s="860"/>
      <c r="L415" s="860"/>
      <c r="M415" s="860"/>
      <c r="N415" s="860"/>
      <c r="O415" s="860"/>
      <c r="P415" s="860"/>
      <c r="Q415" s="860"/>
      <c r="R415" s="860"/>
      <c r="S415" s="860"/>
      <c r="T415" s="860"/>
      <c r="U415" s="860"/>
      <c r="V415" s="860"/>
      <c r="W415" s="860"/>
      <c r="X415" s="864"/>
      <c r="Y415" s="865"/>
      <c r="Z415" s="865"/>
      <c r="AA415" s="866"/>
      <c r="AB415" s="867"/>
      <c r="AC415" s="868"/>
      <c r="AD415" s="866"/>
      <c r="AE415" s="860"/>
      <c r="AF415" s="869"/>
      <c r="AG415" s="869"/>
      <c r="AH415" s="870"/>
      <c r="AI415" s="871"/>
      <c r="AJ415" s="870"/>
      <c r="AK415" s="870"/>
      <c r="AL415" s="860"/>
      <c r="AM415" s="860"/>
      <c r="AN415" s="860"/>
      <c r="AO415" s="860"/>
      <c r="AP415" s="860"/>
      <c r="AQ415" s="860"/>
      <c r="AR415" s="860"/>
      <c r="AS415" s="860"/>
      <c r="AT415" s="860"/>
      <c r="AU415" s="860"/>
      <c r="AV415" s="860"/>
      <c r="AW415" s="860"/>
      <c r="AX415" s="860"/>
      <c r="AY415" s="860"/>
      <c r="AZ415" s="860"/>
      <c r="BA415" s="860"/>
      <c r="BB415" s="860"/>
      <c r="BC415" s="860"/>
      <c r="BD415" s="860"/>
      <c r="BE415" s="860"/>
      <c r="BF415" s="860"/>
      <c r="BG415" s="860"/>
      <c r="BH415" s="860"/>
      <c r="BI415" s="860"/>
      <c r="BJ415" s="860"/>
      <c r="BK415" s="860"/>
      <c r="BL415" s="860"/>
      <c r="BM415" s="860"/>
      <c r="BN415" s="872"/>
      <c r="BO415" s="872"/>
      <c r="BP415" s="872"/>
      <c r="BQ415" s="872"/>
      <c r="BR415" s="872"/>
      <c r="BS415" s="872"/>
      <c r="BT415" s="860"/>
      <c r="BU415" s="860"/>
      <c r="BV415" s="860"/>
      <c r="BW415" s="860"/>
      <c r="BX415" s="872"/>
      <c r="BY415" s="872"/>
      <c r="BZ415" s="872"/>
      <c r="CA415" s="872"/>
      <c r="CB415" s="872"/>
      <c r="CC415" s="872"/>
    </row>
    <row r="416" s="860" customFormat="1" ht="13.5" spans="1:81">
      <c r="A416" s="861"/>
      <c r="B416" s="860"/>
      <c r="C416" s="860"/>
      <c r="D416" s="860"/>
      <c r="E416" s="862"/>
      <c r="F416" s="860"/>
      <c r="G416" s="860"/>
      <c r="H416" s="860"/>
      <c r="I416" s="860"/>
      <c r="J416" s="860"/>
      <c r="K416" s="860"/>
      <c r="L416" s="860"/>
      <c r="M416" s="860"/>
      <c r="N416" s="860"/>
      <c r="O416" s="860"/>
      <c r="P416" s="860"/>
      <c r="Q416" s="860"/>
      <c r="R416" s="860"/>
      <c r="S416" s="860"/>
      <c r="T416" s="860"/>
      <c r="U416" s="860"/>
      <c r="V416" s="860"/>
      <c r="W416" s="860"/>
      <c r="X416" s="864"/>
      <c r="Y416" s="865"/>
      <c r="Z416" s="865"/>
      <c r="AA416" s="866"/>
      <c r="AB416" s="867"/>
      <c r="AC416" s="868"/>
      <c r="AD416" s="866"/>
      <c r="AE416" s="860"/>
      <c r="AF416" s="869"/>
      <c r="AG416" s="869"/>
      <c r="AH416" s="870"/>
      <c r="AI416" s="871"/>
      <c r="AJ416" s="870"/>
      <c r="AK416" s="870"/>
      <c r="AL416" s="860"/>
      <c r="AM416" s="860"/>
      <c r="AN416" s="860"/>
      <c r="AO416" s="860"/>
      <c r="AP416" s="860"/>
      <c r="AQ416" s="860"/>
      <c r="AR416" s="860"/>
      <c r="AS416" s="860"/>
      <c r="AT416" s="860"/>
      <c r="AU416" s="860"/>
      <c r="AV416" s="860"/>
      <c r="AW416" s="860"/>
      <c r="AX416" s="860"/>
      <c r="AY416" s="860"/>
      <c r="AZ416" s="860"/>
      <c r="BA416" s="860"/>
      <c r="BB416" s="860"/>
      <c r="BC416" s="860"/>
      <c r="BD416" s="860"/>
      <c r="BE416" s="860"/>
      <c r="BF416" s="860"/>
      <c r="BG416" s="860"/>
      <c r="BH416" s="860"/>
      <c r="BI416" s="860"/>
      <c r="BJ416" s="860"/>
      <c r="BK416" s="860"/>
      <c r="BL416" s="860"/>
      <c r="BM416" s="860"/>
      <c r="BN416" s="872"/>
      <c r="BO416" s="872"/>
      <c r="BP416" s="872"/>
      <c r="BQ416" s="872"/>
      <c r="BR416" s="872"/>
      <c r="BS416" s="872"/>
      <c r="BT416" s="860"/>
      <c r="BU416" s="860"/>
      <c r="BV416" s="860"/>
      <c r="BW416" s="860"/>
      <c r="BX416" s="872"/>
      <c r="BY416" s="872"/>
      <c r="BZ416" s="872"/>
      <c r="CA416" s="872"/>
      <c r="CB416" s="872"/>
      <c r="CC416" s="872"/>
    </row>
    <row r="417" s="860" customFormat="1" ht="13.5" spans="1:81">
      <c r="A417" s="861"/>
      <c r="B417" s="860"/>
      <c r="C417" s="860"/>
      <c r="D417" s="860"/>
      <c r="E417" s="862"/>
      <c r="F417" s="860"/>
      <c r="G417" s="860"/>
      <c r="H417" s="860"/>
      <c r="I417" s="860"/>
      <c r="J417" s="860"/>
      <c r="K417" s="860"/>
      <c r="L417" s="860"/>
      <c r="M417" s="860"/>
      <c r="N417" s="860"/>
      <c r="O417" s="860"/>
      <c r="P417" s="860"/>
      <c r="Q417" s="860"/>
      <c r="R417" s="860"/>
      <c r="S417" s="860"/>
      <c r="T417" s="860"/>
      <c r="U417" s="860"/>
      <c r="V417" s="860"/>
      <c r="W417" s="860"/>
      <c r="X417" s="864"/>
      <c r="Y417" s="865"/>
      <c r="Z417" s="865"/>
      <c r="AA417" s="866"/>
      <c r="AB417" s="867"/>
      <c r="AC417" s="868"/>
      <c r="AD417" s="866"/>
      <c r="AE417" s="860"/>
      <c r="AF417" s="869"/>
      <c r="AG417" s="869"/>
      <c r="AH417" s="870"/>
      <c r="AI417" s="871"/>
      <c r="AJ417" s="870"/>
      <c r="AK417" s="870"/>
      <c r="AL417" s="860"/>
      <c r="AM417" s="860"/>
      <c r="AN417" s="860"/>
      <c r="AO417" s="860"/>
      <c r="AP417" s="860"/>
      <c r="AQ417" s="860"/>
      <c r="AR417" s="860"/>
      <c r="AS417" s="860"/>
      <c r="AT417" s="860"/>
      <c r="AU417" s="860"/>
      <c r="AV417" s="860"/>
      <c r="AW417" s="860"/>
      <c r="AX417" s="860"/>
      <c r="AY417" s="860"/>
      <c r="AZ417" s="860"/>
      <c r="BA417" s="860"/>
      <c r="BB417" s="860"/>
      <c r="BC417" s="860"/>
      <c r="BD417" s="860"/>
      <c r="BE417" s="860"/>
      <c r="BF417" s="860"/>
      <c r="BG417" s="860"/>
      <c r="BH417" s="860"/>
      <c r="BI417" s="860"/>
      <c r="BJ417" s="860"/>
      <c r="BK417" s="860"/>
      <c r="BL417" s="860"/>
      <c r="BM417" s="860"/>
      <c r="BN417" s="872"/>
      <c r="BO417" s="872"/>
      <c r="BP417" s="872"/>
      <c r="BQ417" s="872"/>
      <c r="BR417" s="872"/>
      <c r="BS417" s="872"/>
      <c r="BT417" s="860"/>
      <c r="BU417" s="860"/>
      <c r="BV417" s="860"/>
      <c r="BW417" s="860"/>
      <c r="BX417" s="872"/>
      <c r="BY417" s="872"/>
      <c r="BZ417" s="872"/>
      <c r="CA417" s="872"/>
      <c r="CB417" s="872"/>
      <c r="CC417" s="872"/>
    </row>
    <row r="418" s="860" customFormat="1" ht="13.5" spans="1:81">
      <c r="A418" s="861"/>
      <c r="B418" s="860"/>
      <c r="C418" s="860"/>
      <c r="D418" s="860"/>
      <c r="E418" s="862"/>
      <c r="F418" s="860"/>
      <c r="G418" s="860"/>
      <c r="H418" s="860"/>
      <c r="I418" s="860"/>
      <c r="J418" s="860"/>
      <c r="K418" s="860"/>
      <c r="L418" s="860"/>
      <c r="M418" s="860"/>
      <c r="N418" s="860"/>
      <c r="O418" s="860"/>
      <c r="P418" s="860"/>
      <c r="Q418" s="860"/>
      <c r="R418" s="860"/>
      <c r="S418" s="860"/>
      <c r="T418" s="860"/>
      <c r="U418" s="860"/>
      <c r="V418" s="860"/>
      <c r="W418" s="860"/>
      <c r="X418" s="864"/>
      <c r="Y418" s="865"/>
      <c r="Z418" s="865"/>
      <c r="AA418" s="866"/>
      <c r="AB418" s="867"/>
      <c r="AC418" s="868"/>
      <c r="AD418" s="866"/>
      <c r="AE418" s="860"/>
      <c r="AF418" s="869"/>
      <c r="AG418" s="869"/>
      <c r="AH418" s="870"/>
      <c r="AI418" s="871"/>
      <c r="AJ418" s="870"/>
      <c r="AK418" s="870"/>
      <c r="AL418" s="860"/>
      <c r="AM418" s="860"/>
      <c r="AN418" s="860"/>
      <c r="AO418" s="860"/>
      <c r="AP418" s="860"/>
      <c r="AQ418" s="860"/>
      <c r="AR418" s="860"/>
      <c r="AS418" s="860"/>
      <c r="AT418" s="860"/>
      <c r="AU418" s="860"/>
      <c r="AV418" s="860"/>
      <c r="AW418" s="860"/>
      <c r="AX418" s="860"/>
      <c r="AY418" s="860"/>
      <c r="AZ418" s="860"/>
      <c r="BA418" s="860"/>
      <c r="BB418" s="860"/>
      <c r="BC418" s="860"/>
      <c r="BD418" s="860"/>
      <c r="BE418" s="860"/>
      <c r="BF418" s="860"/>
      <c r="BG418" s="860"/>
      <c r="BH418" s="860"/>
      <c r="BI418" s="860"/>
      <c r="BJ418" s="860"/>
      <c r="BK418" s="860"/>
      <c r="BL418" s="860"/>
      <c r="BM418" s="860"/>
      <c r="BN418" s="872"/>
      <c r="BO418" s="872"/>
      <c r="BP418" s="872"/>
      <c r="BQ418" s="872"/>
      <c r="BR418" s="872"/>
      <c r="BS418" s="872"/>
      <c r="BT418" s="860"/>
      <c r="BU418" s="860"/>
      <c r="BV418" s="860"/>
      <c r="BW418" s="860"/>
      <c r="BX418" s="872"/>
      <c r="BY418" s="872"/>
      <c r="BZ418" s="872"/>
      <c r="CA418" s="872"/>
      <c r="CB418" s="872"/>
      <c r="CC418" s="872"/>
    </row>
    <row r="419" s="860" customFormat="1" ht="13.5" spans="1:81">
      <c r="A419" s="861"/>
      <c r="B419" s="860"/>
      <c r="C419" s="860"/>
      <c r="D419" s="860"/>
      <c r="E419" s="862"/>
      <c r="F419" s="860"/>
      <c r="G419" s="860"/>
      <c r="H419" s="860"/>
      <c r="I419" s="860"/>
      <c r="J419" s="860"/>
      <c r="K419" s="860"/>
      <c r="L419" s="860"/>
      <c r="M419" s="860"/>
      <c r="N419" s="860"/>
      <c r="O419" s="860"/>
      <c r="P419" s="860"/>
      <c r="Q419" s="860"/>
      <c r="R419" s="860"/>
      <c r="S419" s="860"/>
      <c r="T419" s="860"/>
      <c r="U419" s="860"/>
      <c r="V419" s="860"/>
      <c r="W419" s="860"/>
      <c r="X419" s="864"/>
      <c r="Y419" s="865"/>
      <c r="Z419" s="865"/>
      <c r="AA419" s="866"/>
      <c r="AB419" s="867"/>
      <c r="AC419" s="868"/>
      <c r="AD419" s="866"/>
      <c r="AE419" s="860"/>
      <c r="AF419" s="869"/>
      <c r="AG419" s="869"/>
      <c r="AH419" s="870"/>
      <c r="AI419" s="871"/>
      <c r="AJ419" s="870"/>
      <c r="AK419" s="870"/>
      <c r="AL419" s="860"/>
      <c r="AM419" s="860"/>
      <c r="AN419" s="860"/>
      <c r="AO419" s="860"/>
      <c r="AP419" s="860"/>
      <c r="AQ419" s="860"/>
      <c r="AR419" s="860"/>
      <c r="AS419" s="860"/>
      <c r="AT419" s="860"/>
      <c r="AU419" s="860"/>
      <c r="AV419" s="860"/>
      <c r="AW419" s="860"/>
      <c r="AX419" s="860"/>
      <c r="AY419" s="860"/>
      <c r="AZ419" s="860"/>
      <c r="BA419" s="860"/>
      <c r="BB419" s="860"/>
      <c r="BC419" s="860"/>
      <c r="BD419" s="860"/>
      <c r="BE419" s="860"/>
      <c r="BF419" s="860"/>
      <c r="BG419" s="860"/>
      <c r="BH419" s="860"/>
      <c r="BI419" s="860"/>
      <c r="BJ419" s="860"/>
      <c r="BK419" s="860"/>
      <c r="BL419" s="860"/>
      <c r="BM419" s="860"/>
      <c r="BN419" s="872"/>
      <c r="BO419" s="872"/>
      <c r="BP419" s="872"/>
      <c r="BQ419" s="872"/>
      <c r="BR419" s="872"/>
      <c r="BS419" s="872"/>
      <c r="BT419" s="860"/>
      <c r="BU419" s="860"/>
      <c r="BV419" s="860"/>
      <c r="BW419" s="860"/>
      <c r="BX419" s="872"/>
      <c r="BY419" s="872"/>
      <c r="BZ419" s="872"/>
      <c r="CA419" s="872"/>
      <c r="CB419" s="872"/>
      <c r="CC419" s="872"/>
    </row>
    <row r="420" s="860" customFormat="1" ht="13.5" spans="1:81">
      <c r="A420" s="861"/>
      <c r="B420" s="860"/>
      <c r="C420" s="860"/>
      <c r="D420" s="860"/>
      <c r="E420" s="862"/>
      <c r="F420" s="860"/>
      <c r="G420" s="860"/>
      <c r="H420" s="860"/>
      <c r="I420" s="860"/>
      <c r="J420" s="860"/>
      <c r="K420" s="860"/>
      <c r="L420" s="860"/>
      <c r="M420" s="860"/>
      <c r="N420" s="860"/>
      <c r="O420" s="860"/>
      <c r="P420" s="860"/>
      <c r="Q420" s="860"/>
      <c r="R420" s="860"/>
      <c r="S420" s="860"/>
      <c r="T420" s="860"/>
      <c r="U420" s="860"/>
      <c r="V420" s="860"/>
      <c r="W420" s="860"/>
      <c r="X420" s="864"/>
      <c r="Y420" s="865"/>
      <c r="Z420" s="865"/>
      <c r="AA420" s="866"/>
      <c r="AB420" s="867"/>
      <c r="AC420" s="868"/>
      <c r="AD420" s="866"/>
      <c r="AE420" s="860"/>
      <c r="AF420" s="869"/>
      <c r="AG420" s="869"/>
      <c r="AH420" s="870"/>
      <c r="AI420" s="871"/>
      <c r="AJ420" s="870"/>
      <c r="AK420" s="870"/>
      <c r="AL420" s="860"/>
      <c r="AM420" s="860"/>
      <c r="AN420" s="860"/>
      <c r="AO420" s="860"/>
      <c r="AP420" s="860"/>
      <c r="AQ420" s="860"/>
      <c r="AR420" s="860"/>
      <c r="AS420" s="860"/>
      <c r="AT420" s="860"/>
      <c r="AU420" s="860"/>
      <c r="AV420" s="860"/>
      <c r="AW420" s="860"/>
      <c r="AX420" s="860"/>
      <c r="AY420" s="860"/>
      <c r="AZ420" s="860"/>
      <c r="BA420" s="860"/>
      <c r="BB420" s="860"/>
      <c r="BC420" s="860"/>
      <c r="BD420" s="860"/>
      <c r="BE420" s="860"/>
      <c r="BF420" s="860"/>
      <c r="BG420" s="860"/>
      <c r="BH420" s="860"/>
      <c r="BI420" s="860"/>
      <c r="BJ420" s="860"/>
      <c r="BK420" s="860"/>
      <c r="BL420" s="860"/>
      <c r="BM420" s="860"/>
      <c r="BN420" s="872"/>
      <c r="BO420" s="872"/>
      <c r="BP420" s="872"/>
      <c r="BQ420" s="872"/>
      <c r="BR420" s="872"/>
      <c r="BS420" s="872"/>
      <c r="BT420" s="860"/>
      <c r="BU420" s="860"/>
      <c r="BV420" s="860"/>
      <c r="BW420" s="860"/>
      <c r="BX420" s="872"/>
      <c r="BY420" s="872"/>
      <c r="BZ420" s="872"/>
      <c r="CA420" s="872"/>
      <c r="CB420" s="872"/>
      <c r="CC420" s="872"/>
    </row>
    <row r="421" s="860" customFormat="1" ht="13.5" spans="1:81">
      <c r="A421" s="861"/>
      <c r="B421" s="860"/>
      <c r="C421" s="860"/>
      <c r="D421" s="860"/>
      <c r="E421" s="862"/>
      <c r="F421" s="860"/>
      <c r="G421" s="860"/>
      <c r="H421" s="860"/>
      <c r="I421" s="860"/>
      <c r="J421" s="860"/>
      <c r="K421" s="860"/>
      <c r="L421" s="860"/>
      <c r="M421" s="860"/>
      <c r="N421" s="860"/>
      <c r="O421" s="860"/>
      <c r="P421" s="860"/>
      <c r="Q421" s="860"/>
      <c r="R421" s="860"/>
      <c r="S421" s="860"/>
      <c r="T421" s="860"/>
      <c r="U421" s="860"/>
      <c r="V421" s="860"/>
      <c r="W421" s="860"/>
      <c r="X421" s="864"/>
      <c r="Y421" s="865"/>
      <c r="Z421" s="865"/>
      <c r="AA421" s="866"/>
      <c r="AB421" s="867"/>
      <c r="AC421" s="868"/>
      <c r="AD421" s="866"/>
      <c r="AE421" s="860"/>
      <c r="AF421" s="869"/>
      <c r="AG421" s="869"/>
      <c r="AH421" s="870"/>
      <c r="AI421" s="871"/>
      <c r="AJ421" s="870"/>
      <c r="AK421" s="870"/>
      <c r="AL421" s="860"/>
      <c r="AM421" s="860"/>
      <c r="AN421" s="860"/>
      <c r="AO421" s="860"/>
      <c r="AP421" s="860"/>
      <c r="AQ421" s="860"/>
      <c r="AR421" s="860"/>
      <c r="AS421" s="860"/>
      <c r="AT421" s="860"/>
      <c r="AU421" s="860"/>
      <c r="AV421" s="860"/>
      <c r="AW421" s="860"/>
      <c r="AX421" s="860"/>
      <c r="AY421" s="860"/>
      <c r="AZ421" s="860"/>
      <c r="BA421" s="860"/>
      <c r="BB421" s="860"/>
      <c r="BC421" s="860"/>
      <c r="BD421" s="860"/>
      <c r="BE421" s="860"/>
      <c r="BF421" s="860"/>
      <c r="BG421" s="860"/>
      <c r="BH421" s="860"/>
      <c r="BI421" s="860"/>
      <c r="BJ421" s="860"/>
      <c r="BK421" s="860"/>
      <c r="BL421" s="860"/>
      <c r="BM421" s="860"/>
      <c r="BN421" s="872"/>
      <c r="BO421" s="872"/>
      <c r="BP421" s="872"/>
      <c r="BQ421" s="872"/>
      <c r="BR421" s="872"/>
      <c r="BS421" s="872"/>
      <c r="BT421" s="860"/>
      <c r="BU421" s="860"/>
      <c r="BV421" s="860"/>
      <c r="BW421" s="860"/>
      <c r="BX421" s="872"/>
      <c r="BY421" s="872"/>
      <c r="BZ421" s="872"/>
      <c r="CA421" s="872"/>
      <c r="CB421" s="872"/>
      <c r="CC421" s="872"/>
    </row>
    <row r="422" s="860" customFormat="1" ht="13.5" spans="1:81">
      <c r="A422" s="861"/>
      <c r="B422" s="860"/>
      <c r="C422" s="860"/>
      <c r="D422" s="860"/>
      <c r="E422" s="862"/>
      <c r="F422" s="860"/>
      <c r="G422" s="860"/>
      <c r="H422" s="860"/>
      <c r="I422" s="860"/>
      <c r="J422" s="860"/>
      <c r="K422" s="860"/>
      <c r="L422" s="860"/>
      <c r="M422" s="860"/>
      <c r="N422" s="860"/>
      <c r="O422" s="860"/>
      <c r="P422" s="860"/>
      <c r="Q422" s="860"/>
      <c r="R422" s="860"/>
      <c r="S422" s="860"/>
      <c r="T422" s="860"/>
      <c r="U422" s="860"/>
      <c r="V422" s="860"/>
      <c r="W422" s="860"/>
      <c r="X422" s="864"/>
      <c r="Y422" s="865"/>
      <c r="Z422" s="865"/>
      <c r="AA422" s="866"/>
      <c r="AB422" s="867"/>
      <c r="AC422" s="868"/>
      <c r="AD422" s="866"/>
      <c r="AE422" s="860"/>
      <c r="AF422" s="869"/>
      <c r="AG422" s="869"/>
      <c r="AH422" s="870"/>
      <c r="AI422" s="871"/>
      <c r="AJ422" s="870"/>
      <c r="AK422" s="870"/>
      <c r="AL422" s="860"/>
      <c r="AM422" s="860"/>
      <c r="AN422" s="860"/>
      <c r="AO422" s="860"/>
      <c r="AP422" s="860"/>
      <c r="AQ422" s="860"/>
      <c r="AR422" s="860"/>
      <c r="AS422" s="860"/>
      <c r="AT422" s="860"/>
      <c r="AU422" s="860"/>
      <c r="AV422" s="860"/>
      <c r="AW422" s="860"/>
      <c r="AX422" s="860"/>
      <c r="AY422" s="860"/>
      <c r="AZ422" s="860"/>
      <c r="BA422" s="860"/>
      <c r="BB422" s="860"/>
      <c r="BC422" s="860"/>
      <c r="BD422" s="860"/>
      <c r="BE422" s="860"/>
      <c r="BF422" s="860"/>
      <c r="BG422" s="860"/>
      <c r="BH422" s="860"/>
      <c r="BI422" s="860"/>
      <c r="BJ422" s="860"/>
      <c r="BK422" s="860"/>
      <c r="BL422" s="860"/>
      <c r="BM422" s="860"/>
      <c r="BN422" s="872"/>
      <c r="BO422" s="872"/>
      <c r="BP422" s="872"/>
      <c r="BQ422" s="872"/>
      <c r="BR422" s="872"/>
      <c r="BS422" s="872"/>
      <c r="BT422" s="860"/>
      <c r="BU422" s="860"/>
      <c r="BV422" s="860"/>
      <c r="BW422" s="860"/>
      <c r="BX422" s="872"/>
      <c r="BY422" s="872"/>
      <c r="BZ422" s="872"/>
      <c r="CA422" s="872"/>
      <c r="CB422" s="872"/>
      <c r="CC422" s="872"/>
    </row>
    <row r="423" s="860" customFormat="1" ht="13.5" spans="1:81">
      <c r="A423" s="861"/>
      <c r="B423" s="860"/>
      <c r="C423" s="860"/>
      <c r="D423" s="860"/>
      <c r="E423" s="862"/>
      <c r="F423" s="860"/>
      <c r="G423" s="860"/>
      <c r="H423" s="860"/>
      <c r="I423" s="860"/>
      <c r="J423" s="860"/>
      <c r="K423" s="860"/>
      <c r="L423" s="860"/>
      <c r="M423" s="860"/>
      <c r="N423" s="860"/>
      <c r="O423" s="860"/>
      <c r="P423" s="860"/>
      <c r="Q423" s="860"/>
      <c r="R423" s="860"/>
      <c r="S423" s="860"/>
      <c r="T423" s="860"/>
      <c r="U423" s="860"/>
      <c r="V423" s="860"/>
      <c r="W423" s="860"/>
      <c r="X423" s="864"/>
      <c r="Y423" s="865"/>
      <c r="Z423" s="865"/>
      <c r="AA423" s="866"/>
      <c r="AB423" s="867"/>
      <c r="AC423" s="868"/>
      <c r="AD423" s="866"/>
      <c r="AE423" s="860"/>
      <c r="AF423" s="869"/>
      <c r="AG423" s="869"/>
      <c r="AH423" s="870"/>
      <c r="AI423" s="871"/>
      <c r="AJ423" s="870"/>
      <c r="AK423" s="870"/>
      <c r="AL423" s="860"/>
      <c r="AM423" s="860"/>
      <c r="AN423" s="860"/>
      <c r="AO423" s="860"/>
      <c r="AP423" s="860"/>
      <c r="AQ423" s="860"/>
      <c r="AR423" s="860"/>
      <c r="AS423" s="860"/>
      <c r="AT423" s="860"/>
      <c r="AU423" s="860"/>
      <c r="AV423" s="860"/>
      <c r="AW423" s="860"/>
      <c r="AX423" s="860"/>
      <c r="AY423" s="860"/>
      <c r="AZ423" s="860"/>
      <c r="BA423" s="860"/>
      <c r="BB423" s="860"/>
      <c r="BC423" s="860"/>
      <c r="BD423" s="860"/>
      <c r="BE423" s="860"/>
      <c r="BF423" s="860"/>
      <c r="BG423" s="860"/>
      <c r="BH423" s="860"/>
      <c r="BI423" s="860"/>
      <c r="BJ423" s="860"/>
      <c r="BK423" s="860"/>
      <c r="BL423" s="860"/>
      <c r="BM423" s="860"/>
      <c r="BN423" s="872"/>
      <c r="BO423" s="872"/>
      <c r="BP423" s="872"/>
      <c r="BQ423" s="872"/>
      <c r="BR423" s="872"/>
      <c r="BS423" s="872"/>
      <c r="BT423" s="860"/>
      <c r="BU423" s="860"/>
      <c r="BV423" s="860"/>
      <c r="BW423" s="860"/>
      <c r="BX423" s="872"/>
      <c r="BY423" s="872"/>
      <c r="BZ423" s="872"/>
      <c r="CA423" s="872"/>
      <c r="CB423" s="872"/>
      <c r="CC423" s="872"/>
    </row>
    <row r="424" s="860" customFormat="1" ht="13.5" spans="1:81">
      <c r="A424" s="861"/>
      <c r="B424" s="860"/>
      <c r="C424" s="860"/>
      <c r="D424" s="860"/>
      <c r="E424" s="862"/>
      <c r="F424" s="860"/>
      <c r="G424" s="860"/>
      <c r="H424" s="860"/>
      <c r="I424" s="860"/>
      <c r="J424" s="860"/>
      <c r="K424" s="860"/>
      <c r="L424" s="860"/>
      <c r="M424" s="860"/>
      <c r="N424" s="860"/>
      <c r="O424" s="860"/>
      <c r="P424" s="860"/>
      <c r="Q424" s="860"/>
      <c r="R424" s="860"/>
      <c r="S424" s="860"/>
      <c r="T424" s="860"/>
      <c r="U424" s="860"/>
      <c r="V424" s="860"/>
      <c r="W424" s="860"/>
      <c r="X424" s="864"/>
      <c r="Y424" s="865"/>
      <c r="Z424" s="865"/>
      <c r="AA424" s="866"/>
      <c r="AB424" s="867"/>
      <c r="AC424" s="868"/>
      <c r="AD424" s="866"/>
      <c r="AE424" s="860"/>
      <c r="AF424" s="869"/>
      <c r="AG424" s="869"/>
      <c r="AH424" s="870"/>
      <c r="AI424" s="871"/>
      <c r="AJ424" s="870"/>
      <c r="AK424" s="870"/>
      <c r="AL424" s="860"/>
      <c r="AM424" s="860"/>
      <c r="AN424" s="860"/>
      <c r="AO424" s="860"/>
      <c r="AP424" s="860"/>
      <c r="AQ424" s="860"/>
      <c r="AR424" s="860"/>
      <c r="AS424" s="860"/>
      <c r="AT424" s="860"/>
      <c r="AU424" s="860"/>
      <c r="AV424" s="860"/>
      <c r="AW424" s="860"/>
      <c r="AX424" s="860"/>
      <c r="AY424" s="860"/>
      <c r="AZ424" s="860"/>
      <c r="BA424" s="860"/>
      <c r="BB424" s="860"/>
      <c r="BC424" s="860"/>
      <c r="BD424" s="860"/>
      <c r="BE424" s="860"/>
      <c r="BF424" s="860"/>
      <c r="BG424" s="860"/>
      <c r="BH424" s="860"/>
      <c r="BI424" s="860"/>
      <c r="BJ424" s="860"/>
      <c r="BK424" s="860"/>
      <c r="BL424" s="860"/>
      <c r="BM424" s="860"/>
      <c r="BN424" s="872"/>
      <c r="BO424" s="872"/>
      <c r="BP424" s="872"/>
      <c r="BQ424" s="872"/>
      <c r="BR424" s="872"/>
      <c r="BS424" s="872"/>
      <c r="BT424" s="860"/>
      <c r="BU424" s="860"/>
      <c r="BV424" s="860"/>
      <c r="BW424" s="860"/>
      <c r="BX424" s="872"/>
      <c r="BY424" s="872"/>
      <c r="BZ424" s="872"/>
      <c r="CA424" s="872"/>
      <c r="CB424" s="872"/>
      <c r="CC424" s="872"/>
    </row>
    <row r="425" s="860" customFormat="1" ht="13.5" spans="1:81">
      <c r="A425" s="861"/>
      <c r="B425" s="860"/>
      <c r="C425" s="860"/>
      <c r="D425" s="860"/>
      <c r="E425" s="862"/>
      <c r="F425" s="860"/>
      <c r="G425" s="860"/>
      <c r="H425" s="860"/>
      <c r="I425" s="860"/>
      <c r="J425" s="860"/>
      <c r="K425" s="860"/>
      <c r="L425" s="860"/>
      <c r="M425" s="860"/>
      <c r="N425" s="860"/>
      <c r="O425" s="860"/>
      <c r="P425" s="860"/>
      <c r="Q425" s="860"/>
      <c r="R425" s="860"/>
      <c r="S425" s="860"/>
      <c r="T425" s="860"/>
      <c r="U425" s="860"/>
      <c r="V425" s="860"/>
      <c r="W425" s="860"/>
      <c r="X425" s="864"/>
      <c r="Y425" s="865"/>
      <c r="Z425" s="865"/>
      <c r="AA425" s="866"/>
      <c r="AB425" s="867"/>
      <c r="AC425" s="868"/>
      <c r="AD425" s="866"/>
      <c r="AE425" s="860"/>
      <c r="AF425" s="869"/>
      <c r="AG425" s="869"/>
      <c r="AH425" s="870"/>
      <c r="AI425" s="871"/>
      <c r="AJ425" s="870"/>
      <c r="AK425" s="870"/>
      <c r="AL425" s="860"/>
      <c r="AM425" s="860"/>
      <c r="AN425" s="860"/>
      <c r="AO425" s="860"/>
      <c r="AP425" s="860"/>
      <c r="AQ425" s="860"/>
      <c r="AR425" s="860"/>
      <c r="AS425" s="860"/>
      <c r="AT425" s="860"/>
      <c r="AU425" s="860"/>
      <c r="AV425" s="860"/>
      <c r="AW425" s="860"/>
      <c r="AX425" s="860"/>
      <c r="AY425" s="860"/>
      <c r="AZ425" s="860"/>
      <c r="BA425" s="860"/>
      <c r="BB425" s="860"/>
      <c r="BC425" s="860"/>
      <c r="BD425" s="860"/>
      <c r="BE425" s="860"/>
      <c r="BF425" s="860"/>
      <c r="BG425" s="860"/>
      <c r="BH425" s="860"/>
      <c r="BI425" s="860"/>
      <c r="BJ425" s="860"/>
      <c r="BK425" s="860"/>
      <c r="BL425" s="860"/>
      <c r="BM425" s="860"/>
      <c r="BN425" s="872"/>
      <c r="BO425" s="872"/>
      <c r="BP425" s="872"/>
      <c r="BQ425" s="872"/>
      <c r="BR425" s="872"/>
      <c r="BS425" s="872"/>
      <c r="BT425" s="860"/>
      <c r="BU425" s="860"/>
      <c r="BV425" s="860"/>
      <c r="BW425" s="860"/>
      <c r="BX425" s="872"/>
      <c r="BY425" s="872"/>
      <c r="BZ425" s="872"/>
      <c r="CA425" s="872"/>
      <c r="CB425" s="872"/>
      <c r="CC425" s="872"/>
    </row>
    <row r="426" s="860" customFormat="1" ht="13.5" spans="1:81">
      <c r="A426" s="861"/>
      <c r="B426" s="860"/>
      <c r="C426" s="860"/>
      <c r="D426" s="860"/>
      <c r="E426" s="862"/>
      <c r="F426" s="860"/>
      <c r="G426" s="860"/>
      <c r="H426" s="860"/>
      <c r="I426" s="860"/>
      <c r="J426" s="860"/>
      <c r="K426" s="860"/>
      <c r="L426" s="860"/>
      <c r="M426" s="860"/>
      <c r="N426" s="860"/>
      <c r="O426" s="860"/>
      <c r="P426" s="860"/>
      <c r="Q426" s="860"/>
      <c r="R426" s="860"/>
      <c r="S426" s="860"/>
      <c r="T426" s="860"/>
      <c r="U426" s="860"/>
      <c r="V426" s="860"/>
      <c r="W426" s="860"/>
      <c r="X426" s="864"/>
      <c r="Y426" s="865"/>
      <c r="Z426" s="865"/>
      <c r="AA426" s="866"/>
      <c r="AB426" s="867"/>
      <c r="AC426" s="868"/>
      <c r="AD426" s="866"/>
      <c r="AE426" s="860"/>
      <c r="AF426" s="869"/>
      <c r="AG426" s="869"/>
      <c r="AH426" s="870"/>
      <c r="AI426" s="871"/>
      <c r="AJ426" s="870"/>
      <c r="AK426" s="870"/>
      <c r="AL426" s="860"/>
      <c r="AM426" s="860"/>
      <c r="AN426" s="860"/>
      <c r="AO426" s="860"/>
      <c r="AP426" s="860"/>
      <c r="AQ426" s="860"/>
      <c r="AR426" s="860"/>
      <c r="AS426" s="860"/>
      <c r="AT426" s="860"/>
      <c r="AU426" s="860"/>
      <c r="AV426" s="860"/>
      <c r="AW426" s="860"/>
      <c r="AX426" s="860"/>
      <c r="AY426" s="860"/>
      <c r="AZ426" s="860"/>
      <c r="BA426" s="860"/>
      <c r="BB426" s="860"/>
      <c r="BC426" s="860"/>
      <c r="BD426" s="860"/>
      <c r="BE426" s="860"/>
      <c r="BF426" s="860"/>
      <c r="BG426" s="860"/>
      <c r="BH426" s="860"/>
      <c r="BI426" s="860"/>
      <c r="BJ426" s="860"/>
      <c r="BK426" s="860"/>
      <c r="BL426" s="860"/>
      <c r="BM426" s="860"/>
      <c r="BN426" s="872"/>
      <c r="BO426" s="872"/>
      <c r="BP426" s="872"/>
      <c r="BQ426" s="872"/>
      <c r="BR426" s="872"/>
      <c r="BS426" s="872"/>
      <c r="BT426" s="860"/>
      <c r="BU426" s="860"/>
      <c r="BV426" s="860"/>
      <c r="BW426" s="860"/>
      <c r="BX426" s="872"/>
      <c r="BY426" s="872"/>
      <c r="BZ426" s="872"/>
      <c r="CA426" s="872"/>
      <c r="CB426" s="872"/>
      <c r="CC426" s="872"/>
    </row>
    <row r="427" s="860" customFormat="1" ht="13.5" spans="1:81">
      <c r="A427" s="861"/>
      <c r="B427" s="860"/>
      <c r="C427" s="860"/>
      <c r="D427" s="860"/>
      <c r="E427" s="862"/>
      <c r="F427" s="860"/>
      <c r="G427" s="860"/>
      <c r="H427" s="860"/>
      <c r="I427" s="860"/>
      <c r="J427" s="860"/>
      <c r="K427" s="860"/>
      <c r="L427" s="860"/>
      <c r="M427" s="860"/>
      <c r="N427" s="860"/>
      <c r="O427" s="860"/>
      <c r="P427" s="860"/>
      <c r="Q427" s="860"/>
      <c r="R427" s="860"/>
      <c r="S427" s="860"/>
      <c r="T427" s="860"/>
      <c r="U427" s="860"/>
      <c r="V427" s="860"/>
      <c r="W427" s="860"/>
      <c r="X427" s="864"/>
      <c r="Y427" s="865"/>
      <c r="Z427" s="865"/>
      <c r="AA427" s="866"/>
      <c r="AB427" s="867"/>
      <c r="AC427" s="868"/>
      <c r="AD427" s="866"/>
      <c r="AE427" s="860"/>
      <c r="AF427" s="869"/>
      <c r="AG427" s="869"/>
      <c r="AH427" s="870"/>
      <c r="AI427" s="871"/>
      <c r="AJ427" s="870"/>
      <c r="AK427" s="870"/>
      <c r="AL427" s="860"/>
      <c r="AM427" s="860"/>
      <c r="AN427" s="860"/>
      <c r="AO427" s="860"/>
      <c r="AP427" s="860"/>
      <c r="AQ427" s="860"/>
      <c r="AR427" s="860"/>
      <c r="AS427" s="860"/>
      <c r="AT427" s="860"/>
      <c r="AU427" s="860"/>
      <c r="AV427" s="860"/>
      <c r="AW427" s="860"/>
      <c r="AX427" s="860"/>
      <c r="AY427" s="860"/>
      <c r="AZ427" s="860"/>
      <c r="BA427" s="860"/>
      <c r="BB427" s="860"/>
      <c r="BC427" s="860"/>
      <c r="BD427" s="860"/>
      <c r="BE427" s="860"/>
      <c r="BF427" s="860"/>
      <c r="BG427" s="860"/>
      <c r="BH427" s="860"/>
      <c r="BI427" s="860"/>
      <c r="BJ427" s="860"/>
      <c r="BK427" s="860"/>
      <c r="BL427" s="860"/>
      <c r="BM427" s="860"/>
      <c r="BN427" s="872"/>
      <c r="BO427" s="872"/>
      <c r="BP427" s="872"/>
      <c r="BQ427" s="872"/>
      <c r="BR427" s="872"/>
      <c r="BS427" s="872"/>
      <c r="BT427" s="860"/>
      <c r="BU427" s="860"/>
      <c r="BV427" s="860"/>
      <c r="BW427" s="860"/>
      <c r="BX427" s="872"/>
      <c r="BY427" s="872"/>
      <c r="BZ427" s="872"/>
      <c r="CA427" s="872"/>
      <c r="CB427" s="872"/>
      <c r="CC427" s="872"/>
    </row>
    <row r="428" s="860" customFormat="1" ht="13.5" spans="1:81">
      <c r="A428" s="861"/>
      <c r="B428" s="860"/>
      <c r="C428" s="860"/>
      <c r="D428" s="860"/>
      <c r="E428" s="862"/>
      <c r="F428" s="860"/>
      <c r="G428" s="860"/>
      <c r="H428" s="860"/>
      <c r="I428" s="860"/>
      <c r="J428" s="860"/>
      <c r="K428" s="860"/>
      <c r="L428" s="860"/>
      <c r="M428" s="860"/>
      <c r="N428" s="860"/>
      <c r="O428" s="860"/>
      <c r="P428" s="860"/>
      <c r="Q428" s="860"/>
      <c r="R428" s="860"/>
      <c r="S428" s="860"/>
      <c r="T428" s="860"/>
      <c r="U428" s="860"/>
      <c r="V428" s="860"/>
      <c r="W428" s="860"/>
      <c r="X428" s="864"/>
      <c r="Y428" s="865"/>
      <c r="Z428" s="865"/>
      <c r="AA428" s="866"/>
      <c r="AB428" s="867"/>
      <c r="AC428" s="868"/>
      <c r="AD428" s="866"/>
      <c r="AE428" s="860"/>
      <c r="AF428" s="869"/>
      <c r="AG428" s="869"/>
      <c r="AH428" s="870"/>
      <c r="AI428" s="871"/>
      <c r="AJ428" s="870"/>
      <c r="AK428" s="870"/>
      <c r="AL428" s="860"/>
      <c r="AM428" s="860"/>
      <c r="AN428" s="860"/>
      <c r="AO428" s="860"/>
      <c r="AP428" s="860"/>
      <c r="AQ428" s="860"/>
      <c r="AR428" s="860"/>
      <c r="AS428" s="860"/>
      <c r="AT428" s="860"/>
      <c r="AU428" s="860"/>
      <c r="AV428" s="860"/>
      <c r="AW428" s="860"/>
      <c r="AX428" s="860"/>
      <c r="AY428" s="860"/>
      <c r="AZ428" s="860"/>
      <c r="BA428" s="860"/>
      <c r="BB428" s="860"/>
      <c r="BC428" s="860"/>
      <c r="BD428" s="860"/>
      <c r="BE428" s="860"/>
      <c r="BF428" s="860"/>
      <c r="BG428" s="860"/>
      <c r="BH428" s="860"/>
      <c r="BI428" s="860"/>
      <c r="BJ428" s="860"/>
      <c r="BK428" s="860"/>
      <c r="BL428" s="860"/>
      <c r="BM428" s="860"/>
      <c r="BN428" s="872"/>
      <c r="BO428" s="872"/>
      <c r="BP428" s="872"/>
      <c r="BQ428" s="872"/>
      <c r="BR428" s="872"/>
      <c r="BS428" s="872"/>
      <c r="BT428" s="860"/>
      <c r="BU428" s="860"/>
      <c r="BV428" s="860"/>
      <c r="BW428" s="860"/>
      <c r="BX428" s="872"/>
      <c r="BY428" s="872"/>
      <c r="BZ428" s="872"/>
      <c r="CA428" s="872"/>
      <c r="CB428" s="872"/>
      <c r="CC428" s="872"/>
    </row>
    <row r="429" s="860" customFormat="1" ht="13.5" spans="1:81">
      <c r="A429" s="861"/>
      <c r="B429" s="860"/>
      <c r="C429" s="860"/>
      <c r="D429" s="860"/>
      <c r="E429" s="862"/>
      <c r="F429" s="860"/>
      <c r="G429" s="860"/>
      <c r="H429" s="860"/>
      <c r="I429" s="860"/>
      <c r="J429" s="860"/>
      <c r="K429" s="860"/>
      <c r="L429" s="860"/>
      <c r="M429" s="860"/>
      <c r="N429" s="860"/>
      <c r="O429" s="860"/>
      <c r="P429" s="860"/>
      <c r="Q429" s="860"/>
      <c r="R429" s="860"/>
      <c r="S429" s="860"/>
      <c r="T429" s="860"/>
      <c r="U429" s="860"/>
      <c r="V429" s="860"/>
      <c r="W429" s="860"/>
      <c r="X429" s="864"/>
      <c r="Y429" s="865"/>
      <c r="Z429" s="865"/>
      <c r="AA429" s="866"/>
      <c r="AB429" s="867"/>
      <c r="AC429" s="868"/>
      <c r="AD429" s="866"/>
      <c r="AE429" s="860"/>
      <c r="AF429" s="869"/>
      <c r="AG429" s="869"/>
      <c r="AH429" s="870"/>
      <c r="AI429" s="871"/>
      <c r="AJ429" s="870"/>
      <c r="AK429" s="870"/>
      <c r="AL429" s="860"/>
      <c r="AM429" s="860"/>
      <c r="AN429" s="860"/>
      <c r="AO429" s="860"/>
      <c r="AP429" s="860"/>
      <c r="AQ429" s="860"/>
      <c r="AR429" s="860"/>
      <c r="AS429" s="860"/>
      <c r="AT429" s="860"/>
      <c r="AU429" s="860"/>
      <c r="AV429" s="860"/>
      <c r="AW429" s="860"/>
      <c r="AX429" s="860"/>
      <c r="AY429" s="860"/>
      <c r="AZ429" s="860"/>
      <c r="BA429" s="860"/>
      <c r="BB429" s="860"/>
      <c r="BC429" s="860"/>
      <c r="BD429" s="860"/>
      <c r="BE429" s="860"/>
      <c r="BF429" s="860"/>
      <c r="BG429" s="860"/>
      <c r="BH429" s="860"/>
      <c r="BI429" s="860"/>
      <c r="BJ429" s="860"/>
      <c r="BK429" s="860"/>
      <c r="BL429" s="860"/>
      <c r="BM429" s="860"/>
      <c r="BN429" s="872"/>
      <c r="BO429" s="872"/>
      <c r="BP429" s="872"/>
      <c r="BQ429" s="872"/>
      <c r="BR429" s="872"/>
      <c r="BS429" s="872"/>
      <c r="BT429" s="860"/>
      <c r="BU429" s="860"/>
      <c r="BV429" s="860"/>
      <c r="BW429" s="860"/>
      <c r="BX429" s="872"/>
      <c r="BY429" s="872"/>
      <c r="BZ429" s="872"/>
      <c r="CA429" s="872"/>
      <c r="CB429" s="872"/>
      <c r="CC429" s="872"/>
    </row>
    <row r="430" s="860" customFormat="1" ht="13.5" spans="1:81">
      <c r="A430" s="861"/>
      <c r="B430" s="860"/>
      <c r="C430" s="860"/>
      <c r="D430" s="860"/>
      <c r="E430" s="862"/>
      <c r="F430" s="860"/>
      <c r="G430" s="860"/>
      <c r="H430" s="860"/>
      <c r="I430" s="860"/>
      <c r="J430" s="860"/>
      <c r="K430" s="860"/>
      <c r="L430" s="860"/>
      <c r="M430" s="860"/>
      <c r="N430" s="860"/>
      <c r="O430" s="860"/>
      <c r="P430" s="860"/>
      <c r="Q430" s="860"/>
      <c r="R430" s="860"/>
      <c r="S430" s="860"/>
      <c r="T430" s="860"/>
      <c r="U430" s="860"/>
      <c r="V430" s="860"/>
      <c r="W430" s="860"/>
      <c r="X430" s="864"/>
      <c r="Y430" s="865"/>
      <c r="Z430" s="865"/>
      <c r="AA430" s="866"/>
      <c r="AB430" s="867"/>
      <c r="AC430" s="868"/>
      <c r="AD430" s="866"/>
      <c r="AE430" s="860"/>
      <c r="AF430" s="869"/>
      <c r="AG430" s="869"/>
      <c r="AH430" s="870"/>
      <c r="AI430" s="871"/>
      <c r="AJ430" s="870"/>
      <c r="AK430" s="870"/>
      <c r="AL430" s="860"/>
      <c r="AM430" s="860"/>
      <c r="AN430" s="860"/>
      <c r="AO430" s="860"/>
      <c r="AP430" s="860"/>
      <c r="AQ430" s="860"/>
      <c r="AR430" s="860"/>
      <c r="AS430" s="860"/>
      <c r="AT430" s="860"/>
      <c r="AU430" s="860"/>
      <c r="AV430" s="860"/>
      <c r="AW430" s="860"/>
      <c r="AX430" s="860"/>
      <c r="AY430" s="860"/>
      <c r="AZ430" s="860"/>
      <c r="BA430" s="860"/>
      <c r="BB430" s="860"/>
      <c r="BC430" s="860"/>
      <c r="BD430" s="860"/>
      <c r="BE430" s="860"/>
      <c r="BF430" s="860"/>
      <c r="BG430" s="860"/>
      <c r="BH430" s="860"/>
      <c r="BI430" s="860"/>
      <c r="BJ430" s="860"/>
      <c r="BK430" s="860"/>
      <c r="BL430" s="860"/>
      <c r="BM430" s="860"/>
      <c r="BN430" s="872"/>
      <c r="BO430" s="872"/>
      <c r="BP430" s="872"/>
      <c r="BQ430" s="872"/>
      <c r="BR430" s="872"/>
      <c r="BS430" s="872"/>
      <c r="BT430" s="860"/>
      <c r="BU430" s="860"/>
      <c r="BV430" s="860"/>
      <c r="BW430" s="860"/>
      <c r="BX430" s="872"/>
      <c r="BY430" s="872"/>
      <c r="BZ430" s="872"/>
      <c r="CA430" s="872"/>
      <c r="CB430" s="872"/>
      <c r="CC430" s="872"/>
    </row>
    <row r="431" s="860" customFormat="1" ht="13.5" spans="1:81">
      <c r="A431" s="861"/>
      <c r="B431" s="860"/>
      <c r="C431" s="860"/>
      <c r="D431" s="860"/>
      <c r="E431" s="862"/>
      <c r="F431" s="860"/>
      <c r="G431" s="860"/>
      <c r="H431" s="860"/>
      <c r="I431" s="860"/>
      <c r="J431" s="860"/>
      <c r="K431" s="860"/>
      <c r="L431" s="860"/>
      <c r="M431" s="860"/>
      <c r="N431" s="860"/>
      <c r="O431" s="860"/>
      <c r="P431" s="860"/>
      <c r="Q431" s="860"/>
      <c r="R431" s="860"/>
      <c r="S431" s="860"/>
      <c r="T431" s="860"/>
      <c r="U431" s="860"/>
      <c r="V431" s="860"/>
      <c r="W431" s="860"/>
      <c r="X431" s="864"/>
      <c r="Y431" s="865"/>
      <c r="Z431" s="865"/>
      <c r="AA431" s="866"/>
      <c r="AB431" s="867"/>
      <c r="AC431" s="868"/>
      <c r="AD431" s="866"/>
      <c r="AE431" s="860"/>
      <c r="AF431" s="869"/>
      <c r="AG431" s="869"/>
      <c r="AH431" s="870"/>
      <c r="AI431" s="871"/>
      <c r="AJ431" s="870"/>
      <c r="AK431" s="870"/>
      <c r="AL431" s="860"/>
      <c r="AM431" s="860"/>
      <c r="AN431" s="860"/>
      <c r="AO431" s="860"/>
      <c r="AP431" s="860"/>
      <c r="AQ431" s="860"/>
      <c r="AR431" s="860"/>
      <c r="AS431" s="860"/>
      <c r="AT431" s="860"/>
      <c r="AU431" s="860"/>
      <c r="AV431" s="860"/>
      <c r="AW431" s="860"/>
      <c r="AX431" s="860"/>
      <c r="AY431" s="860"/>
      <c r="AZ431" s="860"/>
      <c r="BA431" s="860"/>
      <c r="BB431" s="860"/>
      <c r="BC431" s="860"/>
      <c r="BD431" s="860"/>
      <c r="BE431" s="860"/>
      <c r="BF431" s="860"/>
      <c r="BG431" s="860"/>
      <c r="BH431" s="860"/>
      <c r="BI431" s="860"/>
      <c r="BJ431" s="860"/>
      <c r="BK431" s="860"/>
      <c r="BL431" s="860"/>
      <c r="BM431" s="860"/>
      <c r="BN431" s="872"/>
      <c r="BO431" s="872"/>
      <c r="BP431" s="872"/>
      <c r="BQ431" s="872"/>
      <c r="BR431" s="872"/>
      <c r="BS431" s="872"/>
      <c r="BT431" s="860"/>
      <c r="BU431" s="860"/>
      <c r="BV431" s="860"/>
      <c r="BW431" s="860"/>
      <c r="BX431" s="872"/>
      <c r="BY431" s="872"/>
      <c r="BZ431" s="872"/>
      <c r="CA431" s="872"/>
      <c r="CB431" s="872"/>
      <c r="CC431" s="872"/>
    </row>
    <row r="432" s="860" customFormat="1" ht="13.5" spans="1:81">
      <c r="A432" s="861"/>
      <c r="B432" s="860"/>
      <c r="C432" s="860"/>
      <c r="D432" s="860"/>
      <c r="E432" s="862"/>
      <c r="F432" s="860"/>
      <c r="G432" s="860"/>
      <c r="H432" s="860"/>
      <c r="I432" s="860"/>
      <c r="J432" s="860"/>
      <c r="K432" s="860"/>
      <c r="L432" s="860"/>
      <c r="M432" s="860"/>
      <c r="N432" s="860"/>
      <c r="O432" s="860"/>
      <c r="P432" s="860"/>
      <c r="Q432" s="860"/>
      <c r="R432" s="860"/>
      <c r="S432" s="860"/>
      <c r="T432" s="860"/>
      <c r="U432" s="860"/>
      <c r="V432" s="860"/>
      <c r="W432" s="860"/>
      <c r="X432" s="864"/>
      <c r="Y432" s="865"/>
      <c r="Z432" s="865"/>
      <c r="AA432" s="866"/>
      <c r="AB432" s="867"/>
      <c r="AC432" s="868"/>
      <c r="AD432" s="866"/>
      <c r="AE432" s="860"/>
      <c r="AF432" s="869"/>
      <c r="AG432" s="869"/>
      <c r="AH432" s="870"/>
      <c r="AI432" s="871"/>
      <c r="AJ432" s="870"/>
      <c r="AK432" s="870"/>
      <c r="AL432" s="860"/>
      <c r="AM432" s="860"/>
      <c r="AN432" s="860"/>
      <c r="AO432" s="860"/>
      <c r="AP432" s="860"/>
      <c r="AQ432" s="860"/>
      <c r="AR432" s="860"/>
      <c r="AS432" s="860"/>
      <c r="AT432" s="860"/>
      <c r="AU432" s="860"/>
      <c r="AV432" s="860"/>
      <c r="AW432" s="860"/>
      <c r="AX432" s="860"/>
      <c r="AY432" s="860"/>
      <c r="AZ432" s="860"/>
      <c r="BA432" s="860"/>
      <c r="BB432" s="860"/>
      <c r="BC432" s="860"/>
      <c r="BD432" s="860"/>
      <c r="BE432" s="860"/>
      <c r="BF432" s="860"/>
      <c r="BG432" s="860"/>
      <c r="BH432" s="860"/>
      <c r="BI432" s="860"/>
      <c r="BJ432" s="860"/>
      <c r="BK432" s="860"/>
      <c r="BL432" s="860"/>
      <c r="BM432" s="860"/>
      <c r="BN432" s="872"/>
      <c r="BO432" s="872"/>
      <c r="BP432" s="872"/>
      <c r="BQ432" s="872"/>
      <c r="BR432" s="872"/>
      <c r="BS432" s="872"/>
      <c r="BT432" s="860"/>
      <c r="BU432" s="860"/>
      <c r="BV432" s="860"/>
      <c r="BW432" s="860"/>
      <c r="BX432" s="872"/>
      <c r="BY432" s="872"/>
      <c r="BZ432" s="872"/>
      <c r="CA432" s="872"/>
      <c r="CB432" s="872"/>
      <c r="CC432" s="872"/>
    </row>
    <row r="433" s="860" customFormat="1" ht="13.5" spans="1:81">
      <c r="A433" s="861"/>
      <c r="B433" s="860"/>
      <c r="C433" s="860"/>
      <c r="D433" s="860"/>
      <c r="E433" s="862"/>
      <c r="F433" s="860"/>
      <c r="G433" s="860"/>
      <c r="H433" s="860"/>
      <c r="I433" s="860"/>
      <c r="J433" s="860"/>
      <c r="K433" s="860"/>
      <c r="L433" s="860"/>
      <c r="M433" s="860"/>
      <c r="N433" s="860"/>
      <c r="O433" s="860"/>
      <c r="P433" s="860"/>
      <c r="Q433" s="860"/>
      <c r="R433" s="860"/>
      <c r="S433" s="860"/>
      <c r="T433" s="860"/>
      <c r="U433" s="860"/>
      <c r="V433" s="860"/>
      <c r="W433" s="860"/>
      <c r="X433" s="864"/>
      <c r="Y433" s="865"/>
      <c r="Z433" s="865"/>
      <c r="AA433" s="866"/>
      <c r="AB433" s="867"/>
      <c r="AC433" s="868"/>
      <c r="AD433" s="866"/>
      <c r="AE433" s="860"/>
      <c r="AF433" s="869"/>
      <c r="AG433" s="869"/>
      <c r="AH433" s="870"/>
      <c r="AI433" s="871"/>
      <c r="AJ433" s="870"/>
      <c r="AK433" s="870"/>
      <c r="AL433" s="860"/>
      <c r="AM433" s="860"/>
      <c r="AN433" s="860"/>
      <c r="AO433" s="860"/>
      <c r="AP433" s="860"/>
      <c r="AQ433" s="860"/>
      <c r="AR433" s="860"/>
      <c r="AS433" s="860"/>
      <c r="AT433" s="860"/>
      <c r="AU433" s="860"/>
      <c r="AV433" s="860"/>
      <c r="AW433" s="860"/>
      <c r="AX433" s="860"/>
      <c r="AY433" s="860"/>
      <c r="AZ433" s="860"/>
      <c r="BA433" s="860"/>
      <c r="BB433" s="860"/>
      <c r="BC433" s="860"/>
      <c r="BD433" s="860"/>
      <c r="BE433" s="860"/>
      <c r="BF433" s="860"/>
      <c r="BG433" s="860"/>
      <c r="BH433" s="860"/>
      <c r="BI433" s="860"/>
      <c r="BJ433" s="860"/>
      <c r="BK433" s="860"/>
      <c r="BL433" s="860"/>
      <c r="BM433" s="860"/>
      <c r="BN433" s="872"/>
      <c r="BO433" s="872"/>
      <c r="BP433" s="872"/>
      <c r="BQ433" s="872"/>
      <c r="BR433" s="872"/>
      <c r="BS433" s="872"/>
      <c r="BT433" s="860"/>
      <c r="BU433" s="860"/>
      <c r="BV433" s="860"/>
      <c r="BW433" s="860"/>
      <c r="BX433" s="872"/>
      <c r="BY433" s="872"/>
      <c r="BZ433" s="872"/>
      <c r="CA433" s="872"/>
      <c r="CB433" s="872"/>
      <c r="CC433" s="872"/>
    </row>
    <row r="434" s="860" customFormat="1" ht="13.5" spans="1:81">
      <c r="A434" s="861"/>
      <c r="B434" s="860"/>
      <c r="C434" s="860"/>
      <c r="D434" s="860"/>
      <c r="E434" s="862"/>
      <c r="F434" s="860"/>
      <c r="G434" s="860"/>
      <c r="H434" s="860"/>
      <c r="I434" s="860"/>
      <c r="J434" s="860"/>
      <c r="K434" s="860"/>
      <c r="L434" s="860"/>
      <c r="M434" s="860"/>
      <c r="N434" s="860"/>
      <c r="O434" s="860"/>
      <c r="P434" s="860"/>
      <c r="Q434" s="860"/>
      <c r="R434" s="860"/>
      <c r="S434" s="860"/>
      <c r="T434" s="860"/>
      <c r="U434" s="860"/>
      <c r="V434" s="860"/>
      <c r="W434" s="860"/>
      <c r="X434" s="864"/>
      <c r="Y434" s="865"/>
      <c r="Z434" s="865"/>
      <c r="AA434" s="866"/>
      <c r="AB434" s="867"/>
      <c r="AC434" s="868"/>
      <c r="AD434" s="866"/>
      <c r="AE434" s="860"/>
      <c r="AF434" s="869"/>
      <c r="AG434" s="869"/>
      <c r="AH434" s="870"/>
      <c r="AI434" s="871"/>
      <c r="AJ434" s="870"/>
      <c r="AK434" s="870"/>
      <c r="AL434" s="860"/>
      <c r="AM434" s="860"/>
      <c r="AN434" s="860"/>
      <c r="AO434" s="860"/>
      <c r="AP434" s="860"/>
      <c r="AQ434" s="860"/>
      <c r="AR434" s="860"/>
      <c r="AS434" s="860"/>
      <c r="AT434" s="860"/>
      <c r="AU434" s="860"/>
      <c r="AV434" s="860"/>
      <c r="AW434" s="860"/>
      <c r="AX434" s="860"/>
      <c r="AY434" s="860"/>
      <c r="AZ434" s="860"/>
      <c r="BA434" s="860"/>
      <c r="BB434" s="860"/>
      <c r="BC434" s="860"/>
      <c r="BD434" s="860"/>
      <c r="BE434" s="860"/>
      <c r="BF434" s="860"/>
      <c r="BG434" s="860"/>
      <c r="BH434" s="860"/>
      <c r="BI434" s="860"/>
      <c r="BJ434" s="860"/>
      <c r="BK434" s="860"/>
      <c r="BL434" s="860"/>
      <c r="BM434" s="860"/>
      <c r="BN434" s="872"/>
      <c r="BO434" s="872"/>
      <c r="BP434" s="872"/>
      <c r="BQ434" s="872"/>
      <c r="BR434" s="872"/>
      <c r="BS434" s="872"/>
      <c r="BT434" s="860"/>
      <c r="BU434" s="860"/>
      <c r="BV434" s="860"/>
      <c r="BW434" s="860"/>
      <c r="BX434" s="872"/>
      <c r="BY434" s="872"/>
      <c r="BZ434" s="872"/>
      <c r="CA434" s="872"/>
      <c r="CB434" s="872"/>
      <c r="CC434" s="872"/>
    </row>
    <row r="435" s="860" customFormat="1" ht="13.5" spans="1:81">
      <c r="A435" s="861"/>
      <c r="B435" s="860"/>
      <c r="C435" s="860"/>
      <c r="D435" s="860"/>
      <c r="E435" s="862"/>
      <c r="F435" s="860"/>
      <c r="G435" s="860"/>
      <c r="H435" s="860"/>
      <c r="I435" s="860"/>
      <c r="J435" s="860"/>
      <c r="K435" s="860"/>
      <c r="L435" s="860"/>
      <c r="M435" s="860"/>
      <c r="N435" s="860"/>
      <c r="O435" s="860"/>
      <c r="P435" s="860"/>
      <c r="Q435" s="860"/>
      <c r="R435" s="860"/>
      <c r="S435" s="860"/>
      <c r="T435" s="860"/>
      <c r="U435" s="860"/>
      <c r="V435" s="860"/>
      <c r="W435" s="860"/>
      <c r="X435" s="864"/>
      <c r="Y435" s="865"/>
      <c r="Z435" s="865"/>
      <c r="AA435" s="866"/>
      <c r="AB435" s="867"/>
      <c r="AC435" s="868"/>
      <c r="AD435" s="866"/>
      <c r="AE435" s="860"/>
      <c r="AF435" s="869"/>
      <c r="AG435" s="869"/>
      <c r="AH435" s="870"/>
      <c r="AI435" s="871"/>
      <c r="AJ435" s="870"/>
      <c r="AK435" s="870"/>
      <c r="AL435" s="860"/>
      <c r="AM435" s="860"/>
      <c r="AN435" s="860"/>
      <c r="AO435" s="860"/>
      <c r="AP435" s="860"/>
      <c r="AQ435" s="860"/>
      <c r="AR435" s="860"/>
      <c r="AS435" s="860"/>
      <c r="AT435" s="860"/>
      <c r="AU435" s="860"/>
      <c r="AV435" s="860"/>
      <c r="AW435" s="860"/>
      <c r="AX435" s="860"/>
      <c r="AY435" s="860"/>
      <c r="AZ435" s="860"/>
      <c r="BA435" s="860"/>
      <c r="BB435" s="860"/>
      <c r="BC435" s="860"/>
      <c r="BD435" s="860"/>
      <c r="BE435" s="860"/>
      <c r="BF435" s="860"/>
      <c r="BG435" s="860"/>
      <c r="BH435" s="860"/>
      <c r="BI435" s="860"/>
      <c r="BJ435" s="860"/>
      <c r="BK435" s="860"/>
      <c r="BL435" s="860"/>
      <c r="BM435" s="860"/>
      <c r="BN435" s="872"/>
      <c r="BO435" s="872"/>
      <c r="BP435" s="872"/>
      <c r="BQ435" s="872"/>
      <c r="BR435" s="872"/>
      <c r="BS435" s="872"/>
      <c r="BT435" s="860"/>
      <c r="BU435" s="860"/>
      <c r="BV435" s="860"/>
      <c r="BW435" s="860"/>
      <c r="BX435" s="872"/>
      <c r="BY435" s="872"/>
      <c r="BZ435" s="872"/>
      <c r="CA435" s="872"/>
      <c r="CB435" s="872"/>
      <c r="CC435" s="872"/>
    </row>
    <row r="436" s="860" customFormat="1" ht="13.5" spans="1:81">
      <c r="A436" s="861"/>
      <c r="B436" s="860"/>
      <c r="C436" s="860"/>
      <c r="D436" s="860"/>
      <c r="E436" s="862"/>
      <c r="F436" s="860"/>
      <c r="G436" s="860"/>
      <c r="H436" s="860"/>
      <c r="I436" s="860"/>
      <c r="J436" s="860"/>
      <c r="K436" s="860"/>
      <c r="L436" s="860"/>
      <c r="M436" s="860"/>
      <c r="N436" s="860"/>
      <c r="O436" s="860"/>
      <c r="P436" s="860"/>
      <c r="Q436" s="860"/>
      <c r="R436" s="860"/>
      <c r="S436" s="860"/>
      <c r="T436" s="860"/>
      <c r="U436" s="860"/>
      <c r="V436" s="860"/>
      <c r="W436" s="860"/>
      <c r="X436" s="864"/>
      <c r="Y436" s="865"/>
      <c r="Z436" s="865"/>
      <c r="AA436" s="866"/>
      <c r="AB436" s="867"/>
      <c r="AC436" s="868"/>
      <c r="AD436" s="866"/>
      <c r="AE436" s="860"/>
      <c r="AF436" s="869"/>
      <c r="AG436" s="869"/>
      <c r="AH436" s="870"/>
      <c r="AI436" s="871"/>
      <c r="AJ436" s="870"/>
      <c r="AK436" s="870"/>
      <c r="AL436" s="860"/>
      <c r="AM436" s="860"/>
      <c r="AN436" s="860"/>
      <c r="AO436" s="860"/>
      <c r="AP436" s="860"/>
      <c r="AQ436" s="860"/>
      <c r="AR436" s="860"/>
      <c r="AS436" s="860"/>
      <c r="AT436" s="860"/>
      <c r="AU436" s="860"/>
      <c r="AV436" s="860"/>
      <c r="AW436" s="860"/>
      <c r="AX436" s="860"/>
      <c r="AY436" s="860"/>
      <c r="AZ436" s="860"/>
      <c r="BA436" s="860"/>
      <c r="BB436" s="860"/>
      <c r="BC436" s="860"/>
      <c r="BD436" s="860"/>
      <c r="BE436" s="860"/>
      <c r="BF436" s="860"/>
      <c r="BG436" s="860"/>
      <c r="BH436" s="860"/>
      <c r="BI436" s="860"/>
      <c r="BJ436" s="860"/>
      <c r="BK436" s="860"/>
      <c r="BL436" s="860"/>
      <c r="BM436" s="860"/>
      <c r="BN436" s="872"/>
      <c r="BO436" s="872"/>
      <c r="BP436" s="872"/>
      <c r="BQ436" s="872"/>
      <c r="BR436" s="872"/>
      <c r="BS436" s="872"/>
      <c r="BT436" s="860"/>
      <c r="BU436" s="860"/>
      <c r="BV436" s="860"/>
      <c r="BW436" s="860"/>
      <c r="BX436" s="872"/>
      <c r="BY436" s="872"/>
      <c r="BZ436" s="872"/>
      <c r="CA436" s="872"/>
      <c r="CB436" s="872"/>
      <c r="CC436" s="872"/>
    </row>
    <row r="437" s="860" customFormat="1" ht="13.5" spans="1:81">
      <c r="A437" s="861"/>
      <c r="B437" s="860"/>
      <c r="C437" s="860"/>
      <c r="D437" s="860"/>
      <c r="E437" s="862"/>
      <c r="F437" s="860"/>
      <c r="G437" s="860"/>
      <c r="H437" s="860"/>
      <c r="I437" s="860"/>
      <c r="J437" s="860"/>
      <c r="K437" s="860"/>
      <c r="L437" s="860"/>
      <c r="M437" s="860"/>
      <c r="N437" s="860"/>
      <c r="O437" s="860"/>
      <c r="P437" s="860"/>
      <c r="Q437" s="860"/>
      <c r="R437" s="860"/>
      <c r="S437" s="860"/>
      <c r="T437" s="860"/>
      <c r="U437" s="860"/>
      <c r="V437" s="860"/>
      <c r="W437" s="860"/>
      <c r="X437" s="864"/>
      <c r="Y437" s="865"/>
      <c r="Z437" s="865"/>
      <c r="AA437" s="866"/>
      <c r="AB437" s="867"/>
      <c r="AC437" s="868"/>
      <c r="AD437" s="866"/>
      <c r="AE437" s="860"/>
      <c r="AF437" s="869"/>
      <c r="AG437" s="869"/>
      <c r="AH437" s="870"/>
      <c r="AI437" s="871"/>
      <c r="AJ437" s="870"/>
      <c r="AK437" s="870"/>
      <c r="AL437" s="860"/>
      <c r="AM437" s="860"/>
      <c r="AN437" s="860"/>
      <c r="AO437" s="860"/>
      <c r="AP437" s="860"/>
      <c r="AQ437" s="860"/>
      <c r="AR437" s="860"/>
      <c r="AS437" s="860"/>
      <c r="AT437" s="860"/>
      <c r="AU437" s="860"/>
      <c r="AV437" s="860"/>
      <c r="AW437" s="860"/>
      <c r="AX437" s="860"/>
      <c r="AY437" s="860"/>
      <c r="AZ437" s="860"/>
      <c r="BA437" s="860"/>
      <c r="BB437" s="860"/>
      <c r="BC437" s="860"/>
      <c r="BD437" s="860"/>
      <c r="BE437" s="860"/>
      <c r="BF437" s="860"/>
      <c r="BG437" s="860"/>
      <c r="BH437" s="860"/>
      <c r="BI437" s="860"/>
      <c r="BJ437" s="860"/>
      <c r="BK437" s="860"/>
      <c r="BL437" s="860"/>
      <c r="BM437" s="860"/>
      <c r="BN437" s="872"/>
      <c r="BO437" s="872"/>
      <c r="BP437" s="872"/>
      <c r="BQ437" s="872"/>
      <c r="BR437" s="872"/>
      <c r="BS437" s="872"/>
      <c r="BT437" s="860"/>
      <c r="BU437" s="860"/>
      <c r="BV437" s="860"/>
      <c r="BW437" s="860"/>
      <c r="BX437" s="872"/>
      <c r="BY437" s="872"/>
      <c r="BZ437" s="872"/>
      <c r="CA437" s="872"/>
      <c r="CB437" s="872"/>
      <c r="CC437" s="872"/>
    </row>
    <row r="438" s="860" customFormat="1" ht="13.5" spans="1:81">
      <c r="A438" s="861"/>
      <c r="B438" s="860"/>
      <c r="C438" s="860"/>
      <c r="D438" s="860"/>
      <c r="E438" s="862"/>
      <c r="F438" s="860"/>
      <c r="G438" s="860"/>
      <c r="H438" s="860"/>
      <c r="I438" s="860"/>
      <c r="J438" s="860"/>
      <c r="K438" s="860"/>
      <c r="L438" s="860"/>
      <c r="M438" s="860"/>
      <c r="N438" s="860"/>
      <c r="O438" s="860"/>
      <c r="P438" s="860"/>
      <c r="Q438" s="860"/>
      <c r="R438" s="860"/>
      <c r="S438" s="860"/>
      <c r="T438" s="860"/>
      <c r="U438" s="860"/>
      <c r="V438" s="860"/>
      <c r="W438" s="860"/>
      <c r="X438" s="864"/>
      <c r="Y438" s="865"/>
      <c r="Z438" s="865"/>
      <c r="AA438" s="866"/>
      <c r="AB438" s="867"/>
      <c r="AC438" s="868"/>
      <c r="AD438" s="866"/>
      <c r="AE438" s="860"/>
      <c r="AF438" s="869"/>
      <c r="AG438" s="869"/>
      <c r="AH438" s="870"/>
      <c r="AI438" s="871"/>
      <c r="AJ438" s="870"/>
      <c r="AK438" s="870"/>
      <c r="AL438" s="860"/>
      <c r="AM438" s="860"/>
      <c r="AN438" s="860"/>
      <c r="AO438" s="860"/>
      <c r="AP438" s="860"/>
      <c r="AQ438" s="860"/>
      <c r="AR438" s="860"/>
      <c r="AS438" s="860"/>
      <c r="AT438" s="860"/>
      <c r="AU438" s="860"/>
      <c r="AV438" s="860"/>
      <c r="AW438" s="860"/>
      <c r="AX438" s="860"/>
      <c r="AY438" s="860"/>
      <c r="AZ438" s="860"/>
      <c r="BA438" s="860"/>
      <c r="BB438" s="860"/>
      <c r="BC438" s="860"/>
      <c r="BD438" s="860"/>
      <c r="BE438" s="860"/>
      <c r="BF438" s="860"/>
      <c r="BG438" s="860"/>
      <c r="BH438" s="860"/>
      <c r="BI438" s="860"/>
      <c r="BJ438" s="860"/>
      <c r="BK438" s="860"/>
      <c r="BL438" s="860"/>
      <c r="BM438" s="860"/>
      <c r="BN438" s="872"/>
      <c r="BO438" s="872"/>
      <c r="BP438" s="872"/>
      <c r="BQ438" s="872"/>
      <c r="BR438" s="872"/>
      <c r="BS438" s="872"/>
      <c r="BT438" s="860"/>
      <c r="BU438" s="860"/>
      <c r="BV438" s="860"/>
      <c r="BW438" s="860"/>
      <c r="BX438" s="872"/>
      <c r="BY438" s="872"/>
      <c r="BZ438" s="872"/>
      <c r="CA438" s="872"/>
      <c r="CB438" s="872"/>
      <c r="CC438" s="872"/>
    </row>
    <row r="439" s="860" customFormat="1" ht="13.5" spans="1:81">
      <c r="A439" s="861"/>
      <c r="B439" s="860"/>
      <c r="C439" s="860"/>
      <c r="D439" s="860"/>
      <c r="E439" s="862"/>
      <c r="F439" s="860"/>
      <c r="G439" s="860"/>
      <c r="H439" s="860"/>
      <c r="I439" s="860"/>
      <c r="J439" s="860"/>
      <c r="K439" s="860"/>
      <c r="L439" s="860"/>
      <c r="M439" s="860"/>
      <c r="N439" s="860"/>
      <c r="O439" s="860"/>
      <c r="P439" s="860"/>
      <c r="Q439" s="860"/>
      <c r="R439" s="860"/>
      <c r="S439" s="860"/>
      <c r="T439" s="860"/>
      <c r="U439" s="860"/>
      <c r="V439" s="860"/>
      <c r="W439" s="860"/>
      <c r="X439" s="864"/>
      <c r="Y439" s="865"/>
      <c r="Z439" s="865"/>
      <c r="AA439" s="866"/>
      <c r="AB439" s="867"/>
      <c r="AC439" s="868"/>
      <c r="AD439" s="866"/>
      <c r="AE439" s="860"/>
      <c r="AF439" s="869"/>
      <c r="AG439" s="869"/>
      <c r="AH439" s="870"/>
      <c r="AI439" s="871"/>
      <c r="AJ439" s="870"/>
      <c r="AK439" s="870"/>
      <c r="AL439" s="860"/>
      <c r="AM439" s="860"/>
      <c r="AN439" s="860"/>
      <c r="AO439" s="860"/>
      <c r="AP439" s="860"/>
      <c r="AQ439" s="860"/>
      <c r="AR439" s="860"/>
      <c r="AS439" s="860"/>
      <c r="AT439" s="860"/>
      <c r="AU439" s="860"/>
      <c r="AV439" s="860"/>
      <c r="AW439" s="860"/>
      <c r="AX439" s="860"/>
      <c r="AY439" s="860"/>
      <c r="AZ439" s="860"/>
      <c r="BA439" s="860"/>
      <c r="BB439" s="860"/>
      <c r="BC439" s="860"/>
      <c r="BD439" s="860"/>
      <c r="BE439" s="860"/>
      <c r="BF439" s="860"/>
      <c r="BG439" s="860"/>
      <c r="BH439" s="860"/>
      <c r="BI439" s="860"/>
      <c r="BJ439" s="860"/>
      <c r="BK439" s="860"/>
      <c r="BL439" s="860"/>
      <c r="BM439" s="860"/>
      <c r="BN439" s="872"/>
      <c r="BO439" s="872"/>
      <c r="BP439" s="872"/>
      <c r="BQ439" s="872"/>
      <c r="BR439" s="872"/>
      <c r="BS439" s="872"/>
      <c r="BT439" s="860"/>
      <c r="BU439" s="860"/>
      <c r="BV439" s="860"/>
      <c r="BW439" s="860"/>
      <c r="BX439" s="872"/>
      <c r="BY439" s="872"/>
      <c r="BZ439" s="872"/>
      <c r="CA439" s="872"/>
      <c r="CB439" s="872"/>
      <c r="CC439" s="872"/>
    </row>
    <row r="440" s="860" customFormat="1" ht="13.5" spans="1:81">
      <c r="A440" s="861"/>
      <c r="B440" s="860"/>
      <c r="C440" s="860"/>
      <c r="D440" s="860"/>
      <c r="E440" s="862"/>
      <c r="F440" s="860"/>
      <c r="G440" s="860"/>
      <c r="H440" s="860"/>
      <c r="I440" s="860"/>
      <c r="J440" s="860"/>
      <c r="K440" s="860"/>
      <c r="L440" s="860"/>
      <c r="M440" s="860"/>
      <c r="N440" s="860"/>
      <c r="O440" s="860"/>
      <c r="P440" s="860"/>
      <c r="Q440" s="860"/>
      <c r="R440" s="860"/>
      <c r="S440" s="860"/>
      <c r="T440" s="860"/>
      <c r="U440" s="860"/>
      <c r="V440" s="860"/>
      <c r="W440" s="860"/>
      <c r="X440" s="864"/>
      <c r="Y440" s="865"/>
      <c r="Z440" s="865"/>
      <c r="AA440" s="866"/>
      <c r="AB440" s="867"/>
      <c r="AC440" s="868"/>
      <c r="AD440" s="866"/>
      <c r="AE440" s="860"/>
      <c r="AF440" s="869"/>
      <c r="AG440" s="869"/>
      <c r="AH440" s="870"/>
      <c r="AI440" s="871"/>
      <c r="AJ440" s="870"/>
      <c r="AK440" s="870"/>
      <c r="AL440" s="860"/>
      <c r="AM440" s="860"/>
      <c r="AN440" s="860"/>
      <c r="AO440" s="860"/>
      <c r="AP440" s="860"/>
      <c r="AQ440" s="860"/>
      <c r="AR440" s="860"/>
      <c r="AS440" s="860"/>
      <c r="AT440" s="860"/>
      <c r="AU440" s="860"/>
      <c r="AV440" s="860"/>
      <c r="AW440" s="860"/>
      <c r="AX440" s="860"/>
      <c r="AY440" s="860"/>
      <c r="AZ440" s="860"/>
      <c r="BA440" s="860"/>
      <c r="BB440" s="860"/>
      <c r="BC440" s="860"/>
      <c r="BD440" s="860"/>
      <c r="BE440" s="860"/>
      <c r="BF440" s="860"/>
      <c r="BG440" s="860"/>
      <c r="BH440" s="860"/>
      <c r="BI440" s="860"/>
      <c r="BJ440" s="860"/>
      <c r="BK440" s="860"/>
      <c r="BL440" s="860"/>
      <c r="BM440" s="860"/>
      <c r="BN440" s="872"/>
      <c r="BO440" s="872"/>
      <c r="BP440" s="872"/>
      <c r="BQ440" s="872"/>
      <c r="BR440" s="872"/>
      <c r="BS440" s="872"/>
      <c r="BT440" s="860"/>
      <c r="BU440" s="860"/>
      <c r="BV440" s="860"/>
      <c r="BW440" s="860"/>
      <c r="BX440" s="872"/>
      <c r="BY440" s="872"/>
      <c r="BZ440" s="872"/>
      <c r="CA440" s="872"/>
      <c r="CB440" s="872"/>
      <c r="CC440" s="872"/>
    </row>
    <row r="441" s="860" customFormat="1" ht="13.5" spans="1:81">
      <c r="A441" s="861"/>
      <c r="B441" s="860"/>
      <c r="C441" s="860"/>
      <c r="D441" s="860"/>
      <c r="E441" s="862"/>
      <c r="F441" s="860"/>
      <c r="G441" s="860"/>
      <c r="H441" s="860"/>
      <c r="I441" s="860"/>
      <c r="J441" s="860"/>
      <c r="K441" s="860"/>
      <c r="L441" s="860"/>
      <c r="M441" s="860"/>
      <c r="N441" s="860"/>
      <c r="O441" s="860"/>
      <c r="P441" s="860"/>
      <c r="Q441" s="860"/>
      <c r="R441" s="860"/>
      <c r="S441" s="860"/>
      <c r="T441" s="860"/>
      <c r="U441" s="860"/>
      <c r="V441" s="860"/>
      <c r="W441" s="860"/>
      <c r="X441" s="864"/>
      <c r="Y441" s="865"/>
      <c r="Z441" s="865"/>
      <c r="AA441" s="866"/>
      <c r="AB441" s="867"/>
      <c r="AC441" s="868"/>
      <c r="AD441" s="866"/>
      <c r="AE441" s="860"/>
      <c r="AF441" s="869"/>
      <c r="AG441" s="869"/>
      <c r="AH441" s="870"/>
      <c r="AI441" s="871"/>
      <c r="AJ441" s="870"/>
      <c r="AK441" s="870"/>
      <c r="AL441" s="860"/>
      <c r="AM441" s="860"/>
      <c r="AN441" s="860"/>
      <c r="AO441" s="860"/>
      <c r="AP441" s="860"/>
      <c r="AQ441" s="860"/>
      <c r="AR441" s="860"/>
      <c r="AS441" s="860"/>
      <c r="AT441" s="860"/>
      <c r="AU441" s="860"/>
      <c r="AV441" s="860"/>
      <c r="AW441" s="860"/>
      <c r="AX441" s="860"/>
      <c r="AY441" s="860"/>
      <c r="AZ441" s="860"/>
      <c r="BA441" s="860"/>
      <c r="BB441" s="860"/>
      <c r="BC441" s="860"/>
      <c r="BD441" s="860"/>
      <c r="BE441" s="860"/>
      <c r="BF441" s="860"/>
      <c r="BG441" s="860"/>
      <c r="BH441" s="860"/>
      <c r="BI441" s="860"/>
      <c r="BJ441" s="860"/>
      <c r="BK441" s="860"/>
      <c r="BL441" s="860"/>
      <c r="BM441" s="860"/>
      <c r="BN441" s="872"/>
      <c r="BO441" s="872"/>
      <c r="BP441" s="872"/>
      <c r="BQ441" s="872"/>
      <c r="BR441" s="872"/>
      <c r="BS441" s="872"/>
      <c r="BT441" s="860"/>
      <c r="BU441" s="860"/>
      <c r="BV441" s="860"/>
      <c r="BW441" s="860"/>
      <c r="BX441" s="872"/>
      <c r="BY441" s="872"/>
      <c r="BZ441" s="872"/>
      <c r="CA441" s="872"/>
      <c r="CB441" s="872"/>
      <c r="CC441" s="872"/>
    </row>
    <row r="442" s="860" customFormat="1" ht="13.5" spans="1:81">
      <c r="A442" s="861"/>
      <c r="B442" s="860"/>
      <c r="C442" s="860"/>
      <c r="D442" s="860"/>
      <c r="E442" s="862"/>
      <c r="F442" s="860"/>
      <c r="G442" s="860"/>
      <c r="H442" s="860"/>
      <c r="I442" s="860"/>
      <c r="J442" s="860"/>
      <c r="K442" s="860"/>
      <c r="L442" s="860"/>
      <c r="M442" s="860"/>
      <c r="N442" s="860"/>
      <c r="O442" s="860"/>
      <c r="P442" s="860"/>
      <c r="Q442" s="860"/>
      <c r="R442" s="860"/>
      <c r="S442" s="860"/>
      <c r="T442" s="860"/>
      <c r="U442" s="860"/>
      <c r="V442" s="860"/>
      <c r="W442" s="860"/>
      <c r="X442" s="864"/>
      <c r="Y442" s="865"/>
      <c r="Z442" s="865"/>
      <c r="AA442" s="866"/>
      <c r="AB442" s="867"/>
      <c r="AC442" s="868"/>
      <c r="AD442" s="866"/>
      <c r="AE442" s="860"/>
      <c r="AF442" s="869"/>
      <c r="AG442" s="869"/>
      <c r="AH442" s="870"/>
      <c r="AI442" s="871"/>
      <c r="AJ442" s="870"/>
      <c r="AK442" s="870"/>
      <c r="AL442" s="860"/>
      <c r="AM442" s="860"/>
      <c r="AN442" s="860"/>
      <c r="AO442" s="860"/>
      <c r="AP442" s="860"/>
      <c r="AQ442" s="860"/>
      <c r="AR442" s="860"/>
      <c r="AS442" s="860"/>
      <c r="AT442" s="860"/>
      <c r="AU442" s="860"/>
      <c r="AV442" s="860"/>
      <c r="AW442" s="860"/>
      <c r="AX442" s="860"/>
      <c r="AY442" s="860"/>
      <c r="AZ442" s="860"/>
      <c r="BA442" s="860"/>
      <c r="BB442" s="860"/>
      <c r="BC442" s="860"/>
      <c r="BD442" s="860"/>
      <c r="BE442" s="860"/>
      <c r="BF442" s="860"/>
      <c r="BG442" s="860"/>
      <c r="BH442" s="860"/>
      <c r="BI442" s="860"/>
      <c r="BJ442" s="860"/>
      <c r="BK442" s="860"/>
      <c r="BL442" s="860"/>
      <c r="BM442" s="860"/>
      <c r="BN442" s="872"/>
      <c r="BO442" s="872"/>
      <c r="BP442" s="872"/>
      <c r="BQ442" s="872"/>
      <c r="BR442" s="872"/>
      <c r="BS442" s="872"/>
      <c r="BT442" s="860"/>
      <c r="BU442" s="860"/>
      <c r="BV442" s="860"/>
      <c r="BW442" s="860"/>
      <c r="BX442" s="872"/>
      <c r="BY442" s="872"/>
      <c r="BZ442" s="872"/>
      <c r="CA442" s="872"/>
      <c r="CB442" s="872"/>
      <c r="CC442" s="872"/>
    </row>
    <row r="443" s="860" customFormat="1" ht="13.5" spans="1:81">
      <c r="A443" s="861"/>
      <c r="B443" s="860"/>
      <c r="C443" s="860"/>
      <c r="D443" s="860"/>
      <c r="E443" s="862"/>
      <c r="F443" s="860"/>
      <c r="G443" s="860"/>
      <c r="H443" s="860"/>
      <c r="I443" s="860"/>
      <c r="J443" s="860"/>
      <c r="K443" s="860"/>
      <c r="L443" s="860"/>
      <c r="M443" s="860"/>
      <c r="N443" s="860"/>
      <c r="O443" s="860"/>
      <c r="P443" s="860"/>
      <c r="Q443" s="860"/>
      <c r="R443" s="860"/>
      <c r="S443" s="860"/>
      <c r="T443" s="860"/>
      <c r="U443" s="860"/>
      <c r="V443" s="860"/>
      <c r="W443" s="860"/>
      <c r="X443" s="864"/>
      <c r="Y443" s="865"/>
      <c r="Z443" s="865"/>
      <c r="AA443" s="866"/>
      <c r="AB443" s="867"/>
      <c r="AC443" s="868"/>
      <c r="AD443" s="866"/>
      <c r="AE443" s="860"/>
      <c r="AF443" s="869"/>
      <c r="AG443" s="869"/>
      <c r="AH443" s="870"/>
      <c r="AI443" s="871"/>
      <c r="AJ443" s="870"/>
      <c r="AK443" s="870"/>
      <c r="AL443" s="860"/>
      <c r="AM443" s="860"/>
      <c r="AN443" s="860"/>
      <c r="AO443" s="860"/>
      <c r="AP443" s="860"/>
      <c r="AQ443" s="860"/>
      <c r="AR443" s="860"/>
      <c r="AS443" s="860"/>
      <c r="AT443" s="860"/>
      <c r="AU443" s="860"/>
      <c r="AV443" s="860"/>
      <c r="AW443" s="860"/>
      <c r="AX443" s="860"/>
      <c r="AY443" s="860"/>
      <c r="AZ443" s="860"/>
      <c r="BA443" s="860"/>
      <c r="BB443" s="860"/>
      <c r="BC443" s="860"/>
      <c r="BD443" s="860"/>
      <c r="BE443" s="860"/>
      <c r="BF443" s="860"/>
      <c r="BG443" s="860"/>
      <c r="BH443" s="860"/>
      <c r="BI443" s="860"/>
      <c r="BJ443" s="860"/>
      <c r="BK443" s="860"/>
      <c r="BL443" s="860"/>
      <c r="BM443" s="860"/>
      <c r="BN443" s="872"/>
      <c r="BO443" s="872"/>
      <c r="BP443" s="872"/>
      <c r="BQ443" s="872"/>
      <c r="BR443" s="872"/>
      <c r="BS443" s="872"/>
      <c r="BT443" s="860"/>
      <c r="BU443" s="860"/>
      <c r="BV443" s="860"/>
      <c r="BW443" s="860"/>
      <c r="BX443" s="872"/>
      <c r="BY443" s="872"/>
      <c r="BZ443" s="872"/>
      <c r="CA443" s="872"/>
      <c r="CB443" s="872"/>
      <c r="CC443" s="872"/>
    </row>
    <row r="444" s="860" customFormat="1" ht="13.5" spans="1:81">
      <c r="A444" s="861"/>
      <c r="B444" s="860"/>
      <c r="C444" s="860"/>
      <c r="D444" s="860"/>
      <c r="E444" s="862"/>
      <c r="F444" s="860"/>
      <c r="G444" s="860"/>
      <c r="H444" s="860"/>
      <c r="I444" s="860"/>
      <c r="J444" s="860"/>
      <c r="K444" s="860"/>
      <c r="L444" s="860"/>
      <c r="M444" s="860"/>
      <c r="N444" s="860"/>
      <c r="O444" s="860"/>
      <c r="P444" s="860"/>
      <c r="Q444" s="860"/>
      <c r="R444" s="860"/>
      <c r="S444" s="860"/>
      <c r="T444" s="860"/>
      <c r="U444" s="860"/>
      <c r="V444" s="860"/>
      <c r="W444" s="860"/>
      <c r="X444" s="864"/>
      <c r="Y444" s="865"/>
      <c r="Z444" s="865"/>
      <c r="AA444" s="866"/>
      <c r="AB444" s="867"/>
      <c r="AC444" s="868"/>
      <c r="AD444" s="866"/>
      <c r="AE444" s="860"/>
      <c r="AF444" s="869"/>
      <c r="AG444" s="869"/>
      <c r="AH444" s="870"/>
      <c r="AI444" s="871"/>
      <c r="AJ444" s="870"/>
      <c r="AK444" s="870"/>
      <c r="AL444" s="860"/>
      <c r="AM444" s="860"/>
      <c r="AN444" s="860"/>
      <c r="AO444" s="860"/>
      <c r="AP444" s="860"/>
      <c r="AQ444" s="860"/>
      <c r="AR444" s="860"/>
      <c r="AS444" s="860"/>
      <c r="AT444" s="860"/>
      <c r="AU444" s="860"/>
      <c r="AV444" s="860"/>
      <c r="AW444" s="860"/>
      <c r="AX444" s="860"/>
      <c r="AY444" s="860"/>
      <c r="AZ444" s="860"/>
      <c r="BA444" s="860"/>
      <c r="BB444" s="860"/>
      <c r="BC444" s="860"/>
      <c r="BD444" s="860"/>
      <c r="BE444" s="860"/>
      <c r="BF444" s="860"/>
      <c r="BG444" s="860"/>
      <c r="BH444" s="860"/>
      <c r="BI444" s="860"/>
      <c r="BJ444" s="860"/>
      <c r="BK444" s="860"/>
      <c r="BL444" s="860"/>
      <c r="BM444" s="860"/>
      <c r="BN444" s="872"/>
      <c r="BO444" s="872"/>
      <c r="BP444" s="872"/>
      <c r="BQ444" s="872"/>
      <c r="BR444" s="872"/>
      <c r="BS444" s="872"/>
      <c r="BT444" s="860"/>
      <c r="BU444" s="860"/>
      <c r="BV444" s="860"/>
      <c r="BW444" s="860"/>
      <c r="BX444" s="872"/>
      <c r="BY444" s="872"/>
      <c r="BZ444" s="872"/>
      <c r="CA444" s="872"/>
      <c r="CB444" s="872"/>
      <c r="CC444" s="872"/>
    </row>
    <row r="445" s="860" customFormat="1" ht="13.5" spans="1:81">
      <c r="A445" s="861"/>
      <c r="B445" s="860"/>
      <c r="C445" s="860"/>
      <c r="D445" s="860"/>
      <c r="E445" s="862"/>
      <c r="F445" s="860"/>
      <c r="G445" s="860"/>
      <c r="H445" s="860"/>
      <c r="I445" s="860"/>
      <c r="J445" s="860"/>
      <c r="K445" s="860"/>
      <c r="L445" s="860"/>
      <c r="M445" s="860"/>
      <c r="N445" s="860"/>
      <c r="O445" s="860"/>
      <c r="P445" s="860"/>
      <c r="Q445" s="860"/>
      <c r="R445" s="860"/>
      <c r="S445" s="860"/>
      <c r="T445" s="860"/>
      <c r="U445" s="860"/>
      <c r="V445" s="860"/>
      <c r="W445" s="860"/>
      <c r="X445" s="864"/>
      <c r="Y445" s="865"/>
      <c r="Z445" s="865"/>
      <c r="AA445" s="866"/>
      <c r="AB445" s="867"/>
      <c r="AC445" s="868"/>
      <c r="AD445" s="866"/>
      <c r="AE445" s="860"/>
      <c r="AF445" s="869"/>
      <c r="AG445" s="869"/>
      <c r="AH445" s="870"/>
      <c r="AI445" s="871"/>
      <c r="AJ445" s="870"/>
      <c r="AK445" s="870"/>
      <c r="AL445" s="860"/>
      <c r="AM445" s="860"/>
      <c r="AN445" s="860"/>
      <c r="AO445" s="860"/>
      <c r="AP445" s="860"/>
      <c r="AQ445" s="860"/>
      <c r="AR445" s="860"/>
      <c r="AS445" s="860"/>
      <c r="AT445" s="860"/>
      <c r="AU445" s="860"/>
      <c r="AV445" s="860"/>
      <c r="AW445" s="860"/>
      <c r="AX445" s="860"/>
      <c r="AY445" s="860"/>
      <c r="AZ445" s="860"/>
      <c r="BA445" s="860"/>
      <c r="BB445" s="860"/>
      <c r="BC445" s="860"/>
      <c r="BD445" s="860"/>
      <c r="BE445" s="860"/>
      <c r="BF445" s="860"/>
      <c r="BG445" s="860"/>
      <c r="BH445" s="860"/>
      <c r="BI445" s="860"/>
      <c r="BJ445" s="860"/>
      <c r="BK445" s="860"/>
      <c r="BL445" s="860"/>
      <c r="BM445" s="860"/>
      <c r="BN445" s="872"/>
      <c r="BO445" s="872"/>
      <c r="BP445" s="872"/>
      <c r="BQ445" s="872"/>
      <c r="BR445" s="872"/>
      <c r="BS445" s="872"/>
      <c r="BT445" s="860"/>
      <c r="BU445" s="860"/>
      <c r="BV445" s="860"/>
      <c r="BW445" s="860"/>
      <c r="BX445" s="872"/>
      <c r="BY445" s="872"/>
      <c r="BZ445" s="872"/>
      <c r="CA445" s="872"/>
      <c r="CB445" s="872"/>
      <c r="CC445" s="872"/>
    </row>
    <row r="446" s="860" customFormat="1" ht="13.5" spans="1:81">
      <c r="A446" s="861"/>
      <c r="B446" s="860"/>
      <c r="C446" s="860"/>
      <c r="D446" s="860"/>
      <c r="E446" s="862"/>
      <c r="F446" s="860"/>
      <c r="G446" s="860"/>
      <c r="H446" s="860"/>
      <c r="I446" s="860"/>
      <c r="J446" s="860"/>
      <c r="K446" s="860"/>
      <c r="L446" s="860"/>
      <c r="M446" s="860"/>
      <c r="N446" s="860"/>
      <c r="O446" s="860"/>
      <c r="P446" s="860"/>
      <c r="Q446" s="860"/>
      <c r="R446" s="860"/>
      <c r="S446" s="860"/>
      <c r="T446" s="860"/>
      <c r="U446" s="860"/>
      <c r="V446" s="860"/>
      <c r="W446" s="860"/>
      <c r="X446" s="864"/>
      <c r="Y446" s="865"/>
      <c r="Z446" s="865"/>
      <c r="AA446" s="866"/>
      <c r="AB446" s="867"/>
      <c r="AC446" s="868"/>
      <c r="AD446" s="866"/>
      <c r="AE446" s="860"/>
      <c r="AF446" s="869"/>
      <c r="AG446" s="869"/>
      <c r="AH446" s="870"/>
      <c r="AI446" s="871"/>
      <c r="AJ446" s="870"/>
      <c r="AK446" s="870"/>
      <c r="AL446" s="860"/>
      <c r="AM446" s="860"/>
      <c r="AN446" s="860"/>
      <c r="AO446" s="860"/>
      <c r="AP446" s="860"/>
      <c r="AQ446" s="860"/>
      <c r="AR446" s="860"/>
      <c r="AS446" s="860"/>
      <c r="AT446" s="860"/>
      <c r="AU446" s="860"/>
      <c r="AV446" s="860"/>
      <c r="AW446" s="860"/>
      <c r="AX446" s="860"/>
      <c r="AY446" s="860"/>
      <c r="AZ446" s="860"/>
      <c r="BA446" s="860"/>
      <c r="BB446" s="860"/>
      <c r="BC446" s="860"/>
      <c r="BD446" s="860"/>
      <c r="BE446" s="860"/>
      <c r="BF446" s="860"/>
      <c r="BG446" s="860"/>
      <c r="BH446" s="860"/>
      <c r="BI446" s="860"/>
      <c r="BJ446" s="860"/>
      <c r="BK446" s="860"/>
      <c r="BL446" s="860"/>
      <c r="BM446" s="860"/>
      <c r="BN446" s="872"/>
      <c r="BO446" s="872"/>
      <c r="BP446" s="872"/>
      <c r="BQ446" s="872"/>
      <c r="BR446" s="872"/>
      <c r="BS446" s="872"/>
      <c r="BT446" s="860"/>
      <c r="BU446" s="860"/>
      <c r="BV446" s="860"/>
      <c r="BW446" s="860"/>
      <c r="BX446" s="872"/>
      <c r="BY446" s="872"/>
      <c r="BZ446" s="872"/>
      <c r="CA446" s="872"/>
      <c r="CB446" s="872"/>
      <c r="CC446" s="872"/>
    </row>
    <row r="447" s="860" customFormat="1" ht="13.5" spans="1:81">
      <c r="A447" s="861"/>
      <c r="B447" s="860"/>
      <c r="C447" s="860"/>
      <c r="D447" s="860"/>
      <c r="E447" s="862"/>
      <c r="F447" s="860"/>
      <c r="G447" s="860"/>
      <c r="H447" s="860"/>
      <c r="I447" s="860"/>
      <c r="J447" s="860"/>
      <c r="K447" s="860"/>
      <c r="L447" s="860"/>
      <c r="M447" s="860"/>
      <c r="N447" s="860"/>
      <c r="O447" s="860"/>
      <c r="P447" s="860"/>
      <c r="Q447" s="860"/>
      <c r="R447" s="860"/>
      <c r="S447" s="860"/>
      <c r="T447" s="860"/>
      <c r="U447" s="860"/>
      <c r="V447" s="860"/>
      <c r="W447" s="860"/>
      <c r="X447" s="864"/>
      <c r="Y447" s="865"/>
      <c r="Z447" s="865"/>
      <c r="AA447" s="866"/>
      <c r="AB447" s="867"/>
      <c r="AC447" s="868"/>
      <c r="AD447" s="866"/>
      <c r="AE447" s="860"/>
      <c r="AF447" s="869"/>
      <c r="AG447" s="869"/>
      <c r="AH447" s="870"/>
      <c r="AI447" s="871"/>
      <c r="AJ447" s="870"/>
      <c r="AK447" s="870"/>
      <c r="AL447" s="860"/>
      <c r="AM447" s="860"/>
      <c r="AN447" s="860"/>
      <c r="AO447" s="860"/>
      <c r="AP447" s="860"/>
      <c r="AQ447" s="860"/>
      <c r="AR447" s="860"/>
      <c r="AS447" s="860"/>
      <c r="AT447" s="860"/>
      <c r="AU447" s="860"/>
      <c r="AV447" s="860"/>
      <c r="AW447" s="860"/>
      <c r="AX447" s="860"/>
      <c r="AY447" s="860"/>
      <c r="AZ447" s="860"/>
      <c r="BA447" s="860"/>
      <c r="BB447" s="860"/>
      <c r="BC447" s="860"/>
      <c r="BD447" s="860"/>
      <c r="BE447" s="860"/>
      <c r="BF447" s="860"/>
      <c r="BG447" s="860"/>
      <c r="BH447" s="860"/>
      <c r="BI447" s="860"/>
      <c r="BJ447" s="860"/>
      <c r="BK447" s="860"/>
      <c r="BL447" s="860"/>
      <c r="BM447" s="860"/>
      <c r="BN447" s="872"/>
      <c r="BO447" s="872"/>
      <c r="BP447" s="872"/>
      <c r="BQ447" s="872"/>
      <c r="BR447" s="872"/>
      <c r="BS447" s="872"/>
      <c r="BT447" s="860"/>
      <c r="BU447" s="860"/>
      <c r="BV447" s="860"/>
      <c r="BW447" s="860"/>
      <c r="BX447" s="872"/>
      <c r="BY447" s="872"/>
      <c r="BZ447" s="872"/>
      <c r="CA447" s="872"/>
      <c r="CB447" s="872"/>
      <c r="CC447" s="872"/>
    </row>
    <row r="448" s="860" customFormat="1" ht="13.5" spans="1:81">
      <c r="A448" s="861"/>
      <c r="B448" s="860"/>
      <c r="C448" s="860"/>
      <c r="D448" s="860"/>
      <c r="E448" s="862"/>
      <c r="F448" s="860"/>
      <c r="G448" s="860"/>
      <c r="H448" s="860"/>
      <c r="I448" s="860"/>
      <c r="J448" s="860"/>
      <c r="K448" s="860"/>
      <c r="L448" s="860"/>
      <c r="M448" s="860"/>
      <c r="N448" s="860"/>
      <c r="O448" s="860"/>
      <c r="P448" s="860"/>
      <c r="Q448" s="860"/>
      <c r="R448" s="860"/>
      <c r="S448" s="860"/>
      <c r="T448" s="860"/>
      <c r="U448" s="860"/>
      <c r="V448" s="860"/>
      <c r="W448" s="860"/>
      <c r="X448" s="864"/>
      <c r="Y448" s="865"/>
      <c r="Z448" s="865"/>
      <c r="AA448" s="866"/>
      <c r="AB448" s="867"/>
      <c r="AC448" s="868"/>
      <c r="AD448" s="866"/>
      <c r="AE448" s="860"/>
      <c r="AF448" s="869"/>
      <c r="AG448" s="869"/>
      <c r="AH448" s="870"/>
      <c r="AI448" s="871"/>
      <c r="AJ448" s="870"/>
      <c r="AK448" s="870"/>
      <c r="AL448" s="860"/>
      <c r="AM448" s="860"/>
      <c r="AN448" s="860"/>
      <c r="AO448" s="860"/>
      <c r="AP448" s="860"/>
      <c r="AQ448" s="860"/>
      <c r="AR448" s="860"/>
      <c r="AS448" s="860"/>
      <c r="AT448" s="860"/>
      <c r="AU448" s="860"/>
      <c r="AV448" s="860"/>
      <c r="AW448" s="860"/>
      <c r="AX448" s="860"/>
      <c r="AY448" s="860"/>
      <c r="AZ448" s="860"/>
      <c r="BA448" s="860"/>
      <c r="BB448" s="860"/>
      <c r="BC448" s="860"/>
      <c r="BD448" s="860"/>
      <c r="BE448" s="860"/>
      <c r="BF448" s="860"/>
      <c r="BG448" s="860"/>
      <c r="BH448" s="860"/>
      <c r="BI448" s="860"/>
      <c r="BJ448" s="860"/>
      <c r="BK448" s="860"/>
      <c r="BL448" s="860"/>
      <c r="BM448" s="860"/>
      <c r="BN448" s="872"/>
      <c r="BO448" s="872"/>
      <c r="BP448" s="872"/>
      <c r="BQ448" s="872"/>
      <c r="BR448" s="872"/>
      <c r="BS448" s="872"/>
      <c r="BT448" s="860"/>
      <c r="BU448" s="860"/>
      <c r="BV448" s="860"/>
      <c r="BW448" s="860"/>
      <c r="BX448" s="872"/>
      <c r="BY448" s="872"/>
      <c r="BZ448" s="872"/>
      <c r="CA448" s="872"/>
      <c r="CB448" s="872"/>
      <c r="CC448" s="872"/>
    </row>
    <row r="449" s="860" customFormat="1" ht="13.5" spans="1:81">
      <c r="A449" s="861"/>
      <c r="B449" s="860"/>
      <c r="C449" s="860"/>
      <c r="D449" s="860"/>
      <c r="E449" s="862"/>
      <c r="F449" s="860"/>
      <c r="G449" s="860"/>
      <c r="H449" s="860"/>
      <c r="I449" s="860"/>
      <c r="J449" s="860"/>
      <c r="K449" s="860"/>
      <c r="L449" s="860"/>
      <c r="M449" s="860"/>
      <c r="N449" s="860"/>
      <c r="O449" s="860"/>
      <c r="P449" s="860"/>
      <c r="Q449" s="860"/>
      <c r="R449" s="860"/>
      <c r="S449" s="860"/>
      <c r="T449" s="860"/>
      <c r="U449" s="860"/>
      <c r="V449" s="860"/>
      <c r="W449" s="860"/>
      <c r="X449" s="864"/>
      <c r="Y449" s="865"/>
      <c r="Z449" s="865"/>
      <c r="AA449" s="866"/>
      <c r="AB449" s="867"/>
      <c r="AC449" s="868"/>
      <c r="AD449" s="866"/>
      <c r="AE449" s="860"/>
      <c r="AF449" s="869"/>
      <c r="AG449" s="869"/>
      <c r="AH449" s="870"/>
      <c r="AI449" s="871"/>
      <c r="AJ449" s="870"/>
      <c r="AK449" s="870"/>
      <c r="AL449" s="860"/>
      <c r="AM449" s="860"/>
      <c r="AN449" s="860"/>
      <c r="AO449" s="860"/>
      <c r="AP449" s="860"/>
      <c r="AQ449" s="860"/>
      <c r="AR449" s="860"/>
      <c r="AS449" s="860"/>
      <c r="AT449" s="860"/>
      <c r="AU449" s="860"/>
      <c r="AV449" s="860"/>
      <c r="AW449" s="860"/>
      <c r="AX449" s="860"/>
      <c r="AY449" s="860"/>
      <c r="AZ449" s="860"/>
      <c r="BA449" s="860"/>
      <c r="BB449" s="860"/>
      <c r="BC449" s="860"/>
      <c r="BD449" s="860"/>
      <c r="BE449" s="860"/>
      <c r="BF449" s="860"/>
      <c r="BG449" s="860"/>
      <c r="BH449" s="860"/>
      <c r="BI449" s="860"/>
      <c r="BJ449" s="860"/>
      <c r="BK449" s="860"/>
      <c r="BL449" s="860"/>
      <c r="BM449" s="860"/>
      <c r="BN449" s="872"/>
      <c r="BO449" s="872"/>
      <c r="BP449" s="872"/>
      <c r="BQ449" s="872"/>
      <c r="BR449" s="872"/>
      <c r="BS449" s="872"/>
      <c r="BT449" s="860"/>
      <c r="BU449" s="860"/>
      <c r="BV449" s="860"/>
      <c r="BW449" s="860"/>
      <c r="BX449" s="872"/>
      <c r="BY449" s="872"/>
      <c r="BZ449" s="872"/>
      <c r="CA449" s="872"/>
      <c r="CB449" s="872"/>
      <c r="CC449" s="872"/>
    </row>
    <row r="450" s="860" customFormat="1" ht="13.5" spans="1:81">
      <c r="A450" s="861"/>
      <c r="B450" s="860"/>
      <c r="C450" s="860"/>
      <c r="D450" s="860"/>
      <c r="E450" s="862"/>
      <c r="F450" s="860"/>
      <c r="G450" s="860"/>
      <c r="H450" s="860"/>
      <c r="I450" s="860"/>
      <c r="J450" s="860"/>
      <c r="K450" s="860"/>
      <c r="L450" s="860"/>
      <c r="M450" s="860"/>
      <c r="N450" s="860"/>
      <c r="O450" s="860"/>
      <c r="P450" s="860"/>
      <c r="Q450" s="860"/>
      <c r="R450" s="860"/>
      <c r="S450" s="860"/>
      <c r="T450" s="860"/>
      <c r="U450" s="860"/>
      <c r="V450" s="860"/>
      <c r="W450" s="860"/>
      <c r="X450" s="864"/>
      <c r="Y450" s="865"/>
      <c r="Z450" s="865"/>
      <c r="AA450" s="866"/>
      <c r="AB450" s="867"/>
      <c r="AC450" s="868"/>
      <c r="AD450" s="866"/>
      <c r="AE450" s="860"/>
      <c r="AF450" s="869"/>
      <c r="AG450" s="869"/>
      <c r="AH450" s="870"/>
      <c r="AI450" s="871"/>
      <c r="AJ450" s="870"/>
      <c r="AK450" s="870"/>
      <c r="AL450" s="860"/>
      <c r="AM450" s="860"/>
      <c r="AN450" s="860"/>
      <c r="AO450" s="860"/>
      <c r="AP450" s="860"/>
      <c r="AQ450" s="860"/>
      <c r="AR450" s="860"/>
      <c r="AS450" s="860"/>
      <c r="AT450" s="860"/>
      <c r="AU450" s="860"/>
      <c r="AV450" s="860"/>
      <c r="AW450" s="860"/>
      <c r="AX450" s="860"/>
      <c r="AY450" s="860"/>
      <c r="AZ450" s="860"/>
      <c r="BA450" s="860"/>
      <c r="BB450" s="860"/>
      <c r="BC450" s="860"/>
      <c r="BD450" s="860"/>
      <c r="BE450" s="860"/>
      <c r="BF450" s="860"/>
      <c r="BG450" s="860"/>
      <c r="BH450" s="860"/>
      <c r="BI450" s="860"/>
      <c r="BJ450" s="860"/>
      <c r="BK450" s="860"/>
      <c r="BL450" s="860"/>
      <c r="BM450" s="860"/>
      <c r="BN450" s="872"/>
      <c r="BO450" s="872"/>
      <c r="BP450" s="872"/>
      <c r="BQ450" s="872"/>
      <c r="BR450" s="872"/>
      <c r="BS450" s="872"/>
      <c r="BT450" s="860"/>
      <c r="BU450" s="860"/>
      <c r="BV450" s="860"/>
      <c r="BW450" s="860"/>
      <c r="BX450" s="872"/>
      <c r="BY450" s="872"/>
      <c r="BZ450" s="872"/>
      <c r="CA450" s="872"/>
      <c r="CB450" s="872"/>
      <c r="CC450" s="872"/>
    </row>
    <row r="451" s="860" customFormat="1" ht="13.5" spans="1:81">
      <c r="A451" s="861"/>
      <c r="B451" s="860"/>
      <c r="C451" s="860"/>
      <c r="D451" s="860"/>
      <c r="E451" s="862"/>
      <c r="F451" s="860"/>
      <c r="G451" s="860"/>
      <c r="H451" s="860"/>
      <c r="I451" s="860"/>
      <c r="J451" s="860"/>
      <c r="K451" s="860"/>
      <c r="L451" s="860"/>
      <c r="M451" s="860"/>
      <c r="N451" s="860"/>
      <c r="O451" s="860"/>
      <c r="P451" s="860"/>
      <c r="Q451" s="860"/>
      <c r="R451" s="860"/>
      <c r="S451" s="860"/>
      <c r="T451" s="860"/>
      <c r="U451" s="860"/>
      <c r="V451" s="860"/>
      <c r="W451" s="860"/>
      <c r="X451" s="864"/>
      <c r="Y451" s="865"/>
      <c r="Z451" s="865"/>
      <c r="AA451" s="866"/>
      <c r="AB451" s="867"/>
      <c r="AC451" s="868"/>
      <c r="AD451" s="866"/>
      <c r="AE451" s="860"/>
      <c r="AF451" s="869"/>
      <c r="AG451" s="869"/>
      <c r="AH451" s="870"/>
      <c r="AI451" s="871"/>
      <c r="AJ451" s="870"/>
      <c r="AK451" s="870"/>
      <c r="AL451" s="860"/>
      <c r="AM451" s="860"/>
      <c r="AN451" s="860"/>
      <c r="AO451" s="860"/>
      <c r="AP451" s="860"/>
      <c r="AQ451" s="860"/>
      <c r="AR451" s="860"/>
      <c r="AS451" s="860"/>
      <c r="AT451" s="860"/>
      <c r="AU451" s="860"/>
      <c r="AV451" s="860"/>
      <c r="AW451" s="860"/>
      <c r="AX451" s="860"/>
      <c r="AY451" s="860"/>
      <c r="AZ451" s="860"/>
      <c r="BA451" s="860"/>
      <c r="BB451" s="860"/>
      <c r="BC451" s="860"/>
      <c r="BD451" s="860"/>
      <c r="BE451" s="860"/>
      <c r="BF451" s="860"/>
      <c r="BG451" s="860"/>
      <c r="BH451" s="860"/>
      <c r="BI451" s="860"/>
      <c r="BJ451" s="860"/>
      <c r="BK451" s="860"/>
      <c r="BL451" s="860"/>
      <c r="BM451" s="860"/>
      <c r="BN451" s="872"/>
      <c r="BO451" s="872"/>
      <c r="BP451" s="872"/>
      <c r="BQ451" s="872"/>
      <c r="BR451" s="872"/>
      <c r="BS451" s="872"/>
      <c r="BT451" s="860"/>
      <c r="BU451" s="860"/>
      <c r="BV451" s="860"/>
      <c r="BW451" s="860"/>
      <c r="BX451" s="872"/>
      <c r="BY451" s="872"/>
      <c r="BZ451" s="872"/>
      <c r="CA451" s="872"/>
      <c r="CB451" s="872"/>
      <c r="CC451" s="872"/>
    </row>
    <row r="452" s="860" customFormat="1" ht="13.5" spans="1:81">
      <c r="A452" s="861"/>
      <c r="B452" s="860"/>
      <c r="C452" s="860"/>
      <c r="D452" s="860"/>
      <c r="E452" s="862"/>
      <c r="F452" s="860"/>
      <c r="G452" s="860"/>
      <c r="H452" s="860"/>
      <c r="I452" s="860"/>
      <c r="J452" s="860"/>
      <c r="K452" s="860"/>
      <c r="L452" s="860"/>
      <c r="M452" s="860"/>
      <c r="N452" s="860"/>
      <c r="O452" s="860"/>
      <c r="P452" s="860"/>
      <c r="Q452" s="860"/>
      <c r="R452" s="860"/>
      <c r="S452" s="860"/>
      <c r="T452" s="860"/>
      <c r="U452" s="860"/>
      <c r="V452" s="860"/>
      <c r="W452" s="860"/>
      <c r="X452" s="864"/>
      <c r="Y452" s="865"/>
      <c r="Z452" s="865"/>
      <c r="AA452" s="866"/>
      <c r="AB452" s="867"/>
      <c r="AC452" s="868"/>
      <c r="AD452" s="866"/>
      <c r="AE452" s="860"/>
      <c r="AF452" s="869"/>
      <c r="AG452" s="869"/>
      <c r="AH452" s="870"/>
      <c r="AI452" s="871"/>
      <c r="AJ452" s="870"/>
      <c r="AK452" s="870"/>
      <c r="AL452" s="860"/>
      <c r="AM452" s="860"/>
      <c r="AN452" s="860"/>
      <c r="AO452" s="860"/>
      <c r="AP452" s="860"/>
      <c r="AQ452" s="860"/>
      <c r="AR452" s="860"/>
      <c r="AS452" s="860"/>
      <c r="AT452" s="860"/>
      <c r="AU452" s="860"/>
      <c r="AV452" s="860"/>
      <c r="AW452" s="860"/>
      <c r="AX452" s="860"/>
      <c r="AY452" s="860"/>
      <c r="AZ452" s="860"/>
      <c r="BA452" s="860"/>
      <c r="BB452" s="860"/>
      <c r="BC452" s="860"/>
      <c r="BD452" s="860"/>
      <c r="BE452" s="860"/>
      <c r="BF452" s="860"/>
      <c r="BG452" s="860"/>
      <c r="BH452" s="860"/>
      <c r="BI452" s="860"/>
      <c r="BJ452" s="860"/>
      <c r="BK452" s="860"/>
      <c r="BL452" s="860"/>
      <c r="BM452" s="860"/>
      <c r="BN452" s="872"/>
      <c r="BO452" s="872"/>
      <c r="BP452" s="872"/>
      <c r="BQ452" s="872"/>
      <c r="BR452" s="872"/>
      <c r="BS452" s="872"/>
      <c r="BT452" s="860"/>
      <c r="BU452" s="860"/>
      <c r="BV452" s="860"/>
      <c r="BW452" s="860"/>
      <c r="BX452" s="872"/>
      <c r="BY452" s="872"/>
      <c r="BZ452" s="872"/>
      <c r="CA452" s="872"/>
      <c r="CB452" s="872"/>
      <c r="CC452" s="872"/>
    </row>
    <row r="453" s="860" customFormat="1" ht="13.5" spans="1:81">
      <c r="A453" s="861"/>
      <c r="B453" s="860"/>
      <c r="C453" s="860"/>
      <c r="D453" s="860"/>
      <c r="E453" s="862"/>
      <c r="F453" s="860"/>
      <c r="G453" s="860"/>
      <c r="H453" s="860"/>
      <c r="I453" s="860"/>
      <c r="J453" s="860"/>
      <c r="K453" s="860"/>
      <c r="L453" s="860"/>
      <c r="M453" s="860"/>
      <c r="N453" s="860"/>
      <c r="O453" s="860"/>
      <c r="P453" s="860"/>
      <c r="Q453" s="860"/>
      <c r="R453" s="860"/>
      <c r="S453" s="860"/>
      <c r="T453" s="860"/>
      <c r="U453" s="860"/>
      <c r="V453" s="860"/>
      <c r="W453" s="860"/>
      <c r="X453" s="864"/>
      <c r="Y453" s="865"/>
      <c r="Z453" s="865"/>
      <c r="AA453" s="866"/>
      <c r="AB453" s="867"/>
      <c r="AC453" s="868"/>
      <c r="AD453" s="866"/>
      <c r="AE453" s="860"/>
      <c r="AF453" s="869"/>
      <c r="AG453" s="869"/>
      <c r="AH453" s="870"/>
      <c r="AI453" s="871"/>
      <c r="AJ453" s="870"/>
      <c r="AK453" s="870"/>
      <c r="AL453" s="860"/>
      <c r="AM453" s="860"/>
      <c r="AN453" s="860"/>
      <c r="AO453" s="860"/>
      <c r="AP453" s="860"/>
      <c r="AQ453" s="860"/>
      <c r="AR453" s="860"/>
      <c r="AS453" s="860"/>
      <c r="AT453" s="860"/>
      <c r="AU453" s="860"/>
      <c r="AV453" s="860"/>
      <c r="AW453" s="860"/>
      <c r="AX453" s="860"/>
      <c r="AY453" s="860"/>
      <c r="AZ453" s="860"/>
      <c r="BA453" s="860"/>
      <c r="BB453" s="860"/>
      <c r="BC453" s="860"/>
      <c r="BD453" s="860"/>
      <c r="BE453" s="860"/>
      <c r="BF453" s="860"/>
      <c r="BG453" s="860"/>
      <c r="BH453" s="860"/>
      <c r="BI453" s="860"/>
      <c r="BJ453" s="860"/>
      <c r="BK453" s="860"/>
      <c r="BL453" s="860"/>
      <c r="BM453" s="860"/>
      <c r="BN453" s="872"/>
      <c r="BO453" s="872"/>
      <c r="BP453" s="872"/>
      <c r="BQ453" s="872"/>
      <c r="BR453" s="872"/>
      <c r="BS453" s="872"/>
      <c r="BT453" s="860"/>
      <c r="BU453" s="860"/>
      <c r="BV453" s="860"/>
      <c r="BW453" s="860"/>
      <c r="BX453" s="872"/>
      <c r="BY453" s="872"/>
      <c r="BZ453" s="872"/>
      <c r="CA453" s="872"/>
      <c r="CB453" s="872"/>
      <c r="CC453" s="872"/>
    </row>
    <row r="454" s="860" customFormat="1" ht="13.5" spans="1:81">
      <c r="A454" s="861"/>
      <c r="B454" s="860"/>
      <c r="C454" s="860"/>
      <c r="D454" s="860"/>
      <c r="E454" s="862"/>
      <c r="F454" s="860"/>
      <c r="G454" s="860"/>
      <c r="H454" s="860"/>
      <c r="I454" s="860"/>
      <c r="J454" s="860"/>
      <c r="K454" s="860"/>
      <c r="L454" s="860"/>
      <c r="M454" s="860"/>
      <c r="N454" s="860"/>
      <c r="O454" s="860"/>
      <c r="P454" s="860"/>
      <c r="Q454" s="860"/>
      <c r="R454" s="860"/>
      <c r="S454" s="860"/>
      <c r="T454" s="860"/>
      <c r="U454" s="860"/>
      <c r="V454" s="860"/>
      <c r="W454" s="860"/>
      <c r="X454" s="864"/>
      <c r="Y454" s="865"/>
      <c r="Z454" s="865"/>
      <c r="AA454" s="866"/>
      <c r="AB454" s="867"/>
      <c r="AC454" s="868"/>
      <c r="AD454" s="866"/>
      <c r="AE454" s="860"/>
      <c r="AF454" s="869"/>
      <c r="AG454" s="869"/>
      <c r="AH454" s="870"/>
      <c r="AI454" s="871"/>
      <c r="AJ454" s="870"/>
      <c r="AK454" s="870"/>
      <c r="AL454" s="860"/>
      <c r="AM454" s="860"/>
      <c r="AN454" s="860"/>
      <c r="AO454" s="860"/>
      <c r="AP454" s="860"/>
      <c r="AQ454" s="860"/>
      <c r="AR454" s="860"/>
      <c r="AS454" s="860"/>
      <c r="AT454" s="860"/>
      <c r="AU454" s="860"/>
      <c r="AV454" s="860"/>
      <c r="AW454" s="860"/>
      <c r="AX454" s="860"/>
      <c r="AY454" s="860"/>
      <c r="AZ454" s="860"/>
      <c r="BA454" s="860"/>
      <c r="BB454" s="860"/>
      <c r="BC454" s="860"/>
      <c r="BD454" s="860"/>
      <c r="BE454" s="860"/>
      <c r="BF454" s="860"/>
      <c r="BG454" s="860"/>
      <c r="BH454" s="860"/>
      <c r="BI454" s="860"/>
      <c r="BJ454" s="860"/>
      <c r="BK454" s="860"/>
      <c r="BL454" s="860"/>
      <c r="BM454" s="860"/>
      <c r="BN454" s="872"/>
      <c r="BO454" s="872"/>
      <c r="BP454" s="872"/>
      <c r="BQ454" s="872"/>
      <c r="BR454" s="872"/>
      <c r="BS454" s="872"/>
      <c r="BT454" s="860"/>
      <c r="BU454" s="860"/>
      <c r="BV454" s="860"/>
      <c r="BW454" s="860"/>
      <c r="BX454" s="872"/>
      <c r="BY454" s="872"/>
      <c r="BZ454" s="872"/>
      <c r="CA454" s="872"/>
      <c r="CB454" s="872"/>
      <c r="CC454" s="872"/>
    </row>
    <row r="455" s="860" customFormat="1" ht="13.5" spans="1:81">
      <c r="A455" s="861"/>
      <c r="B455" s="860"/>
      <c r="C455" s="860"/>
      <c r="D455" s="860"/>
      <c r="E455" s="862"/>
      <c r="F455" s="860"/>
      <c r="G455" s="860"/>
      <c r="H455" s="860"/>
      <c r="I455" s="860"/>
      <c r="J455" s="860"/>
      <c r="K455" s="860"/>
      <c r="L455" s="860"/>
      <c r="M455" s="860"/>
      <c r="N455" s="860"/>
      <c r="O455" s="860"/>
      <c r="P455" s="860"/>
      <c r="Q455" s="860"/>
      <c r="R455" s="860"/>
      <c r="S455" s="860"/>
      <c r="T455" s="860"/>
      <c r="U455" s="860"/>
      <c r="V455" s="860"/>
      <c r="W455" s="860"/>
      <c r="X455" s="864"/>
      <c r="Y455" s="865"/>
      <c r="Z455" s="865"/>
      <c r="AA455" s="866"/>
      <c r="AB455" s="867"/>
      <c r="AC455" s="868"/>
      <c r="AD455" s="866"/>
      <c r="AE455" s="860"/>
      <c r="AF455" s="869"/>
      <c r="AG455" s="869"/>
      <c r="AH455" s="870"/>
      <c r="AI455" s="871"/>
      <c r="AJ455" s="870"/>
      <c r="AK455" s="870"/>
      <c r="AL455" s="860"/>
      <c r="AM455" s="860"/>
      <c r="AN455" s="860"/>
      <c r="AO455" s="860"/>
      <c r="AP455" s="860"/>
      <c r="AQ455" s="860"/>
      <c r="AR455" s="860"/>
      <c r="AS455" s="860"/>
      <c r="AT455" s="860"/>
      <c r="AU455" s="860"/>
      <c r="AV455" s="860"/>
      <c r="AW455" s="860"/>
      <c r="AX455" s="860"/>
      <c r="AY455" s="860"/>
      <c r="AZ455" s="860"/>
      <c r="BA455" s="860"/>
      <c r="BB455" s="860"/>
      <c r="BC455" s="860"/>
      <c r="BD455" s="860"/>
      <c r="BE455" s="860"/>
      <c r="BF455" s="860"/>
      <c r="BG455" s="860"/>
      <c r="BH455" s="860"/>
      <c r="BI455" s="860"/>
      <c r="BJ455" s="860"/>
      <c r="BK455" s="860"/>
      <c r="BL455" s="860"/>
      <c r="BM455" s="860"/>
      <c r="BN455" s="872"/>
      <c r="BO455" s="872"/>
      <c r="BP455" s="872"/>
      <c r="BQ455" s="872"/>
      <c r="BR455" s="872"/>
      <c r="BS455" s="872"/>
      <c r="BT455" s="860"/>
      <c r="BU455" s="860"/>
      <c r="BV455" s="860"/>
      <c r="BW455" s="860"/>
      <c r="BX455" s="872"/>
      <c r="BY455" s="872"/>
      <c r="BZ455" s="872"/>
      <c r="CA455" s="872"/>
      <c r="CB455" s="872"/>
      <c r="CC455" s="872"/>
    </row>
    <row r="456" s="860" customFormat="1" ht="13.5" spans="1:81">
      <c r="A456" s="861"/>
      <c r="B456" s="860"/>
      <c r="C456" s="860"/>
      <c r="D456" s="860"/>
      <c r="E456" s="862"/>
      <c r="F456" s="860"/>
      <c r="G456" s="860"/>
      <c r="H456" s="860"/>
      <c r="I456" s="860"/>
      <c r="J456" s="860"/>
      <c r="K456" s="860"/>
      <c r="L456" s="860"/>
      <c r="M456" s="860"/>
      <c r="N456" s="860"/>
      <c r="O456" s="860"/>
      <c r="P456" s="860"/>
      <c r="Q456" s="860"/>
      <c r="R456" s="860"/>
      <c r="S456" s="860"/>
      <c r="T456" s="860"/>
      <c r="U456" s="860"/>
      <c r="V456" s="860"/>
      <c r="W456" s="860"/>
      <c r="X456" s="864"/>
      <c r="Y456" s="865"/>
      <c r="Z456" s="865"/>
      <c r="AA456" s="866"/>
      <c r="AB456" s="867"/>
      <c r="AC456" s="868"/>
      <c r="AD456" s="866"/>
      <c r="AE456" s="860"/>
      <c r="AF456" s="869"/>
      <c r="AG456" s="869"/>
      <c r="AH456" s="870"/>
      <c r="AI456" s="871"/>
      <c r="AJ456" s="870"/>
      <c r="AK456" s="870"/>
      <c r="AL456" s="860"/>
      <c r="AM456" s="860"/>
      <c r="AN456" s="860"/>
      <c r="AO456" s="860"/>
      <c r="AP456" s="860"/>
      <c r="AQ456" s="860"/>
      <c r="AR456" s="860"/>
      <c r="AS456" s="860"/>
      <c r="AT456" s="860"/>
      <c r="AU456" s="860"/>
      <c r="AV456" s="860"/>
      <c r="AW456" s="860"/>
      <c r="AX456" s="860"/>
      <c r="AY456" s="860"/>
      <c r="AZ456" s="860"/>
      <c r="BA456" s="860"/>
      <c r="BB456" s="860"/>
      <c r="BC456" s="860"/>
      <c r="BD456" s="860"/>
      <c r="BE456" s="860"/>
      <c r="BF456" s="860"/>
      <c r="BG456" s="860"/>
      <c r="BH456" s="860"/>
      <c r="BI456" s="860"/>
      <c r="BJ456" s="860"/>
      <c r="BK456" s="860"/>
      <c r="BL456" s="860"/>
      <c r="BM456" s="860"/>
      <c r="BN456" s="872"/>
      <c r="BO456" s="872"/>
      <c r="BP456" s="872"/>
      <c r="BQ456" s="872"/>
      <c r="BR456" s="872"/>
      <c r="BS456" s="872"/>
      <c r="BT456" s="860"/>
      <c r="BU456" s="860"/>
      <c r="BV456" s="860"/>
      <c r="BW456" s="860"/>
      <c r="BX456" s="872"/>
      <c r="BY456" s="872"/>
      <c r="BZ456" s="872"/>
      <c r="CA456" s="872"/>
      <c r="CB456" s="872"/>
      <c r="CC456" s="872"/>
    </row>
    <row r="457" s="860" customFormat="1" ht="13.5" spans="1:81">
      <c r="A457" s="861"/>
      <c r="B457" s="860"/>
      <c r="C457" s="860"/>
      <c r="D457" s="860"/>
      <c r="E457" s="862"/>
      <c r="F457" s="860"/>
      <c r="G457" s="860"/>
      <c r="H457" s="860"/>
      <c r="I457" s="860"/>
      <c r="J457" s="860"/>
      <c r="K457" s="860"/>
      <c r="L457" s="860"/>
      <c r="M457" s="860"/>
      <c r="N457" s="860"/>
      <c r="O457" s="860"/>
      <c r="P457" s="860"/>
      <c r="Q457" s="860"/>
      <c r="R457" s="860"/>
      <c r="S457" s="860"/>
      <c r="T457" s="860"/>
      <c r="U457" s="860"/>
      <c r="V457" s="860"/>
      <c r="W457" s="860"/>
      <c r="X457" s="864"/>
      <c r="Y457" s="865"/>
      <c r="Z457" s="865"/>
      <c r="AA457" s="866"/>
      <c r="AB457" s="867"/>
      <c r="AC457" s="868"/>
      <c r="AD457" s="866"/>
      <c r="AE457" s="860"/>
      <c r="AF457" s="869"/>
      <c r="AG457" s="869"/>
      <c r="AH457" s="870"/>
      <c r="AI457" s="871"/>
      <c r="AJ457" s="870"/>
      <c r="AK457" s="870"/>
      <c r="AL457" s="860"/>
      <c r="AM457" s="860"/>
      <c r="AN457" s="860"/>
      <c r="AO457" s="860"/>
      <c r="AP457" s="860"/>
      <c r="AQ457" s="860"/>
      <c r="AR457" s="860"/>
      <c r="AS457" s="860"/>
      <c r="AT457" s="860"/>
      <c r="AU457" s="860"/>
      <c r="AV457" s="860"/>
      <c r="AW457" s="860"/>
      <c r="AX457" s="860"/>
      <c r="AY457" s="860"/>
      <c r="AZ457" s="860"/>
      <c r="BA457" s="860"/>
      <c r="BB457" s="860"/>
      <c r="BC457" s="860"/>
      <c r="BD457" s="860"/>
      <c r="BE457" s="860"/>
      <c r="BF457" s="860"/>
      <c r="BG457" s="860"/>
      <c r="BH457" s="860"/>
      <c r="BI457" s="860"/>
      <c r="BJ457" s="860"/>
      <c r="BK457" s="860"/>
      <c r="BL457" s="860"/>
      <c r="BM457" s="860"/>
      <c r="BN457" s="872"/>
      <c r="BO457" s="872"/>
      <c r="BP457" s="872"/>
      <c r="BQ457" s="872"/>
      <c r="BR457" s="872"/>
      <c r="BS457" s="872"/>
      <c r="BT457" s="860"/>
      <c r="BU457" s="860"/>
      <c r="BV457" s="860"/>
      <c r="BW457" s="860"/>
      <c r="BX457" s="872"/>
      <c r="BY457" s="872"/>
      <c r="BZ457" s="872"/>
      <c r="CA457" s="872"/>
      <c r="CB457" s="872"/>
      <c r="CC457" s="872"/>
    </row>
    <row r="458" s="860" customFormat="1" ht="13.5" spans="1:81">
      <c r="A458" s="861"/>
      <c r="B458" s="860"/>
      <c r="C458" s="860"/>
      <c r="D458" s="860"/>
      <c r="E458" s="862"/>
      <c r="F458" s="860"/>
      <c r="G458" s="860"/>
      <c r="H458" s="860"/>
      <c r="I458" s="860"/>
      <c r="J458" s="860"/>
      <c r="K458" s="860"/>
      <c r="L458" s="860"/>
      <c r="M458" s="860"/>
      <c r="N458" s="860"/>
      <c r="O458" s="860"/>
      <c r="P458" s="860"/>
      <c r="Q458" s="860"/>
      <c r="R458" s="860"/>
      <c r="S458" s="860"/>
      <c r="T458" s="860"/>
      <c r="U458" s="860"/>
      <c r="V458" s="860"/>
      <c r="W458" s="860"/>
      <c r="X458" s="864"/>
      <c r="Y458" s="865"/>
      <c r="Z458" s="865"/>
      <c r="AA458" s="866"/>
      <c r="AB458" s="867"/>
      <c r="AC458" s="868"/>
      <c r="AD458" s="866"/>
      <c r="AE458" s="860"/>
      <c r="AF458" s="869"/>
      <c r="AG458" s="869"/>
      <c r="AH458" s="870"/>
      <c r="AI458" s="871"/>
      <c r="AJ458" s="870"/>
      <c r="AK458" s="870"/>
      <c r="AL458" s="860"/>
      <c r="AM458" s="860"/>
      <c r="AN458" s="860"/>
      <c r="AO458" s="860"/>
      <c r="AP458" s="860"/>
      <c r="AQ458" s="860"/>
      <c r="AR458" s="860"/>
      <c r="AS458" s="860"/>
      <c r="AT458" s="860"/>
      <c r="AU458" s="860"/>
      <c r="AV458" s="860"/>
      <c r="AW458" s="860"/>
      <c r="AX458" s="860"/>
      <c r="AY458" s="860"/>
      <c r="AZ458" s="860"/>
      <c r="BA458" s="860"/>
      <c r="BB458" s="860"/>
      <c r="BC458" s="860"/>
      <c r="BD458" s="860"/>
      <c r="BE458" s="860"/>
      <c r="BF458" s="860"/>
      <c r="BG458" s="860"/>
      <c r="BH458" s="860"/>
      <c r="BI458" s="860"/>
      <c r="BJ458" s="860"/>
      <c r="BK458" s="860"/>
      <c r="BL458" s="860"/>
      <c r="BM458" s="860"/>
      <c r="BN458" s="872"/>
      <c r="BO458" s="872"/>
      <c r="BP458" s="872"/>
      <c r="BQ458" s="872"/>
      <c r="BR458" s="872"/>
      <c r="BS458" s="872"/>
      <c r="BT458" s="860"/>
      <c r="BU458" s="860"/>
      <c r="BV458" s="860"/>
      <c r="BW458" s="860"/>
      <c r="BX458" s="872"/>
      <c r="BY458" s="872"/>
      <c r="BZ458" s="872"/>
      <c r="CA458" s="872"/>
      <c r="CB458" s="872"/>
      <c r="CC458" s="872"/>
    </row>
    <row r="459" s="860" customFormat="1" ht="13.5" spans="1:81">
      <c r="A459" s="861"/>
      <c r="B459" s="860"/>
      <c r="C459" s="860"/>
      <c r="D459" s="860"/>
      <c r="E459" s="862"/>
      <c r="F459" s="860"/>
      <c r="G459" s="860"/>
      <c r="H459" s="860"/>
      <c r="I459" s="860"/>
      <c r="J459" s="860"/>
      <c r="K459" s="860"/>
      <c r="L459" s="860"/>
      <c r="M459" s="860"/>
      <c r="N459" s="860"/>
      <c r="O459" s="860"/>
      <c r="P459" s="860"/>
      <c r="Q459" s="860"/>
      <c r="R459" s="860"/>
      <c r="S459" s="860"/>
      <c r="T459" s="860"/>
      <c r="U459" s="860"/>
      <c r="V459" s="860"/>
      <c r="W459" s="860"/>
      <c r="X459" s="864"/>
      <c r="Y459" s="865"/>
      <c r="Z459" s="865"/>
      <c r="AA459" s="866"/>
      <c r="AB459" s="867"/>
      <c r="AC459" s="868"/>
      <c r="AD459" s="866"/>
      <c r="AE459" s="860"/>
      <c r="AF459" s="869"/>
      <c r="AG459" s="869"/>
      <c r="AH459" s="870"/>
      <c r="AI459" s="871"/>
      <c r="AJ459" s="870"/>
      <c r="AK459" s="870"/>
      <c r="AL459" s="860"/>
      <c r="AM459" s="860"/>
      <c r="AN459" s="860"/>
      <c r="AO459" s="860"/>
      <c r="AP459" s="860"/>
      <c r="AQ459" s="860"/>
      <c r="AR459" s="860"/>
      <c r="AS459" s="860"/>
      <c r="AT459" s="860"/>
      <c r="AU459" s="860"/>
      <c r="AV459" s="860"/>
      <c r="AW459" s="860"/>
      <c r="AX459" s="860"/>
      <c r="AY459" s="860"/>
      <c r="AZ459" s="860"/>
      <c r="BA459" s="860"/>
      <c r="BB459" s="860"/>
      <c r="BC459" s="860"/>
      <c r="BD459" s="860"/>
      <c r="BE459" s="860"/>
      <c r="BF459" s="860"/>
      <c r="BG459" s="860"/>
      <c r="BH459" s="860"/>
      <c r="BI459" s="860"/>
      <c r="BJ459" s="860"/>
      <c r="BK459" s="860"/>
      <c r="BL459" s="860"/>
      <c r="BM459" s="860"/>
      <c r="BN459" s="872"/>
      <c r="BO459" s="872"/>
      <c r="BP459" s="872"/>
      <c r="BQ459" s="872"/>
      <c r="BR459" s="872"/>
      <c r="BS459" s="872"/>
      <c r="BT459" s="860"/>
      <c r="BU459" s="860"/>
      <c r="BV459" s="860"/>
      <c r="BW459" s="860"/>
      <c r="BX459" s="872"/>
      <c r="BY459" s="872"/>
      <c r="BZ459" s="872"/>
      <c r="CA459" s="872"/>
      <c r="CB459" s="872"/>
      <c r="CC459" s="872"/>
    </row>
    <row r="460" s="860" customFormat="1" ht="13.5" spans="1:81">
      <c r="A460" s="861"/>
      <c r="B460" s="860"/>
      <c r="C460" s="860"/>
      <c r="D460" s="860"/>
      <c r="E460" s="862"/>
      <c r="F460" s="860"/>
      <c r="G460" s="860"/>
      <c r="H460" s="860"/>
      <c r="I460" s="860"/>
      <c r="J460" s="860"/>
      <c r="K460" s="860"/>
      <c r="L460" s="860"/>
      <c r="M460" s="860"/>
      <c r="N460" s="860"/>
      <c r="O460" s="860"/>
      <c r="P460" s="860"/>
      <c r="Q460" s="860"/>
      <c r="R460" s="860"/>
      <c r="S460" s="860"/>
      <c r="T460" s="860"/>
      <c r="U460" s="860"/>
      <c r="V460" s="860"/>
      <c r="W460" s="860"/>
      <c r="X460" s="864"/>
      <c r="Y460" s="865"/>
      <c r="Z460" s="865"/>
      <c r="AA460" s="866"/>
      <c r="AB460" s="867"/>
      <c r="AC460" s="868"/>
      <c r="AD460" s="866"/>
      <c r="AE460" s="860"/>
      <c r="AF460" s="869"/>
      <c r="AG460" s="869"/>
      <c r="AH460" s="870"/>
      <c r="AI460" s="871"/>
      <c r="AJ460" s="870"/>
      <c r="AK460" s="870"/>
      <c r="AL460" s="860"/>
      <c r="AM460" s="860"/>
      <c r="AN460" s="860"/>
      <c r="AO460" s="860"/>
      <c r="AP460" s="860"/>
      <c r="AQ460" s="860"/>
      <c r="AR460" s="860"/>
      <c r="AS460" s="860"/>
      <c r="AT460" s="860"/>
      <c r="AU460" s="860"/>
      <c r="AV460" s="860"/>
      <c r="AW460" s="860"/>
      <c r="AX460" s="860"/>
      <c r="AY460" s="860"/>
      <c r="AZ460" s="860"/>
      <c r="BA460" s="860"/>
      <c r="BB460" s="860"/>
      <c r="BC460" s="860"/>
      <c r="BD460" s="860"/>
      <c r="BE460" s="860"/>
      <c r="BF460" s="860"/>
      <c r="BG460" s="860"/>
      <c r="BH460" s="860"/>
      <c r="BI460" s="860"/>
      <c r="BJ460" s="860"/>
      <c r="BK460" s="860"/>
      <c r="BL460" s="860"/>
      <c r="BM460" s="860"/>
      <c r="BN460" s="872"/>
      <c r="BO460" s="872"/>
      <c r="BP460" s="872"/>
      <c r="BQ460" s="872"/>
      <c r="BR460" s="872"/>
      <c r="BS460" s="872"/>
      <c r="BT460" s="860"/>
      <c r="BU460" s="860"/>
      <c r="BV460" s="860"/>
      <c r="BW460" s="860"/>
      <c r="BX460" s="872"/>
      <c r="BY460" s="872"/>
      <c r="BZ460" s="872"/>
      <c r="CA460" s="872"/>
      <c r="CB460" s="872"/>
      <c r="CC460" s="872"/>
    </row>
    <row r="461" s="860" customFormat="1" ht="13.5" spans="1:81">
      <c r="A461" s="861"/>
      <c r="B461" s="860"/>
      <c r="C461" s="860"/>
      <c r="D461" s="860"/>
      <c r="E461" s="862"/>
      <c r="F461" s="860"/>
      <c r="G461" s="860"/>
      <c r="H461" s="860"/>
      <c r="I461" s="860"/>
      <c r="J461" s="860"/>
      <c r="K461" s="860"/>
      <c r="L461" s="860"/>
      <c r="M461" s="860"/>
      <c r="N461" s="860"/>
      <c r="O461" s="860"/>
      <c r="P461" s="860"/>
      <c r="Q461" s="860"/>
      <c r="R461" s="860"/>
      <c r="S461" s="860"/>
      <c r="T461" s="860"/>
      <c r="U461" s="860"/>
      <c r="V461" s="860"/>
      <c r="W461" s="860"/>
      <c r="X461" s="864"/>
      <c r="Y461" s="865"/>
      <c r="Z461" s="865"/>
      <c r="AA461" s="866"/>
      <c r="AB461" s="867"/>
      <c r="AC461" s="868"/>
      <c r="AD461" s="866"/>
      <c r="AE461" s="860"/>
      <c r="AF461" s="869"/>
      <c r="AG461" s="869"/>
      <c r="AH461" s="870"/>
      <c r="AI461" s="871"/>
      <c r="AJ461" s="870"/>
      <c r="AK461" s="870"/>
      <c r="AL461" s="860"/>
      <c r="AM461" s="860"/>
      <c r="AN461" s="860"/>
      <c r="AO461" s="860"/>
      <c r="AP461" s="860"/>
      <c r="AQ461" s="860"/>
      <c r="AR461" s="860"/>
      <c r="AS461" s="860"/>
      <c r="AT461" s="860"/>
      <c r="AU461" s="860"/>
      <c r="AV461" s="860"/>
      <c r="AW461" s="860"/>
      <c r="AX461" s="860"/>
      <c r="AY461" s="860"/>
      <c r="AZ461" s="860"/>
      <c r="BA461" s="860"/>
      <c r="BB461" s="860"/>
      <c r="BC461" s="860"/>
      <c r="BD461" s="860"/>
      <c r="BE461" s="860"/>
      <c r="BF461" s="860"/>
      <c r="BG461" s="860"/>
      <c r="BH461" s="860"/>
      <c r="BI461" s="860"/>
      <c r="BJ461" s="860"/>
      <c r="BK461" s="860"/>
      <c r="BL461" s="860"/>
      <c r="BM461" s="860"/>
      <c r="BN461" s="872"/>
      <c r="BO461" s="872"/>
      <c r="BP461" s="872"/>
      <c r="BQ461" s="872"/>
      <c r="BR461" s="872"/>
      <c r="BS461" s="872"/>
      <c r="BT461" s="860"/>
      <c r="BU461" s="860"/>
      <c r="BV461" s="860"/>
      <c r="BW461" s="860"/>
      <c r="BX461" s="872"/>
      <c r="BY461" s="872"/>
      <c r="BZ461" s="872"/>
      <c r="CA461" s="872"/>
      <c r="CB461" s="872"/>
      <c r="CC461" s="872"/>
    </row>
    <row r="462" s="860" customFormat="1" ht="13.5" spans="1:81">
      <c r="A462" s="861"/>
      <c r="B462" s="860"/>
      <c r="C462" s="860"/>
      <c r="D462" s="860"/>
      <c r="E462" s="862"/>
      <c r="F462" s="860"/>
      <c r="G462" s="860"/>
      <c r="H462" s="860"/>
      <c r="I462" s="860"/>
      <c r="J462" s="860"/>
      <c r="K462" s="860"/>
      <c r="L462" s="860"/>
      <c r="M462" s="860"/>
      <c r="N462" s="860"/>
      <c r="O462" s="860"/>
      <c r="P462" s="860"/>
      <c r="Q462" s="860"/>
      <c r="R462" s="860"/>
      <c r="S462" s="860"/>
      <c r="T462" s="860"/>
      <c r="U462" s="860"/>
      <c r="V462" s="860"/>
      <c r="W462" s="860"/>
      <c r="X462" s="864"/>
      <c r="Y462" s="865"/>
      <c r="Z462" s="865"/>
      <c r="AA462" s="866"/>
      <c r="AB462" s="867"/>
      <c r="AC462" s="868"/>
      <c r="AD462" s="866"/>
      <c r="AE462" s="860"/>
      <c r="AF462" s="869"/>
      <c r="AG462" s="869"/>
      <c r="AH462" s="870"/>
      <c r="AI462" s="871"/>
      <c r="AJ462" s="870"/>
      <c r="AK462" s="870"/>
      <c r="AL462" s="860"/>
      <c r="AM462" s="860"/>
      <c r="AN462" s="860"/>
      <c r="AO462" s="860"/>
      <c r="AP462" s="860"/>
      <c r="AQ462" s="860"/>
      <c r="AR462" s="860"/>
      <c r="AS462" s="860"/>
      <c r="AT462" s="860"/>
      <c r="AU462" s="860"/>
      <c r="AV462" s="860"/>
      <c r="AW462" s="860"/>
      <c r="AX462" s="860"/>
      <c r="AY462" s="860"/>
      <c r="AZ462" s="860"/>
      <c r="BA462" s="860"/>
      <c r="BB462" s="860"/>
      <c r="BC462" s="860"/>
      <c r="BD462" s="860"/>
      <c r="BE462" s="860"/>
      <c r="BF462" s="860"/>
      <c r="BG462" s="860"/>
      <c r="BH462" s="860"/>
      <c r="BI462" s="860"/>
      <c r="BJ462" s="860"/>
      <c r="BK462" s="860"/>
      <c r="BL462" s="860"/>
      <c r="BM462" s="860"/>
      <c r="BN462" s="872"/>
      <c r="BO462" s="872"/>
      <c r="BP462" s="872"/>
      <c r="BQ462" s="872"/>
      <c r="BR462" s="872"/>
      <c r="BS462" s="872"/>
      <c r="BT462" s="860"/>
      <c r="BU462" s="860"/>
      <c r="BV462" s="860"/>
      <c r="BW462" s="860"/>
      <c r="BX462" s="872"/>
      <c r="BY462" s="872"/>
      <c r="BZ462" s="872"/>
      <c r="CA462" s="872"/>
      <c r="CB462" s="872"/>
      <c r="CC462" s="872"/>
    </row>
    <row r="463" s="860" customFormat="1" ht="13.5" spans="1:81">
      <c r="A463" s="861"/>
      <c r="B463" s="860"/>
      <c r="C463" s="860"/>
      <c r="D463" s="860"/>
      <c r="E463" s="862"/>
      <c r="F463" s="860"/>
      <c r="G463" s="860"/>
      <c r="H463" s="860"/>
      <c r="I463" s="860"/>
      <c r="J463" s="860"/>
      <c r="K463" s="860"/>
      <c r="L463" s="860"/>
      <c r="M463" s="860"/>
      <c r="N463" s="860"/>
      <c r="O463" s="860"/>
      <c r="P463" s="860"/>
      <c r="Q463" s="860"/>
      <c r="R463" s="860"/>
      <c r="S463" s="860"/>
      <c r="T463" s="860"/>
      <c r="U463" s="860"/>
      <c r="V463" s="860"/>
      <c r="W463" s="860"/>
      <c r="X463" s="864"/>
      <c r="Y463" s="865"/>
      <c r="Z463" s="865"/>
      <c r="AA463" s="866"/>
      <c r="AB463" s="867"/>
      <c r="AC463" s="868"/>
      <c r="AD463" s="866"/>
      <c r="AE463" s="860"/>
      <c r="AF463" s="869"/>
      <c r="AG463" s="869"/>
      <c r="AH463" s="870"/>
      <c r="AI463" s="871"/>
      <c r="AJ463" s="870"/>
      <c r="AK463" s="870"/>
      <c r="AL463" s="860"/>
      <c r="AM463" s="860"/>
      <c r="AN463" s="860"/>
      <c r="AO463" s="860"/>
      <c r="AP463" s="860"/>
      <c r="AQ463" s="860"/>
      <c r="AR463" s="860"/>
      <c r="AS463" s="860"/>
      <c r="AT463" s="860"/>
      <c r="AU463" s="860"/>
      <c r="AV463" s="860"/>
      <c r="AW463" s="860"/>
      <c r="AX463" s="860"/>
      <c r="AY463" s="860"/>
      <c r="AZ463" s="860"/>
      <c r="BA463" s="860"/>
      <c r="BB463" s="860"/>
      <c r="BC463" s="860"/>
      <c r="BD463" s="860"/>
      <c r="BE463" s="860"/>
      <c r="BF463" s="860"/>
      <c r="BG463" s="860"/>
      <c r="BH463" s="860"/>
      <c r="BI463" s="860"/>
      <c r="BJ463" s="860"/>
      <c r="BK463" s="860"/>
      <c r="BL463" s="860"/>
      <c r="BM463" s="860"/>
      <c r="BN463" s="872"/>
      <c r="BO463" s="872"/>
      <c r="BP463" s="872"/>
      <c r="BQ463" s="872"/>
      <c r="BR463" s="872"/>
      <c r="BS463" s="872"/>
      <c r="BT463" s="860"/>
      <c r="BU463" s="860"/>
      <c r="BV463" s="860"/>
      <c r="BW463" s="860"/>
      <c r="BX463" s="872"/>
      <c r="BY463" s="872"/>
      <c r="BZ463" s="872"/>
      <c r="CA463" s="872"/>
      <c r="CB463" s="872"/>
      <c r="CC463" s="872"/>
    </row>
    <row r="464" s="860" customFormat="1" ht="13.5" spans="1:81">
      <c r="A464" s="861"/>
      <c r="B464" s="860"/>
      <c r="C464" s="860"/>
      <c r="D464" s="860"/>
      <c r="E464" s="862"/>
      <c r="F464" s="860"/>
      <c r="G464" s="860"/>
      <c r="H464" s="860"/>
      <c r="I464" s="860"/>
      <c r="J464" s="860"/>
      <c r="K464" s="860"/>
      <c r="L464" s="860"/>
      <c r="M464" s="860"/>
      <c r="N464" s="860"/>
      <c r="O464" s="860"/>
      <c r="P464" s="860"/>
      <c r="Q464" s="860"/>
      <c r="R464" s="860"/>
      <c r="S464" s="860"/>
      <c r="T464" s="860"/>
      <c r="U464" s="860"/>
      <c r="V464" s="860"/>
      <c r="W464" s="860"/>
      <c r="X464" s="864"/>
      <c r="Y464" s="865"/>
      <c r="Z464" s="865"/>
      <c r="AA464" s="866"/>
      <c r="AB464" s="867"/>
      <c r="AC464" s="868"/>
      <c r="AD464" s="866"/>
      <c r="AE464" s="860"/>
      <c r="AF464" s="869"/>
      <c r="AG464" s="869"/>
      <c r="AH464" s="870"/>
      <c r="AI464" s="871"/>
      <c r="AJ464" s="870"/>
      <c r="AK464" s="870"/>
      <c r="AL464" s="860"/>
      <c r="AM464" s="860"/>
      <c r="AN464" s="860"/>
      <c r="AO464" s="860"/>
      <c r="AP464" s="860"/>
      <c r="AQ464" s="860"/>
      <c r="AR464" s="860"/>
      <c r="AS464" s="860"/>
      <c r="AT464" s="860"/>
      <c r="AU464" s="860"/>
      <c r="AV464" s="860"/>
      <c r="AW464" s="860"/>
      <c r="AX464" s="860"/>
      <c r="AY464" s="860"/>
      <c r="AZ464" s="860"/>
      <c r="BA464" s="860"/>
      <c r="BB464" s="860"/>
      <c r="BC464" s="860"/>
      <c r="BD464" s="860"/>
      <c r="BE464" s="860"/>
      <c r="BF464" s="860"/>
      <c r="BG464" s="860"/>
      <c r="BH464" s="860"/>
      <c r="BI464" s="860"/>
      <c r="BJ464" s="860"/>
      <c r="BK464" s="860"/>
      <c r="BL464" s="860"/>
      <c r="BM464" s="860"/>
      <c r="BN464" s="872"/>
      <c r="BO464" s="872"/>
      <c r="BP464" s="872"/>
      <c r="BQ464" s="872"/>
      <c r="BR464" s="872"/>
      <c r="BS464" s="872"/>
      <c r="BT464" s="860"/>
      <c r="BU464" s="860"/>
      <c r="BV464" s="860"/>
      <c r="BW464" s="860"/>
      <c r="BX464" s="872"/>
      <c r="BY464" s="872"/>
      <c r="BZ464" s="872"/>
      <c r="CA464" s="872"/>
      <c r="CB464" s="872"/>
      <c r="CC464" s="872"/>
    </row>
    <row r="465" s="860" customFormat="1" ht="13.5" spans="1:81">
      <c r="A465" s="861"/>
      <c r="B465" s="860"/>
      <c r="C465" s="860"/>
      <c r="D465" s="860"/>
      <c r="E465" s="862"/>
      <c r="F465" s="860"/>
      <c r="G465" s="860"/>
      <c r="H465" s="860"/>
      <c r="I465" s="860"/>
      <c r="J465" s="860"/>
      <c r="K465" s="860"/>
      <c r="L465" s="860"/>
      <c r="M465" s="860"/>
      <c r="N465" s="860"/>
      <c r="O465" s="860"/>
      <c r="P465" s="860"/>
      <c r="Q465" s="860"/>
      <c r="R465" s="860"/>
      <c r="S465" s="860"/>
      <c r="T465" s="860"/>
      <c r="U465" s="860"/>
      <c r="V465" s="860"/>
      <c r="W465" s="860"/>
      <c r="X465" s="864"/>
      <c r="Y465" s="865"/>
      <c r="Z465" s="865"/>
      <c r="AA465" s="866"/>
      <c r="AB465" s="867"/>
      <c r="AC465" s="868"/>
      <c r="AD465" s="866"/>
      <c r="AE465" s="860"/>
      <c r="AF465" s="869"/>
      <c r="AG465" s="869"/>
      <c r="AH465" s="870"/>
      <c r="AI465" s="871"/>
      <c r="AJ465" s="870"/>
      <c r="AK465" s="870"/>
      <c r="AL465" s="860"/>
      <c r="AM465" s="860"/>
      <c r="AN465" s="860"/>
      <c r="AO465" s="860"/>
      <c r="AP465" s="860"/>
      <c r="AQ465" s="860"/>
      <c r="AR465" s="860"/>
      <c r="AS465" s="860"/>
      <c r="AT465" s="860"/>
      <c r="AU465" s="860"/>
      <c r="AV465" s="860"/>
      <c r="AW465" s="860"/>
      <c r="AX465" s="860"/>
      <c r="AY465" s="860"/>
      <c r="AZ465" s="860"/>
      <c r="BA465" s="860"/>
      <c r="BB465" s="860"/>
      <c r="BC465" s="860"/>
      <c r="BD465" s="860"/>
      <c r="BE465" s="860"/>
      <c r="BF465" s="860"/>
      <c r="BG465" s="860"/>
      <c r="BH465" s="860"/>
      <c r="BI465" s="860"/>
      <c r="BJ465" s="860"/>
      <c r="BK465" s="860"/>
      <c r="BL465" s="860"/>
      <c r="BM465" s="860"/>
      <c r="BN465" s="872"/>
      <c r="BO465" s="872"/>
      <c r="BP465" s="872"/>
      <c r="BQ465" s="872"/>
      <c r="BR465" s="872"/>
      <c r="BS465" s="872"/>
      <c r="BT465" s="860"/>
      <c r="BU465" s="860"/>
      <c r="BV465" s="860"/>
      <c r="BW465" s="860"/>
      <c r="BX465" s="872"/>
      <c r="BY465" s="872"/>
      <c r="BZ465" s="872"/>
      <c r="CA465" s="872"/>
      <c r="CB465" s="872"/>
      <c r="CC465" s="872"/>
    </row>
    <row r="466" s="860" customFormat="1" ht="13.5" spans="1:81">
      <c r="A466" s="861"/>
      <c r="B466" s="860"/>
      <c r="C466" s="860"/>
      <c r="D466" s="860"/>
      <c r="E466" s="862"/>
      <c r="F466" s="860"/>
      <c r="G466" s="860"/>
      <c r="H466" s="860"/>
      <c r="I466" s="860"/>
      <c r="J466" s="860"/>
      <c r="K466" s="860"/>
      <c r="L466" s="860"/>
      <c r="M466" s="860"/>
      <c r="N466" s="860"/>
      <c r="O466" s="860"/>
      <c r="P466" s="860"/>
      <c r="Q466" s="860"/>
      <c r="R466" s="860"/>
      <c r="S466" s="860"/>
      <c r="T466" s="860"/>
      <c r="U466" s="860"/>
      <c r="V466" s="860"/>
      <c r="W466" s="860"/>
      <c r="X466" s="864"/>
      <c r="Y466" s="865"/>
      <c r="Z466" s="865"/>
      <c r="AA466" s="866"/>
      <c r="AB466" s="867"/>
      <c r="AC466" s="868"/>
      <c r="AD466" s="866"/>
      <c r="AE466" s="860"/>
      <c r="AF466" s="869"/>
      <c r="AG466" s="869"/>
      <c r="AH466" s="870"/>
      <c r="AI466" s="871"/>
      <c r="AJ466" s="870"/>
      <c r="AK466" s="870"/>
      <c r="AL466" s="860"/>
      <c r="AM466" s="860"/>
      <c r="AN466" s="860"/>
      <c r="AO466" s="860"/>
      <c r="AP466" s="860"/>
      <c r="AQ466" s="860"/>
      <c r="AR466" s="860"/>
      <c r="AS466" s="860"/>
      <c r="AT466" s="860"/>
      <c r="AU466" s="860"/>
      <c r="AV466" s="860"/>
      <c r="AW466" s="860"/>
      <c r="AX466" s="860"/>
      <c r="AY466" s="860"/>
      <c r="AZ466" s="860"/>
      <c r="BA466" s="860"/>
      <c r="BB466" s="860"/>
      <c r="BC466" s="860"/>
      <c r="BD466" s="860"/>
      <c r="BE466" s="860"/>
      <c r="BF466" s="860"/>
      <c r="BG466" s="860"/>
      <c r="BH466" s="860"/>
      <c r="BI466" s="860"/>
      <c r="BJ466" s="860"/>
      <c r="BK466" s="860"/>
      <c r="BL466" s="860"/>
      <c r="BM466" s="860"/>
      <c r="BN466" s="872"/>
      <c r="BO466" s="872"/>
      <c r="BP466" s="872"/>
      <c r="BQ466" s="872"/>
      <c r="BR466" s="872"/>
      <c r="BS466" s="872"/>
      <c r="BT466" s="860"/>
      <c r="BU466" s="860"/>
      <c r="BV466" s="860"/>
      <c r="BW466" s="860"/>
      <c r="BX466" s="872"/>
      <c r="BY466" s="872"/>
      <c r="BZ466" s="872"/>
      <c r="CA466" s="872"/>
      <c r="CB466" s="872"/>
      <c r="CC466" s="872"/>
    </row>
    <row r="467" s="860" customFormat="1" ht="13.5" spans="1:81">
      <c r="A467" s="861"/>
      <c r="B467" s="860"/>
      <c r="C467" s="860"/>
      <c r="D467" s="860"/>
      <c r="E467" s="862"/>
      <c r="F467" s="860"/>
      <c r="G467" s="860"/>
      <c r="H467" s="860"/>
      <c r="I467" s="860"/>
      <c r="J467" s="860"/>
      <c r="K467" s="860"/>
      <c r="L467" s="860"/>
      <c r="M467" s="860"/>
      <c r="N467" s="860"/>
      <c r="O467" s="860"/>
      <c r="P467" s="860"/>
      <c r="Q467" s="860"/>
      <c r="R467" s="860"/>
      <c r="S467" s="860"/>
      <c r="T467" s="860"/>
      <c r="U467" s="860"/>
      <c r="V467" s="860"/>
      <c r="W467" s="860"/>
      <c r="X467" s="864"/>
      <c r="Y467" s="865"/>
      <c r="Z467" s="865"/>
      <c r="AA467" s="866"/>
      <c r="AB467" s="867"/>
      <c r="AC467" s="868"/>
      <c r="AD467" s="866"/>
      <c r="AE467" s="860"/>
      <c r="AF467" s="869"/>
      <c r="AG467" s="869"/>
      <c r="AH467" s="870"/>
      <c r="AI467" s="871"/>
      <c r="AJ467" s="870"/>
      <c r="AK467" s="870"/>
      <c r="AL467" s="860"/>
      <c r="AM467" s="860"/>
      <c r="AN467" s="860"/>
      <c r="AO467" s="860"/>
      <c r="AP467" s="860"/>
      <c r="AQ467" s="860"/>
      <c r="AR467" s="860"/>
      <c r="AS467" s="860"/>
      <c r="AT467" s="860"/>
      <c r="AU467" s="860"/>
      <c r="AV467" s="860"/>
      <c r="AW467" s="860"/>
      <c r="AX467" s="860"/>
      <c r="AY467" s="860"/>
      <c r="AZ467" s="860"/>
      <c r="BA467" s="860"/>
      <c r="BB467" s="860"/>
      <c r="BC467" s="860"/>
      <c r="BD467" s="860"/>
      <c r="BE467" s="860"/>
      <c r="BF467" s="860"/>
      <c r="BG467" s="860"/>
      <c r="BH467" s="860"/>
      <c r="BI467" s="860"/>
      <c r="BJ467" s="860"/>
      <c r="BK467" s="860"/>
      <c r="BL467" s="860"/>
      <c r="BM467" s="860"/>
      <c r="BN467" s="872"/>
      <c r="BO467" s="872"/>
      <c r="BP467" s="872"/>
      <c r="BQ467" s="872"/>
      <c r="BR467" s="872"/>
      <c r="BS467" s="872"/>
      <c r="BT467" s="860"/>
      <c r="BU467" s="860"/>
      <c r="BV467" s="860"/>
      <c r="BW467" s="860"/>
      <c r="BX467" s="872"/>
      <c r="BY467" s="872"/>
      <c r="BZ467" s="872"/>
      <c r="CA467" s="872"/>
      <c r="CB467" s="872"/>
      <c r="CC467" s="872"/>
    </row>
    <row r="468" s="860" customFormat="1" ht="13.5" spans="1:81">
      <c r="A468" s="861"/>
      <c r="B468" s="860"/>
      <c r="C468" s="860"/>
      <c r="D468" s="860"/>
      <c r="E468" s="862"/>
      <c r="F468" s="860"/>
      <c r="G468" s="860"/>
      <c r="H468" s="860"/>
      <c r="I468" s="860"/>
      <c r="J468" s="860"/>
      <c r="K468" s="860"/>
      <c r="L468" s="860"/>
      <c r="M468" s="860"/>
      <c r="N468" s="860"/>
      <c r="O468" s="860"/>
      <c r="P468" s="860"/>
      <c r="Q468" s="860"/>
      <c r="R468" s="860"/>
      <c r="S468" s="860"/>
      <c r="T468" s="860"/>
      <c r="U468" s="860"/>
      <c r="V468" s="860"/>
      <c r="W468" s="860"/>
      <c r="X468" s="864"/>
      <c r="Y468" s="865"/>
      <c r="Z468" s="865"/>
      <c r="AA468" s="866"/>
      <c r="AB468" s="867"/>
      <c r="AC468" s="868"/>
      <c r="AD468" s="866"/>
      <c r="AE468" s="860"/>
      <c r="AF468" s="869"/>
      <c r="AG468" s="869"/>
      <c r="AH468" s="870"/>
      <c r="AI468" s="871"/>
      <c r="AJ468" s="870"/>
      <c r="AK468" s="870"/>
      <c r="AL468" s="860"/>
      <c r="AM468" s="860"/>
      <c r="AN468" s="860"/>
      <c r="AO468" s="860"/>
      <c r="AP468" s="860"/>
      <c r="AQ468" s="860"/>
      <c r="AR468" s="860"/>
      <c r="AS468" s="860"/>
      <c r="AT468" s="860"/>
      <c r="AU468" s="860"/>
      <c r="AV468" s="860"/>
      <c r="AW468" s="860"/>
      <c r="AX468" s="860"/>
      <c r="AY468" s="860"/>
      <c r="AZ468" s="860"/>
      <c r="BA468" s="860"/>
      <c r="BB468" s="860"/>
      <c r="BC468" s="860"/>
      <c r="BD468" s="860"/>
      <c r="BE468" s="860"/>
      <c r="BF468" s="860"/>
      <c r="BG468" s="860"/>
      <c r="BH468" s="860"/>
      <c r="BI468" s="860"/>
      <c r="BJ468" s="860"/>
      <c r="BK468" s="860"/>
      <c r="BL468" s="860"/>
      <c r="BM468" s="860"/>
      <c r="BN468" s="872"/>
      <c r="BO468" s="872"/>
      <c r="BP468" s="872"/>
      <c r="BQ468" s="872"/>
      <c r="BR468" s="872"/>
      <c r="BS468" s="872"/>
      <c r="BT468" s="860"/>
      <c r="BU468" s="860"/>
      <c r="BV468" s="860"/>
      <c r="BW468" s="860"/>
      <c r="BX468" s="872"/>
      <c r="BY468" s="872"/>
      <c r="BZ468" s="872"/>
      <c r="CA468" s="872"/>
      <c r="CB468" s="872"/>
      <c r="CC468" s="872"/>
    </row>
    <row r="469" s="860" customFormat="1" ht="13.5" spans="1:81">
      <c r="A469" s="861"/>
      <c r="B469" s="860"/>
      <c r="C469" s="860"/>
      <c r="D469" s="860"/>
      <c r="E469" s="862"/>
      <c r="F469" s="860"/>
      <c r="G469" s="860"/>
      <c r="H469" s="860"/>
      <c r="I469" s="860"/>
      <c r="J469" s="860"/>
      <c r="K469" s="860"/>
      <c r="L469" s="860"/>
      <c r="M469" s="860"/>
      <c r="N469" s="860"/>
      <c r="O469" s="860"/>
      <c r="P469" s="860"/>
      <c r="Q469" s="860"/>
      <c r="R469" s="860"/>
      <c r="S469" s="860"/>
      <c r="T469" s="860"/>
      <c r="U469" s="860"/>
      <c r="V469" s="860"/>
      <c r="W469" s="860"/>
      <c r="X469" s="864"/>
      <c r="Y469" s="865"/>
      <c r="Z469" s="865"/>
      <c r="AA469" s="866"/>
      <c r="AB469" s="867"/>
      <c r="AC469" s="868"/>
      <c r="AD469" s="866"/>
      <c r="AE469" s="860"/>
      <c r="AF469" s="869"/>
      <c r="AG469" s="869"/>
      <c r="AH469" s="870"/>
      <c r="AI469" s="871"/>
      <c r="AJ469" s="870"/>
      <c r="AK469" s="870"/>
      <c r="AL469" s="860"/>
      <c r="AM469" s="860"/>
      <c r="AN469" s="860"/>
      <c r="AO469" s="860"/>
      <c r="AP469" s="860"/>
      <c r="AQ469" s="860"/>
      <c r="AR469" s="860"/>
      <c r="AS469" s="860"/>
      <c r="AT469" s="860"/>
      <c r="AU469" s="860"/>
      <c r="AV469" s="860"/>
      <c r="AW469" s="860"/>
      <c r="AX469" s="860"/>
      <c r="AY469" s="860"/>
      <c r="AZ469" s="860"/>
      <c r="BA469" s="860"/>
      <c r="BB469" s="860"/>
      <c r="BC469" s="860"/>
      <c r="BD469" s="860"/>
      <c r="BE469" s="860"/>
      <c r="BF469" s="860"/>
      <c r="BG469" s="860"/>
      <c r="BH469" s="860"/>
      <c r="BI469" s="860"/>
      <c r="BJ469" s="860"/>
      <c r="BK469" s="860"/>
      <c r="BL469" s="860"/>
      <c r="BM469" s="860"/>
      <c r="BN469" s="872"/>
      <c r="BO469" s="872"/>
      <c r="BP469" s="872"/>
      <c r="BQ469" s="872"/>
      <c r="BR469" s="872"/>
      <c r="BS469" s="872"/>
      <c r="BT469" s="860"/>
      <c r="BU469" s="860"/>
      <c r="BV469" s="860"/>
      <c r="BW469" s="860"/>
      <c r="BX469" s="872"/>
      <c r="BY469" s="872"/>
      <c r="BZ469" s="872"/>
      <c r="CA469" s="872"/>
      <c r="CB469" s="872"/>
      <c r="CC469" s="872"/>
    </row>
    <row r="470" s="860" customFormat="1" ht="13.5" spans="1:81">
      <c r="A470" s="861"/>
      <c r="B470" s="860"/>
      <c r="C470" s="860"/>
      <c r="D470" s="860"/>
      <c r="E470" s="862"/>
      <c r="F470" s="860"/>
      <c r="G470" s="860"/>
      <c r="H470" s="860"/>
      <c r="I470" s="860"/>
      <c r="J470" s="860"/>
      <c r="K470" s="860"/>
      <c r="L470" s="860"/>
      <c r="M470" s="860"/>
      <c r="N470" s="860"/>
      <c r="O470" s="860"/>
      <c r="P470" s="860"/>
      <c r="Q470" s="860"/>
      <c r="R470" s="860"/>
      <c r="S470" s="860"/>
      <c r="T470" s="860"/>
      <c r="U470" s="860"/>
      <c r="V470" s="860"/>
      <c r="W470" s="860"/>
      <c r="X470" s="864"/>
      <c r="Y470" s="865"/>
      <c r="Z470" s="865"/>
      <c r="AA470" s="866"/>
      <c r="AB470" s="867"/>
      <c r="AC470" s="868"/>
      <c r="AD470" s="866"/>
      <c r="AE470" s="860"/>
      <c r="AF470" s="869"/>
      <c r="AG470" s="869"/>
      <c r="AH470" s="870"/>
      <c r="AI470" s="871"/>
      <c r="AJ470" s="870"/>
      <c r="AK470" s="870"/>
      <c r="AL470" s="860"/>
      <c r="AM470" s="860"/>
      <c r="AN470" s="860"/>
      <c r="AO470" s="860"/>
      <c r="AP470" s="860"/>
      <c r="AQ470" s="860"/>
      <c r="AR470" s="860"/>
      <c r="AS470" s="860"/>
      <c r="AT470" s="860"/>
      <c r="AU470" s="860"/>
      <c r="AV470" s="860"/>
      <c r="AW470" s="860"/>
      <c r="AX470" s="860"/>
      <c r="AY470" s="860"/>
      <c r="AZ470" s="860"/>
      <c r="BA470" s="860"/>
      <c r="BB470" s="860"/>
      <c r="BC470" s="860"/>
      <c r="BD470" s="860"/>
      <c r="BE470" s="860"/>
      <c r="BF470" s="860"/>
      <c r="BG470" s="860"/>
      <c r="BH470" s="860"/>
      <c r="BI470" s="860"/>
      <c r="BJ470" s="860"/>
      <c r="BK470" s="860"/>
      <c r="BL470" s="860"/>
      <c r="BM470" s="860"/>
      <c r="BN470" s="872"/>
      <c r="BO470" s="872"/>
      <c r="BP470" s="872"/>
      <c r="BQ470" s="872"/>
      <c r="BR470" s="872"/>
      <c r="BS470" s="872"/>
      <c r="BT470" s="860"/>
      <c r="BU470" s="860"/>
      <c r="BV470" s="860"/>
      <c r="BW470" s="860"/>
      <c r="BX470" s="872"/>
      <c r="BY470" s="872"/>
      <c r="BZ470" s="872"/>
      <c r="CA470" s="872"/>
      <c r="CB470" s="872"/>
      <c r="CC470" s="872"/>
    </row>
    <row r="471" s="860" customFormat="1" ht="13.5" spans="1:81">
      <c r="A471" s="861"/>
      <c r="B471" s="860"/>
      <c r="C471" s="860"/>
      <c r="D471" s="860"/>
      <c r="E471" s="862"/>
      <c r="F471" s="860"/>
      <c r="G471" s="860"/>
      <c r="H471" s="860"/>
      <c r="I471" s="860"/>
      <c r="J471" s="860"/>
      <c r="K471" s="860"/>
      <c r="L471" s="860"/>
      <c r="M471" s="860"/>
      <c r="N471" s="860"/>
      <c r="O471" s="860"/>
      <c r="P471" s="860"/>
      <c r="Q471" s="860"/>
      <c r="R471" s="860"/>
      <c r="S471" s="860"/>
      <c r="T471" s="860"/>
      <c r="U471" s="860"/>
      <c r="V471" s="860"/>
      <c r="W471" s="860"/>
      <c r="X471" s="864"/>
      <c r="Y471" s="865"/>
      <c r="Z471" s="865"/>
      <c r="AA471" s="866"/>
      <c r="AB471" s="867"/>
      <c r="AC471" s="868"/>
      <c r="AD471" s="866"/>
      <c r="AE471" s="860"/>
      <c r="AF471" s="869"/>
      <c r="AG471" s="869"/>
      <c r="AH471" s="870"/>
      <c r="AI471" s="871"/>
      <c r="AJ471" s="870"/>
      <c r="AK471" s="870"/>
      <c r="AL471" s="860"/>
      <c r="AM471" s="860"/>
      <c r="AN471" s="860"/>
      <c r="AO471" s="860"/>
      <c r="AP471" s="860"/>
      <c r="AQ471" s="860"/>
      <c r="AR471" s="860"/>
      <c r="AS471" s="860"/>
      <c r="AT471" s="860"/>
      <c r="AU471" s="860"/>
      <c r="AV471" s="860"/>
      <c r="AW471" s="860"/>
      <c r="AX471" s="860"/>
      <c r="AY471" s="860"/>
      <c r="AZ471" s="860"/>
      <c r="BA471" s="860"/>
      <c r="BB471" s="860"/>
      <c r="BC471" s="860"/>
      <c r="BD471" s="860"/>
      <c r="BE471" s="860"/>
      <c r="BF471" s="860"/>
      <c r="BG471" s="860"/>
      <c r="BH471" s="860"/>
      <c r="BI471" s="860"/>
      <c r="BJ471" s="860"/>
      <c r="BK471" s="860"/>
      <c r="BL471" s="860"/>
      <c r="BM471" s="860"/>
      <c r="BN471" s="872"/>
      <c r="BO471" s="872"/>
      <c r="BP471" s="872"/>
      <c r="BQ471" s="872"/>
      <c r="BR471" s="872"/>
      <c r="BS471" s="872"/>
      <c r="BT471" s="860"/>
      <c r="BU471" s="860"/>
      <c r="BV471" s="860"/>
      <c r="BW471" s="860"/>
      <c r="BX471" s="872"/>
      <c r="BY471" s="872"/>
      <c r="BZ471" s="872"/>
      <c r="CA471" s="872"/>
      <c r="CB471" s="872"/>
      <c r="CC471" s="872"/>
    </row>
    <row r="472" s="860" customFormat="1" ht="13.5" spans="1:81">
      <c r="A472" s="861"/>
      <c r="B472" s="860"/>
      <c r="C472" s="860"/>
      <c r="D472" s="860"/>
      <c r="E472" s="862"/>
      <c r="F472" s="860"/>
      <c r="G472" s="860"/>
      <c r="H472" s="860"/>
      <c r="I472" s="860"/>
      <c r="J472" s="860"/>
      <c r="K472" s="860"/>
      <c r="L472" s="860"/>
      <c r="M472" s="860"/>
      <c r="N472" s="860"/>
      <c r="O472" s="860"/>
      <c r="P472" s="860"/>
      <c r="Q472" s="860"/>
      <c r="R472" s="860"/>
      <c r="S472" s="860"/>
      <c r="T472" s="860"/>
      <c r="U472" s="860"/>
      <c r="V472" s="860"/>
      <c r="W472" s="860"/>
      <c r="X472" s="864"/>
      <c r="Y472" s="865"/>
      <c r="Z472" s="865"/>
      <c r="AA472" s="866"/>
      <c r="AB472" s="867"/>
      <c r="AC472" s="868"/>
      <c r="AD472" s="866"/>
      <c r="AE472" s="860"/>
      <c r="AF472" s="869"/>
      <c r="AG472" s="869"/>
      <c r="AH472" s="870"/>
      <c r="AI472" s="871"/>
      <c r="AJ472" s="870"/>
      <c r="AK472" s="870"/>
      <c r="AL472" s="860"/>
      <c r="AM472" s="860"/>
      <c r="AN472" s="860"/>
      <c r="AO472" s="860"/>
      <c r="AP472" s="860"/>
      <c r="AQ472" s="860"/>
      <c r="AR472" s="860"/>
      <c r="AS472" s="860"/>
      <c r="AT472" s="860"/>
      <c r="AU472" s="860"/>
      <c r="AV472" s="860"/>
      <c r="AW472" s="860"/>
      <c r="AX472" s="860"/>
      <c r="AY472" s="860"/>
      <c r="AZ472" s="860"/>
      <c r="BA472" s="860"/>
      <c r="BB472" s="860"/>
      <c r="BC472" s="860"/>
      <c r="BD472" s="860"/>
      <c r="BE472" s="860"/>
      <c r="BF472" s="860"/>
      <c r="BG472" s="860"/>
      <c r="BH472" s="860"/>
      <c r="BI472" s="860"/>
      <c r="BJ472" s="860"/>
      <c r="BK472" s="860"/>
      <c r="BL472" s="860"/>
      <c r="BM472" s="860"/>
      <c r="BN472" s="872"/>
      <c r="BO472" s="872"/>
      <c r="BP472" s="872"/>
      <c r="BQ472" s="872"/>
      <c r="BR472" s="872"/>
      <c r="BS472" s="872"/>
      <c r="BT472" s="860"/>
      <c r="BU472" s="860"/>
      <c r="BV472" s="860"/>
      <c r="BW472" s="860"/>
      <c r="BX472" s="872"/>
      <c r="BY472" s="872"/>
      <c r="BZ472" s="872"/>
      <c r="CA472" s="872"/>
      <c r="CB472" s="872"/>
      <c r="CC472" s="872"/>
    </row>
    <row r="473" s="860" customFormat="1" ht="13.5" spans="1:81">
      <c r="A473" s="861"/>
      <c r="B473" s="860"/>
      <c r="C473" s="860"/>
      <c r="D473" s="860"/>
      <c r="E473" s="862"/>
      <c r="F473" s="860"/>
      <c r="G473" s="860"/>
      <c r="H473" s="860"/>
      <c r="I473" s="860"/>
      <c r="J473" s="860"/>
      <c r="K473" s="860"/>
      <c r="L473" s="860"/>
      <c r="M473" s="860"/>
      <c r="N473" s="860"/>
      <c r="O473" s="860"/>
      <c r="P473" s="860"/>
      <c r="Q473" s="860"/>
      <c r="R473" s="860"/>
      <c r="S473" s="860"/>
      <c r="T473" s="860"/>
      <c r="U473" s="860"/>
      <c r="V473" s="860"/>
      <c r="W473" s="860"/>
      <c r="X473" s="864"/>
      <c r="Y473" s="865"/>
      <c r="Z473" s="865"/>
      <c r="AA473" s="866"/>
      <c r="AB473" s="867"/>
      <c r="AC473" s="868"/>
      <c r="AD473" s="866"/>
      <c r="AE473" s="860"/>
      <c r="AF473" s="869"/>
      <c r="AG473" s="869"/>
      <c r="AH473" s="870"/>
      <c r="AI473" s="871"/>
      <c r="AJ473" s="870"/>
      <c r="AK473" s="870"/>
      <c r="AL473" s="860"/>
      <c r="AM473" s="860"/>
      <c r="AN473" s="860"/>
      <c r="AO473" s="860"/>
      <c r="AP473" s="860"/>
      <c r="AQ473" s="860"/>
      <c r="AR473" s="860"/>
      <c r="AS473" s="860"/>
      <c r="AT473" s="860"/>
      <c r="AU473" s="860"/>
      <c r="AV473" s="860"/>
      <c r="AW473" s="860"/>
      <c r="AX473" s="860"/>
      <c r="AY473" s="860"/>
      <c r="AZ473" s="860"/>
      <c r="BA473" s="860"/>
      <c r="BB473" s="860"/>
      <c r="BC473" s="860"/>
      <c r="BD473" s="860"/>
      <c r="BE473" s="860"/>
      <c r="BF473" s="860"/>
      <c r="BG473" s="860"/>
      <c r="BH473" s="860"/>
      <c r="BI473" s="860"/>
      <c r="BJ473" s="860"/>
      <c r="BK473" s="860"/>
      <c r="BL473" s="860"/>
      <c r="BM473" s="860"/>
      <c r="BN473" s="872"/>
      <c r="BO473" s="872"/>
      <c r="BP473" s="872"/>
      <c r="BQ473" s="872"/>
      <c r="BR473" s="872"/>
      <c r="BS473" s="872"/>
      <c r="BT473" s="860"/>
      <c r="BU473" s="860"/>
      <c r="BV473" s="860"/>
      <c r="BW473" s="860"/>
      <c r="BX473" s="872"/>
      <c r="BY473" s="872"/>
      <c r="BZ473" s="872"/>
      <c r="CA473" s="872"/>
      <c r="CB473" s="872"/>
      <c r="CC473" s="872"/>
    </row>
    <row r="474" s="860" customFormat="1" ht="13.5" spans="1:81">
      <c r="A474" s="861"/>
      <c r="B474" s="860"/>
      <c r="C474" s="860"/>
      <c r="D474" s="860"/>
      <c r="E474" s="862"/>
      <c r="F474" s="860"/>
      <c r="G474" s="860"/>
      <c r="H474" s="860"/>
      <c r="I474" s="860"/>
      <c r="J474" s="860"/>
      <c r="K474" s="860"/>
      <c r="L474" s="860"/>
      <c r="M474" s="860"/>
      <c r="N474" s="860"/>
      <c r="O474" s="860"/>
      <c r="P474" s="860"/>
      <c r="Q474" s="860"/>
      <c r="R474" s="860"/>
      <c r="S474" s="860"/>
      <c r="T474" s="860"/>
      <c r="U474" s="860"/>
      <c r="V474" s="860"/>
      <c r="W474" s="860"/>
      <c r="X474" s="864"/>
      <c r="Y474" s="865"/>
      <c r="Z474" s="865"/>
      <c r="AA474" s="866"/>
      <c r="AB474" s="867"/>
      <c r="AC474" s="868"/>
      <c r="AD474" s="866"/>
      <c r="AE474" s="860"/>
      <c r="AF474" s="869"/>
      <c r="AG474" s="869"/>
      <c r="AH474" s="870"/>
      <c r="AI474" s="871"/>
      <c r="AJ474" s="870"/>
      <c r="AK474" s="870"/>
      <c r="AL474" s="860"/>
      <c r="AM474" s="860"/>
      <c r="AN474" s="860"/>
      <c r="AO474" s="860"/>
      <c r="AP474" s="860"/>
      <c r="AQ474" s="860"/>
      <c r="AR474" s="860"/>
      <c r="AS474" s="860"/>
      <c r="AT474" s="860"/>
      <c r="AU474" s="860"/>
      <c r="AV474" s="860"/>
      <c r="AW474" s="860"/>
      <c r="AX474" s="860"/>
      <c r="AY474" s="860"/>
      <c r="AZ474" s="860"/>
      <c r="BA474" s="860"/>
      <c r="BB474" s="860"/>
      <c r="BC474" s="860"/>
      <c r="BD474" s="860"/>
      <c r="BE474" s="860"/>
      <c r="BF474" s="860"/>
      <c r="BG474" s="860"/>
      <c r="BH474" s="860"/>
      <c r="BI474" s="860"/>
      <c r="BJ474" s="860"/>
      <c r="BK474" s="860"/>
      <c r="BL474" s="860"/>
      <c r="BM474" s="860"/>
      <c r="BN474" s="872"/>
      <c r="BO474" s="872"/>
      <c r="BP474" s="872"/>
      <c r="BQ474" s="872"/>
      <c r="BR474" s="872"/>
      <c r="BS474" s="872"/>
      <c r="BT474" s="860"/>
      <c r="BU474" s="860"/>
      <c r="BV474" s="860"/>
      <c r="BW474" s="860"/>
      <c r="BX474" s="872"/>
      <c r="BY474" s="872"/>
      <c r="BZ474" s="872"/>
      <c r="CA474" s="872"/>
      <c r="CB474" s="872"/>
      <c r="CC474" s="872"/>
    </row>
    <row r="475" s="860" customFormat="1" ht="13.5" spans="1:81">
      <c r="A475" s="861"/>
      <c r="B475" s="860"/>
      <c r="C475" s="860"/>
      <c r="D475" s="860"/>
      <c r="E475" s="862"/>
      <c r="F475" s="860"/>
      <c r="G475" s="860"/>
      <c r="H475" s="860"/>
      <c r="I475" s="860"/>
      <c r="J475" s="860"/>
      <c r="K475" s="860"/>
      <c r="L475" s="860"/>
      <c r="M475" s="860"/>
      <c r="N475" s="860"/>
      <c r="O475" s="860"/>
      <c r="P475" s="860"/>
      <c r="Q475" s="860"/>
      <c r="R475" s="860"/>
      <c r="S475" s="860"/>
      <c r="T475" s="860"/>
      <c r="U475" s="860"/>
      <c r="V475" s="860"/>
      <c r="W475" s="860"/>
      <c r="X475" s="864"/>
      <c r="Y475" s="865"/>
      <c r="Z475" s="865"/>
      <c r="AA475" s="866"/>
      <c r="AB475" s="867"/>
      <c r="AC475" s="868"/>
      <c r="AD475" s="866"/>
      <c r="AE475" s="860"/>
      <c r="AF475" s="869"/>
      <c r="AG475" s="869"/>
      <c r="AH475" s="870"/>
      <c r="AI475" s="871"/>
      <c r="AJ475" s="870"/>
      <c r="AK475" s="870"/>
      <c r="AL475" s="860"/>
      <c r="AM475" s="860"/>
      <c r="AN475" s="860"/>
      <c r="AO475" s="860"/>
      <c r="AP475" s="860"/>
      <c r="AQ475" s="860"/>
      <c r="AR475" s="860"/>
      <c r="AS475" s="860"/>
      <c r="AT475" s="860"/>
      <c r="AU475" s="860"/>
      <c r="AV475" s="860"/>
      <c r="AW475" s="860"/>
      <c r="AX475" s="860"/>
      <c r="AY475" s="860"/>
      <c r="AZ475" s="860"/>
      <c r="BA475" s="860"/>
      <c r="BB475" s="860"/>
      <c r="BC475" s="860"/>
      <c r="BD475" s="860"/>
      <c r="BE475" s="860"/>
      <c r="BF475" s="860"/>
      <c r="BG475" s="860"/>
      <c r="BH475" s="860"/>
      <c r="BI475" s="860"/>
      <c r="BJ475" s="860"/>
      <c r="BK475" s="860"/>
      <c r="BL475" s="860"/>
      <c r="BM475" s="860"/>
      <c r="BN475" s="872"/>
      <c r="BO475" s="872"/>
      <c r="BP475" s="872"/>
      <c r="BQ475" s="872"/>
      <c r="BR475" s="872"/>
      <c r="BS475" s="872"/>
      <c r="BT475" s="860"/>
      <c r="BU475" s="860"/>
      <c r="BV475" s="860"/>
      <c r="BW475" s="860"/>
      <c r="BX475" s="872"/>
      <c r="BY475" s="872"/>
      <c r="BZ475" s="872"/>
      <c r="CA475" s="872"/>
      <c r="CB475" s="872"/>
      <c r="CC475" s="872"/>
    </row>
    <row r="476" s="860" customFormat="1" ht="13.5" spans="1:81">
      <c r="A476" s="861"/>
      <c r="B476" s="860"/>
      <c r="C476" s="860"/>
      <c r="D476" s="860"/>
      <c r="E476" s="862"/>
      <c r="F476" s="860"/>
      <c r="G476" s="860"/>
      <c r="H476" s="860"/>
      <c r="I476" s="860"/>
      <c r="J476" s="860"/>
      <c r="K476" s="860"/>
      <c r="L476" s="860"/>
      <c r="M476" s="860"/>
      <c r="N476" s="860"/>
      <c r="O476" s="860"/>
      <c r="P476" s="860"/>
      <c r="Q476" s="860"/>
      <c r="R476" s="860"/>
      <c r="S476" s="860"/>
      <c r="T476" s="860"/>
      <c r="U476" s="860"/>
      <c r="V476" s="860"/>
      <c r="W476" s="860"/>
      <c r="X476" s="864"/>
      <c r="Y476" s="865"/>
      <c r="Z476" s="865"/>
      <c r="AA476" s="866"/>
      <c r="AB476" s="867"/>
      <c r="AC476" s="868"/>
      <c r="AD476" s="866"/>
      <c r="AE476" s="860"/>
      <c r="AF476" s="869"/>
      <c r="AG476" s="869"/>
      <c r="AH476" s="870"/>
      <c r="AI476" s="871"/>
      <c r="AJ476" s="870"/>
      <c r="AK476" s="870"/>
      <c r="AL476" s="860"/>
      <c r="AM476" s="860"/>
      <c r="AN476" s="860"/>
      <c r="AO476" s="860"/>
      <c r="AP476" s="860"/>
      <c r="AQ476" s="860"/>
      <c r="AR476" s="860"/>
      <c r="AS476" s="860"/>
      <c r="AT476" s="860"/>
      <c r="AU476" s="860"/>
      <c r="AV476" s="860"/>
      <c r="AW476" s="860"/>
      <c r="AX476" s="860"/>
      <c r="AY476" s="860"/>
      <c r="AZ476" s="860"/>
      <c r="BA476" s="860"/>
      <c r="BB476" s="860"/>
      <c r="BC476" s="860"/>
      <c r="BD476" s="860"/>
      <c r="BE476" s="860"/>
      <c r="BF476" s="860"/>
      <c r="BG476" s="860"/>
      <c r="BH476" s="860"/>
      <c r="BI476" s="860"/>
      <c r="BJ476" s="860"/>
      <c r="BK476" s="860"/>
      <c r="BL476" s="860"/>
      <c r="BM476" s="860"/>
      <c r="BN476" s="872"/>
      <c r="BO476" s="872"/>
      <c r="BP476" s="872"/>
      <c r="BQ476" s="872"/>
      <c r="BR476" s="872"/>
      <c r="BS476" s="872"/>
      <c r="BT476" s="860"/>
      <c r="BU476" s="860"/>
      <c r="BV476" s="860"/>
      <c r="BW476" s="860"/>
      <c r="BX476" s="872"/>
      <c r="BY476" s="872"/>
      <c r="BZ476" s="872"/>
      <c r="CA476" s="872"/>
      <c r="CB476" s="872"/>
      <c r="CC476" s="872"/>
    </row>
    <row r="477" s="860" customFormat="1" ht="13.5" spans="1:81">
      <c r="A477" s="861"/>
      <c r="B477" s="860"/>
      <c r="C477" s="860"/>
      <c r="D477" s="860"/>
      <c r="E477" s="862"/>
      <c r="F477" s="860"/>
      <c r="G477" s="860"/>
      <c r="H477" s="860"/>
      <c r="I477" s="860"/>
      <c r="J477" s="860"/>
      <c r="K477" s="860"/>
      <c r="L477" s="860"/>
      <c r="M477" s="860"/>
      <c r="N477" s="860"/>
      <c r="O477" s="860"/>
      <c r="P477" s="860"/>
      <c r="Q477" s="860"/>
      <c r="R477" s="860"/>
      <c r="S477" s="860"/>
      <c r="T477" s="860"/>
      <c r="U477" s="860"/>
      <c r="V477" s="860"/>
      <c r="W477" s="860"/>
      <c r="X477" s="864"/>
      <c r="Y477" s="865"/>
      <c r="Z477" s="865"/>
      <c r="AA477" s="866"/>
      <c r="AB477" s="867"/>
      <c r="AC477" s="868"/>
      <c r="AD477" s="866"/>
      <c r="AE477" s="860"/>
      <c r="AF477" s="869"/>
      <c r="AG477" s="869"/>
      <c r="AH477" s="870"/>
      <c r="AI477" s="871"/>
      <c r="AJ477" s="870"/>
      <c r="AK477" s="870"/>
      <c r="AL477" s="860"/>
      <c r="AM477" s="860"/>
      <c r="AN477" s="860"/>
      <c r="AO477" s="860"/>
      <c r="AP477" s="860"/>
      <c r="AQ477" s="860"/>
      <c r="AR477" s="860"/>
      <c r="AS477" s="860"/>
      <c r="AT477" s="860"/>
      <c r="AU477" s="860"/>
      <c r="AV477" s="860"/>
      <c r="AW477" s="860"/>
      <c r="AX477" s="860"/>
      <c r="AY477" s="860"/>
      <c r="AZ477" s="860"/>
      <c r="BA477" s="860"/>
      <c r="BB477" s="860"/>
      <c r="BC477" s="860"/>
      <c r="BD477" s="860"/>
      <c r="BE477" s="860"/>
      <c r="BF477" s="860"/>
      <c r="BG477" s="860"/>
      <c r="BH477" s="860"/>
      <c r="BI477" s="860"/>
      <c r="BJ477" s="860"/>
      <c r="BK477" s="860"/>
      <c r="BL477" s="860"/>
      <c r="BM477" s="860"/>
      <c r="BN477" s="872"/>
      <c r="BO477" s="872"/>
      <c r="BP477" s="872"/>
      <c r="BQ477" s="872"/>
      <c r="BR477" s="872"/>
      <c r="BS477" s="872"/>
      <c r="BT477" s="860"/>
      <c r="BU477" s="860"/>
      <c r="BV477" s="860"/>
      <c r="BW477" s="860"/>
      <c r="BX477" s="872"/>
      <c r="BY477" s="872"/>
      <c r="BZ477" s="872"/>
      <c r="CA477" s="872"/>
      <c r="CB477" s="872"/>
      <c r="CC477" s="872"/>
    </row>
    <row r="478" s="860" customFormat="1" ht="13.5" spans="1:81">
      <c r="A478" s="861"/>
      <c r="B478" s="860"/>
      <c r="C478" s="860"/>
      <c r="D478" s="860"/>
      <c r="E478" s="862"/>
      <c r="F478" s="860"/>
      <c r="G478" s="860"/>
      <c r="H478" s="860"/>
      <c r="I478" s="860"/>
      <c r="J478" s="860"/>
      <c r="K478" s="860"/>
      <c r="L478" s="860"/>
      <c r="M478" s="860"/>
      <c r="N478" s="860"/>
      <c r="O478" s="860"/>
      <c r="P478" s="860"/>
      <c r="Q478" s="860"/>
      <c r="R478" s="860"/>
      <c r="S478" s="860"/>
      <c r="T478" s="860"/>
      <c r="U478" s="860"/>
      <c r="V478" s="860"/>
      <c r="W478" s="860"/>
      <c r="X478" s="864"/>
      <c r="Y478" s="865"/>
      <c r="Z478" s="865"/>
      <c r="AA478" s="866"/>
      <c r="AB478" s="867"/>
      <c r="AC478" s="868"/>
      <c r="AD478" s="866"/>
      <c r="AE478" s="860"/>
      <c r="AF478" s="869"/>
      <c r="AG478" s="869"/>
      <c r="AH478" s="870"/>
      <c r="AI478" s="871"/>
      <c r="AJ478" s="870"/>
      <c r="AK478" s="870"/>
      <c r="AL478" s="860"/>
      <c r="AM478" s="860"/>
      <c r="AN478" s="860"/>
      <c r="AO478" s="860"/>
      <c r="AP478" s="860"/>
      <c r="AQ478" s="860"/>
      <c r="AR478" s="860"/>
      <c r="AS478" s="860"/>
      <c r="AT478" s="860"/>
      <c r="AU478" s="860"/>
      <c r="AV478" s="860"/>
      <c r="AW478" s="860"/>
      <c r="AX478" s="860"/>
      <c r="AY478" s="860"/>
      <c r="AZ478" s="860"/>
      <c r="BA478" s="860"/>
      <c r="BB478" s="860"/>
      <c r="BC478" s="860"/>
      <c r="BD478" s="860"/>
      <c r="BE478" s="860"/>
      <c r="BF478" s="860"/>
      <c r="BG478" s="860"/>
      <c r="BH478" s="860"/>
      <c r="BI478" s="860"/>
      <c r="BJ478" s="860"/>
      <c r="BK478" s="860"/>
      <c r="BL478" s="860"/>
      <c r="BM478" s="860"/>
      <c r="BN478" s="872"/>
      <c r="BO478" s="872"/>
      <c r="BP478" s="872"/>
      <c r="BQ478" s="872"/>
      <c r="BR478" s="872"/>
      <c r="BS478" s="872"/>
      <c r="BT478" s="860"/>
      <c r="BU478" s="860"/>
      <c r="BV478" s="860"/>
      <c r="BW478" s="860"/>
      <c r="BX478" s="872"/>
      <c r="BY478" s="872"/>
      <c r="BZ478" s="872"/>
      <c r="CA478" s="872"/>
      <c r="CB478" s="872"/>
      <c r="CC478" s="872"/>
    </row>
    <row r="479" s="860" customFormat="1" ht="13.5" spans="1:81">
      <c r="A479" s="861"/>
      <c r="B479" s="860"/>
      <c r="C479" s="860"/>
      <c r="D479" s="860"/>
      <c r="E479" s="862"/>
      <c r="F479" s="860"/>
      <c r="G479" s="860"/>
      <c r="H479" s="860"/>
      <c r="I479" s="860"/>
      <c r="J479" s="860"/>
      <c r="K479" s="860"/>
      <c r="L479" s="860"/>
      <c r="M479" s="860"/>
      <c r="N479" s="860"/>
      <c r="O479" s="860"/>
      <c r="P479" s="860"/>
      <c r="Q479" s="860"/>
      <c r="R479" s="860"/>
      <c r="S479" s="860"/>
      <c r="T479" s="860"/>
      <c r="U479" s="860"/>
      <c r="V479" s="860"/>
      <c r="W479" s="860"/>
      <c r="X479" s="864"/>
      <c r="Y479" s="865"/>
      <c r="Z479" s="865"/>
      <c r="AA479" s="866"/>
      <c r="AB479" s="867"/>
      <c r="AC479" s="868"/>
      <c r="AD479" s="866"/>
      <c r="AE479" s="860"/>
      <c r="AF479" s="869"/>
      <c r="AG479" s="869"/>
      <c r="AH479" s="870"/>
      <c r="AI479" s="871"/>
      <c r="AJ479" s="870"/>
      <c r="AK479" s="870"/>
      <c r="AL479" s="860"/>
      <c r="AM479" s="860"/>
      <c r="AN479" s="860"/>
      <c r="AO479" s="860"/>
      <c r="AP479" s="860"/>
      <c r="AQ479" s="860"/>
      <c r="AR479" s="860"/>
      <c r="AS479" s="860"/>
      <c r="AT479" s="860"/>
      <c r="AU479" s="860"/>
      <c r="AV479" s="860"/>
      <c r="AW479" s="860"/>
      <c r="AX479" s="860"/>
      <c r="AY479" s="860"/>
      <c r="AZ479" s="860"/>
      <c r="BA479" s="860"/>
      <c r="BB479" s="860"/>
      <c r="BC479" s="860"/>
      <c r="BD479" s="860"/>
      <c r="BE479" s="860"/>
      <c r="BF479" s="860"/>
      <c r="BG479" s="860"/>
      <c r="BH479" s="860"/>
      <c r="BI479" s="860"/>
      <c r="BJ479" s="860"/>
      <c r="BK479" s="860"/>
      <c r="BL479" s="860"/>
      <c r="BM479" s="860"/>
      <c r="BN479" s="872"/>
      <c r="BO479" s="872"/>
      <c r="BP479" s="872"/>
      <c r="BQ479" s="872"/>
      <c r="BR479" s="872"/>
      <c r="BS479" s="872"/>
      <c r="BT479" s="860"/>
      <c r="BU479" s="860"/>
      <c r="BV479" s="860"/>
      <c r="BW479" s="860"/>
      <c r="BX479" s="872"/>
      <c r="BY479" s="872"/>
      <c r="BZ479" s="872"/>
      <c r="CA479" s="872"/>
      <c r="CB479" s="872"/>
      <c r="CC479" s="872"/>
    </row>
    <row r="480" s="860" customFormat="1" ht="13.5" spans="1:81">
      <c r="A480" s="861"/>
      <c r="B480" s="860"/>
      <c r="C480" s="860"/>
      <c r="D480" s="860"/>
      <c r="E480" s="862"/>
      <c r="F480" s="860"/>
      <c r="G480" s="860"/>
      <c r="H480" s="860"/>
      <c r="I480" s="860"/>
      <c r="J480" s="860"/>
      <c r="K480" s="860"/>
      <c r="L480" s="860"/>
      <c r="M480" s="860"/>
      <c r="N480" s="860"/>
      <c r="O480" s="860"/>
      <c r="P480" s="860"/>
      <c r="Q480" s="860"/>
      <c r="R480" s="860"/>
      <c r="S480" s="860"/>
      <c r="T480" s="860"/>
      <c r="U480" s="860"/>
      <c r="V480" s="860"/>
      <c r="W480" s="860"/>
      <c r="X480" s="864"/>
      <c r="Y480" s="865"/>
      <c r="Z480" s="865"/>
      <c r="AA480" s="866"/>
      <c r="AB480" s="867"/>
      <c r="AC480" s="868"/>
      <c r="AD480" s="866"/>
      <c r="AE480" s="860"/>
      <c r="AF480" s="869"/>
      <c r="AG480" s="869"/>
      <c r="AH480" s="870"/>
      <c r="AI480" s="871"/>
      <c r="AJ480" s="870"/>
      <c r="AK480" s="870"/>
      <c r="AL480" s="860"/>
      <c r="AM480" s="860"/>
      <c r="AN480" s="860"/>
      <c r="AO480" s="860"/>
      <c r="AP480" s="860"/>
      <c r="AQ480" s="860"/>
      <c r="AR480" s="860"/>
      <c r="AS480" s="860"/>
      <c r="AT480" s="860"/>
      <c r="AU480" s="860"/>
      <c r="AV480" s="860"/>
      <c r="AW480" s="860"/>
      <c r="AX480" s="860"/>
      <c r="AY480" s="860"/>
      <c r="AZ480" s="860"/>
      <c r="BA480" s="860"/>
      <c r="BB480" s="860"/>
      <c r="BC480" s="860"/>
      <c r="BD480" s="860"/>
      <c r="BE480" s="860"/>
      <c r="BF480" s="860"/>
      <c r="BG480" s="860"/>
      <c r="BH480" s="860"/>
      <c r="BI480" s="860"/>
      <c r="BJ480" s="860"/>
      <c r="BK480" s="860"/>
      <c r="BL480" s="860"/>
      <c r="BM480" s="860"/>
      <c r="BN480" s="872"/>
      <c r="BO480" s="872"/>
      <c r="BP480" s="872"/>
      <c r="BQ480" s="872"/>
      <c r="BR480" s="872"/>
      <c r="BS480" s="872"/>
      <c r="BT480" s="860"/>
      <c r="BU480" s="860"/>
      <c r="BV480" s="860"/>
      <c r="BW480" s="860"/>
      <c r="BX480" s="872"/>
      <c r="BY480" s="872"/>
      <c r="BZ480" s="872"/>
      <c r="CA480" s="872"/>
      <c r="CB480" s="872"/>
      <c r="CC480" s="872"/>
    </row>
    <row r="481" s="860" customFormat="1" ht="13.5" spans="1:81">
      <c r="A481" s="861"/>
      <c r="B481" s="860"/>
      <c r="C481" s="860"/>
      <c r="D481" s="860"/>
      <c r="E481" s="862"/>
      <c r="F481" s="860"/>
      <c r="G481" s="860"/>
      <c r="H481" s="860"/>
      <c r="I481" s="860"/>
      <c r="J481" s="860"/>
      <c r="K481" s="860"/>
      <c r="L481" s="860"/>
      <c r="M481" s="860"/>
      <c r="N481" s="860"/>
      <c r="O481" s="860"/>
      <c r="P481" s="860"/>
      <c r="Q481" s="860"/>
      <c r="R481" s="860"/>
      <c r="S481" s="860"/>
      <c r="T481" s="860"/>
      <c r="U481" s="860"/>
      <c r="V481" s="860"/>
      <c r="W481" s="860"/>
      <c r="X481" s="864"/>
      <c r="Y481" s="865"/>
      <c r="Z481" s="865"/>
      <c r="AA481" s="866"/>
      <c r="AB481" s="867"/>
      <c r="AC481" s="868"/>
      <c r="AD481" s="866"/>
      <c r="AE481" s="860"/>
      <c r="AF481" s="869"/>
      <c r="AG481" s="869"/>
      <c r="AH481" s="870"/>
      <c r="AI481" s="871"/>
      <c r="AJ481" s="870"/>
      <c r="AK481" s="870"/>
      <c r="AL481" s="860"/>
      <c r="AM481" s="860"/>
      <c r="AN481" s="860"/>
      <c r="AO481" s="860"/>
      <c r="AP481" s="860"/>
      <c r="AQ481" s="860"/>
      <c r="AR481" s="860"/>
      <c r="AS481" s="860"/>
      <c r="AT481" s="860"/>
      <c r="AU481" s="860"/>
      <c r="AV481" s="860"/>
      <c r="AW481" s="860"/>
      <c r="AX481" s="860"/>
      <c r="AY481" s="860"/>
      <c r="AZ481" s="860"/>
      <c r="BA481" s="860"/>
      <c r="BB481" s="860"/>
      <c r="BC481" s="860"/>
      <c r="BD481" s="860"/>
      <c r="BE481" s="860"/>
      <c r="BF481" s="860"/>
      <c r="BG481" s="860"/>
      <c r="BH481" s="860"/>
      <c r="BI481" s="860"/>
      <c r="BJ481" s="860"/>
      <c r="BK481" s="860"/>
      <c r="BL481" s="860"/>
      <c r="BM481" s="860"/>
      <c r="BN481" s="872"/>
      <c r="BO481" s="872"/>
      <c r="BP481" s="872"/>
      <c r="BQ481" s="872"/>
      <c r="BR481" s="872"/>
      <c r="BS481" s="872"/>
      <c r="BT481" s="860"/>
      <c r="BU481" s="860"/>
      <c r="BV481" s="860"/>
      <c r="BW481" s="860"/>
      <c r="BX481" s="872"/>
      <c r="BY481" s="872"/>
      <c r="BZ481" s="872"/>
      <c r="CA481" s="872"/>
      <c r="CB481" s="872"/>
      <c r="CC481" s="872"/>
    </row>
    <row r="482" s="860" customFormat="1" ht="13.5" spans="1:81">
      <c r="A482" s="861"/>
      <c r="B482" s="860"/>
      <c r="C482" s="860"/>
      <c r="D482" s="860"/>
      <c r="E482" s="862"/>
      <c r="F482" s="860"/>
      <c r="G482" s="860"/>
      <c r="H482" s="860"/>
      <c r="I482" s="860"/>
      <c r="J482" s="860"/>
      <c r="K482" s="860"/>
      <c r="L482" s="860"/>
      <c r="M482" s="860"/>
      <c r="N482" s="860"/>
      <c r="O482" s="860"/>
      <c r="P482" s="860"/>
      <c r="Q482" s="860"/>
      <c r="R482" s="860"/>
      <c r="S482" s="860"/>
      <c r="T482" s="860"/>
      <c r="U482" s="860"/>
      <c r="V482" s="860"/>
      <c r="W482" s="860"/>
      <c r="X482" s="864"/>
      <c r="Y482" s="865"/>
      <c r="Z482" s="865"/>
      <c r="AA482" s="866"/>
      <c r="AB482" s="867"/>
      <c r="AC482" s="868"/>
      <c r="AD482" s="866"/>
      <c r="AE482" s="860"/>
      <c r="AF482" s="869"/>
      <c r="AG482" s="869"/>
      <c r="AH482" s="870"/>
      <c r="AI482" s="871"/>
      <c r="AJ482" s="870"/>
      <c r="AK482" s="870"/>
      <c r="AL482" s="860"/>
      <c r="AM482" s="860"/>
      <c r="AN482" s="860"/>
      <c r="AO482" s="860"/>
      <c r="AP482" s="860"/>
      <c r="AQ482" s="860"/>
      <c r="AR482" s="860"/>
      <c r="AS482" s="860"/>
      <c r="AT482" s="860"/>
      <c r="AU482" s="860"/>
      <c r="AV482" s="860"/>
      <c r="AW482" s="860"/>
      <c r="AX482" s="860"/>
      <c r="AY482" s="860"/>
      <c r="AZ482" s="860"/>
      <c r="BA482" s="860"/>
      <c r="BB482" s="860"/>
      <c r="BC482" s="860"/>
      <c r="BD482" s="860"/>
      <c r="BE482" s="860"/>
      <c r="BF482" s="860"/>
      <c r="BG482" s="860"/>
      <c r="BH482" s="860"/>
      <c r="BI482" s="860"/>
      <c r="BJ482" s="860"/>
      <c r="BK482" s="860"/>
      <c r="BL482" s="860"/>
      <c r="BM482" s="860"/>
      <c r="BN482" s="872"/>
      <c r="BO482" s="872"/>
      <c r="BP482" s="872"/>
      <c r="BQ482" s="872"/>
      <c r="BR482" s="872"/>
      <c r="BS482" s="872"/>
      <c r="BT482" s="860"/>
      <c r="BU482" s="860"/>
      <c r="BV482" s="860"/>
      <c r="BW482" s="860"/>
      <c r="BX482" s="872"/>
      <c r="BY482" s="872"/>
      <c r="BZ482" s="872"/>
      <c r="CA482" s="872"/>
      <c r="CB482" s="872"/>
      <c r="CC482" s="872"/>
    </row>
    <row r="483" s="860" customFormat="1" ht="13.5" spans="1:81">
      <c r="A483" s="861"/>
      <c r="B483" s="860"/>
      <c r="C483" s="860"/>
      <c r="D483" s="860"/>
      <c r="E483" s="862"/>
      <c r="F483" s="860"/>
      <c r="G483" s="860"/>
      <c r="H483" s="860"/>
      <c r="I483" s="860"/>
      <c r="J483" s="860"/>
      <c r="K483" s="860"/>
      <c r="L483" s="860"/>
      <c r="M483" s="860"/>
      <c r="N483" s="860"/>
      <c r="O483" s="860"/>
      <c r="P483" s="860"/>
      <c r="Q483" s="860"/>
      <c r="R483" s="860"/>
      <c r="S483" s="860"/>
      <c r="T483" s="860"/>
      <c r="U483" s="860"/>
      <c r="V483" s="860"/>
      <c r="W483" s="860"/>
      <c r="X483" s="864"/>
      <c r="Y483" s="865"/>
      <c r="Z483" s="865"/>
      <c r="AA483" s="866"/>
      <c r="AB483" s="867"/>
      <c r="AC483" s="868"/>
      <c r="AD483" s="866"/>
      <c r="AE483" s="860"/>
      <c r="AF483" s="869"/>
      <c r="AG483" s="869"/>
      <c r="AH483" s="870"/>
      <c r="AI483" s="871"/>
      <c r="AJ483" s="870"/>
      <c r="AK483" s="870"/>
      <c r="AL483" s="860"/>
      <c r="AM483" s="860"/>
      <c r="AN483" s="860"/>
      <c r="AO483" s="860"/>
      <c r="AP483" s="860"/>
      <c r="AQ483" s="860"/>
      <c r="AR483" s="860"/>
      <c r="AS483" s="860"/>
      <c r="AT483" s="860"/>
      <c r="AU483" s="860"/>
      <c r="AV483" s="860"/>
      <c r="AW483" s="860"/>
      <c r="AX483" s="860"/>
      <c r="AY483" s="860"/>
      <c r="AZ483" s="860"/>
      <c r="BA483" s="860"/>
      <c r="BB483" s="860"/>
      <c r="BC483" s="860"/>
      <c r="BD483" s="860"/>
      <c r="BE483" s="860"/>
      <c r="BF483" s="860"/>
      <c r="BG483" s="860"/>
      <c r="BH483" s="860"/>
      <c r="BI483" s="860"/>
      <c r="BJ483" s="860"/>
      <c r="BK483" s="860"/>
      <c r="BL483" s="860"/>
      <c r="BM483" s="860"/>
      <c r="BN483" s="872"/>
      <c r="BO483" s="872"/>
      <c r="BP483" s="872"/>
      <c r="BQ483" s="872"/>
      <c r="BR483" s="872"/>
      <c r="BS483" s="872"/>
      <c r="BT483" s="860"/>
      <c r="BU483" s="860"/>
      <c r="BV483" s="860"/>
      <c r="BW483" s="860"/>
      <c r="BX483" s="872"/>
      <c r="BY483" s="872"/>
      <c r="BZ483" s="872"/>
      <c r="CA483" s="872"/>
      <c r="CB483" s="872"/>
      <c r="CC483" s="872"/>
    </row>
    <row r="484" s="860" customFormat="1" ht="13.5" spans="1:81">
      <c r="A484" s="861"/>
      <c r="B484" s="860"/>
      <c r="C484" s="860"/>
      <c r="D484" s="860"/>
      <c r="E484" s="862"/>
      <c r="F484" s="860"/>
      <c r="G484" s="860"/>
      <c r="H484" s="860"/>
      <c r="I484" s="860"/>
      <c r="J484" s="860"/>
      <c r="K484" s="860"/>
      <c r="L484" s="860"/>
      <c r="M484" s="860"/>
      <c r="N484" s="860"/>
      <c r="O484" s="860"/>
      <c r="P484" s="860"/>
      <c r="Q484" s="860"/>
      <c r="R484" s="860"/>
      <c r="S484" s="860"/>
      <c r="T484" s="860"/>
      <c r="U484" s="860"/>
      <c r="V484" s="860"/>
      <c r="W484" s="860"/>
      <c r="X484" s="864"/>
      <c r="Y484" s="865"/>
      <c r="Z484" s="865"/>
      <c r="AA484" s="866"/>
      <c r="AB484" s="867"/>
      <c r="AC484" s="868"/>
      <c r="AD484" s="866"/>
      <c r="AE484" s="860"/>
      <c r="AF484" s="869"/>
      <c r="AG484" s="869"/>
      <c r="AH484" s="870"/>
      <c r="AI484" s="871"/>
      <c r="AJ484" s="870"/>
      <c r="AK484" s="870"/>
      <c r="AL484" s="860"/>
      <c r="AM484" s="860"/>
      <c r="AN484" s="860"/>
      <c r="AO484" s="860"/>
      <c r="AP484" s="860"/>
      <c r="AQ484" s="860"/>
      <c r="AR484" s="860"/>
      <c r="AS484" s="860"/>
      <c r="AT484" s="860"/>
      <c r="AU484" s="860"/>
      <c r="AV484" s="860"/>
      <c r="AW484" s="860"/>
      <c r="AX484" s="860"/>
      <c r="AY484" s="860"/>
      <c r="AZ484" s="860"/>
      <c r="BA484" s="860"/>
      <c r="BB484" s="860"/>
      <c r="BC484" s="860"/>
      <c r="BD484" s="860"/>
      <c r="BE484" s="860"/>
      <c r="BF484" s="860"/>
      <c r="BG484" s="860"/>
      <c r="BH484" s="860"/>
      <c r="BI484" s="860"/>
      <c r="BJ484" s="860"/>
      <c r="BK484" s="860"/>
      <c r="BL484" s="860"/>
      <c r="BM484" s="860"/>
      <c r="BN484" s="872"/>
      <c r="BO484" s="872"/>
      <c r="BP484" s="872"/>
      <c r="BQ484" s="872"/>
      <c r="BR484" s="872"/>
      <c r="BS484" s="872"/>
      <c r="BT484" s="860"/>
      <c r="BU484" s="860"/>
      <c r="BV484" s="860"/>
      <c r="BW484" s="860"/>
      <c r="BX484" s="872"/>
      <c r="BY484" s="872"/>
      <c r="BZ484" s="872"/>
      <c r="CA484" s="872"/>
      <c r="CB484" s="872"/>
      <c r="CC484" s="872"/>
    </row>
    <row r="485" s="860" customFormat="1" ht="13.5" spans="1:81">
      <c r="A485" s="861"/>
      <c r="B485" s="860"/>
      <c r="C485" s="860"/>
      <c r="D485" s="860"/>
      <c r="E485" s="862"/>
      <c r="F485" s="860"/>
      <c r="G485" s="860"/>
      <c r="H485" s="860"/>
      <c r="I485" s="860"/>
      <c r="J485" s="860"/>
      <c r="K485" s="860"/>
      <c r="L485" s="860"/>
      <c r="M485" s="860"/>
      <c r="N485" s="860"/>
      <c r="O485" s="860"/>
      <c r="P485" s="860"/>
      <c r="Q485" s="860"/>
      <c r="R485" s="860"/>
      <c r="S485" s="860"/>
      <c r="T485" s="860"/>
      <c r="U485" s="860"/>
      <c r="V485" s="860"/>
      <c r="W485" s="860"/>
      <c r="X485" s="864"/>
      <c r="Y485" s="865"/>
      <c r="Z485" s="865"/>
      <c r="AA485" s="866"/>
      <c r="AB485" s="867"/>
      <c r="AC485" s="868"/>
      <c r="AD485" s="866"/>
      <c r="AE485" s="860"/>
      <c r="AF485" s="869"/>
      <c r="AG485" s="869"/>
      <c r="AH485" s="870"/>
      <c r="AI485" s="871"/>
      <c r="AJ485" s="870"/>
      <c r="AK485" s="870"/>
      <c r="AL485" s="860"/>
      <c r="AM485" s="860"/>
      <c r="AN485" s="860"/>
      <c r="AO485" s="860"/>
      <c r="AP485" s="860"/>
      <c r="AQ485" s="860"/>
      <c r="AR485" s="860"/>
      <c r="AS485" s="860"/>
      <c r="AT485" s="860"/>
      <c r="AU485" s="860"/>
      <c r="AV485" s="860"/>
      <c r="AW485" s="860"/>
      <c r="AX485" s="860"/>
      <c r="AY485" s="860"/>
      <c r="AZ485" s="860"/>
      <c r="BA485" s="860"/>
      <c r="BB485" s="860"/>
      <c r="BC485" s="860"/>
      <c r="BD485" s="860"/>
      <c r="BE485" s="860"/>
      <c r="BF485" s="860"/>
      <c r="BG485" s="860"/>
      <c r="BH485" s="860"/>
      <c r="BI485" s="860"/>
      <c r="BJ485" s="860"/>
      <c r="BK485" s="860"/>
      <c r="BL485" s="860"/>
      <c r="BM485" s="860"/>
      <c r="BN485" s="872"/>
      <c r="BO485" s="872"/>
      <c r="BP485" s="872"/>
      <c r="BQ485" s="872"/>
      <c r="BR485" s="872"/>
      <c r="BS485" s="872"/>
      <c r="BT485" s="860"/>
      <c r="BU485" s="860"/>
      <c r="BV485" s="860"/>
      <c r="BW485" s="860"/>
      <c r="BX485" s="872"/>
      <c r="BY485" s="872"/>
      <c r="BZ485" s="872"/>
      <c r="CA485" s="872"/>
      <c r="CB485" s="872"/>
      <c r="CC485" s="872"/>
    </row>
    <row r="486" s="860" customFormat="1" ht="13.5" spans="1:81">
      <c r="A486" s="861"/>
      <c r="B486" s="860"/>
      <c r="C486" s="860"/>
      <c r="D486" s="860"/>
      <c r="E486" s="862"/>
      <c r="F486" s="860"/>
      <c r="G486" s="860"/>
      <c r="H486" s="860"/>
      <c r="I486" s="860"/>
      <c r="J486" s="860"/>
      <c r="K486" s="860"/>
      <c r="L486" s="860"/>
      <c r="M486" s="860"/>
      <c r="N486" s="860"/>
      <c r="O486" s="860"/>
      <c r="P486" s="860"/>
      <c r="Q486" s="860"/>
      <c r="R486" s="860"/>
      <c r="S486" s="860"/>
      <c r="T486" s="860"/>
      <c r="U486" s="860"/>
      <c r="V486" s="860"/>
      <c r="W486" s="860"/>
      <c r="X486" s="864"/>
      <c r="Y486" s="865"/>
      <c r="Z486" s="865"/>
      <c r="AA486" s="866"/>
      <c r="AB486" s="867"/>
      <c r="AC486" s="868"/>
      <c r="AD486" s="866"/>
      <c r="AE486" s="860"/>
      <c r="AF486" s="869"/>
      <c r="AG486" s="869"/>
      <c r="AH486" s="870"/>
      <c r="AI486" s="871"/>
      <c r="AJ486" s="870"/>
      <c r="AK486" s="870"/>
      <c r="AL486" s="860"/>
      <c r="AM486" s="860"/>
      <c r="AN486" s="860"/>
      <c r="AO486" s="860"/>
      <c r="AP486" s="860"/>
      <c r="AQ486" s="860"/>
      <c r="AR486" s="860"/>
      <c r="AS486" s="860"/>
      <c r="AT486" s="860"/>
      <c r="AU486" s="860"/>
      <c r="AV486" s="860"/>
      <c r="AW486" s="860"/>
      <c r="AX486" s="860"/>
      <c r="AY486" s="860"/>
      <c r="AZ486" s="860"/>
      <c r="BA486" s="860"/>
      <c r="BB486" s="860"/>
      <c r="BC486" s="860"/>
      <c r="BD486" s="860"/>
      <c r="BE486" s="860"/>
      <c r="BF486" s="860"/>
      <c r="BG486" s="860"/>
      <c r="BH486" s="860"/>
      <c r="BI486" s="860"/>
      <c r="BJ486" s="860"/>
      <c r="BK486" s="860"/>
      <c r="BL486" s="860"/>
      <c r="BM486" s="860"/>
      <c r="BN486" s="872"/>
      <c r="BO486" s="872"/>
      <c r="BP486" s="872"/>
      <c r="BQ486" s="872"/>
      <c r="BR486" s="872"/>
      <c r="BS486" s="872"/>
      <c r="BT486" s="860"/>
      <c r="BU486" s="860"/>
      <c r="BV486" s="860"/>
      <c r="BW486" s="860"/>
      <c r="BX486" s="872"/>
      <c r="BY486" s="872"/>
      <c r="BZ486" s="872"/>
      <c r="CA486" s="872"/>
      <c r="CB486" s="872"/>
      <c r="CC486" s="872"/>
    </row>
    <row r="487" s="860" customFormat="1" ht="13.5" spans="1:81">
      <c r="A487" s="861"/>
      <c r="B487" s="860"/>
      <c r="C487" s="860"/>
      <c r="D487" s="860"/>
      <c r="E487" s="862"/>
      <c r="F487" s="860"/>
      <c r="G487" s="860"/>
      <c r="H487" s="860"/>
      <c r="I487" s="860"/>
      <c r="J487" s="860"/>
      <c r="K487" s="860"/>
      <c r="L487" s="860"/>
      <c r="M487" s="860"/>
      <c r="N487" s="860"/>
      <c r="O487" s="860"/>
      <c r="P487" s="860"/>
      <c r="Q487" s="860"/>
      <c r="R487" s="860"/>
      <c r="S487" s="860"/>
      <c r="T487" s="860"/>
      <c r="U487" s="860"/>
      <c r="V487" s="860"/>
      <c r="W487" s="860"/>
      <c r="X487" s="864"/>
      <c r="Y487" s="865"/>
      <c r="Z487" s="865"/>
      <c r="AA487" s="866"/>
      <c r="AB487" s="867"/>
      <c r="AC487" s="868"/>
      <c r="AD487" s="866"/>
      <c r="AE487" s="860"/>
      <c r="AF487" s="869"/>
      <c r="AG487" s="869"/>
      <c r="AH487" s="870"/>
      <c r="AI487" s="871"/>
      <c r="AJ487" s="870"/>
      <c r="AK487" s="870"/>
      <c r="AL487" s="860"/>
      <c r="AM487" s="860"/>
      <c r="AN487" s="860"/>
      <c r="AO487" s="860"/>
      <c r="AP487" s="860"/>
      <c r="AQ487" s="860"/>
      <c r="AR487" s="860"/>
      <c r="AS487" s="860"/>
      <c r="AT487" s="860"/>
      <c r="AU487" s="860"/>
      <c r="AV487" s="860"/>
      <c r="AW487" s="860"/>
      <c r="AX487" s="860"/>
      <c r="AY487" s="860"/>
      <c r="AZ487" s="860"/>
      <c r="BA487" s="860"/>
      <c r="BB487" s="860"/>
      <c r="BC487" s="860"/>
      <c r="BD487" s="860"/>
      <c r="BE487" s="860"/>
      <c r="BF487" s="860"/>
      <c r="BG487" s="860"/>
      <c r="BH487" s="860"/>
      <c r="BI487" s="860"/>
      <c r="BJ487" s="860"/>
      <c r="BK487" s="860"/>
      <c r="BL487" s="860"/>
      <c r="BM487" s="860"/>
      <c r="BN487" s="872"/>
      <c r="BO487" s="872"/>
      <c r="BP487" s="872"/>
      <c r="BQ487" s="872"/>
      <c r="BR487" s="872"/>
      <c r="BS487" s="872"/>
      <c r="BT487" s="860"/>
      <c r="BU487" s="860"/>
      <c r="BV487" s="860"/>
      <c r="BW487" s="860"/>
      <c r="BX487" s="872"/>
      <c r="BY487" s="872"/>
      <c r="BZ487" s="872"/>
      <c r="CA487" s="872"/>
      <c r="CB487" s="872"/>
      <c r="CC487" s="872"/>
    </row>
    <row r="488" s="860" customFormat="1" ht="13.5" spans="1:81">
      <c r="A488" s="861"/>
      <c r="B488" s="860"/>
      <c r="C488" s="860"/>
      <c r="D488" s="860"/>
      <c r="E488" s="862"/>
      <c r="F488" s="860"/>
      <c r="G488" s="860"/>
      <c r="H488" s="860"/>
      <c r="I488" s="860"/>
      <c r="J488" s="860"/>
      <c r="K488" s="860"/>
      <c r="L488" s="860"/>
      <c r="M488" s="860"/>
      <c r="N488" s="860"/>
      <c r="O488" s="860"/>
      <c r="P488" s="860"/>
      <c r="Q488" s="860"/>
      <c r="R488" s="860"/>
      <c r="S488" s="860"/>
      <c r="T488" s="860"/>
      <c r="U488" s="860"/>
      <c r="V488" s="860"/>
      <c r="W488" s="860"/>
      <c r="X488" s="864"/>
      <c r="Y488" s="865"/>
      <c r="Z488" s="865"/>
      <c r="AA488" s="866"/>
      <c r="AB488" s="867"/>
      <c r="AC488" s="868"/>
      <c r="AD488" s="866"/>
      <c r="AE488" s="860"/>
      <c r="AF488" s="869"/>
      <c r="AG488" s="869"/>
      <c r="AH488" s="870"/>
      <c r="AI488" s="871"/>
      <c r="AJ488" s="870"/>
      <c r="AK488" s="870"/>
      <c r="AL488" s="860"/>
      <c r="AM488" s="860"/>
      <c r="AN488" s="860"/>
      <c r="AO488" s="860"/>
      <c r="AP488" s="860"/>
      <c r="AQ488" s="860"/>
      <c r="AR488" s="860"/>
      <c r="AS488" s="860"/>
      <c r="AT488" s="860"/>
      <c r="AU488" s="860"/>
      <c r="AV488" s="860"/>
      <c r="AW488" s="860"/>
      <c r="AX488" s="860"/>
      <c r="AY488" s="860"/>
      <c r="AZ488" s="860"/>
      <c r="BA488" s="860"/>
      <c r="BB488" s="860"/>
      <c r="BC488" s="860"/>
      <c r="BD488" s="860"/>
      <c r="BE488" s="860"/>
      <c r="BF488" s="860"/>
      <c r="BG488" s="860"/>
      <c r="BH488" s="860"/>
      <c r="BI488" s="860"/>
      <c r="BJ488" s="860"/>
      <c r="BK488" s="860"/>
      <c r="BL488" s="860"/>
      <c r="BM488" s="860"/>
      <c r="BN488" s="872"/>
      <c r="BO488" s="872"/>
      <c r="BP488" s="872"/>
      <c r="BQ488" s="872"/>
      <c r="BR488" s="872"/>
      <c r="BS488" s="872"/>
      <c r="BT488" s="860"/>
      <c r="BU488" s="860"/>
      <c r="BV488" s="860"/>
      <c r="BW488" s="860"/>
      <c r="BX488" s="872"/>
      <c r="BY488" s="872"/>
      <c r="BZ488" s="872"/>
      <c r="CA488" s="872"/>
      <c r="CB488" s="872"/>
      <c r="CC488" s="872"/>
    </row>
    <row r="489" s="860" customFormat="1" ht="13.5" spans="1:81">
      <c r="A489" s="861"/>
      <c r="B489" s="860"/>
      <c r="C489" s="860"/>
      <c r="D489" s="860"/>
      <c r="E489" s="862"/>
      <c r="F489" s="860"/>
      <c r="G489" s="860"/>
      <c r="H489" s="860"/>
      <c r="I489" s="860"/>
      <c r="J489" s="860"/>
      <c r="K489" s="860"/>
      <c r="L489" s="860"/>
      <c r="M489" s="860"/>
      <c r="N489" s="860"/>
      <c r="O489" s="860"/>
      <c r="P489" s="860"/>
      <c r="Q489" s="860"/>
      <c r="R489" s="860"/>
      <c r="S489" s="860"/>
      <c r="T489" s="860"/>
      <c r="U489" s="860"/>
      <c r="V489" s="860"/>
      <c r="W489" s="860"/>
      <c r="X489" s="864"/>
      <c r="Y489" s="865"/>
      <c r="Z489" s="865"/>
      <c r="AA489" s="866"/>
      <c r="AB489" s="867"/>
      <c r="AC489" s="868"/>
      <c r="AD489" s="866"/>
      <c r="AE489" s="860"/>
      <c r="AF489" s="869"/>
      <c r="AG489" s="869"/>
      <c r="AH489" s="870"/>
      <c r="AI489" s="871"/>
      <c r="AJ489" s="870"/>
      <c r="AK489" s="870"/>
      <c r="AL489" s="860"/>
      <c r="AM489" s="860"/>
      <c r="AN489" s="860"/>
      <c r="AO489" s="860"/>
      <c r="AP489" s="860"/>
      <c r="AQ489" s="860"/>
      <c r="AR489" s="860"/>
      <c r="AS489" s="860"/>
      <c r="AT489" s="860"/>
      <c r="AU489" s="860"/>
      <c r="AV489" s="860"/>
      <c r="AW489" s="860"/>
      <c r="AX489" s="860"/>
      <c r="AY489" s="860"/>
      <c r="AZ489" s="860"/>
      <c r="BA489" s="860"/>
      <c r="BB489" s="860"/>
      <c r="BC489" s="860"/>
      <c r="BD489" s="860"/>
      <c r="BE489" s="860"/>
      <c r="BF489" s="860"/>
      <c r="BG489" s="860"/>
      <c r="BH489" s="860"/>
      <c r="BI489" s="860"/>
      <c r="BJ489" s="860"/>
      <c r="BK489" s="860"/>
      <c r="BL489" s="860"/>
      <c r="BM489" s="860"/>
      <c r="BN489" s="872"/>
      <c r="BO489" s="872"/>
      <c r="BP489" s="872"/>
      <c r="BQ489" s="872"/>
      <c r="BR489" s="872"/>
      <c r="BS489" s="872"/>
      <c r="BT489" s="860"/>
      <c r="BU489" s="860"/>
      <c r="BV489" s="860"/>
      <c r="BW489" s="860"/>
      <c r="BX489" s="872"/>
      <c r="BY489" s="872"/>
      <c r="BZ489" s="872"/>
      <c r="CA489" s="872"/>
      <c r="CB489" s="872"/>
      <c r="CC489" s="872"/>
    </row>
    <row r="490" s="860" customFormat="1" ht="13.5" spans="1:81">
      <c r="A490" s="861"/>
      <c r="B490" s="860"/>
      <c r="C490" s="860"/>
      <c r="D490" s="860"/>
      <c r="E490" s="862"/>
      <c r="F490" s="860"/>
      <c r="G490" s="860"/>
      <c r="H490" s="860"/>
      <c r="I490" s="860"/>
      <c r="J490" s="860"/>
      <c r="K490" s="860"/>
      <c r="L490" s="860"/>
      <c r="M490" s="860"/>
      <c r="N490" s="860"/>
      <c r="O490" s="860"/>
      <c r="P490" s="860"/>
      <c r="Q490" s="860"/>
      <c r="R490" s="860"/>
      <c r="S490" s="860"/>
      <c r="T490" s="860"/>
      <c r="U490" s="860"/>
      <c r="V490" s="860"/>
      <c r="W490" s="860"/>
      <c r="X490" s="864"/>
      <c r="Y490" s="865"/>
      <c r="Z490" s="865"/>
      <c r="AA490" s="866"/>
      <c r="AB490" s="867"/>
      <c r="AC490" s="868"/>
      <c r="AD490" s="866"/>
      <c r="AE490" s="860"/>
      <c r="AF490" s="869"/>
      <c r="AG490" s="869"/>
      <c r="AH490" s="870"/>
      <c r="AI490" s="871"/>
      <c r="AJ490" s="870"/>
      <c r="AK490" s="870"/>
      <c r="AL490" s="860"/>
      <c r="AM490" s="860"/>
      <c r="AN490" s="860"/>
      <c r="AO490" s="860"/>
      <c r="AP490" s="860"/>
      <c r="AQ490" s="860"/>
      <c r="AR490" s="860"/>
      <c r="AS490" s="860"/>
      <c r="AT490" s="860"/>
      <c r="AU490" s="860"/>
      <c r="AV490" s="860"/>
      <c r="AW490" s="860"/>
      <c r="AX490" s="860"/>
      <c r="AY490" s="860"/>
      <c r="AZ490" s="860"/>
      <c r="BA490" s="860"/>
      <c r="BB490" s="860"/>
      <c r="BC490" s="860"/>
      <c r="BD490" s="860"/>
      <c r="BE490" s="860"/>
      <c r="BF490" s="860"/>
      <c r="BG490" s="860"/>
      <c r="BH490" s="860"/>
      <c r="BI490" s="860"/>
      <c r="BJ490" s="860"/>
      <c r="BK490" s="860"/>
      <c r="BL490" s="860"/>
      <c r="BM490" s="860"/>
      <c r="BN490" s="872"/>
      <c r="BO490" s="872"/>
      <c r="BP490" s="872"/>
      <c r="BQ490" s="872"/>
      <c r="BR490" s="872"/>
      <c r="BS490" s="872"/>
      <c r="BT490" s="860"/>
      <c r="BU490" s="860"/>
      <c r="BV490" s="860"/>
      <c r="BW490" s="860"/>
      <c r="BX490" s="872"/>
      <c r="BY490" s="872"/>
      <c r="BZ490" s="872"/>
      <c r="CA490" s="872"/>
      <c r="CB490" s="872"/>
      <c r="CC490" s="872"/>
    </row>
    <row r="491" s="860" customFormat="1" ht="13.5" spans="1:81">
      <c r="A491" s="861"/>
      <c r="B491" s="860"/>
      <c r="C491" s="860"/>
      <c r="D491" s="860"/>
      <c r="E491" s="862"/>
      <c r="F491" s="860"/>
      <c r="G491" s="860"/>
      <c r="H491" s="860"/>
      <c r="I491" s="860"/>
      <c r="J491" s="860"/>
      <c r="K491" s="860"/>
      <c r="L491" s="860"/>
      <c r="M491" s="860"/>
      <c r="N491" s="860"/>
      <c r="O491" s="860"/>
      <c r="P491" s="860"/>
      <c r="Q491" s="860"/>
      <c r="R491" s="860"/>
      <c r="S491" s="860"/>
      <c r="T491" s="860"/>
      <c r="U491" s="860"/>
      <c r="V491" s="860"/>
      <c r="W491" s="860"/>
      <c r="X491" s="864"/>
      <c r="Y491" s="865"/>
      <c r="Z491" s="865"/>
      <c r="AA491" s="866"/>
      <c r="AB491" s="867"/>
      <c r="AC491" s="868"/>
      <c r="AD491" s="866"/>
      <c r="AE491" s="860"/>
      <c r="AF491" s="869"/>
      <c r="AG491" s="869"/>
      <c r="AH491" s="870"/>
      <c r="AI491" s="871"/>
      <c r="AJ491" s="870"/>
      <c r="AK491" s="870"/>
      <c r="AL491" s="860"/>
      <c r="AM491" s="860"/>
      <c r="AN491" s="860"/>
      <c r="AO491" s="860"/>
      <c r="AP491" s="860"/>
      <c r="AQ491" s="860"/>
      <c r="AR491" s="860"/>
      <c r="AS491" s="860"/>
      <c r="AT491" s="860"/>
      <c r="AU491" s="860"/>
      <c r="AV491" s="860"/>
      <c r="AW491" s="860"/>
      <c r="AX491" s="860"/>
      <c r="AY491" s="860"/>
      <c r="AZ491" s="860"/>
      <c r="BA491" s="860"/>
      <c r="BB491" s="860"/>
      <c r="BC491" s="860"/>
      <c r="BD491" s="860"/>
      <c r="BE491" s="860"/>
      <c r="BF491" s="860"/>
      <c r="BG491" s="860"/>
      <c r="BH491" s="860"/>
      <c r="BI491" s="860"/>
      <c r="BJ491" s="860"/>
      <c r="BK491" s="860"/>
      <c r="BL491" s="860"/>
      <c r="BM491" s="860"/>
      <c r="BN491" s="872"/>
      <c r="BO491" s="872"/>
      <c r="BP491" s="872"/>
      <c r="BQ491" s="872"/>
      <c r="BR491" s="872"/>
      <c r="BS491" s="872"/>
      <c r="BT491" s="860"/>
      <c r="BU491" s="860"/>
      <c r="BV491" s="860"/>
      <c r="BW491" s="860"/>
      <c r="BX491" s="872"/>
      <c r="BY491" s="872"/>
      <c r="BZ491" s="872"/>
      <c r="CA491" s="872"/>
      <c r="CB491" s="872"/>
      <c r="CC491" s="872"/>
    </row>
    <row r="492" s="860" customFormat="1" ht="13.5" spans="1:81">
      <c r="A492" s="861"/>
      <c r="B492" s="860"/>
      <c r="C492" s="860"/>
      <c r="D492" s="860"/>
      <c r="E492" s="862"/>
      <c r="F492" s="860"/>
      <c r="G492" s="860"/>
      <c r="H492" s="860"/>
      <c r="I492" s="860"/>
      <c r="J492" s="860"/>
      <c r="K492" s="860"/>
      <c r="L492" s="860"/>
      <c r="M492" s="860"/>
      <c r="N492" s="860"/>
      <c r="O492" s="860"/>
      <c r="P492" s="860"/>
      <c r="Q492" s="860"/>
      <c r="R492" s="860"/>
      <c r="S492" s="860"/>
      <c r="T492" s="860"/>
      <c r="U492" s="860"/>
      <c r="V492" s="860"/>
      <c r="W492" s="860"/>
      <c r="X492" s="864"/>
      <c r="Y492" s="865"/>
      <c r="Z492" s="865"/>
      <c r="AA492" s="866"/>
      <c r="AB492" s="867"/>
      <c r="AC492" s="868"/>
      <c r="AD492" s="866"/>
      <c r="AE492" s="860"/>
      <c r="AF492" s="869"/>
      <c r="AG492" s="869"/>
      <c r="AH492" s="870"/>
      <c r="AI492" s="871"/>
      <c r="AJ492" s="870"/>
      <c r="AK492" s="870"/>
      <c r="AL492" s="860"/>
      <c r="AM492" s="860"/>
      <c r="AN492" s="860"/>
      <c r="AO492" s="860"/>
      <c r="AP492" s="860"/>
      <c r="AQ492" s="860"/>
      <c r="AR492" s="860"/>
      <c r="AS492" s="860"/>
      <c r="AT492" s="860"/>
      <c r="AU492" s="860"/>
      <c r="AV492" s="860"/>
      <c r="AW492" s="860"/>
      <c r="AX492" s="860"/>
      <c r="AY492" s="860"/>
      <c r="AZ492" s="860"/>
      <c r="BA492" s="860"/>
      <c r="BB492" s="860"/>
      <c r="BC492" s="860"/>
      <c r="BD492" s="860"/>
      <c r="BE492" s="860"/>
      <c r="BF492" s="860"/>
      <c r="BG492" s="860"/>
      <c r="BH492" s="860"/>
      <c r="BI492" s="860"/>
      <c r="BJ492" s="860"/>
      <c r="BK492" s="860"/>
      <c r="BL492" s="860"/>
      <c r="BM492" s="860"/>
      <c r="BN492" s="872"/>
      <c r="BO492" s="872"/>
      <c r="BP492" s="872"/>
      <c r="BQ492" s="872"/>
      <c r="BR492" s="872"/>
      <c r="BS492" s="872"/>
      <c r="BT492" s="860"/>
      <c r="BU492" s="860"/>
      <c r="BV492" s="860"/>
      <c r="BW492" s="860"/>
      <c r="BX492" s="872"/>
      <c r="BY492" s="872"/>
      <c r="BZ492" s="872"/>
      <c r="CA492" s="872"/>
      <c r="CB492" s="872"/>
      <c r="CC492" s="872"/>
    </row>
    <row r="493" s="860" customFormat="1" ht="13.5" spans="1:81">
      <c r="A493" s="861"/>
      <c r="B493" s="860"/>
      <c r="C493" s="860"/>
      <c r="D493" s="860"/>
      <c r="E493" s="862"/>
      <c r="F493" s="860"/>
      <c r="G493" s="860"/>
      <c r="H493" s="860"/>
      <c r="I493" s="860"/>
      <c r="J493" s="860"/>
      <c r="K493" s="860"/>
      <c r="L493" s="860"/>
      <c r="M493" s="860"/>
      <c r="N493" s="860"/>
      <c r="O493" s="860"/>
      <c r="P493" s="860"/>
      <c r="Q493" s="860"/>
      <c r="R493" s="860"/>
      <c r="S493" s="860"/>
      <c r="T493" s="860"/>
      <c r="U493" s="860"/>
      <c r="V493" s="860"/>
      <c r="W493" s="860"/>
      <c r="X493" s="864"/>
      <c r="Y493" s="865"/>
      <c r="Z493" s="865"/>
      <c r="AA493" s="866"/>
      <c r="AB493" s="867"/>
      <c r="AC493" s="868"/>
      <c r="AD493" s="866"/>
      <c r="AE493" s="860"/>
      <c r="AF493" s="869"/>
      <c r="AG493" s="869"/>
      <c r="AH493" s="870"/>
      <c r="AI493" s="871"/>
      <c r="AJ493" s="870"/>
      <c r="AK493" s="870"/>
      <c r="AL493" s="860"/>
      <c r="AM493" s="860"/>
      <c r="AN493" s="860"/>
      <c r="AO493" s="860"/>
      <c r="AP493" s="860"/>
      <c r="AQ493" s="860"/>
      <c r="AR493" s="860"/>
      <c r="AS493" s="860"/>
      <c r="AT493" s="860"/>
      <c r="AU493" s="860"/>
      <c r="AV493" s="860"/>
      <c r="AW493" s="860"/>
      <c r="AX493" s="860"/>
      <c r="AY493" s="860"/>
      <c r="AZ493" s="860"/>
      <c r="BA493" s="860"/>
      <c r="BB493" s="860"/>
      <c r="BC493" s="860"/>
      <c r="BD493" s="860"/>
      <c r="BE493" s="860"/>
      <c r="BF493" s="860"/>
      <c r="BG493" s="860"/>
      <c r="BH493" s="860"/>
      <c r="BI493" s="860"/>
      <c r="BJ493" s="860"/>
      <c r="BK493" s="860"/>
      <c r="BL493" s="860"/>
      <c r="BM493" s="860"/>
      <c r="BN493" s="872"/>
      <c r="BO493" s="872"/>
      <c r="BP493" s="872"/>
      <c r="BQ493" s="872"/>
      <c r="BR493" s="872"/>
      <c r="BS493" s="872"/>
      <c r="BT493" s="860"/>
      <c r="BU493" s="860"/>
      <c r="BV493" s="860"/>
      <c r="BW493" s="860"/>
      <c r="BX493" s="872"/>
      <c r="BY493" s="872"/>
      <c r="BZ493" s="872"/>
      <c r="CA493" s="872"/>
      <c r="CB493" s="872"/>
      <c r="CC493" s="872"/>
    </row>
    <row r="494" s="860" customFormat="1" ht="13.5" spans="1:81">
      <c r="A494" s="861"/>
      <c r="B494" s="860"/>
      <c r="C494" s="860"/>
      <c r="D494" s="860"/>
      <c r="E494" s="862"/>
      <c r="F494" s="860"/>
      <c r="G494" s="860"/>
      <c r="H494" s="860"/>
      <c r="I494" s="860"/>
      <c r="J494" s="860"/>
      <c r="K494" s="860"/>
      <c r="L494" s="860"/>
      <c r="M494" s="860"/>
      <c r="N494" s="860"/>
      <c r="O494" s="860"/>
      <c r="P494" s="860"/>
      <c r="Q494" s="860"/>
      <c r="R494" s="860"/>
      <c r="S494" s="860"/>
      <c r="T494" s="860"/>
      <c r="U494" s="860"/>
      <c r="V494" s="860"/>
      <c r="W494" s="860"/>
      <c r="X494" s="864"/>
      <c r="Y494" s="865"/>
      <c r="Z494" s="865"/>
      <c r="AA494" s="866"/>
      <c r="AB494" s="867"/>
      <c r="AC494" s="868"/>
      <c r="AD494" s="866"/>
      <c r="AE494" s="860"/>
      <c r="AF494" s="869"/>
      <c r="AG494" s="869"/>
      <c r="AH494" s="870"/>
      <c r="AI494" s="871"/>
      <c r="AJ494" s="870"/>
      <c r="AK494" s="870"/>
      <c r="AL494" s="860"/>
      <c r="AM494" s="860"/>
      <c r="AN494" s="860"/>
      <c r="AO494" s="860"/>
      <c r="AP494" s="860"/>
      <c r="AQ494" s="860"/>
      <c r="AR494" s="860"/>
      <c r="AS494" s="860"/>
      <c r="AT494" s="860"/>
      <c r="AU494" s="860"/>
      <c r="AV494" s="860"/>
      <c r="AW494" s="860"/>
      <c r="AX494" s="860"/>
      <c r="AY494" s="860"/>
      <c r="AZ494" s="860"/>
      <c r="BA494" s="860"/>
      <c r="BB494" s="860"/>
      <c r="BC494" s="860"/>
      <c r="BD494" s="860"/>
      <c r="BE494" s="860"/>
      <c r="BF494" s="860"/>
      <c r="BG494" s="860"/>
      <c r="BH494" s="860"/>
      <c r="BI494" s="860"/>
      <c r="BJ494" s="860"/>
      <c r="BK494" s="860"/>
      <c r="BL494" s="860"/>
      <c r="BM494" s="860"/>
      <c r="BN494" s="872"/>
      <c r="BO494" s="872"/>
      <c r="BP494" s="872"/>
      <c r="BQ494" s="872"/>
      <c r="BR494" s="872"/>
      <c r="BS494" s="872"/>
      <c r="BT494" s="860"/>
      <c r="BU494" s="860"/>
      <c r="BV494" s="860"/>
      <c r="BW494" s="860"/>
      <c r="BX494" s="872"/>
      <c r="BY494" s="872"/>
      <c r="BZ494" s="872"/>
      <c r="CA494" s="872"/>
      <c r="CB494" s="872"/>
      <c r="CC494" s="872"/>
    </row>
    <row r="495" s="860" customFormat="1" ht="13.5" spans="1:81">
      <c r="A495" s="861"/>
      <c r="B495" s="860"/>
      <c r="C495" s="860"/>
      <c r="D495" s="860"/>
      <c r="E495" s="862"/>
      <c r="F495" s="860"/>
      <c r="G495" s="860"/>
      <c r="H495" s="860"/>
      <c r="I495" s="860"/>
      <c r="J495" s="860"/>
      <c r="K495" s="860"/>
      <c r="L495" s="860"/>
      <c r="M495" s="860"/>
      <c r="N495" s="860"/>
      <c r="O495" s="860"/>
      <c r="P495" s="860"/>
      <c r="Q495" s="860"/>
      <c r="R495" s="860"/>
      <c r="S495" s="860"/>
      <c r="T495" s="860"/>
      <c r="U495" s="860"/>
      <c r="V495" s="860"/>
      <c r="W495" s="860"/>
      <c r="X495" s="864"/>
      <c r="Y495" s="865"/>
      <c r="Z495" s="865"/>
      <c r="AA495" s="866"/>
      <c r="AB495" s="867"/>
      <c r="AC495" s="868"/>
      <c r="AD495" s="866"/>
      <c r="AE495" s="860"/>
      <c r="AF495" s="869"/>
      <c r="AG495" s="869"/>
      <c r="AH495" s="870"/>
      <c r="AI495" s="871"/>
      <c r="AJ495" s="870"/>
      <c r="AK495" s="870"/>
      <c r="AL495" s="860"/>
      <c r="AM495" s="860"/>
      <c r="AN495" s="860"/>
      <c r="AO495" s="860"/>
      <c r="AP495" s="860"/>
      <c r="AQ495" s="860"/>
      <c r="AR495" s="860"/>
      <c r="AS495" s="860"/>
      <c r="AT495" s="860"/>
      <c r="AU495" s="860"/>
      <c r="AV495" s="860"/>
      <c r="AW495" s="860"/>
      <c r="AX495" s="860"/>
      <c r="AY495" s="860"/>
      <c r="AZ495" s="860"/>
      <c r="BA495" s="860"/>
      <c r="BB495" s="860"/>
      <c r="BC495" s="860"/>
      <c r="BD495" s="860"/>
      <c r="BE495" s="860"/>
      <c r="BF495" s="860"/>
      <c r="BG495" s="860"/>
      <c r="BH495" s="860"/>
      <c r="BI495" s="860"/>
      <c r="BJ495" s="860"/>
      <c r="BK495" s="860"/>
      <c r="BL495" s="860"/>
      <c r="BM495" s="860"/>
      <c r="BN495" s="872"/>
      <c r="BO495" s="872"/>
      <c r="BP495" s="872"/>
      <c r="BQ495" s="872"/>
      <c r="BR495" s="872"/>
      <c r="BS495" s="872"/>
      <c r="BT495" s="860"/>
      <c r="BU495" s="860"/>
      <c r="BV495" s="860"/>
      <c r="BW495" s="860"/>
      <c r="BX495" s="872"/>
      <c r="BY495" s="872"/>
      <c r="BZ495" s="872"/>
      <c r="CA495" s="872"/>
      <c r="CB495" s="872"/>
      <c r="CC495" s="872"/>
    </row>
    <row r="496" s="860" customFormat="1" ht="13.5" spans="1:81">
      <c r="A496" s="861"/>
      <c r="B496" s="860"/>
      <c r="C496" s="860"/>
      <c r="D496" s="860"/>
      <c r="E496" s="862"/>
      <c r="F496" s="860"/>
      <c r="G496" s="860"/>
      <c r="H496" s="860"/>
      <c r="I496" s="860"/>
      <c r="J496" s="860"/>
      <c r="K496" s="860"/>
      <c r="L496" s="860"/>
      <c r="M496" s="860"/>
      <c r="N496" s="860"/>
      <c r="O496" s="860"/>
      <c r="P496" s="860"/>
      <c r="Q496" s="860"/>
      <c r="R496" s="860"/>
      <c r="S496" s="860"/>
      <c r="T496" s="860"/>
      <c r="U496" s="860"/>
      <c r="V496" s="860"/>
      <c r="W496" s="860"/>
      <c r="X496" s="864"/>
      <c r="Y496" s="865"/>
      <c r="Z496" s="865"/>
      <c r="AA496" s="866"/>
      <c r="AB496" s="867"/>
      <c r="AC496" s="868"/>
      <c r="AD496" s="866"/>
      <c r="AE496" s="860"/>
      <c r="AF496" s="869"/>
      <c r="AG496" s="869"/>
      <c r="AH496" s="870"/>
      <c r="AI496" s="871"/>
      <c r="AJ496" s="870"/>
      <c r="AK496" s="870"/>
      <c r="AL496" s="860"/>
      <c r="AM496" s="860"/>
      <c r="AN496" s="860"/>
      <c r="AO496" s="860"/>
      <c r="AP496" s="860"/>
      <c r="AQ496" s="860"/>
      <c r="AR496" s="860"/>
      <c r="AS496" s="860"/>
      <c r="AT496" s="860"/>
      <c r="AU496" s="860"/>
      <c r="AV496" s="860"/>
      <c r="AW496" s="860"/>
      <c r="AX496" s="860"/>
      <c r="AY496" s="860"/>
      <c r="AZ496" s="860"/>
      <c r="BA496" s="860"/>
      <c r="BB496" s="860"/>
      <c r="BC496" s="860"/>
      <c r="BD496" s="860"/>
      <c r="BE496" s="860"/>
      <c r="BF496" s="860"/>
      <c r="BG496" s="860"/>
      <c r="BH496" s="860"/>
      <c r="BI496" s="860"/>
      <c r="BJ496" s="860"/>
      <c r="BK496" s="860"/>
      <c r="BL496" s="860"/>
      <c r="BM496" s="860"/>
      <c r="BN496" s="872"/>
      <c r="BO496" s="872"/>
      <c r="BP496" s="872"/>
      <c r="BQ496" s="872"/>
      <c r="BR496" s="872"/>
      <c r="BS496" s="872"/>
      <c r="BT496" s="860"/>
      <c r="BU496" s="860"/>
      <c r="BV496" s="860"/>
      <c r="BW496" s="860"/>
      <c r="BX496" s="872"/>
      <c r="BY496" s="872"/>
      <c r="BZ496" s="872"/>
      <c r="CA496" s="872"/>
      <c r="CB496" s="872"/>
      <c r="CC496" s="872"/>
    </row>
    <row r="497" s="860" customFormat="1" ht="13.5" spans="1:81">
      <c r="A497" s="861"/>
      <c r="B497" s="860"/>
      <c r="C497" s="860"/>
      <c r="D497" s="860"/>
      <c r="E497" s="862"/>
      <c r="F497" s="860"/>
      <c r="G497" s="860"/>
      <c r="H497" s="860"/>
      <c r="I497" s="860"/>
      <c r="J497" s="860"/>
      <c r="K497" s="860"/>
      <c r="L497" s="860"/>
      <c r="M497" s="860"/>
      <c r="N497" s="860"/>
      <c r="O497" s="860"/>
      <c r="P497" s="860"/>
      <c r="Q497" s="860"/>
      <c r="R497" s="860"/>
      <c r="S497" s="860"/>
      <c r="T497" s="860"/>
      <c r="U497" s="860"/>
      <c r="V497" s="860"/>
      <c r="W497" s="860"/>
      <c r="X497" s="864"/>
      <c r="Y497" s="865"/>
      <c r="Z497" s="865"/>
      <c r="AA497" s="866"/>
      <c r="AB497" s="867"/>
      <c r="AC497" s="868"/>
      <c r="AD497" s="866"/>
      <c r="AE497" s="860"/>
      <c r="AF497" s="869"/>
      <c r="AG497" s="869"/>
      <c r="AH497" s="870"/>
      <c r="AI497" s="871"/>
      <c r="AJ497" s="870"/>
      <c r="AK497" s="870"/>
      <c r="AL497" s="860"/>
      <c r="AM497" s="860"/>
      <c r="AN497" s="860"/>
      <c r="AO497" s="860"/>
      <c r="AP497" s="860"/>
      <c r="AQ497" s="860"/>
      <c r="AR497" s="860"/>
      <c r="AS497" s="860"/>
      <c r="AT497" s="860"/>
      <c r="AU497" s="860"/>
      <c r="AV497" s="860"/>
      <c r="AW497" s="860"/>
      <c r="AX497" s="860"/>
      <c r="AY497" s="860"/>
      <c r="AZ497" s="860"/>
      <c r="BA497" s="860"/>
      <c r="BB497" s="860"/>
      <c r="BC497" s="860"/>
      <c r="BD497" s="860"/>
      <c r="BE497" s="860"/>
      <c r="BF497" s="860"/>
      <c r="BG497" s="860"/>
      <c r="BH497" s="860"/>
      <c r="BI497" s="860"/>
      <c r="BJ497" s="860"/>
      <c r="BK497" s="860"/>
      <c r="BL497" s="860"/>
      <c r="BM497" s="860"/>
      <c r="BN497" s="872"/>
      <c r="BO497" s="872"/>
      <c r="BP497" s="872"/>
      <c r="BQ497" s="872"/>
      <c r="BR497" s="872"/>
      <c r="BS497" s="872"/>
      <c r="BT497" s="860"/>
      <c r="BU497" s="860"/>
      <c r="BV497" s="860"/>
      <c r="BW497" s="860"/>
      <c r="BX497" s="872"/>
      <c r="BY497" s="872"/>
      <c r="BZ497" s="872"/>
      <c r="CA497" s="872"/>
      <c r="CB497" s="872"/>
      <c r="CC497" s="872"/>
    </row>
    <row r="498" s="860" customFormat="1" ht="13.5" spans="1:81">
      <c r="A498" s="861"/>
      <c r="B498" s="860"/>
      <c r="C498" s="860"/>
      <c r="D498" s="860"/>
      <c r="E498" s="862"/>
      <c r="F498" s="860"/>
      <c r="G498" s="860"/>
      <c r="H498" s="860"/>
      <c r="I498" s="860"/>
      <c r="J498" s="860"/>
      <c r="K498" s="860"/>
      <c r="L498" s="860"/>
      <c r="M498" s="860"/>
      <c r="N498" s="860"/>
      <c r="O498" s="860"/>
      <c r="P498" s="860"/>
      <c r="Q498" s="860"/>
      <c r="R498" s="860"/>
      <c r="S498" s="860"/>
      <c r="T498" s="860"/>
      <c r="U498" s="860"/>
      <c r="V498" s="860"/>
      <c r="W498" s="860"/>
      <c r="X498" s="864"/>
      <c r="Y498" s="865"/>
      <c r="Z498" s="865"/>
      <c r="AA498" s="866"/>
      <c r="AB498" s="867"/>
      <c r="AC498" s="868"/>
      <c r="AD498" s="866"/>
      <c r="AE498" s="860"/>
      <c r="AF498" s="869"/>
      <c r="AG498" s="869"/>
      <c r="AH498" s="870"/>
      <c r="AI498" s="871"/>
      <c r="AJ498" s="870"/>
      <c r="AK498" s="870"/>
      <c r="AL498" s="860"/>
      <c r="AM498" s="860"/>
      <c r="AN498" s="860"/>
      <c r="AO498" s="860"/>
      <c r="AP498" s="860"/>
      <c r="AQ498" s="860"/>
      <c r="AR498" s="860"/>
      <c r="AS498" s="860"/>
      <c r="AT498" s="860"/>
      <c r="AU498" s="860"/>
      <c r="AV498" s="860"/>
      <c r="AW498" s="860"/>
      <c r="AX498" s="860"/>
      <c r="AY498" s="860"/>
      <c r="AZ498" s="860"/>
      <c r="BA498" s="860"/>
      <c r="BB498" s="860"/>
      <c r="BC498" s="860"/>
      <c r="BD498" s="860"/>
      <c r="BE498" s="860"/>
      <c r="BF498" s="860"/>
      <c r="BG498" s="860"/>
      <c r="BH498" s="860"/>
      <c r="BI498" s="860"/>
      <c r="BJ498" s="860"/>
      <c r="BK498" s="860"/>
      <c r="BL498" s="860"/>
      <c r="BM498" s="860"/>
      <c r="BN498" s="872"/>
      <c r="BO498" s="872"/>
      <c r="BP498" s="872"/>
      <c r="BQ498" s="872"/>
      <c r="BR498" s="872"/>
      <c r="BS498" s="872"/>
      <c r="BT498" s="860"/>
      <c r="BU498" s="860"/>
      <c r="BV498" s="860"/>
      <c r="BW498" s="860"/>
      <c r="BX498" s="872"/>
      <c r="BY498" s="872"/>
      <c r="BZ498" s="872"/>
      <c r="CA498" s="872"/>
      <c r="CB498" s="872"/>
      <c r="CC498" s="872"/>
    </row>
    <row r="499" s="860" customFormat="1" ht="13.5" spans="1:81">
      <c r="A499" s="861"/>
      <c r="B499" s="860"/>
      <c r="C499" s="860"/>
      <c r="D499" s="860"/>
      <c r="E499" s="862"/>
      <c r="F499" s="860"/>
      <c r="G499" s="860"/>
      <c r="H499" s="860"/>
      <c r="I499" s="860"/>
      <c r="J499" s="860"/>
      <c r="K499" s="860"/>
      <c r="L499" s="860"/>
      <c r="M499" s="860"/>
      <c r="N499" s="860"/>
      <c r="O499" s="860"/>
      <c r="P499" s="860"/>
      <c r="Q499" s="860"/>
      <c r="R499" s="860"/>
      <c r="S499" s="860"/>
      <c r="T499" s="860"/>
      <c r="U499" s="860"/>
      <c r="V499" s="860"/>
      <c r="W499" s="860"/>
      <c r="X499" s="864"/>
      <c r="Y499" s="865"/>
      <c r="Z499" s="865"/>
      <c r="AA499" s="866"/>
      <c r="AB499" s="867"/>
      <c r="AC499" s="868"/>
      <c r="AD499" s="866"/>
      <c r="AE499" s="860"/>
      <c r="AF499" s="869"/>
      <c r="AG499" s="869"/>
      <c r="AH499" s="870"/>
      <c r="AI499" s="871"/>
      <c r="AJ499" s="870"/>
      <c r="AK499" s="870"/>
      <c r="AL499" s="860"/>
      <c r="AM499" s="860"/>
      <c r="AN499" s="860"/>
      <c r="AO499" s="860"/>
      <c r="AP499" s="860"/>
      <c r="AQ499" s="860"/>
      <c r="AR499" s="860"/>
      <c r="AS499" s="860"/>
      <c r="AT499" s="860"/>
      <c r="AU499" s="860"/>
      <c r="AV499" s="860"/>
      <c r="AW499" s="860"/>
      <c r="AX499" s="860"/>
      <c r="AY499" s="860"/>
      <c r="AZ499" s="860"/>
      <c r="BA499" s="860"/>
      <c r="BB499" s="860"/>
      <c r="BC499" s="860"/>
      <c r="BD499" s="860"/>
      <c r="BE499" s="860"/>
      <c r="BF499" s="860"/>
      <c r="BG499" s="860"/>
      <c r="BH499" s="860"/>
      <c r="BI499" s="860"/>
      <c r="BJ499" s="860"/>
      <c r="BK499" s="860"/>
      <c r="BL499" s="860"/>
      <c r="BM499" s="860"/>
      <c r="BN499" s="872"/>
      <c r="BO499" s="872"/>
      <c r="BP499" s="872"/>
      <c r="BQ499" s="872"/>
      <c r="BR499" s="872"/>
      <c r="BS499" s="872"/>
      <c r="BT499" s="860"/>
      <c r="BU499" s="860"/>
      <c r="BV499" s="860"/>
      <c r="BW499" s="860"/>
      <c r="BX499" s="872"/>
      <c r="BY499" s="872"/>
      <c r="BZ499" s="872"/>
      <c r="CA499" s="872"/>
      <c r="CB499" s="872"/>
      <c r="CC499" s="872"/>
    </row>
    <row r="500" s="860" customFormat="1" ht="13.5" spans="1:81">
      <c r="A500" s="861"/>
      <c r="B500" s="860"/>
      <c r="C500" s="860"/>
      <c r="D500" s="860"/>
      <c r="E500" s="862"/>
      <c r="F500" s="860"/>
      <c r="G500" s="860"/>
      <c r="H500" s="860"/>
      <c r="I500" s="860"/>
      <c r="J500" s="860"/>
      <c r="K500" s="860"/>
      <c r="L500" s="860"/>
      <c r="M500" s="860"/>
      <c r="N500" s="860"/>
      <c r="O500" s="860"/>
      <c r="P500" s="860"/>
      <c r="Q500" s="860"/>
      <c r="R500" s="860"/>
      <c r="S500" s="860"/>
      <c r="T500" s="860"/>
      <c r="U500" s="860"/>
      <c r="V500" s="860"/>
      <c r="W500" s="860"/>
      <c r="X500" s="864"/>
      <c r="Y500" s="865"/>
      <c r="Z500" s="865"/>
      <c r="AA500" s="866"/>
      <c r="AB500" s="867"/>
      <c r="AC500" s="868"/>
      <c r="AD500" s="866"/>
      <c r="AE500" s="860"/>
      <c r="AF500" s="869"/>
      <c r="AG500" s="869"/>
      <c r="AH500" s="870"/>
      <c r="AI500" s="871"/>
      <c r="AJ500" s="870"/>
      <c r="AK500" s="870"/>
      <c r="AL500" s="860"/>
      <c r="AM500" s="860"/>
      <c r="AN500" s="860"/>
      <c r="AO500" s="860"/>
      <c r="AP500" s="860"/>
      <c r="AQ500" s="860"/>
      <c r="AR500" s="860"/>
      <c r="AS500" s="860"/>
      <c r="AT500" s="860"/>
      <c r="AU500" s="860"/>
      <c r="AV500" s="860"/>
      <c r="AW500" s="860"/>
      <c r="AX500" s="860"/>
      <c r="AY500" s="860"/>
      <c r="AZ500" s="860"/>
      <c r="BA500" s="860"/>
      <c r="BB500" s="860"/>
      <c r="BC500" s="860"/>
      <c r="BD500" s="860"/>
      <c r="BE500" s="860"/>
      <c r="BF500" s="860"/>
      <c r="BG500" s="860"/>
      <c r="BH500" s="860"/>
      <c r="BI500" s="860"/>
      <c r="BJ500" s="860"/>
      <c r="BK500" s="860"/>
      <c r="BL500" s="860"/>
      <c r="BM500" s="860"/>
      <c r="BN500" s="872"/>
      <c r="BO500" s="872"/>
      <c r="BP500" s="872"/>
      <c r="BQ500" s="872"/>
      <c r="BR500" s="872"/>
      <c r="BS500" s="872"/>
      <c r="BT500" s="860"/>
      <c r="BU500" s="860"/>
      <c r="BV500" s="860"/>
      <c r="BW500" s="860"/>
      <c r="BX500" s="872"/>
      <c r="BY500" s="872"/>
      <c r="BZ500" s="872"/>
      <c r="CA500" s="872"/>
      <c r="CB500" s="872"/>
      <c r="CC500" s="872"/>
    </row>
    <row r="501" s="860" customFormat="1" ht="13.5" spans="1:81">
      <c r="A501" s="861"/>
      <c r="B501" s="860"/>
      <c r="C501" s="860"/>
      <c r="D501" s="860"/>
      <c r="E501" s="862"/>
      <c r="F501" s="860"/>
      <c r="G501" s="860"/>
      <c r="H501" s="860"/>
      <c r="I501" s="860"/>
      <c r="J501" s="860"/>
      <c r="K501" s="860"/>
      <c r="L501" s="860"/>
      <c r="M501" s="860"/>
      <c r="N501" s="860"/>
      <c r="O501" s="860"/>
      <c r="P501" s="860"/>
      <c r="Q501" s="860"/>
      <c r="R501" s="860"/>
      <c r="S501" s="860"/>
      <c r="T501" s="860"/>
      <c r="U501" s="860"/>
      <c r="V501" s="860"/>
      <c r="W501" s="860"/>
      <c r="X501" s="864"/>
      <c r="Y501" s="865"/>
      <c r="Z501" s="865"/>
      <c r="AA501" s="866"/>
      <c r="AB501" s="867"/>
      <c r="AC501" s="868"/>
      <c r="AD501" s="866"/>
      <c r="AE501" s="860"/>
      <c r="AF501" s="869"/>
      <c r="AG501" s="869"/>
      <c r="AH501" s="870"/>
      <c r="AI501" s="871"/>
      <c r="AJ501" s="870"/>
      <c r="AK501" s="870"/>
      <c r="AL501" s="860"/>
      <c r="AM501" s="860"/>
      <c r="AN501" s="860"/>
      <c r="AO501" s="860"/>
      <c r="AP501" s="860"/>
      <c r="AQ501" s="860"/>
      <c r="AR501" s="860"/>
      <c r="AS501" s="860"/>
      <c r="AT501" s="860"/>
      <c r="AU501" s="860"/>
      <c r="AV501" s="860"/>
      <c r="AW501" s="860"/>
      <c r="AX501" s="860"/>
      <c r="AY501" s="860"/>
      <c r="AZ501" s="860"/>
      <c r="BA501" s="860"/>
      <c r="BB501" s="860"/>
      <c r="BC501" s="860"/>
      <c r="BD501" s="860"/>
      <c r="BE501" s="860"/>
      <c r="BF501" s="860"/>
      <c r="BG501" s="860"/>
      <c r="BH501" s="860"/>
      <c r="BI501" s="860"/>
      <c r="BJ501" s="860"/>
      <c r="BK501" s="860"/>
      <c r="BL501" s="860"/>
      <c r="BM501" s="860"/>
      <c r="BN501" s="872"/>
      <c r="BO501" s="872"/>
      <c r="BP501" s="872"/>
      <c r="BQ501" s="872"/>
      <c r="BR501" s="872"/>
      <c r="BS501" s="872"/>
      <c r="BT501" s="860"/>
      <c r="BU501" s="860"/>
      <c r="BV501" s="860"/>
      <c r="BW501" s="860"/>
      <c r="BX501" s="872"/>
      <c r="BY501" s="872"/>
      <c r="BZ501" s="872"/>
      <c r="CA501" s="872"/>
      <c r="CB501" s="872"/>
      <c r="CC501" s="872"/>
    </row>
    <row r="502" s="860" customFormat="1" ht="13.5" spans="1:81">
      <c r="A502" s="861"/>
      <c r="B502" s="860"/>
      <c r="C502" s="860"/>
      <c r="D502" s="860"/>
      <c r="E502" s="862"/>
      <c r="F502" s="860"/>
      <c r="G502" s="860"/>
      <c r="H502" s="860"/>
      <c r="I502" s="860"/>
      <c r="J502" s="860"/>
      <c r="K502" s="860"/>
      <c r="L502" s="860"/>
      <c r="M502" s="860"/>
      <c r="N502" s="860"/>
      <c r="O502" s="860"/>
      <c r="P502" s="860"/>
      <c r="Q502" s="860"/>
      <c r="R502" s="860"/>
      <c r="S502" s="860"/>
      <c r="T502" s="860"/>
      <c r="U502" s="860"/>
      <c r="V502" s="860"/>
      <c r="W502" s="860"/>
      <c r="X502" s="864"/>
      <c r="Y502" s="865"/>
      <c r="Z502" s="865"/>
      <c r="AA502" s="866"/>
      <c r="AB502" s="867"/>
      <c r="AC502" s="868"/>
      <c r="AD502" s="866"/>
      <c r="AE502" s="860"/>
      <c r="AF502" s="869"/>
      <c r="AG502" s="869"/>
      <c r="AH502" s="870"/>
      <c r="AI502" s="871"/>
      <c r="AJ502" s="870"/>
      <c r="AK502" s="870"/>
      <c r="AL502" s="860"/>
      <c r="AM502" s="860"/>
      <c r="AN502" s="860"/>
      <c r="AO502" s="860"/>
      <c r="AP502" s="860"/>
      <c r="AQ502" s="860"/>
      <c r="AR502" s="860"/>
      <c r="AS502" s="860"/>
      <c r="AT502" s="860"/>
      <c r="AU502" s="860"/>
      <c r="AV502" s="860"/>
      <c r="AW502" s="860"/>
      <c r="AX502" s="860"/>
      <c r="AY502" s="860"/>
      <c r="AZ502" s="860"/>
      <c r="BA502" s="860"/>
      <c r="BB502" s="860"/>
      <c r="BC502" s="860"/>
      <c r="BD502" s="860"/>
      <c r="BE502" s="860"/>
      <c r="BF502" s="860"/>
      <c r="BG502" s="860"/>
      <c r="BH502" s="860"/>
      <c r="BI502" s="860"/>
      <c r="BJ502" s="860"/>
      <c r="BK502" s="860"/>
      <c r="BL502" s="860"/>
      <c r="BM502" s="860"/>
      <c r="BN502" s="872"/>
      <c r="BO502" s="872"/>
      <c r="BP502" s="872"/>
      <c r="BQ502" s="872"/>
      <c r="BR502" s="872"/>
      <c r="BS502" s="872"/>
      <c r="BT502" s="860"/>
      <c r="BU502" s="860"/>
      <c r="BV502" s="860"/>
      <c r="BW502" s="860"/>
      <c r="BX502" s="872"/>
      <c r="BY502" s="872"/>
      <c r="BZ502" s="872"/>
      <c r="CA502" s="872"/>
      <c r="CB502" s="872"/>
      <c r="CC502" s="872"/>
    </row>
    <row r="503" s="860" customFormat="1" ht="13.5" spans="1:81">
      <c r="A503" s="861"/>
      <c r="B503" s="860"/>
      <c r="C503" s="860"/>
      <c r="D503" s="860"/>
      <c r="E503" s="862"/>
      <c r="F503" s="860"/>
      <c r="G503" s="860"/>
      <c r="H503" s="860"/>
      <c r="I503" s="860"/>
      <c r="J503" s="860"/>
      <c r="K503" s="860"/>
      <c r="L503" s="860"/>
      <c r="M503" s="860"/>
      <c r="N503" s="860"/>
      <c r="O503" s="860"/>
      <c r="P503" s="860"/>
      <c r="Q503" s="860"/>
      <c r="R503" s="860"/>
      <c r="S503" s="860"/>
      <c r="T503" s="860"/>
      <c r="U503" s="860"/>
      <c r="V503" s="860"/>
      <c r="W503" s="860"/>
      <c r="X503" s="864"/>
      <c r="Y503" s="865"/>
      <c r="Z503" s="865"/>
      <c r="AA503" s="866"/>
      <c r="AB503" s="867"/>
      <c r="AC503" s="868"/>
      <c r="AD503" s="866"/>
      <c r="AE503" s="860"/>
      <c r="AF503" s="869"/>
      <c r="AG503" s="869"/>
      <c r="AH503" s="870"/>
      <c r="AI503" s="871"/>
      <c r="AJ503" s="870"/>
      <c r="AK503" s="870"/>
      <c r="AL503" s="860"/>
      <c r="AM503" s="860"/>
      <c r="AN503" s="860"/>
      <c r="AO503" s="860"/>
      <c r="AP503" s="860"/>
      <c r="AQ503" s="860"/>
      <c r="AR503" s="860"/>
      <c r="AS503" s="860"/>
      <c r="AT503" s="860"/>
      <c r="AU503" s="860"/>
      <c r="AV503" s="860"/>
      <c r="AW503" s="860"/>
      <c r="AX503" s="860"/>
      <c r="AY503" s="860"/>
      <c r="AZ503" s="860"/>
      <c r="BA503" s="860"/>
      <c r="BB503" s="860"/>
      <c r="BC503" s="860"/>
      <c r="BD503" s="860"/>
      <c r="BE503" s="860"/>
      <c r="BF503" s="860"/>
      <c r="BG503" s="860"/>
      <c r="BH503" s="860"/>
      <c r="BI503" s="860"/>
      <c r="BJ503" s="860"/>
      <c r="BK503" s="860"/>
      <c r="BL503" s="860"/>
      <c r="BM503" s="860"/>
      <c r="BN503" s="872"/>
      <c r="BO503" s="872"/>
      <c r="BP503" s="872"/>
      <c r="BQ503" s="872"/>
      <c r="BR503" s="872"/>
      <c r="BS503" s="872"/>
      <c r="BT503" s="860"/>
      <c r="BU503" s="860"/>
      <c r="BV503" s="860"/>
      <c r="BW503" s="860"/>
      <c r="BX503" s="872"/>
      <c r="BY503" s="872"/>
      <c r="BZ503" s="872"/>
      <c r="CA503" s="872"/>
      <c r="CB503" s="872"/>
      <c r="CC503" s="872"/>
    </row>
    <row r="504" s="860" customFormat="1" ht="13.5" spans="1:81">
      <c r="A504" s="861"/>
      <c r="B504" s="860"/>
      <c r="C504" s="860"/>
      <c r="D504" s="860"/>
      <c r="E504" s="862"/>
      <c r="F504" s="860"/>
      <c r="G504" s="860"/>
      <c r="H504" s="860"/>
      <c r="I504" s="860"/>
      <c r="J504" s="860"/>
      <c r="K504" s="860"/>
      <c r="L504" s="860"/>
      <c r="M504" s="860"/>
      <c r="N504" s="860"/>
      <c r="O504" s="860"/>
      <c r="P504" s="860"/>
      <c r="Q504" s="860"/>
      <c r="R504" s="860"/>
      <c r="S504" s="860"/>
      <c r="T504" s="860"/>
      <c r="U504" s="860"/>
      <c r="V504" s="860"/>
      <c r="W504" s="860"/>
      <c r="X504" s="864"/>
      <c r="Y504" s="865"/>
      <c r="Z504" s="865"/>
      <c r="AA504" s="866"/>
      <c r="AB504" s="867"/>
      <c r="AC504" s="868"/>
      <c r="AD504" s="866"/>
      <c r="AE504" s="860"/>
      <c r="AF504" s="869"/>
      <c r="AG504" s="869"/>
      <c r="AH504" s="870"/>
      <c r="AI504" s="871"/>
      <c r="AJ504" s="870"/>
      <c r="AK504" s="870"/>
      <c r="AL504" s="860"/>
      <c r="AM504" s="860"/>
      <c r="AN504" s="860"/>
      <c r="AO504" s="860"/>
      <c r="AP504" s="860"/>
      <c r="AQ504" s="860"/>
      <c r="AR504" s="860"/>
      <c r="AS504" s="860"/>
      <c r="AT504" s="860"/>
      <c r="AU504" s="860"/>
      <c r="AV504" s="860"/>
      <c r="AW504" s="860"/>
      <c r="AX504" s="860"/>
      <c r="AY504" s="860"/>
      <c r="AZ504" s="860"/>
      <c r="BA504" s="860"/>
      <c r="BB504" s="860"/>
      <c r="BC504" s="860"/>
      <c r="BD504" s="860"/>
      <c r="BE504" s="860"/>
      <c r="BF504" s="860"/>
      <c r="BG504" s="860"/>
      <c r="BH504" s="860"/>
      <c r="BI504" s="860"/>
      <c r="BJ504" s="860"/>
      <c r="BK504" s="860"/>
      <c r="BL504" s="860"/>
      <c r="BM504" s="860"/>
      <c r="BN504" s="872"/>
      <c r="BO504" s="872"/>
      <c r="BP504" s="872"/>
      <c r="BQ504" s="872"/>
      <c r="BR504" s="872"/>
      <c r="BS504" s="872"/>
      <c r="BT504" s="860"/>
      <c r="BU504" s="860"/>
      <c r="BV504" s="860"/>
      <c r="BW504" s="860"/>
      <c r="BX504" s="872"/>
      <c r="BY504" s="872"/>
      <c r="BZ504" s="872"/>
      <c r="CA504" s="872"/>
      <c r="CB504" s="872"/>
      <c r="CC504" s="872"/>
    </row>
    <row r="505" s="860" customFormat="1" ht="13.5" spans="1:81">
      <c r="A505" s="861"/>
      <c r="B505" s="860"/>
      <c r="C505" s="860"/>
      <c r="D505" s="860"/>
      <c r="E505" s="862"/>
      <c r="F505" s="860"/>
      <c r="G505" s="860"/>
      <c r="H505" s="860"/>
      <c r="I505" s="860"/>
      <c r="J505" s="860"/>
      <c r="K505" s="860"/>
      <c r="L505" s="860"/>
      <c r="M505" s="860"/>
      <c r="N505" s="860"/>
      <c r="O505" s="860"/>
      <c r="P505" s="860"/>
      <c r="Q505" s="860"/>
      <c r="R505" s="860"/>
      <c r="S505" s="860"/>
      <c r="T505" s="860"/>
      <c r="U505" s="860"/>
      <c r="V505" s="860"/>
      <c r="W505" s="860"/>
      <c r="X505" s="864"/>
      <c r="Y505" s="865"/>
      <c r="Z505" s="865"/>
      <c r="AA505" s="866"/>
      <c r="AB505" s="867"/>
      <c r="AC505" s="868"/>
      <c r="AD505" s="866"/>
      <c r="AE505" s="860"/>
      <c r="AF505" s="869"/>
      <c r="AG505" s="869"/>
      <c r="AH505" s="870"/>
      <c r="AI505" s="871"/>
      <c r="AJ505" s="870"/>
      <c r="AK505" s="870"/>
      <c r="AL505" s="860"/>
      <c r="AM505" s="860"/>
      <c r="AN505" s="860"/>
      <c r="AO505" s="860"/>
      <c r="AP505" s="860"/>
      <c r="AQ505" s="860"/>
      <c r="AR505" s="860"/>
      <c r="AS505" s="860"/>
      <c r="AT505" s="860"/>
      <c r="AU505" s="860"/>
      <c r="AV505" s="860"/>
      <c r="AW505" s="860"/>
      <c r="AX505" s="860"/>
      <c r="AY505" s="860"/>
      <c r="AZ505" s="860"/>
      <c r="BA505" s="860"/>
      <c r="BB505" s="860"/>
      <c r="BC505" s="860"/>
      <c r="BD505" s="860"/>
      <c r="BE505" s="860"/>
      <c r="BF505" s="860"/>
      <c r="BG505" s="860"/>
      <c r="BH505" s="860"/>
      <c r="BI505" s="860"/>
      <c r="BJ505" s="860"/>
      <c r="BK505" s="860"/>
      <c r="BL505" s="860"/>
      <c r="BM505" s="860"/>
      <c r="BN505" s="872"/>
      <c r="BO505" s="872"/>
      <c r="BP505" s="872"/>
      <c r="BQ505" s="872"/>
      <c r="BR505" s="872"/>
      <c r="BS505" s="872"/>
      <c r="BT505" s="860"/>
      <c r="BU505" s="860"/>
      <c r="BV505" s="860"/>
      <c r="BW505" s="860"/>
      <c r="BX505" s="872"/>
      <c r="BY505" s="872"/>
      <c r="BZ505" s="872"/>
      <c r="CA505" s="872"/>
      <c r="CB505" s="872"/>
      <c r="CC505" s="872"/>
    </row>
    <row r="506" s="860" customFormat="1" ht="13.5" spans="1:81">
      <c r="A506" s="861"/>
      <c r="B506" s="860"/>
      <c r="C506" s="860"/>
      <c r="D506" s="860"/>
      <c r="E506" s="862"/>
      <c r="F506" s="860"/>
      <c r="G506" s="860"/>
      <c r="H506" s="860"/>
      <c r="I506" s="860"/>
      <c r="J506" s="860"/>
      <c r="K506" s="860"/>
      <c r="L506" s="860"/>
      <c r="M506" s="860"/>
      <c r="N506" s="860"/>
      <c r="O506" s="860"/>
      <c r="P506" s="860"/>
      <c r="Q506" s="860"/>
      <c r="R506" s="860"/>
      <c r="S506" s="860"/>
      <c r="T506" s="860"/>
      <c r="U506" s="860"/>
      <c r="V506" s="860"/>
      <c r="W506" s="860"/>
      <c r="X506" s="864"/>
      <c r="Y506" s="865"/>
      <c r="Z506" s="865"/>
      <c r="AA506" s="866"/>
      <c r="AB506" s="867"/>
      <c r="AC506" s="868"/>
      <c r="AD506" s="866"/>
      <c r="AE506" s="860"/>
      <c r="AF506" s="869"/>
      <c r="AG506" s="869"/>
      <c r="AH506" s="870"/>
      <c r="AI506" s="871"/>
      <c r="AJ506" s="870"/>
      <c r="AK506" s="870"/>
      <c r="AL506" s="860"/>
      <c r="AM506" s="860"/>
      <c r="AN506" s="860"/>
      <c r="AO506" s="860"/>
      <c r="AP506" s="860"/>
      <c r="AQ506" s="860"/>
      <c r="AR506" s="860"/>
      <c r="AS506" s="860"/>
      <c r="AT506" s="860"/>
      <c r="AU506" s="860"/>
      <c r="AV506" s="860"/>
      <c r="AW506" s="860"/>
      <c r="AX506" s="860"/>
      <c r="AY506" s="860"/>
      <c r="AZ506" s="860"/>
      <c r="BA506" s="860"/>
      <c r="BB506" s="860"/>
      <c r="BC506" s="860"/>
      <c r="BD506" s="860"/>
      <c r="BE506" s="860"/>
      <c r="BF506" s="860"/>
      <c r="BG506" s="860"/>
      <c r="BH506" s="860"/>
      <c r="BI506" s="860"/>
      <c r="BJ506" s="860"/>
      <c r="BK506" s="860"/>
      <c r="BL506" s="860"/>
      <c r="BM506" s="860"/>
      <c r="BN506" s="872"/>
      <c r="BO506" s="872"/>
      <c r="BP506" s="872"/>
      <c r="BQ506" s="872"/>
      <c r="BR506" s="872"/>
      <c r="BS506" s="872"/>
      <c r="BT506" s="860"/>
      <c r="BU506" s="860"/>
      <c r="BV506" s="860"/>
      <c r="BW506" s="860"/>
      <c r="BX506" s="872"/>
      <c r="BY506" s="872"/>
      <c r="BZ506" s="872"/>
      <c r="CA506" s="872"/>
      <c r="CB506" s="872"/>
      <c r="CC506" s="872"/>
    </row>
    <row r="507" s="860" customFormat="1" ht="13.5" spans="1:81">
      <c r="A507" s="861"/>
      <c r="B507" s="860"/>
      <c r="C507" s="860"/>
      <c r="D507" s="860"/>
      <c r="E507" s="862"/>
      <c r="F507" s="860"/>
      <c r="G507" s="860"/>
      <c r="H507" s="860"/>
      <c r="I507" s="860"/>
      <c r="J507" s="860"/>
      <c r="K507" s="860"/>
      <c r="L507" s="860"/>
      <c r="M507" s="860"/>
      <c r="N507" s="860"/>
      <c r="O507" s="860"/>
      <c r="P507" s="860"/>
      <c r="Q507" s="860"/>
      <c r="R507" s="860"/>
      <c r="S507" s="860"/>
      <c r="T507" s="860"/>
      <c r="U507" s="860"/>
      <c r="V507" s="860"/>
      <c r="W507" s="860"/>
      <c r="X507" s="864"/>
      <c r="Y507" s="865"/>
      <c r="Z507" s="865"/>
      <c r="AA507" s="866"/>
      <c r="AB507" s="867"/>
      <c r="AC507" s="868"/>
      <c r="AD507" s="866"/>
      <c r="AE507" s="860"/>
      <c r="AF507" s="869"/>
      <c r="AG507" s="869"/>
      <c r="AH507" s="870"/>
      <c r="AI507" s="871"/>
      <c r="AJ507" s="870"/>
      <c r="AK507" s="870"/>
      <c r="AL507" s="860"/>
      <c r="AM507" s="860"/>
      <c r="AN507" s="860"/>
      <c r="AO507" s="860"/>
      <c r="AP507" s="860"/>
      <c r="AQ507" s="860"/>
      <c r="AR507" s="860"/>
      <c r="AS507" s="860"/>
      <c r="AT507" s="860"/>
      <c r="AU507" s="860"/>
      <c r="AV507" s="860"/>
      <c r="AW507" s="860"/>
      <c r="AX507" s="860"/>
      <c r="AY507" s="860"/>
      <c r="AZ507" s="860"/>
      <c r="BA507" s="860"/>
      <c r="BB507" s="860"/>
      <c r="BC507" s="860"/>
      <c r="BD507" s="860"/>
      <c r="BE507" s="860"/>
      <c r="BF507" s="860"/>
      <c r="BG507" s="860"/>
      <c r="BH507" s="860"/>
      <c r="BI507" s="860"/>
      <c r="BJ507" s="860"/>
      <c r="BK507" s="860"/>
      <c r="BL507" s="860"/>
      <c r="BM507" s="860"/>
      <c r="BN507" s="872"/>
      <c r="BO507" s="872"/>
      <c r="BP507" s="872"/>
      <c r="BQ507" s="872"/>
      <c r="BR507" s="872"/>
      <c r="BS507" s="872"/>
      <c r="BT507" s="860"/>
      <c r="BU507" s="860"/>
      <c r="BV507" s="860"/>
      <c r="BW507" s="860"/>
      <c r="BX507" s="872"/>
      <c r="BY507" s="872"/>
      <c r="BZ507" s="872"/>
      <c r="CA507" s="872"/>
      <c r="CB507" s="872"/>
      <c r="CC507" s="872"/>
    </row>
    <row r="508" s="860" customFormat="1" ht="13.5" spans="1:81">
      <c r="A508" s="861"/>
      <c r="B508" s="860"/>
      <c r="C508" s="860"/>
      <c r="D508" s="860"/>
      <c r="E508" s="862"/>
      <c r="F508" s="860"/>
      <c r="G508" s="860"/>
      <c r="H508" s="860"/>
      <c r="I508" s="860"/>
      <c r="J508" s="860"/>
      <c r="K508" s="860"/>
      <c r="L508" s="860"/>
      <c r="M508" s="860"/>
      <c r="N508" s="860"/>
      <c r="O508" s="860"/>
      <c r="P508" s="860"/>
      <c r="Q508" s="860"/>
      <c r="R508" s="860"/>
      <c r="S508" s="860"/>
      <c r="T508" s="860"/>
      <c r="U508" s="860"/>
      <c r="V508" s="860"/>
      <c r="W508" s="860"/>
      <c r="X508" s="864"/>
      <c r="Y508" s="865"/>
      <c r="Z508" s="865"/>
      <c r="AA508" s="866"/>
      <c r="AB508" s="867"/>
      <c r="AC508" s="868"/>
      <c r="AD508" s="866"/>
      <c r="AE508" s="860"/>
      <c r="AF508" s="869"/>
      <c r="AG508" s="869"/>
      <c r="AH508" s="870"/>
      <c r="AI508" s="871"/>
      <c r="AJ508" s="870"/>
      <c r="AK508" s="870"/>
      <c r="AL508" s="860"/>
      <c r="AM508" s="860"/>
      <c r="AN508" s="860"/>
      <c r="AO508" s="860"/>
      <c r="AP508" s="860"/>
      <c r="AQ508" s="860"/>
      <c r="AR508" s="860"/>
      <c r="AS508" s="860"/>
      <c r="AT508" s="860"/>
      <c r="AU508" s="860"/>
      <c r="AV508" s="860"/>
      <c r="AW508" s="860"/>
      <c r="AX508" s="860"/>
      <c r="AY508" s="860"/>
      <c r="AZ508" s="860"/>
      <c r="BA508" s="860"/>
      <c r="BB508" s="860"/>
      <c r="BC508" s="860"/>
      <c r="BD508" s="860"/>
      <c r="BE508" s="860"/>
      <c r="BF508" s="860"/>
      <c r="BG508" s="860"/>
      <c r="BH508" s="860"/>
      <c r="BI508" s="860"/>
      <c r="BJ508" s="860"/>
      <c r="BK508" s="860"/>
      <c r="BL508" s="860"/>
      <c r="BM508" s="860"/>
      <c r="BN508" s="872"/>
      <c r="BO508" s="872"/>
      <c r="BP508" s="872"/>
      <c r="BQ508" s="872"/>
      <c r="BR508" s="872"/>
      <c r="BS508" s="872"/>
      <c r="BT508" s="860"/>
      <c r="BU508" s="860"/>
      <c r="BV508" s="860"/>
      <c r="BW508" s="860"/>
      <c r="BX508" s="872"/>
      <c r="BY508" s="872"/>
      <c r="BZ508" s="872"/>
      <c r="CA508" s="872"/>
      <c r="CB508" s="872"/>
      <c r="CC508" s="872"/>
    </row>
    <row r="509" s="860" customFormat="1" ht="13.5" spans="1:81">
      <c r="A509" s="861"/>
      <c r="B509" s="860"/>
      <c r="C509" s="860"/>
      <c r="D509" s="860"/>
      <c r="E509" s="862"/>
      <c r="F509" s="860"/>
      <c r="G509" s="860"/>
      <c r="H509" s="860"/>
      <c r="I509" s="860"/>
      <c r="J509" s="860"/>
      <c r="K509" s="860"/>
      <c r="L509" s="860"/>
      <c r="M509" s="860"/>
      <c r="N509" s="860"/>
      <c r="O509" s="860"/>
      <c r="P509" s="860"/>
      <c r="Q509" s="860"/>
      <c r="R509" s="860"/>
      <c r="S509" s="860"/>
      <c r="T509" s="860"/>
      <c r="U509" s="860"/>
      <c r="V509" s="860"/>
      <c r="W509" s="860"/>
      <c r="X509" s="864"/>
      <c r="Y509" s="865"/>
      <c r="Z509" s="865"/>
      <c r="AA509" s="866"/>
      <c r="AB509" s="867"/>
      <c r="AC509" s="868"/>
      <c r="AD509" s="866"/>
      <c r="AE509" s="860"/>
      <c r="AF509" s="869"/>
      <c r="AG509" s="869"/>
      <c r="AH509" s="870"/>
      <c r="AI509" s="871"/>
      <c r="AJ509" s="870"/>
      <c r="AK509" s="870"/>
      <c r="AL509" s="860"/>
      <c r="AM509" s="860"/>
      <c r="AN509" s="860"/>
      <c r="AO509" s="860"/>
      <c r="AP509" s="860"/>
      <c r="AQ509" s="860"/>
      <c r="AR509" s="860"/>
      <c r="AS509" s="860"/>
      <c r="AT509" s="860"/>
      <c r="AU509" s="860"/>
      <c r="AV509" s="860"/>
      <c r="AW509" s="860"/>
      <c r="AX509" s="860"/>
      <c r="AY509" s="860"/>
      <c r="AZ509" s="860"/>
      <c r="BA509" s="860"/>
      <c r="BB509" s="860"/>
      <c r="BC509" s="860"/>
      <c r="BD509" s="860"/>
      <c r="BE509" s="860"/>
      <c r="BF509" s="860"/>
      <c r="BG509" s="860"/>
      <c r="BH509" s="860"/>
      <c r="BI509" s="860"/>
      <c r="BJ509" s="860"/>
      <c r="BK509" s="860"/>
      <c r="BL509" s="860"/>
      <c r="BM509" s="860"/>
      <c r="BN509" s="872"/>
      <c r="BO509" s="872"/>
      <c r="BP509" s="872"/>
      <c r="BQ509" s="872"/>
      <c r="BR509" s="872"/>
      <c r="BS509" s="872"/>
      <c r="BT509" s="860"/>
      <c r="BU509" s="860"/>
      <c r="BV509" s="860"/>
      <c r="BW509" s="860"/>
      <c r="BX509" s="872"/>
      <c r="BY509" s="872"/>
      <c r="BZ509" s="872"/>
      <c r="CA509" s="872"/>
      <c r="CB509" s="872"/>
      <c r="CC509" s="872"/>
    </row>
    <row r="510" s="860" customFormat="1" ht="13.5" spans="1:81">
      <c r="A510" s="861"/>
      <c r="B510" s="860"/>
      <c r="C510" s="860"/>
      <c r="D510" s="860"/>
      <c r="E510" s="862"/>
      <c r="F510" s="860"/>
      <c r="G510" s="860"/>
      <c r="H510" s="860"/>
      <c r="I510" s="860"/>
      <c r="J510" s="860"/>
      <c r="K510" s="860"/>
      <c r="L510" s="860"/>
      <c r="M510" s="860"/>
      <c r="N510" s="860"/>
      <c r="O510" s="860"/>
      <c r="P510" s="860"/>
      <c r="Q510" s="860"/>
      <c r="R510" s="860"/>
      <c r="S510" s="860"/>
      <c r="T510" s="860"/>
      <c r="U510" s="860"/>
      <c r="V510" s="860"/>
      <c r="W510" s="860"/>
      <c r="X510" s="864"/>
      <c r="Y510" s="865"/>
      <c r="Z510" s="865"/>
      <c r="AA510" s="866"/>
      <c r="AB510" s="867"/>
      <c r="AC510" s="868"/>
      <c r="AD510" s="866"/>
      <c r="AE510" s="860"/>
      <c r="AF510" s="869"/>
      <c r="AG510" s="869"/>
      <c r="AH510" s="870"/>
      <c r="AI510" s="871"/>
      <c r="AJ510" s="870"/>
      <c r="AK510" s="870"/>
      <c r="AL510" s="860"/>
      <c r="AM510" s="860"/>
      <c r="AN510" s="860"/>
      <c r="AO510" s="860"/>
      <c r="AP510" s="860"/>
      <c r="AQ510" s="860"/>
      <c r="AR510" s="860"/>
      <c r="AS510" s="860"/>
      <c r="AT510" s="860"/>
      <c r="AU510" s="860"/>
      <c r="AV510" s="860"/>
      <c r="AW510" s="860"/>
      <c r="AX510" s="860"/>
      <c r="AY510" s="860"/>
      <c r="AZ510" s="860"/>
      <c r="BA510" s="860"/>
      <c r="BB510" s="860"/>
      <c r="BC510" s="860"/>
      <c r="BD510" s="860"/>
      <c r="BE510" s="860"/>
      <c r="BF510" s="860"/>
      <c r="BG510" s="860"/>
      <c r="BH510" s="860"/>
      <c r="BI510" s="860"/>
      <c r="BJ510" s="860"/>
      <c r="BK510" s="860"/>
      <c r="BL510" s="860"/>
      <c r="BM510" s="860"/>
      <c r="BN510" s="872"/>
      <c r="BO510" s="872"/>
      <c r="BP510" s="872"/>
      <c r="BQ510" s="872"/>
      <c r="BR510" s="872"/>
      <c r="BS510" s="872"/>
      <c r="BT510" s="860"/>
      <c r="BU510" s="860"/>
      <c r="BV510" s="860"/>
      <c r="BW510" s="860"/>
      <c r="BX510" s="872"/>
      <c r="BY510" s="872"/>
      <c r="BZ510" s="872"/>
      <c r="CA510" s="872"/>
      <c r="CB510" s="872"/>
      <c r="CC510" s="872"/>
    </row>
    <row r="511" s="860" customFormat="1" ht="13.5" spans="1:81">
      <c r="A511" s="861"/>
      <c r="B511" s="860"/>
      <c r="C511" s="860"/>
      <c r="D511" s="860"/>
      <c r="E511" s="862"/>
      <c r="F511" s="860"/>
      <c r="G511" s="860"/>
      <c r="H511" s="860"/>
      <c r="I511" s="860"/>
      <c r="J511" s="860"/>
      <c r="K511" s="860"/>
      <c r="L511" s="860"/>
      <c r="M511" s="860"/>
      <c r="N511" s="860"/>
      <c r="O511" s="860"/>
      <c r="P511" s="860"/>
      <c r="Q511" s="860"/>
      <c r="R511" s="860"/>
      <c r="S511" s="860"/>
      <c r="T511" s="860"/>
      <c r="U511" s="860"/>
      <c r="V511" s="860"/>
      <c r="W511" s="860"/>
      <c r="X511" s="864"/>
      <c r="Y511" s="865"/>
      <c r="Z511" s="865"/>
      <c r="AA511" s="866"/>
      <c r="AB511" s="867"/>
      <c r="AC511" s="868"/>
      <c r="AD511" s="866"/>
      <c r="AE511" s="860"/>
      <c r="AF511" s="869"/>
      <c r="AG511" s="869"/>
      <c r="AH511" s="870"/>
      <c r="AI511" s="871"/>
      <c r="AJ511" s="870"/>
      <c r="AK511" s="870"/>
      <c r="AL511" s="860"/>
      <c r="AM511" s="860"/>
      <c r="AN511" s="860"/>
      <c r="AO511" s="860"/>
      <c r="AP511" s="860"/>
      <c r="AQ511" s="860"/>
      <c r="AR511" s="860"/>
      <c r="AS511" s="860"/>
      <c r="AT511" s="860"/>
      <c r="AU511" s="860"/>
      <c r="AV511" s="860"/>
      <c r="AW511" s="860"/>
      <c r="AX511" s="860"/>
      <c r="AY511" s="860"/>
      <c r="AZ511" s="860"/>
      <c r="BA511" s="860"/>
      <c r="BB511" s="860"/>
      <c r="BC511" s="860"/>
      <c r="BD511" s="860"/>
      <c r="BE511" s="860"/>
      <c r="BF511" s="860"/>
      <c r="BG511" s="860"/>
      <c r="BH511" s="860"/>
      <c r="BI511" s="860"/>
      <c r="BJ511" s="860"/>
      <c r="BK511" s="860"/>
      <c r="BL511" s="860"/>
      <c r="BM511" s="860"/>
      <c r="BN511" s="872"/>
      <c r="BO511" s="872"/>
      <c r="BP511" s="872"/>
      <c r="BQ511" s="872"/>
      <c r="BR511" s="872"/>
      <c r="BS511" s="872"/>
      <c r="BT511" s="860"/>
      <c r="BU511" s="860"/>
      <c r="BV511" s="860"/>
      <c r="BW511" s="860"/>
      <c r="BX511" s="872"/>
      <c r="BY511" s="872"/>
      <c r="BZ511" s="872"/>
      <c r="CA511" s="872"/>
      <c r="CB511" s="872"/>
      <c r="CC511" s="872"/>
    </row>
    <row r="512" s="860" customFormat="1" ht="13.5" spans="1:81">
      <c r="A512" s="861"/>
      <c r="B512" s="860"/>
      <c r="C512" s="860"/>
      <c r="D512" s="860"/>
      <c r="E512" s="862"/>
      <c r="F512" s="860"/>
      <c r="G512" s="860"/>
      <c r="H512" s="860"/>
      <c r="I512" s="860"/>
      <c r="J512" s="860"/>
      <c r="K512" s="860"/>
      <c r="L512" s="860"/>
      <c r="M512" s="860"/>
      <c r="N512" s="860"/>
      <c r="O512" s="860"/>
      <c r="P512" s="860"/>
      <c r="Q512" s="860"/>
      <c r="R512" s="860"/>
      <c r="S512" s="860"/>
      <c r="T512" s="860"/>
      <c r="U512" s="860"/>
      <c r="V512" s="860"/>
      <c r="W512" s="860"/>
      <c r="X512" s="864"/>
      <c r="Y512" s="865"/>
      <c r="Z512" s="865"/>
      <c r="AA512" s="866"/>
      <c r="AB512" s="867"/>
      <c r="AC512" s="868"/>
      <c r="AD512" s="866"/>
      <c r="AE512" s="860"/>
      <c r="AF512" s="869"/>
      <c r="AG512" s="869"/>
      <c r="AH512" s="870"/>
      <c r="AI512" s="871"/>
      <c r="AJ512" s="870"/>
      <c r="AK512" s="870"/>
      <c r="AL512" s="860"/>
      <c r="AM512" s="860"/>
      <c r="AN512" s="860"/>
      <c r="AO512" s="860"/>
      <c r="AP512" s="860"/>
      <c r="AQ512" s="860"/>
      <c r="AR512" s="860"/>
      <c r="AS512" s="860"/>
      <c r="AT512" s="860"/>
      <c r="AU512" s="860"/>
      <c r="AV512" s="860"/>
      <c r="AW512" s="860"/>
      <c r="AX512" s="860"/>
      <c r="AY512" s="860"/>
      <c r="AZ512" s="860"/>
      <c r="BA512" s="860"/>
      <c r="BB512" s="860"/>
      <c r="BC512" s="860"/>
      <c r="BD512" s="860"/>
      <c r="BE512" s="860"/>
      <c r="BF512" s="860"/>
      <c r="BG512" s="860"/>
      <c r="BH512" s="860"/>
      <c r="BI512" s="860"/>
      <c r="BJ512" s="860"/>
      <c r="BK512" s="860"/>
      <c r="BL512" s="860"/>
      <c r="BM512" s="860"/>
      <c r="BN512" s="872"/>
      <c r="BO512" s="872"/>
      <c r="BP512" s="872"/>
      <c r="BQ512" s="872"/>
      <c r="BR512" s="872"/>
      <c r="BS512" s="872"/>
      <c r="BT512" s="860"/>
      <c r="BU512" s="860"/>
      <c r="BV512" s="860"/>
      <c r="BW512" s="860"/>
      <c r="BX512" s="872"/>
      <c r="BY512" s="872"/>
      <c r="BZ512" s="872"/>
      <c r="CA512" s="872"/>
      <c r="CB512" s="872"/>
      <c r="CC512" s="872"/>
    </row>
    <row r="513" s="860" customFormat="1" ht="13.5" spans="1:81">
      <c r="A513" s="861"/>
      <c r="B513" s="860"/>
      <c r="C513" s="860"/>
      <c r="D513" s="860"/>
      <c r="E513" s="862"/>
      <c r="F513" s="860"/>
      <c r="G513" s="860"/>
      <c r="H513" s="860"/>
      <c r="I513" s="860"/>
      <c r="J513" s="860"/>
      <c r="K513" s="860"/>
      <c r="L513" s="860"/>
      <c r="M513" s="860"/>
      <c r="N513" s="860"/>
      <c r="O513" s="860"/>
      <c r="P513" s="860"/>
      <c r="Q513" s="860"/>
      <c r="R513" s="860"/>
      <c r="S513" s="860"/>
      <c r="T513" s="860"/>
      <c r="U513" s="860"/>
      <c r="V513" s="860"/>
      <c r="W513" s="860"/>
      <c r="X513" s="864"/>
      <c r="Y513" s="865"/>
      <c r="Z513" s="865"/>
      <c r="AA513" s="866"/>
      <c r="AB513" s="867"/>
      <c r="AC513" s="868"/>
      <c r="AD513" s="866"/>
      <c r="AE513" s="860"/>
      <c r="AF513" s="869"/>
      <c r="AG513" s="869"/>
      <c r="AH513" s="870"/>
      <c r="AI513" s="871"/>
      <c r="AJ513" s="870"/>
      <c r="AK513" s="870"/>
      <c r="AL513" s="860"/>
      <c r="AM513" s="860"/>
      <c r="AN513" s="860"/>
      <c r="AO513" s="860"/>
      <c r="AP513" s="860"/>
      <c r="AQ513" s="860"/>
      <c r="AR513" s="860"/>
      <c r="AS513" s="860"/>
      <c r="AT513" s="860"/>
      <c r="AU513" s="860"/>
      <c r="AV513" s="860"/>
      <c r="AW513" s="860"/>
      <c r="AX513" s="860"/>
      <c r="AY513" s="860"/>
      <c r="AZ513" s="860"/>
      <c r="BA513" s="860"/>
      <c r="BB513" s="860"/>
      <c r="BC513" s="860"/>
      <c r="BD513" s="860"/>
      <c r="BE513" s="860"/>
      <c r="BF513" s="860"/>
      <c r="BG513" s="860"/>
      <c r="BH513" s="860"/>
      <c r="BI513" s="860"/>
      <c r="BJ513" s="860"/>
      <c r="BK513" s="860"/>
      <c r="BL513" s="860"/>
      <c r="BM513" s="860"/>
      <c r="BN513" s="872"/>
      <c r="BO513" s="872"/>
      <c r="BP513" s="872"/>
      <c r="BQ513" s="872"/>
      <c r="BR513" s="872"/>
      <c r="BS513" s="872"/>
      <c r="BT513" s="860"/>
      <c r="BU513" s="860"/>
      <c r="BV513" s="860"/>
      <c r="BW513" s="860"/>
      <c r="BX513" s="872"/>
      <c r="BY513" s="872"/>
      <c r="BZ513" s="872"/>
      <c r="CA513" s="872"/>
      <c r="CB513" s="872"/>
      <c r="CC513" s="872"/>
    </row>
    <row r="514" s="860" customFormat="1" ht="13.5" spans="1:81">
      <c r="A514" s="861"/>
      <c r="B514" s="860"/>
      <c r="C514" s="860"/>
      <c r="D514" s="860"/>
      <c r="E514" s="862"/>
      <c r="F514" s="860"/>
      <c r="G514" s="860"/>
      <c r="H514" s="860"/>
      <c r="I514" s="860"/>
      <c r="J514" s="860"/>
      <c r="K514" s="860"/>
      <c r="L514" s="860"/>
      <c r="M514" s="860"/>
      <c r="N514" s="860"/>
      <c r="O514" s="860"/>
      <c r="P514" s="860"/>
      <c r="Q514" s="860"/>
      <c r="R514" s="860"/>
      <c r="S514" s="860"/>
      <c r="T514" s="860"/>
      <c r="U514" s="860"/>
      <c r="V514" s="860"/>
      <c r="W514" s="860"/>
      <c r="X514" s="864"/>
      <c r="Y514" s="865"/>
      <c r="Z514" s="865"/>
      <c r="AA514" s="866"/>
      <c r="AB514" s="867"/>
      <c r="AC514" s="868"/>
      <c r="AD514" s="866"/>
      <c r="AE514" s="860"/>
      <c r="AF514" s="869"/>
      <c r="AG514" s="869"/>
      <c r="AH514" s="870"/>
      <c r="AI514" s="871"/>
      <c r="AJ514" s="870"/>
      <c r="AK514" s="870"/>
      <c r="AL514" s="860"/>
      <c r="AM514" s="860"/>
      <c r="AN514" s="860"/>
      <c r="AO514" s="860"/>
      <c r="AP514" s="860"/>
      <c r="AQ514" s="860"/>
      <c r="AR514" s="860"/>
      <c r="AS514" s="860"/>
      <c r="AT514" s="860"/>
      <c r="AU514" s="860"/>
      <c r="AV514" s="860"/>
      <c r="AW514" s="860"/>
      <c r="AX514" s="860"/>
      <c r="AY514" s="860"/>
      <c r="AZ514" s="860"/>
      <c r="BA514" s="860"/>
      <c r="BB514" s="860"/>
      <c r="BC514" s="860"/>
      <c r="BD514" s="860"/>
      <c r="BE514" s="860"/>
      <c r="BF514" s="860"/>
      <c r="BG514" s="860"/>
      <c r="BH514" s="860"/>
      <c r="BI514" s="860"/>
      <c r="BJ514" s="860"/>
      <c r="BK514" s="860"/>
      <c r="BL514" s="860"/>
      <c r="BM514" s="860"/>
      <c r="BN514" s="872"/>
      <c r="BO514" s="872"/>
      <c r="BP514" s="872"/>
      <c r="BQ514" s="872"/>
      <c r="BR514" s="872"/>
      <c r="BS514" s="872"/>
      <c r="BT514" s="860"/>
      <c r="BU514" s="860"/>
      <c r="BV514" s="860"/>
      <c r="BW514" s="860"/>
      <c r="BX514" s="872"/>
      <c r="BY514" s="872"/>
      <c r="BZ514" s="872"/>
      <c r="CA514" s="872"/>
      <c r="CB514" s="872"/>
      <c r="CC514" s="872"/>
    </row>
    <row r="515" s="860" customFormat="1" ht="13.5" spans="1:81">
      <c r="A515" s="861"/>
      <c r="B515" s="860"/>
      <c r="C515" s="860"/>
      <c r="D515" s="860"/>
      <c r="E515" s="862"/>
      <c r="F515" s="860"/>
      <c r="G515" s="860"/>
      <c r="H515" s="860"/>
      <c r="I515" s="860"/>
      <c r="J515" s="860"/>
      <c r="K515" s="860"/>
      <c r="L515" s="860"/>
      <c r="M515" s="860"/>
      <c r="N515" s="860"/>
      <c r="O515" s="860"/>
      <c r="P515" s="860"/>
      <c r="Q515" s="860"/>
      <c r="R515" s="860"/>
      <c r="S515" s="860"/>
      <c r="T515" s="860"/>
      <c r="U515" s="860"/>
      <c r="V515" s="860"/>
      <c r="W515" s="860"/>
      <c r="X515" s="864"/>
      <c r="Y515" s="865"/>
      <c r="Z515" s="865"/>
      <c r="AA515" s="866"/>
      <c r="AB515" s="867"/>
      <c r="AC515" s="868"/>
      <c r="AD515" s="866"/>
      <c r="AE515" s="860"/>
      <c r="AF515" s="869"/>
      <c r="AG515" s="869"/>
      <c r="AH515" s="870"/>
      <c r="AI515" s="871"/>
      <c r="AJ515" s="870"/>
      <c r="AK515" s="870"/>
      <c r="AL515" s="860"/>
      <c r="AM515" s="860"/>
      <c r="AN515" s="860"/>
      <c r="AO515" s="860"/>
      <c r="AP515" s="860"/>
      <c r="AQ515" s="860"/>
      <c r="AR515" s="860"/>
      <c r="AS515" s="860"/>
      <c r="AT515" s="860"/>
      <c r="AU515" s="860"/>
      <c r="AV515" s="860"/>
      <c r="AW515" s="860"/>
      <c r="AX515" s="860"/>
      <c r="AY515" s="860"/>
      <c r="AZ515" s="860"/>
      <c r="BA515" s="860"/>
      <c r="BB515" s="860"/>
      <c r="BC515" s="860"/>
      <c r="BD515" s="860"/>
      <c r="BE515" s="860"/>
      <c r="BF515" s="860"/>
      <c r="BG515" s="860"/>
      <c r="BH515" s="860"/>
      <c r="BI515" s="860"/>
      <c r="BJ515" s="860"/>
      <c r="BK515" s="860"/>
      <c r="BL515" s="860"/>
      <c r="BM515" s="860"/>
      <c r="BN515" s="872"/>
      <c r="BO515" s="872"/>
      <c r="BP515" s="872"/>
      <c r="BQ515" s="872"/>
      <c r="BR515" s="872"/>
      <c r="BS515" s="872"/>
      <c r="BT515" s="860"/>
      <c r="BU515" s="860"/>
      <c r="BV515" s="860"/>
      <c r="BW515" s="860"/>
      <c r="BX515" s="872"/>
      <c r="BY515" s="872"/>
      <c r="BZ515" s="872"/>
      <c r="CA515" s="872"/>
      <c r="CB515" s="872"/>
      <c r="CC515" s="872"/>
    </row>
    <row r="516" s="860" customFormat="1" ht="13.5" spans="1:81">
      <c r="A516" s="861"/>
      <c r="B516" s="860"/>
      <c r="C516" s="860"/>
      <c r="D516" s="860"/>
      <c r="E516" s="862"/>
      <c r="F516" s="860"/>
      <c r="G516" s="860"/>
      <c r="H516" s="860"/>
      <c r="I516" s="860"/>
      <c r="J516" s="860"/>
      <c r="K516" s="860"/>
      <c r="L516" s="860"/>
      <c r="M516" s="860"/>
      <c r="N516" s="860"/>
      <c r="O516" s="860"/>
      <c r="P516" s="860"/>
      <c r="Q516" s="860"/>
      <c r="R516" s="860"/>
      <c r="S516" s="860"/>
      <c r="T516" s="860"/>
      <c r="U516" s="860"/>
      <c r="V516" s="860"/>
      <c r="W516" s="860"/>
      <c r="X516" s="864"/>
      <c r="Y516" s="865"/>
      <c r="Z516" s="865"/>
      <c r="AA516" s="866"/>
      <c r="AB516" s="867"/>
      <c r="AC516" s="868"/>
      <c r="AD516" s="866"/>
      <c r="AE516" s="860"/>
      <c r="AF516" s="869"/>
      <c r="AG516" s="869"/>
      <c r="AH516" s="870"/>
      <c r="AI516" s="871"/>
      <c r="AJ516" s="870"/>
      <c r="AK516" s="870"/>
      <c r="AL516" s="860"/>
      <c r="AM516" s="860"/>
      <c r="AN516" s="860"/>
      <c r="AO516" s="860"/>
      <c r="AP516" s="860"/>
      <c r="AQ516" s="860"/>
      <c r="AR516" s="860"/>
      <c r="AS516" s="860"/>
      <c r="AT516" s="860"/>
      <c r="AU516" s="860"/>
      <c r="AV516" s="860"/>
      <c r="AW516" s="860"/>
      <c r="AX516" s="860"/>
      <c r="AY516" s="860"/>
      <c r="AZ516" s="860"/>
      <c r="BA516" s="860"/>
      <c r="BB516" s="860"/>
      <c r="BC516" s="860"/>
      <c r="BD516" s="860"/>
      <c r="BE516" s="860"/>
      <c r="BF516" s="860"/>
      <c r="BG516" s="860"/>
      <c r="BH516" s="860"/>
      <c r="BI516" s="860"/>
      <c r="BJ516" s="860"/>
      <c r="BK516" s="860"/>
      <c r="BL516" s="860"/>
      <c r="BM516" s="860"/>
      <c r="BN516" s="872"/>
      <c r="BO516" s="872"/>
      <c r="BP516" s="872"/>
      <c r="BQ516" s="872"/>
      <c r="BR516" s="872"/>
      <c r="BS516" s="872"/>
      <c r="BT516" s="860"/>
      <c r="BU516" s="860"/>
      <c r="BV516" s="860"/>
      <c r="BW516" s="860"/>
      <c r="BX516" s="872"/>
      <c r="BY516" s="872"/>
      <c r="BZ516" s="872"/>
      <c r="CA516" s="872"/>
      <c r="CB516" s="872"/>
      <c r="CC516" s="872"/>
    </row>
    <row r="517" s="860" customFormat="1" ht="13.5" spans="1:81">
      <c r="A517" s="861"/>
      <c r="B517" s="860"/>
      <c r="C517" s="860"/>
      <c r="D517" s="860"/>
      <c r="E517" s="862"/>
      <c r="F517" s="860"/>
      <c r="G517" s="860"/>
      <c r="H517" s="860"/>
      <c r="I517" s="860"/>
      <c r="J517" s="860"/>
      <c r="K517" s="860"/>
      <c r="L517" s="860"/>
      <c r="M517" s="860"/>
      <c r="N517" s="860"/>
      <c r="O517" s="860"/>
      <c r="P517" s="860"/>
      <c r="Q517" s="860"/>
      <c r="R517" s="860"/>
      <c r="S517" s="860"/>
      <c r="T517" s="860"/>
      <c r="U517" s="860"/>
      <c r="V517" s="860"/>
      <c r="W517" s="860"/>
      <c r="X517" s="864"/>
      <c r="Y517" s="865"/>
      <c r="Z517" s="865"/>
      <c r="AA517" s="866"/>
      <c r="AB517" s="867"/>
      <c r="AC517" s="868"/>
      <c r="AD517" s="866"/>
      <c r="AE517" s="860"/>
      <c r="AF517" s="869"/>
      <c r="AG517" s="869"/>
      <c r="AH517" s="870"/>
      <c r="AI517" s="871"/>
      <c r="AJ517" s="870"/>
      <c r="AK517" s="870"/>
      <c r="AL517" s="860"/>
      <c r="AM517" s="860"/>
      <c r="AN517" s="860"/>
      <c r="AO517" s="860"/>
      <c r="AP517" s="860"/>
      <c r="AQ517" s="860"/>
      <c r="AR517" s="860"/>
      <c r="AS517" s="860"/>
      <c r="AT517" s="860"/>
      <c r="AU517" s="860"/>
      <c r="AV517" s="860"/>
      <c r="AW517" s="860"/>
      <c r="AX517" s="860"/>
      <c r="AY517" s="860"/>
      <c r="AZ517" s="860"/>
      <c r="BA517" s="860"/>
      <c r="BB517" s="860"/>
      <c r="BC517" s="860"/>
      <c r="BD517" s="860"/>
      <c r="BE517" s="860"/>
      <c r="BF517" s="860"/>
      <c r="BG517" s="860"/>
      <c r="BH517" s="860"/>
      <c r="BI517" s="860"/>
      <c r="BJ517" s="860"/>
      <c r="BK517" s="860"/>
      <c r="BL517" s="860"/>
      <c r="BM517" s="860"/>
      <c r="BN517" s="872"/>
      <c r="BO517" s="872"/>
      <c r="BP517" s="872"/>
      <c r="BQ517" s="872"/>
      <c r="BR517" s="872"/>
      <c r="BS517" s="872"/>
      <c r="BT517" s="860"/>
      <c r="BU517" s="860"/>
      <c r="BV517" s="860"/>
      <c r="BW517" s="860"/>
      <c r="BX517" s="872"/>
      <c r="BY517" s="872"/>
      <c r="BZ517" s="872"/>
      <c r="CA517" s="872"/>
      <c r="CB517" s="872"/>
      <c r="CC517" s="872"/>
    </row>
    <row r="518" s="860" customFormat="1" ht="13.5" spans="1:81">
      <c r="A518" s="861"/>
      <c r="B518" s="860"/>
      <c r="C518" s="860"/>
      <c r="D518" s="860"/>
      <c r="E518" s="862"/>
      <c r="F518" s="860"/>
      <c r="G518" s="860"/>
      <c r="H518" s="860"/>
      <c r="I518" s="860"/>
      <c r="J518" s="860"/>
      <c r="K518" s="860"/>
      <c r="L518" s="860"/>
      <c r="M518" s="860"/>
      <c r="N518" s="860"/>
      <c r="O518" s="860"/>
      <c r="P518" s="860"/>
      <c r="Q518" s="860"/>
      <c r="R518" s="860"/>
      <c r="S518" s="860"/>
      <c r="T518" s="860"/>
      <c r="U518" s="860"/>
      <c r="V518" s="860"/>
      <c r="W518" s="860"/>
      <c r="X518" s="864"/>
      <c r="Y518" s="865"/>
      <c r="Z518" s="865"/>
      <c r="AA518" s="866"/>
      <c r="AB518" s="867"/>
      <c r="AC518" s="868"/>
      <c r="AD518" s="866"/>
      <c r="AE518" s="860"/>
      <c r="AF518" s="869"/>
      <c r="AG518" s="869"/>
      <c r="AH518" s="870"/>
      <c r="AI518" s="871"/>
      <c r="AJ518" s="870"/>
      <c r="AK518" s="870"/>
      <c r="AL518" s="860"/>
      <c r="AM518" s="860"/>
      <c r="AN518" s="860"/>
      <c r="AO518" s="860"/>
      <c r="AP518" s="860"/>
      <c r="AQ518" s="860"/>
      <c r="AR518" s="860"/>
      <c r="AS518" s="860"/>
      <c r="AT518" s="860"/>
      <c r="AU518" s="860"/>
      <c r="AV518" s="860"/>
      <c r="AW518" s="860"/>
      <c r="AX518" s="860"/>
      <c r="AY518" s="860"/>
      <c r="AZ518" s="860"/>
      <c r="BA518" s="860"/>
      <c r="BB518" s="860"/>
      <c r="BC518" s="860"/>
      <c r="BD518" s="860"/>
      <c r="BE518" s="860"/>
      <c r="BF518" s="860"/>
      <c r="BG518" s="860"/>
      <c r="BH518" s="860"/>
      <c r="BI518" s="860"/>
      <c r="BJ518" s="860"/>
      <c r="BK518" s="860"/>
      <c r="BL518" s="860"/>
      <c r="BM518" s="860"/>
      <c r="BN518" s="872"/>
      <c r="BO518" s="872"/>
      <c r="BP518" s="872"/>
      <c r="BQ518" s="872"/>
      <c r="BR518" s="872"/>
      <c r="BS518" s="872"/>
      <c r="BT518" s="860"/>
      <c r="BU518" s="860"/>
      <c r="BV518" s="860"/>
      <c r="BW518" s="860"/>
      <c r="BX518" s="872"/>
      <c r="BY518" s="872"/>
      <c r="BZ518" s="872"/>
      <c r="CA518" s="872"/>
      <c r="CB518" s="872"/>
      <c r="CC518" s="872"/>
    </row>
    <row r="519" s="860" customFormat="1" ht="13.5" spans="1:81">
      <c r="A519" s="861"/>
      <c r="B519" s="860"/>
      <c r="C519" s="860"/>
      <c r="D519" s="860"/>
      <c r="E519" s="862"/>
      <c r="F519" s="860"/>
      <c r="G519" s="860"/>
      <c r="H519" s="860"/>
      <c r="I519" s="860"/>
      <c r="J519" s="860"/>
      <c r="K519" s="860"/>
      <c r="L519" s="860"/>
      <c r="M519" s="860"/>
      <c r="N519" s="860"/>
      <c r="O519" s="860"/>
      <c r="P519" s="860"/>
      <c r="Q519" s="860"/>
      <c r="R519" s="860"/>
      <c r="S519" s="860"/>
      <c r="T519" s="860"/>
      <c r="U519" s="860"/>
      <c r="V519" s="860"/>
      <c r="W519" s="860"/>
      <c r="X519" s="864"/>
      <c r="Y519" s="865"/>
      <c r="Z519" s="865"/>
      <c r="AA519" s="866"/>
      <c r="AB519" s="867"/>
      <c r="AC519" s="868"/>
      <c r="AD519" s="866"/>
      <c r="AE519" s="860"/>
      <c r="AF519" s="869"/>
      <c r="AG519" s="869"/>
      <c r="AH519" s="870"/>
      <c r="AI519" s="871"/>
      <c r="AJ519" s="870"/>
      <c r="AK519" s="870"/>
      <c r="AL519" s="860"/>
      <c r="AM519" s="860"/>
      <c r="AN519" s="860"/>
      <c r="AO519" s="860"/>
      <c r="AP519" s="860"/>
      <c r="AQ519" s="860"/>
      <c r="AR519" s="860"/>
      <c r="AS519" s="860"/>
      <c r="AT519" s="860"/>
      <c r="AU519" s="860"/>
      <c r="AV519" s="860"/>
      <c r="AW519" s="860"/>
      <c r="AX519" s="860"/>
      <c r="AY519" s="860"/>
      <c r="AZ519" s="860"/>
      <c r="BA519" s="860"/>
      <c r="BB519" s="860"/>
      <c r="BC519" s="860"/>
      <c r="BD519" s="860"/>
      <c r="BE519" s="860"/>
      <c r="BF519" s="860"/>
      <c r="BG519" s="860"/>
      <c r="BH519" s="860"/>
      <c r="BI519" s="860"/>
      <c r="BJ519" s="860"/>
      <c r="BK519" s="860"/>
      <c r="BL519" s="860"/>
      <c r="BM519" s="860"/>
      <c r="BN519" s="872"/>
      <c r="BO519" s="872"/>
      <c r="BP519" s="872"/>
      <c r="BQ519" s="872"/>
      <c r="BR519" s="872"/>
      <c r="BS519" s="872"/>
      <c r="BT519" s="860"/>
      <c r="BU519" s="860"/>
      <c r="BV519" s="860"/>
      <c r="BW519" s="860"/>
      <c r="BX519" s="872"/>
      <c r="BY519" s="872"/>
      <c r="BZ519" s="872"/>
      <c r="CA519" s="872"/>
      <c r="CB519" s="872"/>
      <c r="CC519" s="872"/>
    </row>
    <row r="520" s="860" customFormat="1" ht="13.5" spans="1:81">
      <c r="A520" s="861"/>
      <c r="B520" s="860"/>
      <c r="C520" s="860"/>
      <c r="D520" s="860"/>
      <c r="E520" s="862"/>
      <c r="F520" s="860"/>
      <c r="G520" s="860"/>
      <c r="H520" s="860"/>
      <c r="I520" s="860"/>
      <c r="J520" s="860"/>
      <c r="K520" s="860"/>
      <c r="L520" s="860"/>
      <c r="M520" s="860"/>
      <c r="N520" s="860"/>
      <c r="O520" s="860"/>
      <c r="P520" s="860"/>
      <c r="Q520" s="860"/>
      <c r="R520" s="860"/>
      <c r="S520" s="860"/>
      <c r="T520" s="860"/>
      <c r="U520" s="860"/>
      <c r="V520" s="860"/>
      <c r="W520" s="860"/>
      <c r="X520" s="864"/>
      <c r="Y520" s="865"/>
      <c r="Z520" s="865"/>
      <c r="AA520" s="866"/>
      <c r="AB520" s="867"/>
      <c r="AC520" s="868"/>
      <c r="AD520" s="866"/>
      <c r="AE520" s="860"/>
      <c r="AF520" s="869"/>
      <c r="AG520" s="869"/>
      <c r="AH520" s="870"/>
      <c r="AI520" s="871"/>
      <c r="AJ520" s="870"/>
      <c r="AK520" s="870"/>
      <c r="AL520" s="860"/>
      <c r="AM520" s="860"/>
      <c r="AN520" s="860"/>
      <c r="AO520" s="860"/>
      <c r="AP520" s="860"/>
      <c r="AQ520" s="860"/>
      <c r="AR520" s="860"/>
      <c r="AS520" s="860"/>
      <c r="AT520" s="860"/>
      <c r="AU520" s="860"/>
      <c r="AV520" s="860"/>
      <c r="AW520" s="860"/>
      <c r="AX520" s="860"/>
      <c r="AY520" s="860"/>
      <c r="AZ520" s="860"/>
      <c r="BA520" s="860"/>
      <c r="BB520" s="860"/>
      <c r="BC520" s="860"/>
      <c r="BD520" s="860"/>
      <c r="BE520" s="860"/>
      <c r="BF520" s="860"/>
      <c r="BG520" s="860"/>
      <c r="BH520" s="860"/>
      <c r="BI520" s="860"/>
      <c r="BJ520" s="860"/>
      <c r="BK520" s="860"/>
      <c r="BL520" s="860"/>
      <c r="BM520" s="860"/>
      <c r="BN520" s="872"/>
      <c r="BO520" s="872"/>
      <c r="BP520" s="872"/>
      <c r="BQ520" s="872"/>
      <c r="BR520" s="872"/>
      <c r="BS520" s="872"/>
      <c r="BT520" s="860"/>
      <c r="BU520" s="860"/>
      <c r="BV520" s="860"/>
      <c r="BW520" s="860"/>
      <c r="BX520" s="872"/>
      <c r="BY520" s="872"/>
      <c r="BZ520" s="872"/>
      <c r="CA520" s="872"/>
      <c r="CB520" s="872"/>
      <c r="CC520" s="872"/>
    </row>
    <row r="521" s="860" customFormat="1" ht="13.5" spans="1:81">
      <c r="A521" s="861"/>
      <c r="B521" s="860"/>
      <c r="C521" s="860"/>
      <c r="D521" s="860"/>
      <c r="E521" s="862"/>
      <c r="F521" s="860"/>
      <c r="G521" s="860"/>
      <c r="H521" s="860"/>
      <c r="I521" s="860"/>
      <c r="J521" s="860"/>
      <c r="K521" s="860"/>
      <c r="L521" s="860"/>
      <c r="M521" s="860"/>
      <c r="N521" s="860"/>
      <c r="O521" s="860"/>
      <c r="P521" s="860"/>
      <c r="Q521" s="860"/>
      <c r="R521" s="860"/>
      <c r="S521" s="860"/>
      <c r="T521" s="860"/>
      <c r="U521" s="860"/>
      <c r="V521" s="860"/>
      <c r="W521" s="860"/>
      <c r="X521" s="864"/>
      <c r="Y521" s="865"/>
      <c r="Z521" s="865"/>
      <c r="AA521" s="866"/>
      <c r="AB521" s="867"/>
      <c r="AC521" s="868"/>
      <c r="AD521" s="866"/>
      <c r="AE521" s="860"/>
      <c r="AF521" s="869"/>
      <c r="AG521" s="869"/>
      <c r="AH521" s="870"/>
      <c r="AI521" s="871"/>
      <c r="AJ521" s="870"/>
      <c r="AK521" s="870"/>
      <c r="AL521" s="860"/>
      <c r="AM521" s="860"/>
      <c r="AN521" s="860"/>
      <c r="AO521" s="860"/>
      <c r="AP521" s="860"/>
      <c r="AQ521" s="860"/>
      <c r="AR521" s="860"/>
      <c r="AS521" s="860"/>
      <c r="AT521" s="860"/>
      <c r="AU521" s="860"/>
      <c r="AV521" s="860"/>
      <c r="AW521" s="860"/>
      <c r="AX521" s="860"/>
      <c r="AY521" s="860"/>
      <c r="AZ521" s="860"/>
      <c r="BA521" s="860"/>
      <c r="BB521" s="860"/>
      <c r="BC521" s="860"/>
      <c r="BD521" s="860"/>
      <c r="BE521" s="860"/>
      <c r="BF521" s="860"/>
      <c r="BG521" s="860"/>
      <c r="BH521" s="860"/>
      <c r="BI521" s="860"/>
      <c r="BJ521" s="860"/>
      <c r="BK521" s="860"/>
      <c r="BL521" s="860"/>
      <c r="BM521" s="860"/>
      <c r="BN521" s="872"/>
      <c r="BO521" s="872"/>
      <c r="BP521" s="872"/>
      <c r="BQ521" s="872"/>
      <c r="BR521" s="872"/>
      <c r="BS521" s="872"/>
      <c r="BT521" s="860"/>
      <c r="BU521" s="860"/>
      <c r="BV521" s="860"/>
      <c r="BW521" s="860"/>
      <c r="BX521" s="872"/>
      <c r="BY521" s="872"/>
      <c r="BZ521" s="872"/>
      <c r="CA521" s="872"/>
      <c r="CB521" s="872"/>
      <c r="CC521" s="872"/>
    </row>
    <row r="522" s="860" customFormat="1" ht="13.5" spans="1:81">
      <c r="A522" s="861"/>
      <c r="B522" s="860"/>
      <c r="C522" s="860"/>
      <c r="D522" s="860"/>
      <c r="E522" s="862"/>
      <c r="F522" s="860"/>
      <c r="G522" s="860"/>
      <c r="H522" s="860"/>
      <c r="I522" s="860"/>
      <c r="J522" s="860"/>
      <c r="K522" s="860"/>
      <c r="L522" s="860"/>
      <c r="M522" s="860"/>
      <c r="N522" s="860"/>
      <c r="O522" s="860"/>
      <c r="P522" s="860"/>
      <c r="Q522" s="860"/>
      <c r="R522" s="860"/>
      <c r="S522" s="860"/>
      <c r="T522" s="860"/>
      <c r="U522" s="860"/>
      <c r="V522" s="860"/>
      <c r="W522" s="860"/>
      <c r="X522" s="864"/>
      <c r="Y522" s="865"/>
      <c r="Z522" s="865"/>
      <c r="AA522" s="866"/>
      <c r="AB522" s="867"/>
      <c r="AC522" s="868"/>
      <c r="AD522" s="866"/>
      <c r="AE522" s="860"/>
      <c r="AF522" s="869"/>
      <c r="AG522" s="869"/>
      <c r="AH522" s="870"/>
      <c r="AI522" s="871"/>
      <c r="AJ522" s="870"/>
      <c r="AK522" s="870"/>
      <c r="AL522" s="860"/>
      <c r="AM522" s="860"/>
      <c r="AN522" s="860"/>
      <c r="AO522" s="860"/>
      <c r="AP522" s="860"/>
      <c r="AQ522" s="860"/>
      <c r="AR522" s="860"/>
      <c r="AS522" s="860"/>
      <c r="AT522" s="860"/>
      <c r="AU522" s="860"/>
      <c r="AV522" s="860"/>
      <c r="AW522" s="860"/>
      <c r="AX522" s="860"/>
      <c r="AY522" s="860"/>
      <c r="AZ522" s="860"/>
      <c r="BA522" s="860"/>
      <c r="BB522" s="860"/>
      <c r="BC522" s="860"/>
      <c r="BD522" s="860"/>
      <c r="BE522" s="860"/>
      <c r="BF522" s="860"/>
      <c r="BG522" s="860"/>
      <c r="BH522" s="860"/>
      <c r="BI522" s="860"/>
      <c r="BJ522" s="860"/>
      <c r="BK522" s="860"/>
      <c r="BL522" s="860"/>
      <c r="BM522" s="860"/>
      <c r="BN522" s="872"/>
      <c r="BO522" s="872"/>
      <c r="BP522" s="872"/>
      <c r="BQ522" s="872"/>
      <c r="BR522" s="872"/>
      <c r="BS522" s="872"/>
      <c r="BT522" s="860"/>
      <c r="BU522" s="860"/>
      <c r="BV522" s="860"/>
      <c r="BW522" s="860"/>
      <c r="BX522" s="872"/>
      <c r="BY522" s="872"/>
      <c r="BZ522" s="872"/>
      <c r="CA522" s="872"/>
      <c r="CB522" s="872"/>
      <c r="CC522" s="872"/>
    </row>
    <row r="523" s="860" customFormat="1" ht="13.5" spans="1:81">
      <c r="A523" s="861"/>
      <c r="B523" s="860"/>
      <c r="C523" s="860"/>
      <c r="D523" s="860"/>
      <c r="E523" s="862"/>
      <c r="F523" s="860"/>
      <c r="G523" s="860"/>
      <c r="H523" s="860"/>
      <c r="I523" s="860"/>
      <c r="J523" s="860"/>
      <c r="K523" s="860"/>
      <c r="L523" s="860"/>
      <c r="M523" s="860"/>
      <c r="N523" s="860"/>
      <c r="O523" s="860"/>
      <c r="P523" s="860"/>
      <c r="Q523" s="860"/>
      <c r="R523" s="860"/>
      <c r="S523" s="860"/>
      <c r="T523" s="860"/>
      <c r="U523" s="860"/>
      <c r="V523" s="860"/>
      <c r="W523" s="860"/>
      <c r="X523" s="864"/>
      <c r="Y523" s="865"/>
      <c r="Z523" s="865"/>
      <c r="AA523" s="866"/>
      <c r="AB523" s="867"/>
      <c r="AC523" s="868"/>
      <c r="AD523" s="866"/>
      <c r="AE523" s="860"/>
      <c r="AF523" s="869"/>
      <c r="AG523" s="869"/>
      <c r="AH523" s="870"/>
      <c r="AI523" s="871"/>
      <c r="AJ523" s="870"/>
      <c r="AK523" s="870"/>
      <c r="AL523" s="860"/>
      <c r="AM523" s="860"/>
      <c r="AN523" s="860"/>
      <c r="AO523" s="860"/>
      <c r="AP523" s="860"/>
      <c r="AQ523" s="860"/>
      <c r="AR523" s="860"/>
      <c r="AS523" s="860"/>
      <c r="AT523" s="860"/>
      <c r="AU523" s="860"/>
      <c r="AV523" s="860"/>
      <c r="AW523" s="860"/>
      <c r="AX523" s="860"/>
      <c r="AY523" s="860"/>
      <c r="AZ523" s="860"/>
      <c r="BA523" s="860"/>
      <c r="BB523" s="860"/>
      <c r="BC523" s="860"/>
      <c r="BD523" s="860"/>
      <c r="BE523" s="860"/>
      <c r="BF523" s="860"/>
      <c r="BG523" s="860"/>
      <c r="BH523" s="860"/>
      <c r="BI523" s="860"/>
      <c r="BJ523" s="860"/>
      <c r="BK523" s="860"/>
      <c r="BL523" s="860"/>
      <c r="BM523" s="860"/>
      <c r="BN523" s="872"/>
      <c r="BO523" s="872"/>
      <c r="BP523" s="872"/>
      <c r="BQ523" s="872"/>
      <c r="BR523" s="872"/>
      <c r="BS523" s="872"/>
      <c r="BT523" s="860"/>
      <c r="BU523" s="860"/>
      <c r="BV523" s="860"/>
      <c r="BW523" s="860"/>
      <c r="BX523" s="872"/>
      <c r="BY523" s="872"/>
      <c r="BZ523" s="872"/>
      <c r="CA523" s="872"/>
      <c r="CB523" s="872"/>
      <c r="CC523" s="872"/>
    </row>
    <row r="524" s="860" customFormat="1" ht="13.5" spans="1:81">
      <c r="A524" s="861"/>
      <c r="B524" s="860"/>
      <c r="C524" s="860"/>
      <c r="D524" s="860"/>
      <c r="E524" s="862"/>
      <c r="F524" s="860"/>
      <c r="G524" s="860"/>
      <c r="H524" s="860"/>
      <c r="I524" s="860"/>
      <c r="J524" s="860"/>
      <c r="K524" s="860"/>
      <c r="L524" s="860"/>
      <c r="M524" s="860"/>
      <c r="N524" s="860"/>
      <c r="O524" s="860"/>
      <c r="P524" s="860"/>
      <c r="Q524" s="860"/>
      <c r="R524" s="860"/>
      <c r="S524" s="860"/>
      <c r="T524" s="860"/>
      <c r="U524" s="860"/>
      <c r="V524" s="860"/>
      <c r="W524" s="860"/>
      <c r="X524" s="864"/>
      <c r="Y524" s="865"/>
      <c r="Z524" s="865"/>
      <c r="AA524" s="866"/>
      <c r="AB524" s="867"/>
      <c r="AC524" s="868"/>
      <c r="AD524" s="866"/>
      <c r="AE524" s="860"/>
      <c r="AF524" s="869"/>
      <c r="AG524" s="869"/>
      <c r="AH524" s="870"/>
      <c r="AI524" s="871"/>
      <c r="AJ524" s="870"/>
      <c r="AK524" s="870"/>
      <c r="AL524" s="860"/>
      <c r="AM524" s="860"/>
      <c r="AN524" s="860"/>
      <c r="AO524" s="860"/>
      <c r="AP524" s="860"/>
      <c r="AQ524" s="860"/>
      <c r="AR524" s="860"/>
      <c r="AS524" s="860"/>
      <c r="AT524" s="860"/>
      <c r="AU524" s="860"/>
      <c r="AV524" s="860"/>
      <c r="AW524" s="860"/>
      <c r="AX524" s="860"/>
      <c r="AY524" s="860"/>
      <c r="AZ524" s="860"/>
      <c r="BA524" s="860"/>
      <c r="BB524" s="860"/>
      <c r="BC524" s="860"/>
      <c r="BD524" s="860"/>
      <c r="BE524" s="860"/>
      <c r="BF524" s="860"/>
      <c r="BG524" s="860"/>
      <c r="BH524" s="860"/>
      <c r="BI524" s="860"/>
      <c r="BJ524" s="860"/>
      <c r="BK524" s="860"/>
      <c r="BL524" s="860"/>
      <c r="BM524" s="860"/>
      <c r="BN524" s="872"/>
      <c r="BO524" s="872"/>
      <c r="BP524" s="872"/>
      <c r="BQ524" s="872"/>
      <c r="BR524" s="872"/>
      <c r="BS524" s="872"/>
      <c r="BT524" s="860"/>
      <c r="BU524" s="860"/>
      <c r="BV524" s="860"/>
      <c r="BW524" s="860"/>
      <c r="BX524" s="872"/>
      <c r="BY524" s="872"/>
      <c r="BZ524" s="872"/>
      <c r="CA524" s="872"/>
      <c r="CB524" s="872"/>
      <c r="CC524" s="872"/>
    </row>
    <row r="525" s="860" customFormat="1" ht="13.5" spans="1:81">
      <c r="A525" s="861"/>
      <c r="B525" s="860"/>
      <c r="C525" s="860"/>
      <c r="D525" s="860"/>
      <c r="E525" s="862"/>
      <c r="F525" s="860"/>
      <c r="G525" s="860"/>
      <c r="H525" s="860"/>
      <c r="I525" s="860"/>
      <c r="J525" s="860"/>
      <c r="K525" s="860"/>
      <c r="L525" s="860"/>
      <c r="M525" s="860"/>
      <c r="N525" s="860"/>
      <c r="O525" s="860"/>
      <c r="P525" s="860"/>
      <c r="Q525" s="860"/>
      <c r="R525" s="860"/>
      <c r="S525" s="860"/>
      <c r="T525" s="860"/>
      <c r="U525" s="860"/>
      <c r="V525" s="860"/>
      <c r="W525" s="860"/>
      <c r="X525" s="864"/>
      <c r="Y525" s="865"/>
      <c r="Z525" s="865"/>
      <c r="AA525" s="866"/>
      <c r="AB525" s="867"/>
      <c r="AC525" s="868"/>
      <c r="AD525" s="866"/>
      <c r="AE525" s="860"/>
      <c r="AF525" s="869"/>
      <c r="AG525" s="869"/>
      <c r="AH525" s="870"/>
      <c r="AI525" s="871"/>
      <c r="AJ525" s="870"/>
      <c r="AK525" s="870"/>
      <c r="AL525" s="860"/>
      <c r="AM525" s="860"/>
      <c r="AN525" s="860"/>
      <c r="AO525" s="860"/>
      <c r="AP525" s="860"/>
      <c r="AQ525" s="860"/>
      <c r="AR525" s="860"/>
      <c r="AS525" s="860"/>
      <c r="AT525" s="860"/>
      <c r="AU525" s="860"/>
      <c r="AV525" s="860"/>
      <c r="AW525" s="860"/>
      <c r="AX525" s="860"/>
      <c r="AY525" s="860"/>
      <c r="AZ525" s="860"/>
      <c r="BA525" s="860"/>
      <c r="BB525" s="860"/>
      <c r="BC525" s="860"/>
      <c r="BD525" s="860"/>
      <c r="BE525" s="860"/>
      <c r="BF525" s="860"/>
      <c r="BG525" s="860"/>
      <c r="BH525" s="860"/>
      <c r="BI525" s="860"/>
      <c r="BJ525" s="860"/>
      <c r="BK525" s="860"/>
      <c r="BL525" s="860"/>
      <c r="BM525" s="860"/>
      <c r="BN525" s="872"/>
      <c r="BO525" s="872"/>
      <c r="BP525" s="872"/>
      <c r="BQ525" s="872"/>
      <c r="BR525" s="872"/>
      <c r="BS525" s="872"/>
      <c r="BT525" s="860"/>
      <c r="BU525" s="860"/>
      <c r="BV525" s="860"/>
      <c r="BW525" s="860"/>
      <c r="BX525" s="872"/>
      <c r="BY525" s="872"/>
      <c r="BZ525" s="872"/>
      <c r="CA525" s="872"/>
      <c r="CB525" s="872"/>
      <c r="CC525" s="872"/>
    </row>
    <row r="526" s="860" customFormat="1" ht="13.5" spans="1:81">
      <c r="A526" s="861"/>
      <c r="B526" s="860"/>
      <c r="C526" s="860"/>
      <c r="D526" s="860"/>
      <c r="E526" s="862"/>
      <c r="F526" s="860"/>
      <c r="G526" s="860"/>
      <c r="H526" s="860"/>
      <c r="I526" s="860"/>
      <c r="J526" s="860"/>
      <c r="K526" s="860"/>
      <c r="L526" s="860"/>
      <c r="M526" s="860"/>
      <c r="N526" s="860"/>
      <c r="O526" s="860"/>
      <c r="P526" s="860"/>
      <c r="Q526" s="860"/>
      <c r="R526" s="860"/>
      <c r="S526" s="860"/>
      <c r="T526" s="860"/>
      <c r="U526" s="860"/>
      <c r="V526" s="860"/>
      <c r="W526" s="860"/>
      <c r="X526" s="864"/>
      <c r="Y526" s="865"/>
      <c r="Z526" s="865"/>
      <c r="AA526" s="866"/>
      <c r="AB526" s="867"/>
      <c r="AC526" s="868"/>
      <c r="AD526" s="866"/>
      <c r="AE526" s="860"/>
      <c r="AF526" s="869"/>
      <c r="AG526" s="869"/>
      <c r="AH526" s="870"/>
      <c r="AI526" s="871"/>
      <c r="AJ526" s="870"/>
      <c r="AK526" s="870"/>
      <c r="AL526" s="860"/>
      <c r="AM526" s="860"/>
      <c r="AN526" s="860"/>
      <c r="AO526" s="860"/>
      <c r="AP526" s="860"/>
      <c r="AQ526" s="860"/>
      <c r="AR526" s="860"/>
      <c r="AS526" s="860"/>
      <c r="AT526" s="860"/>
      <c r="AU526" s="860"/>
      <c r="AV526" s="860"/>
      <c r="AW526" s="860"/>
      <c r="AX526" s="860"/>
      <c r="AY526" s="860"/>
      <c r="AZ526" s="860"/>
      <c r="BA526" s="860"/>
      <c r="BB526" s="860"/>
      <c r="BC526" s="860"/>
      <c r="BD526" s="860"/>
      <c r="BE526" s="860"/>
      <c r="BF526" s="860"/>
      <c r="BG526" s="860"/>
      <c r="BH526" s="860"/>
      <c r="BI526" s="860"/>
      <c r="BJ526" s="860"/>
      <c r="BK526" s="860"/>
      <c r="BL526" s="860"/>
      <c r="BM526" s="860"/>
      <c r="BN526" s="872"/>
      <c r="BO526" s="872"/>
      <c r="BP526" s="872"/>
      <c r="BQ526" s="872"/>
      <c r="BR526" s="872"/>
      <c r="BS526" s="872"/>
      <c r="BT526" s="860"/>
      <c r="BU526" s="860"/>
      <c r="BV526" s="860"/>
      <c r="BW526" s="860"/>
      <c r="BX526" s="872"/>
      <c r="BY526" s="872"/>
      <c r="BZ526" s="872"/>
      <c r="CA526" s="872"/>
      <c r="CB526" s="872"/>
      <c r="CC526" s="872"/>
    </row>
    <row r="527" s="860" customFormat="1" ht="13.5" spans="1:81">
      <c r="A527" s="861"/>
      <c r="B527" s="860"/>
      <c r="C527" s="860"/>
      <c r="D527" s="860"/>
      <c r="E527" s="862"/>
      <c r="F527" s="860"/>
      <c r="G527" s="860"/>
      <c r="H527" s="860"/>
      <c r="I527" s="860"/>
      <c r="J527" s="860"/>
      <c r="K527" s="860"/>
      <c r="L527" s="860"/>
      <c r="M527" s="860"/>
      <c r="N527" s="860"/>
      <c r="O527" s="860"/>
      <c r="P527" s="860"/>
      <c r="Q527" s="860"/>
      <c r="R527" s="860"/>
      <c r="S527" s="860"/>
      <c r="T527" s="860"/>
      <c r="U527" s="860"/>
      <c r="V527" s="860"/>
      <c r="W527" s="860"/>
      <c r="X527" s="864"/>
      <c r="Y527" s="865"/>
      <c r="Z527" s="865"/>
      <c r="AA527" s="866"/>
      <c r="AB527" s="867"/>
      <c r="AC527" s="868"/>
      <c r="AD527" s="866"/>
      <c r="AE527" s="860"/>
      <c r="AF527" s="869"/>
      <c r="AG527" s="869"/>
      <c r="AH527" s="870"/>
      <c r="AI527" s="871"/>
      <c r="AJ527" s="870"/>
      <c r="AK527" s="870"/>
      <c r="AL527" s="860"/>
      <c r="AM527" s="860"/>
      <c r="AN527" s="860"/>
      <c r="AO527" s="860"/>
      <c r="AP527" s="860"/>
      <c r="AQ527" s="860"/>
      <c r="AR527" s="860"/>
      <c r="AS527" s="860"/>
      <c r="AT527" s="860"/>
      <c r="AU527" s="860"/>
      <c r="AV527" s="860"/>
      <c r="AW527" s="860"/>
      <c r="AX527" s="860"/>
      <c r="AY527" s="860"/>
      <c r="AZ527" s="860"/>
      <c r="BA527" s="860"/>
      <c r="BB527" s="860"/>
      <c r="BC527" s="860"/>
      <c r="BD527" s="860"/>
      <c r="BE527" s="860"/>
      <c r="BF527" s="860"/>
      <c r="BG527" s="860"/>
      <c r="BH527" s="860"/>
      <c r="BI527" s="860"/>
      <c r="BJ527" s="860"/>
      <c r="BK527" s="860"/>
      <c r="BL527" s="860"/>
      <c r="BM527" s="860"/>
      <c r="BN527" s="872"/>
      <c r="BO527" s="872"/>
      <c r="BP527" s="872"/>
      <c r="BQ527" s="872"/>
      <c r="BR527" s="872"/>
      <c r="BS527" s="872"/>
      <c r="BT527" s="860"/>
      <c r="BU527" s="860"/>
      <c r="BV527" s="860"/>
      <c r="BW527" s="860"/>
      <c r="BX527" s="872"/>
      <c r="BY527" s="872"/>
      <c r="BZ527" s="872"/>
      <c r="CA527" s="872"/>
      <c r="CB527" s="872"/>
      <c r="CC527" s="872"/>
    </row>
    <row r="528" s="860" customFormat="1" ht="13.5" spans="1:81">
      <c r="A528" s="861"/>
      <c r="B528" s="860"/>
      <c r="C528" s="860"/>
      <c r="D528" s="860"/>
      <c r="E528" s="862"/>
      <c r="F528" s="860"/>
      <c r="G528" s="860"/>
      <c r="H528" s="860"/>
      <c r="I528" s="860"/>
      <c r="J528" s="860"/>
      <c r="K528" s="860"/>
      <c r="L528" s="860"/>
      <c r="M528" s="860"/>
      <c r="N528" s="860"/>
      <c r="O528" s="860"/>
      <c r="P528" s="860"/>
      <c r="Q528" s="860"/>
      <c r="R528" s="860"/>
      <c r="S528" s="860"/>
      <c r="T528" s="860"/>
      <c r="U528" s="860"/>
      <c r="V528" s="860"/>
      <c r="W528" s="860"/>
      <c r="X528" s="864"/>
      <c r="Y528" s="865"/>
      <c r="Z528" s="865"/>
      <c r="AA528" s="866"/>
      <c r="AB528" s="867"/>
      <c r="AC528" s="868"/>
      <c r="AD528" s="866"/>
      <c r="AE528" s="860"/>
      <c r="AF528" s="869"/>
      <c r="AG528" s="869"/>
      <c r="AH528" s="870"/>
      <c r="AI528" s="871"/>
      <c r="AJ528" s="870"/>
      <c r="AK528" s="870"/>
      <c r="AL528" s="860"/>
      <c r="AM528" s="860"/>
      <c r="AN528" s="860"/>
      <c r="AO528" s="860"/>
      <c r="AP528" s="860"/>
      <c r="AQ528" s="860"/>
      <c r="AR528" s="860"/>
      <c r="AS528" s="860"/>
      <c r="AT528" s="860"/>
      <c r="AU528" s="860"/>
      <c r="AV528" s="860"/>
      <c r="AW528" s="860"/>
      <c r="AX528" s="860"/>
      <c r="AY528" s="860"/>
      <c r="AZ528" s="860"/>
      <c r="BA528" s="860"/>
      <c r="BB528" s="860"/>
      <c r="BC528" s="860"/>
      <c r="BD528" s="860"/>
      <c r="BE528" s="860"/>
      <c r="BF528" s="860"/>
      <c r="BG528" s="860"/>
      <c r="BH528" s="860"/>
      <c r="BI528" s="860"/>
      <c r="BJ528" s="860"/>
      <c r="BK528" s="860"/>
      <c r="BL528" s="860"/>
      <c r="BM528" s="860"/>
      <c r="BN528" s="872"/>
      <c r="BO528" s="872"/>
      <c r="BP528" s="872"/>
      <c r="BQ528" s="872"/>
      <c r="BR528" s="872"/>
      <c r="BS528" s="872"/>
      <c r="BT528" s="860"/>
      <c r="BU528" s="860"/>
      <c r="BV528" s="860"/>
      <c r="BW528" s="860"/>
      <c r="BX528" s="872"/>
      <c r="BY528" s="872"/>
      <c r="BZ528" s="872"/>
      <c r="CA528" s="872"/>
      <c r="CB528" s="872"/>
      <c r="CC528" s="872"/>
    </row>
    <row r="529" s="860" customFormat="1" ht="13.5" spans="1:81">
      <c r="A529" s="861"/>
      <c r="B529" s="860"/>
      <c r="C529" s="860"/>
      <c r="D529" s="860"/>
      <c r="E529" s="862"/>
      <c r="F529" s="860"/>
      <c r="G529" s="860"/>
      <c r="H529" s="860"/>
      <c r="I529" s="860"/>
      <c r="J529" s="860"/>
      <c r="K529" s="860"/>
      <c r="L529" s="860"/>
      <c r="M529" s="860"/>
      <c r="N529" s="860"/>
      <c r="O529" s="860"/>
      <c r="P529" s="860"/>
      <c r="Q529" s="860"/>
      <c r="R529" s="860"/>
      <c r="S529" s="860"/>
      <c r="T529" s="860"/>
      <c r="U529" s="860"/>
      <c r="V529" s="860"/>
      <c r="W529" s="860"/>
      <c r="X529" s="864"/>
      <c r="Y529" s="865"/>
      <c r="Z529" s="865"/>
      <c r="AA529" s="866"/>
      <c r="AB529" s="867"/>
      <c r="AC529" s="868"/>
      <c r="AD529" s="866"/>
      <c r="AE529" s="860"/>
      <c r="AF529" s="869"/>
      <c r="AG529" s="869"/>
      <c r="AH529" s="870"/>
      <c r="AI529" s="871"/>
      <c r="AJ529" s="870"/>
      <c r="AK529" s="870"/>
      <c r="AL529" s="860"/>
      <c r="AM529" s="860"/>
      <c r="AN529" s="860"/>
      <c r="AO529" s="860"/>
      <c r="AP529" s="860"/>
      <c r="AQ529" s="860"/>
      <c r="AR529" s="860"/>
      <c r="AS529" s="860"/>
      <c r="AT529" s="860"/>
      <c r="AU529" s="860"/>
      <c r="AV529" s="860"/>
      <c r="AW529" s="860"/>
      <c r="AX529" s="860"/>
      <c r="AY529" s="860"/>
      <c r="AZ529" s="860"/>
      <c r="BA529" s="860"/>
      <c r="BB529" s="860"/>
      <c r="BC529" s="860"/>
      <c r="BD529" s="860"/>
      <c r="BE529" s="860"/>
      <c r="BF529" s="860"/>
      <c r="BG529" s="860"/>
      <c r="BH529" s="860"/>
      <c r="BI529" s="860"/>
      <c r="BJ529" s="860"/>
      <c r="BK529" s="860"/>
      <c r="BL529" s="860"/>
      <c r="BM529" s="860"/>
      <c r="BN529" s="872"/>
      <c r="BO529" s="872"/>
      <c r="BP529" s="872"/>
      <c r="BQ529" s="872"/>
      <c r="BR529" s="872"/>
      <c r="BS529" s="872"/>
      <c r="BT529" s="860"/>
      <c r="BU529" s="860"/>
      <c r="BV529" s="860"/>
      <c r="BW529" s="860"/>
      <c r="BX529" s="872"/>
      <c r="BY529" s="872"/>
      <c r="BZ529" s="872"/>
      <c r="CA529" s="872"/>
      <c r="CB529" s="872"/>
      <c r="CC529" s="872"/>
    </row>
    <row r="530" s="860" customFormat="1" ht="13.5" spans="1:81">
      <c r="A530" s="861"/>
      <c r="B530" s="860"/>
      <c r="C530" s="860"/>
      <c r="D530" s="860"/>
      <c r="E530" s="862"/>
      <c r="F530" s="860"/>
      <c r="G530" s="860"/>
      <c r="H530" s="860"/>
      <c r="I530" s="860"/>
      <c r="J530" s="860"/>
      <c r="K530" s="860"/>
      <c r="L530" s="860"/>
      <c r="M530" s="860"/>
      <c r="N530" s="860"/>
      <c r="O530" s="860"/>
      <c r="P530" s="860"/>
      <c r="Q530" s="860"/>
      <c r="R530" s="860"/>
      <c r="S530" s="860"/>
      <c r="T530" s="860"/>
      <c r="U530" s="860"/>
      <c r="V530" s="860"/>
      <c r="W530" s="860"/>
      <c r="X530" s="864"/>
      <c r="Y530" s="865"/>
      <c r="Z530" s="865"/>
      <c r="AA530" s="866"/>
      <c r="AB530" s="867"/>
      <c r="AC530" s="868"/>
      <c r="AD530" s="866"/>
      <c r="AE530" s="860"/>
      <c r="AF530" s="869"/>
      <c r="AG530" s="869"/>
      <c r="AH530" s="870"/>
      <c r="AI530" s="871"/>
      <c r="AJ530" s="870"/>
      <c r="AK530" s="870"/>
      <c r="AL530" s="860"/>
      <c r="AM530" s="860"/>
      <c r="AN530" s="860"/>
      <c r="AO530" s="860"/>
      <c r="AP530" s="860"/>
      <c r="AQ530" s="860"/>
      <c r="AR530" s="860"/>
      <c r="AS530" s="860"/>
      <c r="AT530" s="860"/>
      <c r="AU530" s="860"/>
      <c r="AV530" s="860"/>
      <c r="AW530" s="860"/>
      <c r="AX530" s="860"/>
      <c r="AY530" s="860"/>
      <c r="AZ530" s="860"/>
      <c r="BA530" s="860"/>
      <c r="BB530" s="860"/>
      <c r="BC530" s="860"/>
      <c r="BD530" s="860"/>
      <c r="BE530" s="860"/>
      <c r="BF530" s="860"/>
      <c r="BG530" s="860"/>
      <c r="BH530" s="860"/>
      <c r="BI530" s="860"/>
      <c r="BJ530" s="860"/>
      <c r="BK530" s="860"/>
      <c r="BL530" s="860"/>
      <c r="BM530" s="860"/>
      <c r="BN530" s="872"/>
      <c r="BO530" s="872"/>
      <c r="BP530" s="872"/>
      <c r="BQ530" s="872"/>
      <c r="BR530" s="872"/>
      <c r="BS530" s="872"/>
      <c r="BT530" s="860"/>
      <c r="BU530" s="860"/>
      <c r="BV530" s="860"/>
      <c r="BW530" s="860"/>
      <c r="BX530" s="872"/>
      <c r="BY530" s="872"/>
      <c r="BZ530" s="872"/>
      <c r="CA530" s="872"/>
      <c r="CB530" s="872"/>
      <c r="CC530" s="872"/>
    </row>
    <row r="531" s="860" customFormat="1" ht="13.5" spans="1:81">
      <c r="A531" s="861"/>
      <c r="B531" s="860"/>
      <c r="C531" s="860"/>
      <c r="D531" s="860"/>
      <c r="E531" s="862"/>
      <c r="F531" s="860"/>
      <c r="G531" s="860"/>
      <c r="H531" s="860"/>
      <c r="I531" s="860"/>
      <c r="J531" s="860"/>
      <c r="K531" s="860"/>
      <c r="L531" s="860"/>
      <c r="M531" s="860"/>
      <c r="N531" s="860"/>
      <c r="O531" s="860"/>
      <c r="P531" s="860"/>
      <c r="Q531" s="860"/>
      <c r="R531" s="860"/>
      <c r="S531" s="860"/>
      <c r="T531" s="860"/>
      <c r="U531" s="860"/>
      <c r="V531" s="860"/>
      <c r="W531" s="860"/>
      <c r="X531" s="864"/>
      <c r="Y531" s="865"/>
      <c r="Z531" s="865"/>
      <c r="AA531" s="866"/>
      <c r="AB531" s="867"/>
      <c r="AC531" s="868"/>
      <c r="AD531" s="866"/>
      <c r="AE531" s="860"/>
      <c r="AF531" s="869"/>
      <c r="AG531" s="869"/>
      <c r="AH531" s="870"/>
      <c r="AI531" s="871"/>
      <c r="AJ531" s="870"/>
      <c r="AK531" s="870"/>
      <c r="AL531" s="860"/>
      <c r="AM531" s="860"/>
      <c r="AN531" s="860"/>
      <c r="AO531" s="860"/>
      <c r="AP531" s="860"/>
      <c r="AQ531" s="860"/>
      <c r="AR531" s="860"/>
      <c r="AS531" s="860"/>
      <c r="AT531" s="860"/>
      <c r="AU531" s="860"/>
      <c r="AV531" s="860"/>
      <c r="AW531" s="860"/>
      <c r="AX531" s="860"/>
      <c r="AY531" s="860"/>
      <c r="AZ531" s="860"/>
      <c r="BA531" s="860"/>
      <c r="BB531" s="860"/>
      <c r="BC531" s="860"/>
      <c r="BD531" s="860"/>
      <c r="BE531" s="860"/>
      <c r="BF531" s="860"/>
      <c r="BG531" s="860"/>
      <c r="BH531" s="860"/>
      <c r="BI531" s="860"/>
      <c r="BJ531" s="860"/>
      <c r="BK531" s="860"/>
      <c r="BL531" s="860"/>
      <c r="BM531" s="860"/>
      <c r="BN531" s="872"/>
      <c r="BO531" s="872"/>
      <c r="BP531" s="872"/>
      <c r="BQ531" s="872"/>
      <c r="BR531" s="872"/>
      <c r="BS531" s="872"/>
      <c r="BT531" s="860"/>
      <c r="BU531" s="860"/>
      <c r="BV531" s="860"/>
      <c r="BW531" s="860"/>
      <c r="BX531" s="872"/>
      <c r="BY531" s="872"/>
      <c r="BZ531" s="872"/>
      <c r="CA531" s="872"/>
      <c r="CB531" s="872"/>
      <c r="CC531" s="872"/>
    </row>
    <row r="532" s="860" customFormat="1" ht="13.5" spans="1:81">
      <c r="A532" s="861"/>
      <c r="B532" s="860"/>
      <c r="C532" s="860"/>
      <c r="D532" s="860"/>
      <c r="E532" s="862"/>
      <c r="F532" s="860"/>
      <c r="G532" s="860"/>
      <c r="H532" s="860"/>
      <c r="I532" s="860"/>
      <c r="J532" s="860"/>
      <c r="K532" s="860"/>
      <c r="L532" s="860"/>
      <c r="M532" s="860"/>
      <c r="N532" s="860"/>
      <c r="O532" s="860"/>
      <c r="P532" s="860"/>
      <c r="Q532" s="860"/>
      <c r="R532" s="860"/>
      <c r="S532" s="860"/>
      <c r="T532" s="860"/>
      <c r="U532" s="860"/>
      <c r="V532" s="860"/>
      <c r="W532" s="860"/>
      <c r="X532" s="864"/>
      <c r="Y532" s="865"/>
      <c r="Z532" s="865"/>
      <c r="AA532" s="866"/>
      <c r="AB532" s="867"/>
      <c r="AC532" s="868"/>
      <c r="AD532" s="866"/>
      <c r="AE532" s="860"/>
      <c r="AF532" s="869"/>
      <c r="AG532" s="869"/>
      <c r="AH532" s="870"/>
      <c r="AI532" s="871"/>
      <c r="AJ532" s="870"/>
      <c r="AK532" s="870"/>
      <c r="AL532" s="860"/>
      <c r="AM532" s="860"/>
      <c r="AN532" s="860"/>
      <c r="AO532" s="860"/>
      <c r="AP532" s="860"/>
      <c r="AQ532" s="860"/>
      <c r="AR532" s="860"/>
      <c r="AS532" s="860"/>
      <c r="AT532" s="860"/>
      <c r="AU532" s="860"/>
      <c r="AV532" s="860"/>
      <c r="AW532" s="860"/>
      <c r="AX532" s="860"/>
      <c r="AY532" s="860"/>
      <c r="AZ532" s="860"/>
      <c r="BA532" s="860"/>
      <c r="BB532" s="860"/>
      <c r="BC532" s="860"/>
      <c r="BD532" s="860"/>
      <c r="BE532" s="860"/>
      <c r="BF532" s="860"/>
      <c r="BG532" s="860"/>
      <c r="BH532" s="860"/>
      <c r="BI532" s="860"/>
      <c r="BJ532" s="860"/>
      <c r="BK532" s="860"/>
      <c r="BL532" s="860"/>
      <c r="BM532" s="860"/>
      <c r="BN532" s="872"/>
      <c r="BO532" s="872"/>
      <c r="BP532" s="872"/>
      <c r="BQ532" s="872"/>
      <c r="BR532" s="872"/>
      <c r="BS532" s="872"/>
      <c r="BT532" s="860"/>
      <c r="BU532" s="860"/>
      <c r="BV532" s="860"/>
      <c r="BW532" s="860"/>
      <c r="BX532" s="872"/>
      <c r="BY532" s="872"/>
      <c r="BZ532" s="872"/>
      <c r="CA532" s="872"/>
      <c r="CB532" s="872"/>
      <c r="CC532" s="872"/>
    </row>
    <row r="533" s="860" customFormat="1" ht="13.5" spans="1:81">
      <c r="A533" s="861"/>
      <c r="B533" s="860"/>
      <c r="C533" s="860"/>
      <c r="D533" s="860"/>
      <c r="E533" s="862"/>
      <c r="F533" s="860"/>
      <c r="G533" s="860"/>
      <c r="H533" s="860"/>
      <c r="I533" s="860"/>
      <c r="J533" s="860"/>
      <c r="K533" s="860"/>
      <c r="L533" s="860"/>
      <c r="M533" s="860"/>
      <c r="N533" s="860"/>
      <c r="O533" s="860"/>
      <c r="P533" s="860"/>
      <c r="Q533" s="860"/>
      <c r="R533" s="860"/>
      <c r="S533" s="860"/>
      <c r="T533" s="860"/>
      <c r="U533" s="860"/>
      <c r="V533" s="860"/>
      <c r="W533" s="860"/>
      <c r="X533" s="864"/>
      <c r="Y533" s="865"/>
      <c r="Z533" s="865"/>
      <c r="AA533" s="866"/>
      <c r="AB533" s="867"/>
      <c r="AC533" s="868"/>
      <c r="AD533" s="866"/>
      <c r="AE533" s="860"/>
      <c r="AF533" s="869"/>
      <c r="AG533" s="869"/>
      <c r="AH533" s="870"/>
      <c r="AI533" s="871"/>
      <c r="AJ533" s="870"/>
      <c r="AK533" s="870"/>
      <c r="AL533" s="860"/>
      <c r="AM533" s="860"/>
      <c r="AN533" s="860"/>
      <c r="AO533" s="860"/>
      <c r="AP533" s="860"/>
      <c r="AQ533" s="860"/>
      <c r="AR533" s="860"/>
      <c r="AS533" s="860"/>
      <c r="AT533" s="860"/>
      <c r="AU533" s="860"/>
      <c r="AV533" s="860"/>
      <c r="AW533" s="860"/>
      <c r="AX533" s="860"/>
      <c r="AY533" s="860"/>
      <c r="AZ533" s="860"/>
      <c r="BA533" s="860"/>
      <c r="BB533" s="860"/>
      <c r="BC533" s="860"/>
      <c r="BD533" s="860"/>
      <c r="BE533" s="860"/>
      <c r="BF533" s="860"/>
      <c r="BG533" s="860"/>
      <c r="BH533" s="860"/>
      <c r="BI533" s="860"/>
      <c r="BJ533" s="860"/>
      <c r="BK533" s="860"/>
      <c r="BL533" s="860"/>
      <c r="BM533" s="860"/>
      <c r="BN533" s="872"/>
      <c r="BO533" s="872"/>
      <c r="BP533" s="872"/>
      <c r="BQ533" s="872"/>
      <c r="BR533" s="872"/>
      <c r="BS533" s="872"/>
      <c r="BT533" s="860"/>
      <c r="BU533" s="860"/>
      <c r="BV533" s="860"/>
      <c r="BW533" s="860"/>
      <c r="BX533" s="872"/>
      <c r="BY533" s="872"/>
      <c r="BZ533" s="872"/>
      <c r="CA533" s="872"/>
      <c r="CB533" s="872"/>
      <c r="CC533" s="872"/>
    </row>
    <row r="534" s="860" customFormat="1" ht="13.5" spans="1:81">
      <c r="A534" s="861"/>
      <c r="B534" s="860"/>
      <c r="C534" s="860"/>
      <c r="D534" s="860"/>
      <c r="E534" s="862"/>
      <c r="F534" s="860"/>
      <c r="G534" s="860"/>
      <c r="H534" s="860"/>
      <c r="I534" s="860"/>
      <c r="J534" s="860"/>
      <c r="K534" s="860"/>
      <c r="L534" s="860"/>
      <c r="M534" s="860"/>
      <c r="N534" s="860"/>
      <c r="O534" s="860"/>
      <c r="P534" s="860"/>
      <c r="Q534" s="860"/>
      <c r="R534" s="860"/>
      <c r="S534" s="860"/>
      <c r="T534" s="860"/>
      <c r="U534" s="860"/>
      <c r="V534" s="860"/>
      <c r="W534" s="860"/>
      <c r="X534" s="864"/>
      <c r="Y534" s="865"/>
      <c r="Z534" s="865"/>
      <c r="AA534" s="866"/>
      <c r="AB534" s="867"/>
      <c r="AC534" s="868"/>
      <c r="AD534" s="866"/>
      <c r="AE534" s="860"/>
      <c r="AF534" s="869"/>
      <c r="AG534" s="869"/>
      <c r="AH534" s="870"/>
      <c r="AI534" s="871"/>
      <c r="AJ534" s="870"/>
      <c r="AK534" s="870"/>
      <c r="AL534" s="860"/>
      <c r="AM534" s="860"/>
      <c r="AN534" s="860"/>
      <c r="AO534" s="860"/>
      <c r="AP534" s="860"/>
      <c r="AQ534" s="860"/>
      <c r="AR534" s="860"/>
      <c r="AS534" s="860"/>
      <c r="AT534" s="860"/>
      <c r="AU534" s="860"/>
      <c r="AV534" s="860"/>
      <c r="AW534" s="860"/>
      <c r="AX534" s="860"/>
      <c r="AY534" s="860"/>
      <c r="AZ534" s="860"/>
      <c r="BA534" s="860"/>
      <c r="BB534" s="860"/>
      <c r="BC534" s="860"/>
      <c r="BD534" s="860"/>
      <c r="BE534" s="860"/>
      <c r="BF534" s="860"/>
      <c r="BG534" s="860"/>
      <c r="BH534" s="860"/>
      <c r="BI534" s="860"/>
      <c r="BJ534" s="860"/>
      <c r="BK534" s="860"/>
      <c r="BL534" s="860"/>
      <c r="BM534" s="860"/>
      <c r="BN534" s="872"/>
      <c r="BO534" s="872"/>
      <c r="BP534" s="872"/>
      <c r="BQ534" s="872"/>
      <c r="BR534" s="872"/>
      <c r="BS534" s="872"/>
      <c r="BT534" s="860"/>
      <c r="BU534" s="860"/>
      <c r="BV534" s="860"/>
      <c r="BW534" s="860"/>
      <c r="BX534" s="872"/>
      <c r="BY534" s="872"/>
      <c r="BZ534" s="872"/>
      <c r="CA534" s="872"/>
      <c r="CB534" s="872"/>
      <c r="CC534" s="872"/>
    </row>
    <row r="535" s="860" customFormat="1" ht="13.5" spans="1:81">
      <c r="A535" s="861"/>
      <c r="B535" s="860"/>
      <c r="C535" s="860"/>
      <c r="D535" s="860"/>
      <c r="E535" s="862"/>
      <c r="F535" s="860"/>
      <c r="G535" s="860"/>
      <c r="H535" s="860"/>
      <c r="I535" s="860"/>
      <c r="J535" s="860"/>
      <c r="K535" s="860"/>
      <c r="L535" s="860"/>
      <c r="M535" s="860"/>
      <c r="N535" s="860"/>
      <c r="O535" s="860"/>
      <c r="P535" s="860"/>
      <c r="Q535" s="860"/>
      <c r="R535" s="860"/>
      <c r="S535" s="860"/>
      <c r="T535" s="860"/>
      <c r="U535" s="860"/>
      <c r="V535" s="860"/>
      <c r="W535" s="860"/>
      <c r="X535" s="864"/>
      <c r="Y535" s="865"/>
      <c r="Z535" s="865"/>
      <c r="AA535" s="866"/>
      <c r="AB535" s="867"/>
      <c r="AC535" s="868"/>
      <c r="AD535" s="866"/>
      <c r="AE535" s="860"/>
      <c r="AF535" s="869"/>
      <c r="AG535" s="869"/>
      <c r="AH535" s="870"/>
      <c r="AI535" s="871"/>
      <c r="AJ535" s="870"/>
      <c r="AK535" s="870"/>
      <c r="AL535" s="860"/>
      <c r="AM535" s="860"/>
      <c r="AN535" s="860"/>
      <c r="AO535" s="860"/>
      <c r="AP535" s="860"/>
      <c r="AQ535" s="860"/>
      <c r="AR535" s="860"/>
      <c r="AS535" s="860"/>
      <c r="AT535" s="860"/>
      <c r="AU535" s="860"/>
      <c r="AV535" s="860"/>
      <c r="AW535" s="860"/>
      <c r="AX535" s="860"/>
      <c r="AY535" s="860"/>
      <c r="AZ535" s="860"/>
      <c r="BA535" s="860"/>
      <c r="BB535" s="860"/>
      <c r="BC535" s="860"/>
      <c r="BD535" s="860"/>
      <c r="BE535" s="860"/>
      <c r="BF535" s="860"/>
      <c r="BG535" s="860"/>
      <c r="BH535" s="860"/>
      <c r="BI535" s="860"/>
      <c r="BJ535" s="860"/>
      <c r="BK535" s="860"/>
      <c r="BL535" s="860"/>
      <c r="BM535" s="860"/>
      <c r="BN535" s="872"/>
      <c r="BO535" s="872"/>
      <c r="BP535" s="872"/>
      <c r="BQ535" s="872"/>
      <c r="BR535" s="872"/>
      <c r="BS535" s="872"/>
      <c r="BT535" s="860"/>
      <c r="BU535" s="860"/>
      <c r="BV535" s="860"/>
      <c r="BW535" s="860"/>
      <c r="BX535" s="872"/>
      <c r="BY535" s="872"/>
      <c r="BZ535" s="872"/>
      <c r="CA535" s="872"/>
      <c r="CB535" s="872"/>
      <c r="CC535" s="872"/>
    </row>
    <row r="536" s="860" customFormat="1" ht="13.5" spans="1:81">
      <c r="A536" s="861"/>
      <c r="B536" s="860"/>
      <c r="C536" s="860"/>
      <c r="D536" s="860"/>
      <c r="E536" s="862"/>
      <c r="F536" s="860"/>
      <c r="G536" s="860"/>
      <c r="H536" s="860"/>
      <c r="I536" s="860"/>
      <c r="J536" s="860"/>
      <c r="K536" s="860"/>
      <c r="L536" s="860"/>
      <c r="M536" s="860"/>
      <c r="N536" s="860"/>
      <c r="O536" s="860"/>
      <c r="P536" s="860"/>
      <c r="Q536" s="860"/>
      <c r="R536" s="860"/>
      <c r="S536" s="860"/>
      <c r="T536" s="860"/>
      <c r="U536" s="860"/>
      <c r="V536" s="860"/>
      <c r="W536" s="860"/>
      <c r="X536" s="864"/>
      <c r="Y536" s="865"/>
      <c r="Z536" s="865"/>
      <c r="AA536" s="866"/>
      <c r="AB536" s="867"/>
      <c r="AC536" s="868"/>
      <c r="AD536" s="866"/>
      <c r="AE536" s="860"/>
      <c r="AF536" s="869"/>
      <c r="AG536" s="869"/>
      <c r="AH536" s="870"/>
      <c r="AI536" s="871"/>
      <c r="AJ536" s="870"/>
      <c r="AK536" s="870"/>
      <c r="AL536" s="860"/>
      <c r="AM536" s="860"/>
      <c r="AN536" s="860"/>
      <c r="AO536" s="860"/>
      <c r="AP536" s="860"/>
      <c r="AQ536" s="860"/>
      <c r="AR536" s="860"/>
      <c r="AS536" s="860"/>
      <c r="AT536" s="860"/>
      <c r="AU536" s="860"/>
      <c r="AV536" s="860"/>
      <c r="AW536" s="860"/>
      <c r="AX536" s="860"/>
      <c r="AY536" s="860"/>
      <c r="AZ536" s="860"/>
      <c r="BA536" s="860"/>
      <c r="BB536" s="860"/>
      <c r="BC536" s="860"/>
      <c r="BD536" s="860"/>
      <c r="BE536" s="860"/>
      <c r="BF536" s="860"/>
      <c r="BG536" s="860"/>
      <c r="BH536" s="860"/>
      <c r="BI536" s="860"/>
      <c r="BJ536" s="860"/>
      <c r="BK536" s="860"/>
      <c r="BL536" s="860"/>
      <c r="BM536" s="860"/>
      <c r="BN536" s="872"/>
      <c r="BO536" s="872"/>
      <c r="BP536" s="872"/>
      <c r="BQ536" s="872"/>
      <c r="BR536" s="872"/>
      <c r="BS536" s="872"/>
      <c r="BT536" s="860"/>
      <c r="BU536" s="860"/>
      <c r="BV536" s="860"/>
      <c r="BW536" s="860"/>
      <c r="BX536" s="872"/>
      <c r="BY536" s="872"/>
      <c r="BZ536" s="872"/>
      <c r="CA536" s="872"/>
      <c r="CB536" s="872"/>
      <c r="CC536" s="872"/>
    </row>
    <row r="537" s="860" customFormat="1" ht="13.5" spans="1:81">
      <c r="A537" s="861"/>
      <c r="B537" s="860"/>
      <c r="C537" s="860"/>
      <c r="D537" s="860"/>
      <c r="E537" s="862"/>
      <c r="F537" s="860"/>
      <c r="G537" s="860"/>
      <c r="H537" s="860"/>
      <c r="I537" s="860"/>
      <c r="J537" s="860"/>
      <c r="K537" s="860"/>
      <c r="L537" s="860"/>
      <c r="M537" s="860"/>
      <c r="N537" s="860"/>
      <c r="O537" s="860"/>
      <c r="P537" s="860"/>
      <c r="Q537" s="860"/>
      <c r="R537" s="860"/>
      <c r="S537" s="860"/>
      <c r="T537" s="860"/>
      <c r="U537" s="860"/>
      <c r="V537" s="860"/>
      <c r="W537" s="860"/>
      <c r="X537" s="864"/>
      <c r="Y537" s="865"/>
      <c r="Z537" s="865"/>
      <c r="AA537" s="866"/>
      <c r="AB537" s="867"/>
      <c r="AC537" s="868"/>
      <c r="AD537" s="866"/>
      <c r="AE537" s="860"/>
      <c r="AF537" s="869"/>
      <c r="AG537" s="869"/>
      <c r="AH537" s="870"/>
      <c r="AI537" s="871"/>
      <c r="AJ537" s="870"/>
      <c r="AK537" s="870"/>
      <c r="AL537" s="860"/>
      <c r="AM537" s="860"/>
      <c r="AN537" s="860"/>
      <c r="AO537" s="860"/>
      <c r="AP537" s="860"/>
      <c r="AQ537" s="860"/>
      <c r="AR537" s="860"/>
      <c r="AS537" s="860"/>
      <c r="AT537" s="860"/>
      <c r="AU537" s="860"/>
      <c r="AV537" s="860"/>
      <c r="AW537" s="860"/>
      <c r="AX537" s="860"/>
      <c r="AY537" s="860"/>
      <c r="AZ537" s="860"/>
      <c r="BA537" s="860"/>
      <c r="BB537" s="860"/>
      <c r="BC537" s="860"/>
      <c r="BD537" s="860"/>
      <c r="BE537" s="860"/>
      <c r="BF537" s="860"/>
      <c r="BG537" s="860"/>
      <c r="BH537" s="860"/>
      <c r="BI537" s="860"/>
      <c r="BJ537" s="860"/>
      <c r="BK537" s="860"/>
      <c r="BL537" s="860"/>
      <c r="BM537" s="860"/>
      <c r="BN537" s="872"/>
      <c r="BO537" s="872"/>
      <c r="BP537" s="872"/>
      <c r="BQ537" s="872"/>
      <c r="BR537" s="872"/>
      <c r="BS537" s="872"/>
      <c r="BT537" s="860"/>
      <c r="BU537" s="860"/>
      <c r="BV537" s="860"/>
      <c r="BW537" s="860"/>
      <c r="BX537" s="872"/>
      <c r="BY537" s="872"/>
      <c r="BZ537" s="872"/>
      <c r="CA537" s="872"/>
      <c r="CB537" s="872"/>
      <c r="CC537" s="872"/>
    </row>
    <row r="538" s="860" customFormat="1" ht="13.5" spans="1:81">
      <c r="A538" s="861"/>
      <c r="B538" s="860"/>
      <c r="C538" s="860"/>
      <c r="D538" s="860"/>
      <c r="E538" s="862"/>
      <c r="F538" s="860"/>
      <c r="G538" s="860"/>
      <c r="H538" s="860"/>
      <c r="I538" s="860"/>
      <c r="J538" s="860"/>
      <c r="K538" s="860"/>
      <c r="L538" s="860"/>
      <c r="M538" s="860"/>
      <c r="N538" s="860"/>
      <c r="O538" s="860"/>
      <c r="P538" s="860"/>
      <c r="Q538" s="860"/>
      <c r="R538" s="860"/>
      <c r="S538" s="860"/>
      <c r="T538" s="860"/>
      <c r="U538" s="860"/>
      <c r="V538" s="860"/>
      <c r="W538" s="860"/>
      <c r="X538" s="864"/>
      <c r="Y538" s="865"/>
      <c r="Z538" s="865"/>
      <c r="AA538" s="866"/>
      <c r="AB538" s="867"/>
      <c r="AC538" s="868"/>
      <c r="AD538" s="866"/>
      <c r="AE538" s="860"/>
      <c r="AF538" s="869"/>
      <c r="AG538" s="869"/>
      <c r="AH538" s="870"/>
      <c r="AI538" s="871"/>
      <c r="AJ538" s="870"/>
      <c r="AK538" s="870"/>
      <c r="AL538" s="860"/>
      <c r="AM538" s="860"/>
      <c r="AN538" s="860"/>
      <c r="AO538" s="860"/>
      <c r="AP538" s="860"/>
      <c r="AQ538" s="860"/>
      <c r="AR538" s="860"/>
      <c r="AS538" s="860"/>
      <c r="AT538" s="860"/>
      <c r="AU538" s="860"/>
      <c r="AV538" s="860"/>
      <c r="AW538" s="860"/>
      <c r="AX538" s="860"/>
      <c r="AY538" s="860"/>
      <c r="AZ538" s="860"/>
      <c r="BA538" s="860"/>
      <c r="BB538" s="860"/>
      <c r="BC538" s="860"/>
      <c r="BD538" s="860"/>
      <c r="BE538" s="860"/>
      <c r="BF538" s="860"/>
      <c r="BG538" s="860"/>
      <c r="BH538" s="860"/>
      <c r="BI538" s="860"/>
      <c r="BJ538" s="860"/>
      <c r="BK538" s="860"/>
      <c r="BL538" s="860"/>
      <c r="BM538" s="860"/>
      <c r="BN538" s="872"/>
      <c r="BO538" s="872"/>
      <c r="BP538" s="872"/>
      <c r="BQ538" s="872"/>
      <c r="BR538" s="872"/>
      <c r="BS538" s="872"/>
      <c r="BT538" s="860"/>
      <c r="BU538" s="860"/>
      <c r="BV538" s="860"/>
      <c r="BW538" s="860"/>
      <c r="BX538" s="872"/>
      <c r="BY538" s="872"/>
      <c r="BZ538" s="872"/>
      <c r="CA538" s="872"/>
      <c r="CB538" s="872"/>
      <c r="CC538" s="872"/>
    </row>
    <row r="539" s="860" customFormat="1" ht="13.5" spans="1:81">
      <c r="A539" s="861"/>
      <c r="B539" s="860"/>
      <c r="C539" s="860"/>
      <c r="D539" s="860"/>
      <c r="E539" s="862"/>
      <c r="F539" s="860"/>
      <c r="G539" s="860"/>
      <c r="H539" s="860"/>
      <c r="I539" s="860"/>
      <c r="J539" s="860"/>
      <c r="K539" s="860"/>
      <c r="L539" s="860"/>
      <c r="M539" s="860"/>
      <c r="N539" s="860"/>
      <c r="O539" s="860"/>
      <c r="P539" s="860"/>
      <c r="Q539" s="860"/>
      <c r="R539" s="860"/>
      <c r="S539" s="860"/>
      <c r="T539" s="860"/>
      <c r="U539" s="860"/>
      <c r="V539" s="860"/>
      <c r="W539" s="860"/>
      <c r="X539" s="864"/>
      <c r="Y539" s="865"/>
      <c r="Z539" s="865"/>
      <c r="AA539" s="866"/>
      <c r="AB539" s="867"/>
      <c r="AC539" s="868"/>
      <c r="AD539" s="866"/>
      <c r="AE539" s="860"/>
      <c r="AF539" s="869"/>
      <c r="AG539" s="869"/>
      <c r="AH539" s="870"/>
      <c r="AI539" s="871"/>
      <c r="AJ539" s="870"/>
      <c r="AK539" s="870"/>
      <c r="AL539" s="860"/>
      <c r="AM539" s="860"/>
      <c r="AN539" s="860"/>
      <c r="AO539" s="860"/>
      <c r="AP539" s="860"/>
      <c r="AQ539" s="860"/>
      <c r="AR539" s="860"/>
      <c r="AS539" s="860"/>
      <c r="AT539" s="860"/>
      <c r="AU539" s="860"/>
      <c r="AV539" s="860"/>
      <c r="AW539" s="860"/>
      <c r="AX539" s="860"/>
      <c r="AY539" s="860"/>
      <c r="AZ539" s="860"/>
      <c r="BA539" s="860"/>
      <c r="BB539" s="860"/>
      <c r="BC539" s="860"/>
      <c r="BD539" s="860"/>
      <c r="BE539" s="860"/>
      <c r="BF539" s="860"/>
      <c r="BG539" s="860"/>
      <c r="BH539" s="860"/>
      <c r="BI539" s="860"/>
      <c r="BJ539" s="860"/>
      <c r="BK539" s="860"/>
      <c r="BL539" s="860"/>
      <c r="BM539" s="860"/>
      <c r="BN539" s="872"/>
      <c r="BO539" s="872"/>
      <c r="BP539" s="872"/>
      <c r="BQ539" s="872"/>
      <c r="BR539" s="872"/>
      <c r="BS539" s="872"/>
      <c r="BT539" s="860"/>
      <c r="BU539" s="860"/>
      <c r="BV539" s="860"/>
      <c r="BW539" s="860"/>
      <c r="BX539" s="872"/>
      <c r="BY539" s="872"/>
      <c r="BZ539" s="872"/>
      <c r="CA539" s="872"/>
      <c r="CB539" s="872"/>
      <c r="CC539" s="872"/>
    </row>
    <row r="540" s="860" customFormat="1" ht="13.5" spans="1:81">
      <c r="A540" s="861"/>
      <c r="B540" s="860"/>
      <c r="C540" s="860"/>
      <c r="D540" s="860"/>
      <c r="E540" s="862"/>
      <c r="F540" s="860"/>
      <c r="G540" s="860"/>
      <c r="H540" s="860"/>
      <c r="I540" s="860"/>
      <c r="J540" s="860"/>
      <c r="K540" s="860"/>
      <c r="L540" s="860"/>
      <c r="M540" s="860"/>
      <c r="N540" s="860"/>
      <c r="O540" s="860"/>
      <c r="P540" s="860"/>
      <c r="Q540" s="860"/>
      <c r="R540" s="860"/>
      <c r="S540" s="860"/>
      <c r="T540" s="860"/>
      <c r="U540" s="860"/>
      <c r="V540" s="860"/>
      <c r="W540" s="860"/>
      <c r="X540" s="864"/>
      <c r="Y540" s="865"/>
      <c r="Z540" s="865"/>
      <c r="AA540" s="866"/>
      <c r="AB540" s="867"/>
      <c r="AC540" s="868"/>
      <c r="AD540" s="866"/>
      <c r="AE540" s="860"/>
      <c r="AF540" s="869"/>
      <c r="AG540" s="869"/>
      <c r="AH540" s="870"/>
      <c r="AI540" s="871"/>
      <c r="AJ540" s="870"/>
      <c r="AK540" s="870"/>
      <c r="AL540" s="860"/>
      <c r="AM540" s="860"/>
      <c r="AN540" s="860"/>
      <c r="AO540" s="860"/>
      <c r="AP540" s="860"/>
      <c r="AQ540" s="860"/>
      <c r="AR540" s="860"/>
      <c r="AS540" s="860"/>
      <c r="AT540" s="860"/>
      <c r="AU540" s="860"/>
      <c r="AV540" s="860"/>
      <c r="AW540" s="860"/>
      <c r="AX540" s="860"/>
      <c r="AY540" s="860"/>
      <c r="AZ540" s="860"/>
      <c r="BA540" s="860"/>
      <c r="BB540" s="860"/>
      <c r="BC540" s="860"/>
      <c r="BD540" s="860"/>
      <c r="BE540" s="860"/>
      <c r="BF540" s="860"/>
      <c r="BG540" s="860"/>
      <c r="BH540" s="860"/>
      <c r="BI540" s="860"/>
      <c r="BJ540" s="860"/>
      <c r="BK540" s="860"/>
      <c r="BL540" s="860"/>
      <c r="BM540" s="860"/>
      <c r="BN540" s="872"/>
      <c r="BO540" s="872"/>
      <c r="BP540" s="872"/>
      <c r="BQ540" s="872"/>
      <c r="BR540" s="872"/>
      <c r="BS540" s="872"/>
      <c r="BT540" s="860"/>
      <c r="BU540" s="860"/>
      <c r="BV540" s="860"/>
      <c r="BW540" s="860"/>
      <c r="BX540" s="872"/>
      <c r="BY540" s="872"/>
      <c r="BZ540" s="872"/>
      <c r="CA540" s="872"/>
      <c r="CB540" s="872"/>
      <c r="CC540" s="872"/>
    </row>
    <row r="541" s="860" customFormat="1" ht="13.5" spans="1:81">
      <c r="A541" s="861"/>
      <c r="B541" s="860"/>
      <c r="C541" s="860"/>
      <c r="D541" s="860"/>
      <c r="E541" s="862"/>
      <c r="F541" s="860"/>
      <c r="G541" s="860"/>
      <c r="H541" s="860"/>
      <c r="I541" s="860"/>
      <c r="J541" s="860"/>
      <c r="K541" s="860"/>
      <c r="L541" s="860"/>
      <c r="M541" s="860"/>
      <c r="N541" s="860"/>
      <c r="O541" s="860"/>
      <c r="P541" s="860"/>
      <c r="Q541" s="860"/>
      <c r="R541" s="860"/>
      <c r="S541" s="860"/>
      <c r="T541" s="860"/>
      <c r="U541" s="860"/>
      <c r="V541" s="860"/>
      <c r="W541" s="860"/>
      <c r="X541" s="864"/>
      <c r="Y541" s="865"/>
      <c r="Z541" s="865"/>
      <c r="AA541" s="866"/>
      <c r="AB541" s="867"/>
      <c r="AC541" s="868"/>
      <c r="AD541" s="866"/>
      <c r="AE541" s="860"/>
      <c r="AF541" s="869"/>
      <c r="AG541" s="869"/>
      <c r="AH541" s="870"/>
      <c r="AI541" s="871"/>
      <c r="AJ541" s="870"/>
      <c r="AK541" s="870"/>
      <c r="AL541" s="860"/>
      <c r="AM541" s="860"/>
      <c r="AN541" s="860"/>
      <c r="AO541" s="860"/>
      <c r="AP541" s="860"/>
      <c r="AQ541" s="860"/>
      <c r="AR541" s="860"/>
      <c r="AS541" s="860"/>
      <c r="AT541" s="860"/>
      <c r="AU541" s="860"/>
      <c r="AV541" s="860"/>
      <c r="AW541" s="860"/>
      <c r="AX541" s="860"/>
      <c r="AY541" s="860"/>
      <c r="AZ541" s="860"/>
      <c r="BA541" s="860"/>
      <c r="BB541" s="860"/>
      <c r="BC541" s="860"/>
      <c r="BD541" s="860"/>
      <c r="BE541" s="860"/>
      <c r="BF541" s="860"/>
      <c r="BG541" s="860"/>
      <c r="BH541" s="860"/>
      <c r="BI541" s="860"/>
      <c r="BJ541" s="860"/>
      <c r="BK541" s="860"/>
      <c r="BL541" s="860"/>
      <c r="BM541" s="860"/>
      <c r="BN541" s="872"/>
      <c r="BO541" s="872"/>
      <c r="BP541" s="872"/>
      <c r="BQ541" s="872"/>
      <c r="BR541" s="872"/>
      <c r="BS541" s="872"/>
      <c r="BT541" s="860"/>
      <c r="BU541" s="860"/>
      <c r="BV541" s="860"/>
      <c r="BW541" s="860"/>
      <c r="BX541" s="872"/>
      <c r="BY541" s="872"/>
      <c r="BZ541" s="872"/>
      <c r="CA541" s="872"/>
      <c r="CB541" s="872"/>
      <c r="CC541" s="872"/>
    </row>
    <row r="542" s="860" customFormat="1" ht="13.5" spans="1:81">
      <c r="A542" s="861"/>
      <c r="B542" s="860"/>
      <c r="C542" s="860"/>
      <c r="D542" s="860"/>
      <c r="E542" s="862"/>
      <c r="F542" s="860"/>
      <c r="G542" s="860"/>
      <c r="H542" s="860"/>
      <c r="I542" s="860"/>
      <c r="J542" s="860"/>
      <c r="K542" s="860"/>
      <c r="L542" s="860"/>
      <c r="M542" s="860"/>
      <c r="N542" s="860"/>
      <c r="O542" s="860"/>
      <c r="P542" s="860"/>
      <c r="Q542" s="860"/>
      <c r="R542" s="860"/>
      <c r="S542" s="860"/>
      <c r="T542" s="860"/>
      <c r="U542" s="860"/>
      <c r="V542" s="860"/>
      <c r="W542" s="860"/>
      <c r="X542" s="864"/>
      <c r="Y542" s="865"/>
      <c r="Z542" s="865"/>
      <c r="AA542" s="866"/>
      <c r="AB542" s="867"/>
      <c r="AC542" s="868"/>
      <c r="AD542" s="866"/>
      <c r="AE542" s="860"/>
      <c r="AF542" s="869"/>
      <c r="AG542" s="869"/>
      <c r="AH542" s="870"/>
      <c r="AI542" s="871"/>
      <c r="AJ542" s="870"/>
      <c r="AK542" s="870"/>
      <c r="AL542" s="860"/>
      <c r="AM542" s="860"/>
      <c r="AN542" s="860"/>
      <c r="AO542" s="860"/>
      <c r="AP542" s="860"/>
      <c r="AQ542" s="860"/>
      <c r="AR542" s="860"/>
      <c r="AS542" s="860"/>
      <c r="AT542" s="860"/>
      <c r="AU542" s="860"/>
      <c r="AV542" s="860"/>
      <c r="AW542" s="860"/>
      <c r="AX542" s="860"/>
      <c r="AY542" s="860"/>
      <c r="AZ542" s="860"/>
      <c r="BA542" s="860"/>
      <c r="BB542" s="860"/>
      <c r="BC542" s="860"/>
      <c r="BD542" s="860"/>
      <c r="BE542" s="860"/>
      <c r="BF542" s="860"/>
      <c r="BG542" s="860"/>
      <c r="BH542" s="860"/>
      <c r="BI542" s="860"/>
      <c r="BJ542" s="860"/>
      <c r="BK542" s="860"/>
      <c r="BL542" s="860"/>
      <c r="BM542" s="860"/>
      <c r="BN542" s="872"/>
      <c r="BO542" s="872"/>
      <c r="BP542" s="872"/>
      <c r="BQ542" s="872"/>
      <c r="BR542" s="872"/>
      <c r="BS542" s="872"/>
      <c r="BT542" s="860"/>
      <c r="BU542" s="860"/>
      <c r="BV542" s="860"/>
      <c r="BW542" s="860"/>
      <c r="BX542" s="872"/>
      <c r="BY542" s="872"/>
      <c r="BZ542" s="872"/>
      <c r="CA542" s="872"/>
      <c r="CB542" s="872"/>
      <c r="CC542" s="872"/>
    </row>
    <row r="543" s="860" customFormat="1" ht="13.5" spans="1:81">
      <c r="A543" s="861"/>
      <c r="B543" s="860"/>
      <c r="C543" s="860"/>
      <c r="D543" s="860"/>
      <c r="E543" s="862"/>
      <c r="F543" s="860"/>
      <c r="G543" s="860"/>
      <c r="H543" s="860"/>
      <c r="I543" s="860"/>
      <c r="J543" s="860"/>
      <c r="K543" s="860"/>
      <c r="L543" s="860"/>
      <c r="M543" s="860"/>
      <c r="N543" s="860"/>
      <c r="O543" s="860"/>
      <c r="P543" s="860"/>
      <c r="Q543" s="860"/>
      <c r="R543" s="860"/>
      <c r="S543" s="860"/>
      <c r="T543" s="860"/>
      <c r="U543" s="860"/>
      <c r="V543" s="860"/>
      <c r="W543" s="860"/>
      <c r="X543" s="864"/>
      <c r="Y543" s="865"/>
      <c r="Z543" s="865"/>
      <c r="AA543" s="866"/>
      <c r="AB543" s="867"/>
      <c r="AC543" s="868"/>
      <c r="AD543" s="866"/>
      <c r="AE543" s="860"/>
      <c r="AF543" s="869"/>
      <c r="AG543" s="869"/>
      <c r="AH543" s="870"/>
      <c r="AI543" s="871"/>
      <c r="AJ543" s="870"/>
      <c r="AK543" s="870"/>
      <c r="AL543" s="860"/>
      <c r="AM543" s="860"/>
      <c r="AN543" s="860"/>
      <c r="AO543" s="860"/>
      <c r="AP543" s="860"/>
      <c r="AQ543" s="860"/>
      <c r="AR543" s="860"/>
      <c r="AS543" s="860"/>
      <c r="AT543" s="860"/>
      <c r="AU543" s="860"/>
      <c r="AV543" s="860"/>
      <c r="AW543" s="860"/>
      <c r="AX543" s="860"/>
      <c r="AY543" s="860"/>
      <c r="AZ543" s="860"/>
      <c r="BA543" s="860"/>
      <c r="BB543" s="860"/>
      <c r="BC543" s="860"/>
      <c r="BD543" s="860"/>
      <c r="BE543" s="860"/>
      <c r="BF543" s="860"/>
      <c r="BG543" s="860"/>
      <c r="BH543" s="860"/>
      <c r="BI543" s="860"/>
      <c r="BJ543" s="860"/>
      <c r="BK543" s="860"/>
      <c r="BL543" s="860"/>
      <c r="BM543" s="860"/>
      <c r="BN543" s="872"/>
      <c r="BO543" s="872"/>
      <c r="BP543" s="872"/>
      <c r="BQ543" s="872"/>
      <c r="BR543" s="872"/>
      <c r="BS543" s="872"/>
      <c r="BT543" s="860"/>
      <c r="BU543" s="860"/>
      <c r="BV543" s="860"/>
      <c r="BW543" s="860"/>
      <c r="BX543" s="872"/>
      <c r="BY543" s="872"/>
      <c r="BZ543" s="872"/>
      <c r="CA543" s="872"/>
      <c r="CB543" s="872"/>
      <c r="CC543" s="872"/>
    </row>
    <row r="544" s="860" customFormat="1" ht="13.5" spans="1:81">
      <c r="A544" s="861"/>
      <c r="B544" s="860"/>
      <c r="C544" s="860"/>
      <c r="D544" s="860"/>
      <c r="E544" s="862"/>
      <c r="F544" s="860"/>
      <c r="G544" s="860"/>
      <c r="H544" s="860"/>
      <c r="I544" s="860"/>
      <c r="J544" s="860"/>
      <c r="K544" s="860"/>
      <c r="L544" s="860"/>
      <c r="M544" s="860"/>
      <c r="N544" s="860"/>
      <c r="O544" s="860"/>
      <c r="P544" s="860"/>
      <c r="Q544" s="860"/>
      <c r="R544" s="860"/>
      <c r="S544" s="860"/>
      <c r="T544" s="860"/>
      <c r="U544" s="860"/>
      <c r="V544" s="860"/>
      <c r="W544" s="860"/>
      <c r="X544" s="864"/>
      <c r="Y544" s="865"/>
      <c r="Z544" s="865"/>
      <c r="AA544" s="866"/>
      <c r="AB544" s="867"/>
      <c r="AC544" s="868"/>
      <c r="AD544" s="866"/>
      <c r="AE544" s="860"/>
      <c r="AF544" s="869"/>
      <c r="AG544" s="869"/>
      <c r="AH544" s="870"/>
      <c r="AI544" s="871"/>
      <c r="AJ544" s="870"/>
      <c r="AK544" s="870"/>
      <c r="AL544" s="860"/>
      <c r="AM544" s="860"/>
      <c r="AN544" s="860"/>
      <c r="AO544" s="860"/>
      <c r="AP544" s="860"/>
      <c r="AQ544" s="860"/>
      <c r="AR544" s="860"/>
      <c r="AS544" s="860"/>
      <c r="AT544" s="860"/>
      <c r="AU544" s="860"/>
      <c r="AV544" s="860"/>
      <c r="AW544" s="860"/>
      <c r="AX544" s="860"/>
      <c r="AY544" s="860"/>
      <c r="AZ544" s="860"/>
      <c r="BA544" s="860"/>
      <c r="BB544" s="860"/>
      <c r="BC544" s="860"/>
      <c r="BD544" s="860"/>
      <c r="BE544" s="860"/>
      <c r="BF544" s="860"/>
      <c r="BG544" s="860"/>
      <c r="BH544" s="860"/>
      <c r="BI544" s="860"/>
      <c r="BJ544" s="860"/>
      <c r="BK544" s="860"/>
      <c r="BL544" s="860"/>
      <c r="BM544" s="860"/>
      <c r="BN544" s="872"/>
      <c r="BO544" s="872"/>
      <c r="BP544" s="872"/>
      <c r="BQ544" s="872"/>
      <c r="BR544" s="872"/>
      <c r="BS544" s="872"/>
      <c r="BT544" s="860"/>
      <c r="BU544" s="860"/>
      <c r="BV544" s="860"/>
      <c r="BW544" s="860"/>
      <c r="BX544" s="872"/>
      <c r="BY544" s="872"/>
      <c r="BZ544" s="872"/>
      <c r="CA544" s="872"/>
      <c r="CB544" s="872"/>
      <c r="CC544" s="872"/>
    </row>
    <row r="545" s="860" customFormat="1" ht="13.5" spans="1:81">
      <c r="A545" s="861"/>
      <c r="B545" s="860"/>
      <c r="C545" s="860"/>
      <c r="D545" s="860"/>
      <c r="E545" s="862"/>
      <c r="F545" s="860"/>
      <c r="G545" s="860"/>
      <c r="H545" s="860"/>
      <c r="I545" s="860"/>
      <c r="J545" s="860"/>
      <c r="K545" s="860"/>
      <c r="L545" s="860"/>
      <c r="M545" s="860"/>
      <c r="N545" s="860"/>
      <c r="O545" s="860"/>
      <c r="P545" s="860"/>
      <c r="Q545" s="860"/>
      <c r="R545" s="860"/>
      <c r="S545" s="860"/>
      <c r="T545" s="860"/>
      <c r="U545" s="860"/>
      <c r="V545" s="860"/>
      <c r="W545" s="860"/>
      <c r="X545" s="864"/>
      <c r="Y545" s="865"/>
      <c r="Z545" s="865"/>
      <c r="AA545" s="866"/>
      <c r="AB545" s="867"/>
      <c r="AC545" s="868"/>
      <c r="AD545" s="866"/>
      <c r="AE545" s="860"/>
      <c r="AF545" s="869"/>
      <c r="AG545" s="869"/>
      <c r="AH545" s="870"/>
      <c r="AI545" s="871"/>
      <c r="AJ545" s="870"/>
      <c r="AK545" s="870"/>
      <c r="AL545" s="860"/>
      <c r="AM545" s="860"/>
      <c r="AN545" s="860"/>
      <c r="AO545" s="860"/>
      <c r="AP545" s="860"/>
      <c r="AQ545" s="860"/>
      <c r="AR545" s="860"/>
      <c r="AS545" s="860"/>
      <c r="AT545" s="860"/>
      <c r="AU545" s="860"/>
      <c r="AV545" s="860"/>
      <c r="AW545" s="860"/>
      <c r="AX545" s="860"/>
      <c r="AY545" s="860"/>
      <c r="AZ545" s="860"/>
      <c r="BA545" s="860"/>
      <c r="BB545" s="860"/>
      <c r="BC545" s="860"/>
      <c r="BD545" s="860"/>
      <c r="BE545" s="860"/>
      <c r="BF545" s="860"/>
      <c r="BG545" s="860"/>
      <c r="BH545" s="860"/>
      <c r="BI545" s="860"/>
      <c r="BJ545" s="860"/>
      <c r="BK545" s="860"/>
      <c r="BL545" s="860"/>
      <c r="BM545" s="860"/>
      <c r="BN545" s="872"/>
      <c r="BO545" s="872"/>
      <c r="BP545" s="872"/>
      <c r="BQ545" s="872"/>
      <c r="BR545" s="872"/>
      <c r="BS545" s="872"/>
      <c r="BT545" s="860"/>
      <c r="BU545" s="860"/>
      <c r="BV545" s="860"/>
      <c r="BW545" s="860"/>
      <c r="BX545" s="872"/>
      <c r="BY545" s="872"/>
      <c r="BZ545" s="872"/>
      <c r="CA545" s="872"/>
      <c r="CB545" s="872"/>
      <c r="CC545" s="872"/>
    </row>
    <row r="546" s="860" customFormat="1" ht="13.5" spans="1:81">
      <c r="A546" s="861"/>
      <c r="B546" s="860"/>
      <c r="C546" s="860"/>
      <c r="D546" s="860"/>
      <c r="E546" s="862"/>
      <c r="F546" s="860"/>
      <c r="G546" s="860"/>
      <c r="H546" s="860"/>
      <c r="I546" s="860"/>
      <c r="J546" s="860"/>
      <c r="K546" s="860"/>
      <c r="L546" s="860"/>
      <c r="M546" s="860"/>
      <c r="N546" s="860"/>
      <c r="O546" s="860"/>
      <c r="P546" s="860"/>
      <c r="Q546" s="860"/>
      <c r="R546" s="860"/>
      <c r="S546" s="860"/>
      <c r="T546" s="860"/>
      <c r="U546" s="860"/>
      <c r="V546" s="860"/>
      <c r="W546" s="860"/>
      <c r="X546" s="864"/>
      <c r="Y546" s="865"/>
      <c r="Z546" s="865"/>
      <c r="AA546" s="866"/>
      <c r="AB546" s="867"/>
      <c r="AC546" s="868"/>
      <c r="AD546" s="866"/>
      <c r="AE546" s="860"/>
      <c r="AF546" s="869"/>
      <c r="AG546" s="869"/>
      <c r="AH546" s="870"/>
      <c r="AI546" s="871"/>
      <c r="AJ546" s="870"/>
      <c r="AK546" s="870"/>
      <c r="AL546" s="860"/>
      <c r="AM546" s="860"/>
      <c r="AN546" s="860"/>
      <c r="AO546" s="860"/>
      <c r="AP546" s="860"/>
      <c r="AQ546" s="860"/>
      <c r="AR546" s="860"/>
      <c r="AS546" s="860"/>
      <c r="AT546" s="860"/>
      <c r="AU546" s="860"/>
      <c r="AV546" s="860"/>
      <c r="AW546" s="860"/>
      <c r="AX546" s="860"/>
      <c r="AY546" s="860"/>
      <c r="AZ546" s="860"/>
      <c r="BA546" s="860"/>
      <c r="BB546" s="860"/>
      <c r="BC546" s="860"/>
      <c r="BD546" s="860"/>
      <c r="BE546" s="860"/>
      <c r="BF546" s="860"/>
      <c r="BG546" s="860"/>
      <c r="BH546" s="860"/>
      <c r="BI546" s="860"/>
      <c r="BJ546" s="860"/>
      <c r="BK546" s="860"/>
      <c r="BL546" s="860"/>
      <c r="BM546" s="860"/>
      <c r="BN546" s="872"/>
      <c r="BO546" s="872"/>
      <c r="BP546" s="872"/>
      <c r="BQ546" s="872"/>
      <c r="BR546" s="872"/>
      <c r="BS546" s="872"/>
      <c r="BT546" s="860"/>
      <c r="BU546" s="860"/>
      <c r="BV546" s="860"/>
      <c r="BW546" s="860"/>
      <c r="BX546" s="872"/>
      <c r="BY546" s="872"/>
      <c r="BZ546" s="872"/>
      <c r="CA546" s="872"/>
      <c r="CB546" s="872"/>
      <c r="CC546" s="872"/>
    </row>
    <row r="547" s="860" customFormat="1" ht="13.5" spans="1:81">
      <c r="A547" s="861"/>
      <c r="B547" s="860"/>
      <c r="C547" s="860"/>
      <c r="D547" s="860"/>
      <c r="E547" s="862"/>
      <c r="F547" s="860"/>
      <c r="G547" s="860"/>
      <c r="H547" s="860"/>
      <c r="I547" s="860"/>
      <c r="J547" s="860"/>
      <c r="K547" s="860"/>
      <c r="L547" s="860"/>
      <c r="M547" s="860"/>
      <c r="N547" s="860"/>
      <c r="O547" s="860"/>
      <c r="P547" s="860"/>
      <c r="Q547" s="860"/>
      <c r="R547" s="860"/>
      <c r="S547" s="860"/>
      <c r="T547" s="860"/>
      <c r="U547" s="860"/>
      <c r="V547" s="860"/>
      <c r="W547" s="860"/>
      <c r="X547" s="864"/>
      <c r="Y547" s="865"/>
      <c r="Z547" s="865"/>
      <c r="AA547" s="866"/>
      <c r="AB547" s="867"/>
      <c r="AC547" s="868"/>
      <c r="AD547" s="866"/>
      <c r="AE547" s="860"/>
      <c r="AF547" s="869"/>
      <c r="AG547" s="869"/>
      <c r="AH547" s="870"/>
      <c r="AI547" s="871"/>
      <c r="AJ547" s="870"/>
      <c r="AK547" s="870"/>
      <c r="AL547" s="860"/>
      <c r="AM547" s="860"/>
      <c r="AN547" s="860"/>
      <c r="AO547" s="860"/>
      <c r="AP547" s="860"/>
      <c r="AQ547" s="860"/>
      <c r="AR547" s="860"/>
      <c r="AS547" s="860"/>
      <c r="AT547" s="860"/>
      <c r="AU547" s="860"/>
      <c r="AV547" s="860"/>
      <c r="AW547" s="860"/>
      <c r="AX547" s="860"/>
      <c r="AY547" s="860"/>
      <c r="AZ547" s="860"/>
      <c r="BA547" s="860"/>
      <c r="BB547" s="860"/>
      <c r="BC547" s="860"/>
      <c r="BD547" s="860"/>
      <c r="BE547" s="860"/>
      <c r="BF547" s="860"/>
      <c r="BG547" s="860"/>
      <c r="BH547" s="860"/>
      <c r="BI547" s="860"/>
      <c r="BJ547" s="860"/>
      <c r="BK547" s="860"/>
      <c r="BL547" s="860"/>
      <c r="BM547" s="860"/>
      <c r="BN547" s="872"/>
      <c r="BO547" s="872"/>
      <c r="BP547" s="872"/>
      <c r="BQ547" s="872"/>
      <c r="BR547" s="872"/>
      <c r="BS547" s="872"/>
      <c r="BT547" s="860"/>
      <c r="BU547" s="860"/>
      <c r="BV547" s="860"/>
      <c r="BW547" s="860"/>
      <c r="BX547" s="872"/>
      <c r="BY547" s="872"/>
      <c r="BZ547" s="872"/>
      <c r="CA547" s="872"/>
      <c r="CB547" s="872"/>
      <c r="CC547" s="872"/>
    </row>
    <row r="548" s="860" customFormat="1" ht="13.5" spans="1:81">
      <c r="A548" s="861"/>
      <c r="B548" s="860"/>
      <c r="C548" s="860"/>
      <c r="D548" s="860"/>
      <c r="E548" s="862"/>
      <c r="F548" s="860"/>
      <c r="G548" s="860"/>
      <c r="H548" s="860"/>
      <c r="I548" s="860"/>
      <c r="J548" s="860"/>
      <c r="K548" s="860"/>
      <c r="L548" s="860"/>
      <c r="M548" s="860"/>
      <c r="N548" s="860"/>
      <c r="O548" s="860"/>
      <c r="P548" s="860"/>
      <c r="Q548" s="860"/>
      <c r="R548" s="860"/>
      <c r="S548" s="860"/>
      <c r="T548" s="860"/>
      <c r="U548" s="860"/>
      <c r="V548" s="860"/>
      <c r="W548" s="860"/>
      <c r="X548" s="864"/>
      <c r="Y548" s="865"/>
      <c r="Z548" s="865"/>
      <c r="AA548" s="866"/>
      <c r="AB548" s="867"/>
      <c r="AC548" s="868"/>
      <c r="AD548" s="866"/>
      <c r="AE548" s="860"/>
      <c r="AF548" s="869"/>
      <c r="AG548" s="869"/>
      <c r="AH548" s="870"/>
      <c r="AI548" s="871"/>
      <c r="AJ548" s="870"/>
      <c r="AK548" s="870"/>
      <c r="AL548" s="860"/>
      <c r="AM548" s="860"/>
      <c r="AN548" s="860"/>
      <c r="AO548" s="860"/>
      <c r="AP548" s="860"/>
      <c r="AQ548" s="860"/>
      <c r="AR548" s="860"/>
      <c r="AS548" s="860"/>
      <c r="AT548" s="860"/>
      <c r="AU548" s="860"/>
      <c r="AV548" s="860"/>
      <c r="AW548" s="860"/>
      <c r="AX548" s="860"/>
      <c r="AY548" s="860"/>
      <c r="AZ548" s="860"/>
      <c r="BA548" s="860"/>
      <c r="BB548" s="860"/>
      <c r="BC548" s="860"/>
      <c r="BD548" s="860"/>
      <c r="BE548" s="860"/>
      <c r="BF548" s="860"/>
      <c r="BG548" s="860"/>
      <c r="BH548" s="860"/>
      <c r="BI548" s="860"/>
      <c r="BJ548" s="860"/>
      <c r="BK548" s="860"/>
      <c r="BL548" s="860"/>
      <c r="BM548" s="860"/>
      <c r="BN548" s="872"/>
      <c r="BO548" s="872"/>
      <c r="BP548" s="872"/>
      <c r="BQ548" s="872"/>
      <c r="BR548" s="872"/>
      <c r="BS548" s="872"/>
      <c r="BT548" s="860"/>
      <c r="BU548" s="860"/>
      <c r="BV548" s="860"/>
      <c r="BW548" s="860"/>
      <c r="BX548" s="872"/>
      <c r="BY548" s="872"/>
      <c r="BZ548" s="872"/>
      <c r="CA548" s="872"/>
      <c r="CB548" s="872"/>
      <c r="CC548" s="872"/>
    </row>
    <row r="549" s="860" customFormat="1" ht="13.5" spans="1:81">
      <c r="A549" s="861"/>
      <c r="B549" s="860"/>
      <c r="C549" s="860"/>
      <c r="D549" s="860"/>
      <c r="E549" s="862"/>
      <c r="F549" s="860"/>
      <c r="G549" s="860"/>
      <c r="H549" s="860"/>
      <c r="I549" s="860"/>
      <c r="J549" s="860"/>
      <c r="K549" s="860"/>
      <c r="L549" s="860"/>
      <c r="M549" s="860"/>
      <c r="N549" s="860"/>
      <c r="O549" s="860"/>
      <c r="P549" s="860"/>
      <c r="Q549" s="860"/>
      <c r="R549" s="860"/>
      <c r="S549" s="860"/>
      <c r="T549" s="860"/>
      <c r="U549" s="860"/>
      <c r="V549" s="860"/>
      <c r="W549" s="860"/>
      <c r="X549" s="864"/>
      <c r="Y549" s="865"/>
      <c r="Z549" s="865"/>
      <c r="AA549" s="866"/>
      <c r="AB549" s="867"/>
      <c r="AC549" s="868"/>
      <c r="AD549" s="866"/>
      <c r="AE549" s="860"/>
      <c r="AF549" s="869"/>
      <c r="AG549" s="869"/>
      <c r="AH549" s="870"/>
      <c r="AI549" s="871"/>
      <c r="AJ549" s="870"/>
      <c r="AK549" s="870"/>
      <c r="AL549" s="860"/>
      <c r="AM549" s="860"/>
      <c r="AN549" s="860"/>
      <c r="AO549" s="860"/>
      <c r="AP549" s="860"/>
      <c r="AQ549" s="860"/>
      <c r="AR549" s="860"/>
      <c r="AS549" s="860"/>
      <c r="AT549" s="860"/>
      <c r="AU549" s="860"/>
      <c r="AV549" s="860"/>
      <c r="AW549" s="860"/>
      <c r="AX549" s="860"/>
      <c r="AY549" s="860"/>
      <c r="AZ549" s="860"/>
      <c r="BA549" s="860"/>
      <c r="BB549" s="860"/>
      <c r="BC549" s="860"/>
      <c r="BD549" s="860"/>
      <c r="BE549" s="860"/>
      <c r="BF549" s="860"/>
      <c r="BG549" s="860"/>
      <c r="BH549" s="860"/>
      <c r="BI549" s="860"/>
      <c r="BJ549" s="860"/>
      <c r="BK549" s="860"/>
      <c r="BL549" s="860"/>
      <c r="BM549" s="860"/>
      <c r="BN549" s="872"/>
      <c r="BO549" s="872"/>
      <c r="BP549" s="872"/>
      <c r="BQ549" s="872"/>
      <c r="BR549" s="872"/>
      <c r="BS549" s="872"/>
      <c r="BT549" s="860"/>
      <c r="BU549" s="860"/>
      <c r="BV549" s="860"/>
      <c r="BW549" s="860"/>
      <c r="BX549" s="872"/>
      <c r="BY549" s="872"/>
      <c r="BZ549" s="872"/>
      <c r="CA549" s="872"/>
      <c r="CB549" s="872"/>
      <c r="CC549" s="872"/>
    </row>
    <row r="550" s="860" customFormat="1" ht="13.5" spans="1:81">
      <c r="A550" s="861"/>
      <c r="B550" s="860"/>
      <c r="C550" s="860"/>
      <c r="D550" s="860"/>
      <c r="E550" s="862"/>
      <c r="F550" s="860"/>
      <c r="G550" s="860"/>
      <c r="H550" s="860"/>
      <c r="I550" s="860"/>
      <c r="J550" s="860"/>
      <c r="K550" s="860"/>
      <c r="L550" s="860"/>
      <c r="M550" s="860"/>
      <c r="N550" s="860"/>
      <c r="O550" s="860"/>
      <c r="P550" s="860"/>
      <c r="Q550" s="860"/>
      <c r="R550" s="860"/>
      <c r="S550" s="860"/>
      <c r="T550" s="860"/>
      <c r="U550" s="860"/>
      <c r="V550" s="860"/>
      <c r="W550" s="860"/>
      <c r="X550" s="864"/>
      <c r="Y550" s="865"/>
      <c r="Z550" s="865"/>
      <c r="AA550" s="866"/>
      <c r="AB550" s="867"/>
      <c r="AC550" s="868"/>
      <c r="AD550" s="866"/>
      <c r="AE550" s="860"/>
      <c r="AF550" s="869"/>
      <c r="AG550" s="869"/>
      <c r="AH550" s="870"/>
      <c r="AI550" s="871"/>
      <c r="AJ550" s="870"/>
      <c r="AK550" s="870"/>
      <c r="AL550" s="860"/>
      <c r="AM550" s="860"/>
      <c r="AN550" s="860"/>
      <c r="AO550" s="860"/>
      <c r="AP550" s="860"/>
      <c r="AQ550" s="860"/>
      <c r="AR550" s="860"/>
      <c r="AS550" s="860"/>
      <c r="AT550" s="860"/>
      <c r="AU550" s="860"/>
      <c r="AV550" s="860"/>
      <c r="AW550" s="860"/>
      <c r="AX550" s="860"/>
      <c r="AY550" s="860"/>
      <c r="AZ550" s="860"/>
      <c r="BA550" s="860"/>
      <c r="BB550" s="860"/>
      <c r="BC550" s="860"/>
      <c r="BD550" s="860"/>
      <c r="BE550" s="860"/>
      <c r="BF550" s="860"/>
      <c r="BG550" s="860"/>
      <c r="BH550" s="860"/>
      <c r="BI550" s="860"/>
      <c r="BJ550" s="860"/>
      <c r="BK550" s="860"/>
      <c r="BL550" s="860"/>
      <c r="BM550" s="860"/>
      <c r="BN550" s="872"/>
      <c r="BO550" s="872"/>
      <c r="BP550" s="872"/>
      <c r="BQ550" s="872"/>
      <c r="BR550" s="872"/>
      <c r="BS550" s="872"/>
      <c r="BT550" s="860"/>
      <c r="BU550" s="860"/>
      <c r="BV550" s="860"/>
      <c r="BW550" s="860"/>
      <c r="BX550" s="872"/>
      <c r="BY550" s="872"/>
      <c r="BZ550" s="872"/>
      <c r="CA550" s="872"/>
      <c r="CB550" s="872"/>
      <c r="CC550" s="872"/>
    </row>
    <row r="551" s="860" customFormat="1" ht="13.5" spans="1:81">
      <c r="A551" s="861"/>
      <c r="B551" s="860"/>
      <c r="C551" s="860"/>
      <c r="D551" s="860"/>
      <c r="E551" s="862"/>
      <c r="F551" s="860"/>
      <c r="G551" s="860"/>
      <c r="H551" s="860"/>
      <c r="I551" s="860"/>
      <c r="J551" s="860"/>
      <c r="K551" s="860"/>
      <c r="L551" s="860"/>
      <c r="M551" s="860"/>
      <c r="N551" s="860"/>
      <c r="O551" s="860"/>
      <c r="P551" s="860"/>
      <c r="Q551" s="860"/>
      <c r="R551" s="860"/>
      <c r="S551" s="860"/>
      <c r="T551" s="860"/>
      <c r="U551" s="860"/>
      <c r="V551" s="860"/>
      <c r="W551" s="860"/>
      <c r="X551" s="864"/>
      <c r="Y551" s="865"/>
      <c r="Z551" s="865"/>
      <c r="AA551" s="866"/>
      <c r="AB551" s="867"/>
      <c r="AC551" s="868"/>
      <c r="AD551" s="866"/>
      <c r="AE551" s="860"/>
      <c r="AF551" s="869"/>
      <c r="AG551" s="869"/>
      <c r="AH551" s="870"/>
      <c r="AI551" s="871"/>
      <c r="AJ551" s="870"/>
      <c r="AK551" s="870"/>
      <c r="AL551" s="860"/>
      <c r="AM551" s="860"/>
      <c r="AN551" s="860"/>
      <c r="AO551" s="860"/>
      <c r="AP551" s="860"/>
      <c r="AQ551" s="860"/>
      <c r="AR551" s="860"/>
      <c r="AS551" s="860"/>
      <c r="AT551" s="860"/>
      <c r="AU551" s="860"/>
      <c r="AV551" s="860"/>
      <c r="AW551" s="860"/>
      <c r="AX551" s="860"/>
      <c r="AY551" s="860"/>
      <c r="AZ551" s="860"/>
      <c r="BA551" s="860"/>
      <c r="BB551" s="860"/>
      <c r="BC551" s="860"/>
      <c r="BD551" s="860"/>
      <c r="BE551" s="860"/>
      <c r="BF551" s="860"/>
      <c r="BG551" s="860"/>
      <c r="BH551" s="860"/>
      <c r="BI551" s="860"/>
      <c r="BJ551" s="860"/>
      <c r="BK551" s="860"/>
      <c r="BL551" s="860"/>
      <c r="BM551" s="860"/>
      <c r="BN551" s="872"/>
      <c r="BO551" s="872"/>
      <c r="BP551" s="872"/>
      <c r="BQ551" s="872"/>
      <c r="BR551" s="872"/>
      <c r="BS551" s="872"/>
      <c r="BT551" s="860"/>
      <c r="BU551" s="860"/>
      <c r="BV551" s="860"/>
      <c r="BW551" s="860"/>
      <c r="BX551" s="872"/>
      <c r="BY551" s="872"/>
      <c r="BZ551" s="872"/>
      <c r="CA551" s="872"/>
      <c r="CB551" s="872"/>
      <c r="CC551" s="872"/>
    </row>
    <row r="552" s="860" customFormat="1" ht="13.5" spans="1:81">
      <c r="A552" s="861"/>
      <c r="B552" s="860"/>
      <c r="C552" s="860"/>
      <c r="D552" s="860"/>
      <c r="E552" s="862"/>
      <c r="F552" s="860"/>
      <c r="G552" s="860"/>
      <c r="H552" s="860"/>
      <c r="I552" s="860"/>
      <c r="J552" s="860"/>
      <c r="K552" s="860"/>
      <c r="L552" s="860"/>
      <c r="M552" s="860"/>
      <c r="N552" s="860"/>
      <c r="O552" s="860"/>
      <c r="P552" s="860"/>
      <c r="Q552" s="860"/>
      <c r="R552" s="860"/>
      <c r="S552" s="860"/>
      <c r="T552" s="860"/>
      <c r="U552" s="860"/>
      <c r="V552" s="860"/>
      <c r="W552" s="860"/>
      <c r="X552" s="864"/>
      <c r="Y552" s="865"/>
      <c r="Z552" s="865"/>
      <c r="AA552" s="866"/>
      <c r="AB552" s="867"/>
      <c r="AC552" s="868"/>
      <c r="AD552" s="866"/>
      <c r="AE552" s="860"/>
      <c r="AF552" s="869"/>
      <c r="AG552" s="869"/>
      <c r="AH552" s="870"/>
      <c r="AI552" s="871"/>
      <c r="AJ552" s="870"/>
      <c r="AK552" s="870"/>
      <c r="AL552" s="860"/>
      <c r="AM552" s="860"/>
      <c r="AN552" s="860"/>
      <c r="AO552" s="860"/>
      <c r="AP552" s="860"/>
      <c r="AQ552" s="860"/>
      <c r="AR552" s="860"/>
      <c r="AS552" s="860"/>
      <c r="AT552" s="860"/>
      <c r="AU552" s="860"/>
      <c r="AV552" s="860"/>
      <c r="AW552" s="860"/>
      <c r="AX552" s="860"/>
      <c r="AY552" s="860"/>
      <c r="AZ552" s="860"/>
      <c r="BA552" s="860"/>
      <c r="BB552" s="860"/>
      <c r="BC552" s="860"/>
      <c r="BD552" s="860"/>
      <c r="BE552" s="860"/>
      <c r="BF552" s="860"/>
      <c r="BG552" s="860"/>
      <c r="BH552" s="860"/>
      <c r="BI552" s="860"/>
      <c r="BJ552" s="860"/>
      <c r="BK552" s="860"/>
      <c r="BL552" s="860"/>
      <c r="BM552" s="860"/>
      <c r="BN552" s="872"/>
      <c r="BO552" s="872"/>
      <c r="BP552" s="872"/>
      <c r="BQ552" s="872"/>
      <c r="BR552" s="872"/>
      <c r="BS552" s="872"/>
      <c r="BT552" s="860"/>
      <c r="BU552" s="860"/>
      <c r="BV552" s="860"/>
      <c r="BW552" s="860"/>
      <c r="BX552" s="872"/>
      <c r="BY552" s="872"/>
      <c r="BZ552" s="872"/>
      <c r="CA552" s="872"/>
      <c r="CB552" s="872"/>
      <c r="CC552" s="872"/>
    </row>
    <row r="553" s="860" customFormat="1" ht="13.5" spans="1:81">
      <c r="A553" s="861"/>
      <c r="B553" s="860"/>
      <c r="C553" s="860"/>
      <c r="D553" s="860"/>
      <c r="E553" s="862"/>
      <c r="F553" s="860"/>
      <c r="G553" s="860"/>
      <c r="H553" s="860"/>
      <c r="I553" s="860"/>
      <c r="J553" s="860"/>
      <c r="K553" s="860"/>
      <c r="L553" s="860"/>
      <c r="M553" s="860"/>
      <c r="N553" s="860"/>
      <c r="O553" s="860"/>
      <c r="P553" s="860"/>
      <c r="Q553" s="860"/>
      <c r="R553" s="860"/>
      <c r="S553" s="860"/>
      <c r="T553" s="860"/>
      <c r="U553" s="860"/>
      <c r="V553" s="860"/>
      <c r="W553" s="860"/>
      <c r="X553" s="864"/>
      <c r="Y553" s="865"/>
      <c r="Z553" s="865"/>
      <c r="AA553" s="866"/>
      <c r="AB553" s="867"/>
      <c r="AC553" s="868"/>
      <c r="AD553" s="866"/>
      <c r="AE553" s="860"/>
      <c r="AF553" s="869"/>
      <c r="AG553" s="869"/>
      <c r="AH553" s="870"/>
      <c r="AI553" s="871"/>
      <c r="AJ553" s="870"/>
      <c r="AK553" s="870"/>
      <c r="AL553" s="860"/>
      <c r="AM553" s="860"/>
      <c r="AN553" s="860"/>
      <c r="AO553" s="860"/>
      <c r="AP553" s="860"/>
      <c r="AQ553" s="860"/>
      <c r="AR553" s="860"/>
      <c r="AS553" s="860"/>
      <c r="AT553" s="860"/>
      <c r="AU553" s="860"/>
      <c r="AV553" s="860"/>
      <c r="AW553" s="860"/>
      <c r="AX553" s="860"/>
      <c r="AY553" s="860"/>
      <c r="AZ553" s="860"/>
      <c r="BA553" s="860"/>
      <c r="BB553" s="860"/>
      <c r="BC553" s="860"/>
      <c r="BD553" s="860"/>
      <c r="BE553" s="860"/>
      <c r="BF553" s="860"/>
      <c r="BG553" s="860"/>
      <c r="BH553" s="860"/>
      <c r="BI553" s="860"/>
      <c r="BJ553" s="860"/>
      <c r="BK553" s="860"/>
      <c r="BL553" s="860"/>
      <c r="BM553" s="860"/>
      <c r="BN553" s="872"/>
      <c r="BO553" s="872"/>
      <c r="BP553" s="872"/>
      <c r="BQ553" s="872"/>
      <c r="BR553" s="872"/>
      <c r="BS553" s="872"/>
      <c r="BT553" s="860"/>
      <c r="BU553" s="860"/>
      <c r="BV553" s="860"/>
      <c r="BW553" s="860"/>
      <c r="BX553" s="872"/>
      <c r="BY553" s="872"/>
      <c r="BZ553" s="872"/>
      <c r="CA553" s="872"/>
      <c r="CB553" s="872"/>
      <c r="CC553" s="872"/>
    </row>
    <row r="554" s="860" customFormat="1" ht="13.5" spans="1:81">
      <c r="A554" s="861"/>
      <c r="B554" s="860"/>
      <c r="C554" s="860"/>
      <c r="D554" s="860"/>
      <c r="E554" s="862"/>
      <c r="F554" s="860"/>
      <c r="G554" s="860"/>
      <c r="H554" s="860"/>
      <c r="I554" s="860"/>
      <c r="J554" s="860"/>
      <c r="K554" s="860"/>
      <c r="L554" s="860"/>
      <c r="M554" s="860"/>
      <c r="N554" s="860"/>
      <c r="O554" s="860"/>
      <c r="P554" s="860"/>
      <c r="Q554" s="860"/>
      <c r="R554" s="860"/>
      <c r="S554" s="860"/>
      <c r="T554" s="860"/>
      <c r="U554" s="860"/>
      <c r="V554" s="860"/>
      <c r="W554" s="860"/>
      <c r="X554" s="864"/>
      <c r="Y554" s="865"/>
      <c r="Z554" s="865"/>
      <c r="AA554" s="866"/>
      <c r="AB554" s="867"/>
      <c r="AC554" s="868"/>
      <c r="AD554" s="866"/>
      <c r="AE554" s="860"/>
      <c r="AF554" s="869"/>
      <c r="AG554" s="869"/>
      <c r="AH554" s="870"/>
      <c r="AI554" s="871"/>
      <c r="AJ554" s="870"/>
      <c r="AK554" s="870"/>
      <c r="AL554" s="860"/>
      <c r="AM554" s="860"/>
      <c r="AN554" s="860"/>
      <c r="AO554" s="860"/>
      <c r="AP554" s="860"/>
      <c r="AQ554" s="860"/>
      <c r="AR554" s="860"/>
      <c r="AS554" s="860"/>
      <c r="AT554" s="860"/>
      <c r="AU554" s="860"/>
      <c r="AV554" s="860"/>
      <c r="AW554" s="860"/>
      <c r="AX554" s="860"/>
      <c r="AY554" s="860"/>
      <c r="AZ554" s="860"/>
      <c r="BA554" s="860"/>
      <c r="BB554" s="860"/>
      <c r="BC554" s="860"/>
      <c r="BD554" s="860"/>
      <c r="BE554" s="860"/>
      <c r="BF554" s="860"/>
      <c r="BG554" s="860"/>
      <c r="BH554" s="860"/>
      <c r="BI554" s="860"/>
      <c r="BJ554" s="860"/>
      <c r="BK554" s="860"/>
      <c r="BL554" s="860"/>
      <c r="BM554" s="860"/>
      <c r="BN554" s="872"/>
      <c r="BO554" s="872"/>
      <c r="BP554" s="872"/>
      <c r="BQ554" s="872"/>
      <c r="BR554" s="872"/>
      <c r="BS554" s="872"/>
      <c r="BT554" s="860"/>
      <c r="BU554" s="860"/>
      <c r="BV554" s="860"/>
      <c r="BW554" s="860"/>
      <c r="BX554" s="872"/>
      <c r="BY554" s="872"/>
      <c r="BZ554" s="872"/>
      <c r="CA554" s="872"/>
      <c r="CB554" s="872"/>
      <c r="CC554" s="872"/>
    </row>
    <row r="555" s="860" customFormat="1" ht="13.5" spans="1:81">
      <c r="A555" s="861"/>
      <c r="B555" s="860"/>
      <c r="C555" s="860"/>
      <c r="D555" s="860"/>
      <c r="E555" s="862"/>
      <c r="F555" s="860"/>
      <c r="G555" s="860"/>
      <c r="H555" s="860"/>
      <c r="I555" s="860"/>
      <c r="J555" s="860"/>
      <c r="K555" s="860"/>
      <c r="L555" s="860"/>
      <c r="M555" s="860"/>
      <c r="N555" s="860"/>
      <c r="O555" s="860"/>
      <c r="P555" s="860"/>
      <c r="Q555" s="860"/>
      <c r="R555" s="860"/>
      <c r="S555" s="860"/>
      <c r="T555" s="860"/>
      <c r="U555" s="860"/>
      <c r="V555" s="860"/>
      <c r="W555" s="860"/>
      <c r="X555" s="864"/>
      <c r="Y555" s="865"/>
      <c r="Z555" s="865"/>
      <c r="AA555" s="866"/>
      <c r="AB555" s="867"/>
      <c r="AC555" s="868"/>
      <c r="AD555" s="866"/>
      <c r="AE555" s="860"/>
      <c r="AF555" s="869"/>
      <c r="AG555" s="869"/>
      <c r="AH555" s="870"/>
      <c r="AI555" s="871"/>
      <c r="AJ555" s="870"/>
      <c r="AK555" s="870"/>
      <c r="AL555" s="860"/>
      <c r="AM555" s="860"/>
      <c r="AN555" s="860"/>
      <c r="AO555" s="860"/>
      <c r="AP555" s="860"/>
      <c r="AQ555" s="860"/>
      <c r="AR555" s="860"/>
      <c r="AS555" s="860"/>
      <c r="AT555" s="860"/>
      <c r="AU555" s="860"/>
      <c r="AV555" s="860"/>
      <c r="AW555" s="860"/>
      <c r="AX555" s="860"/>
      <c r="AY555" s="860"/>
      <c r="AZ555" s="860"/>
      <c r="BA555" s="860"/>
      <c r="BB555" s="860"/>
      <c r="BC555" s="860"/>
      <c r="BD555" s="860"/>
      <c r="BE555" s="860"/>
      <c r="BF555" s="860"/>
      <c r="BG555" s="860"/>
      <c r="BH555" s="860"/>
      <c r="BI555" s="860"/>
      <c r="BJ555" s="860"/>
      <c r="BK555" s="860"/>
      <c r="BL555" s="860"/>
      <c r="BM555" s="860"/>
      <c r="BN555" s="872"/>
      <c r="BO555" s="872"/>
      <c r="BP555" s="872"/>
      <c r="BQ555" s="872"/>
      <c r="BR555" s="872"/>
      <c r="BS555" s="872"/>
      <c r="BT555" s="860"/>
      <c r="BU555" s="860"/>
      <c r="BV555" s="860"/>
      <c r="BW555" s="860"/>
      <c r="BX555" s="872"/>
      <c r="BY555" s="872"/>
      <c r="BZ555" s="872"/>
      <c r="CA555" s="872"/>
      <c r="CB555" s="872"/>
      <c r="CC555" s="872"/>
    </row>
    <row r="556" s="860" customFormat="1" ht="13.5" spans="1:81">
      <c r="A556" s="861"/>
      <c r="B556" s="860"/>
      <c r="C556" s="860"/>
      <c r="D556" s="860"/>
      <c r="E556" s="862"/>
      <c r="F556" s="860"/>
      <c r="G556" s="860"/>
      <c r="H556" s="860"/>
      <c r="I556" s="860"/>
      <c r="J556" s="860"/>
      <c r="K556" s="860"/>
      <c r="L556" s="860"/>
      <c r="M556" s="860"/>
      <c r="N556" s="860"/>
      <c r="O556" s="860"/>
      <c r="P556" s="860"/>
      <c r="Q556" s="860"/>
      <c r="R556" s="860"/>
      <c r="S556" s="860"/>
      <c r="T556" s="860"/>
      <c r="U556" s="860"/>
      <c r="V556" s="860"/>
      <c r="W556" s="860"/>
      <c r="X556" s="864"/>
      <c r="Y556" s="865"/>
      <c r="Z556" s="865"/>
      <c r="AA556" s="866"/>
      <c r="AB556" s="867"/>
      <c r="AC556" s="868"/>
      <c r="AD556" s="866"/>
      <c r="AE556" s="860"/>
      <c r="AF556" s="869"/>
      <c r="AG556" s="869"/>
      <c r="AH556" s="870"/>
      <c r="AI556" s="871"/>
      <c r="AJ556" s="870"/>
      <c r="AK556" s="870"/>
      <c r="AL556" s="860"/>
      <c r="AM556" s="860"/>
      <c r="AN556" s="860"/>
      <c r="AO556" s="860"/>
      <c r="AP556" s="860"/>
      <c r="AQ556" s="860"/>
      <c r="AR556" s="860"/>
      <c r="AS556" s="860"/>
      <c r="AT556" s="860"/>
      <c r="AU556" s="860"/>
      <c r="AV556" s="860"/>
      <c r="AW556" s="860"/>
      <c r="AX556" s="860"/>
      <c r="AY556" s="860"/>
      <c r="AZ556" s="860"/>
      <c r="BA556" s="860"/>
      <c r="BB556" s="860"/>
      <c r="BC556" s="860"/>
      <c r="BD556" s="860"/>
      <c r="BE556" s="860"/>
      <c r="BF556" s="860"/>
      <c r="BG556" s="860"/>
      <c r="BH556" s="860"/>
      <c r="BI556" s="860"/>
      <c r="BJ556" s="860"/>
      <c r="BK556" s="860"/>
      <c r="BL556" s="860"/>
      <c r="BM556" s="860"/>
      <c r="BN556" s="872"/>
      <c r="BO556" s="872"/>
      <c r="BP556" s="872"/>
      <c r="BQ556" s="872"/>
      <c r="BR556" s="872"/>
      <c r="BS556" s="872"/>
      <c r="BT556" s="860"/>
      <c r="BU556" s="860"/>
      <c r="BV556" s="860"/>
      <c r="BW556" s="860"/>
      <c r="BX556" s="872"/>
      <c r="BY556" s="872"/>
      <c r="BZ556" s="872"/>
      <c r="CA556" s="872"/>
      <c r="CB556" s="872"/>
      <c r="CC556" s="872"/>
    </row>
    <row r="557" s="860" customFormat="1" ht="13.5" spans="1:81">
      <c r="A557" s="861"/>
      <c r="B557" s="860"/>
      <c r="C557" s="860"/>
      <c r="D557" s="860"/>
      <c r="E557" s="862"/>
      <c r="F557" s="860"/>
      <c r="G557" s="860"/>
      <c r="H557" s="860"/>
      <c r="I557" s="860"/>
      <c r="J557" s="860"/>
      <c r="K557" s="860"/>
      <c r="L557" s="860"/>
      <c r="M557" s="860"/>
      <c r="N557" s="860"/>
      <c r="O557" s="860"/>
      <c r="P557" s="860"/>
      <c r="Q557" s="860"/>
      <c r="R557" s="860"/>
      <c r="S557" s="860"/>
      <c r="T557" s="860"/>
      <c r="U557" s="860"/>
      <c r="V557" s="860"/>
      <c r="W557" s="860"/>
      <c r="X557" s="864"/>
      <c r="Y557" s="865"/>
      <c r="Z557" s="865"/>
      <c r="AA557" s="866"/>
      <c r="AB557" s="867"/>
      <c r="AC557" s="868"/>
      <c r="AD557" s="866"/>
      <c r="AE557" s="860"/>
      <c r="AF557" s="869"/>
      <c r="AG557" s="869"/>
      <c r="AH557" s="870"/>
      <c r="AI557" s="871"/>
      <c r="AJ557" s="870"/>
      <c r="AK557" s="870"/>
      <c r="AL557" s="860"/>
      <c r="AM557" s="860"/>
      <c r="AN557" s="860"/>
      <c r="AO557" s="860"/>
      <c r="AP557" s="860"/>
      <c r="AQ557" s="860"/>
      <c r="AR557" s="860"/>
      <c r="AS557" s="860"/>
      <c r="AT557" s="860"/>
      <c r="AU557" s="860"/>
      <c r="AV557" s="860"/>
      <c r="AW557" s="860"/>
      <c r="AX557" s="860"/>
      <c r="AY557" s="860"/>
      <c r="AZ557" s="860"/>
      <c r="BA557" s="860"/>
      <c r="BB557" s="860"/>
      <c r="BC557" s="860"/>
      <c r="BD557" s="860"/>
      <c r="BE557" s="860"/>
      <c r="BF557" s="860"/>
      <c r="BG557" s="860"/>
      <c r="BH557" s="860"/>
      <c r="BI557" s="860"/>
      <c r="BJ557" s="860"/>
      <c r="BK557" s="860"/>
      <c r="BL557" s="860"/>
      <c r="BM557" s="860"/>
      <c r="BN557" s="872"/>
      <c r="BO557" s="872"/>
      <c r="BP557" s="872"/>
      <c r="BQ557" s="872"/>
      <c r="BR557" s="872"/>
      <c r="BS557" s="872"/>
      <c r="BT557" s="860"/>
      <c r="BU557" s="860"/>
      <c r="BV557" s="860"/>
      <c r="BW557" s="860"/>
      <c r="BX557" s="872"/>
      <c r="BY557" s="872"/>
      <c r="BZ557" s="872"/>
      <c r="CA557" s="872"/>
      <c r="CB557" s="872"/>
      <c r="CC557" s="872"/>
    </row>
    <row r="558" s="860" customFormat="1" ht="13.5" spans="1:81">
      <c r="A558" s="861"/>
      <c r="B558" s="860"/>
      <c r="C558" s="860"/>
      <c r="D558" s="860"/>
      <c r="E558" s="862"/>
      <c r="F558" s="860"/>
      <c r="G558" s="860"/>
      <c r="H558" s="860"/>
      <c r="I558" s="860"/>
      <c r="J558" s="860"/>
      <c r="K558" s="860"/>
      <c r="L558" s="860"/>
      <c r="M558" s="860"/>
      <c r="N558" s="860"/>
      <c r="O558" s="860"/>
      <c r="P558" s="860"/>
      <c r="Q558" s="860"/>
      <c r="R558" s="860"/>
      <c r="S558" s="860"/>
      <c r="T558" s="860"/>
      <c r="U558" s="860"/>
      <c r="V558" s="860"/>
      <c r="W558" s="860"/>
      <c r="X558" s="864"/>
      <c r="Y558" s="865"/>
      <c r="Z558" s="865"/>
      <c r="AA558" s="866"/>
      <c r="AB558" s="867"/>
      <c r="AC558" s="868"/>
      <c r="AD558" s="866"/>
      <c r="AE558" s="860"/>
      <c r="AF558" s="869"/>
      <c r="AG558" s="869"/>
      <c r="AH558" s="870"/>
      <c r="AI558" s="871"/>
      <c r="AJ558" s="870"/>
      <c r="AK558" s="870"/>
      <c r="AL558" s="860"/>
      <c r="AM558" s="860"/>
      <c r="AN558" s="860"/>
      <c r="AO558" s="860"/>
      <c r="AP558" s="860"/>
      <c r="AQ558" s="860"/>
      <c r="AR558" s="860"/>
      <c r="AS558" s="860"/>
      <c r="AT558" s="860"/>
      <c r="AU558" s="860"/>
      <c r="AV558" s="860"/>
      <c r="AW558" s="860"/>
      <c r="AX558" s="860"/>
      <c r="AY558" s="860"/>
      <c r="AZ558" s="860"/>
      <c r="BA558" s="860"/>
      <c r="BB558" s="860"/>
      <c r="BC558" s="860"/>
      <c r="BD558" s="860"/>
      <c r="BE558" s="860"/>
      <c r="BF558" s="860"/>
      <c r="BG558" s="860"/>
      <c r="BH558" s="860"/>
      <c r="BI558" s="860"/>
      <c r="BJ558" s="860"/>
      <c r="BK558" s="860"/>
      <c r="BL558" s="860"/>
      <c r="BM558" s="860"/>
      <c r="BN558" s="872"/>
      <c r="BO558" s="872"/>
      <c r="BP558" s="872"/>
      <c r="BQ558" s="872"/>
      <c r="BR558" s="872"/>
      <c r="BS558" s="872"/>
      <c r="BT558" s="860"/>
      <c r="BU558" s="860"/>
      <c r="BV558" s="860"/>
      <c r="BW558" s="860"/>
      <c r="BX558" s="872"/>
      <c r="BY558" s="872"/>
      <c r="BZ558" s="872"/>
      <c r="CA558" s="872"/>
      <c r="CB558" s="872"/>
      <c r="CC558" s="872"/>
    </row>
    <row r="559" s="860" customFormat="1" ht="13.5" spans="1:81">
      <c r="A559" s="861"/>
      <c r="B559" s="860"/>
      <c r="C559" s="860"/>
      <c r="D559" s="860"/>
      <c r="E559" s="862"/>
      <c r="F559" s="860"/>
      <c r="G559" s="860"/>
      <c r="H559" s="860"/>
      <c r="I559" s="860"/>
      <c r="J559" s="860"/>
      <c r="K559" s="860"/>
      <c r="L559" s="860"/>
      <c r="M559" s="860"/>
      <c r="N559" s="860"/>
      <c r="O559" s="860"/>
      <c r="P559" s="860"/>
      <c r="Q559" s="860"/>
      <c r="R559" s="860"/>
      <c r="S559" s="860"/>
      <c r="T559" s="860"/>
      <c r="U559" s="860"/>
      <c r="V559" s="860"/>
      <c r="W559" s="860"/>
      <c r="X559" s="864"/>
      <c r="Y559" s="865"/>
      <c r="Z559" s="865"/>
      <c r="AA559" s="866"/>
      <c r="AB559" s="867"/>
      <c r="AC559" s="868"/>
      <c r="AD559" s="866"/>
      <c r="AE559" s="860"/>
      <c r="AF559" s="869"/>
      <c r="AG559" s="869"/>
      <c r="AH559" s="870"/>
      <c r="AI559" s="871"/>
      <c r="AJ559" s="870"/>
      <c r="AK559" s="870"/>
      <c r="AL559" s="860"/>
      <c r="AM559" s="860"/>
      <c r="AN559" s="860"/>
      <c r="AO559" s="860"/>
      <c r="AP559" s="860"/>
      <c r="AQ559" s="860"/>
      <c r="AR559" s="860"/>
      <c r="AS559" s="860"/>
      <c r="AT559" s="860"/>
      <c r="AU559" s="860"/>
      <c r="AV559" s="860"/>
      <c r="AW559" s="860"/>
      <c r="AX559" s="860"/>
      <c r="AY559" s="860"/>
      <c r="AZ559" s="860"/>
      <c r="BA559" s="860"/>
      <c r="BB559" s="860"/>
      <c r="BC559" s="860"/>
      <c r="BD559" s="860"/>
      <c r="BE559" s="860"/>
      <c r="BF559" s="860"/>
      <c r="BG559" s="860"/>
      <c r="BH559" s="860"/>
      <c r="BI559" s="860"/>
      <c r="BJ559" s="860"/>
      <c r="BK559" s="860"/>
      <c r="BL559" s="860"/>
      <c r="BM559" s="860"/>
      <c r="BN559" s="872"/>
      <c r="BO559" s="872"/>
      <c r="BP559" s="872"/>
      <c r="BQ559" s="872"/>
      <c r="BR559" s="872"/>
      <c r="BS559" s="872"/>
      <c r="BT559" s="860"/>
      <c r="BU559" s="860"/>
      <c r="BV559" s="860"/>
      <c r="BW559" s="860"/>
      <c r="BX559" s="872"/>
      <c r="BY559" s="872"/>
      <c r="BZ559" s="872"/>
      <c r="CA559" s="872"/>
      <c r="CB559" s="872"/>
      <c r="CC559" s="872"/>
    </row>
    <row r="560" s="860" customFormat="1" ht="13.5" spans="1:81">
      <c r="A560" s="861"/>
      <c r="B560" s="860"/>
      <c r="C560" s="860"/>
      <c r="D560" s="860"/>
      <c r="E560" s="862"/>
      <c r="F560" s="860"/>
      <c r="G560" s="860"/>
      <c r="H560" s="860"/>
      <c r="I560" s="860"/>
      <c r="J560" s="860"/>
      <c r="K560" s="860"/>
      <c r="L560" s="860"/>
      <c r="M560" s="860"/>
      <c r="N560" s="860"/>
      <c r="O560" s="860"/>
      <c r="P560" s="860"/>
      <c r="Q560" s="860"/>
      <c r="R560" s="860"/>
      <c r="S560" s="860"/>
      <c r="T560" s="860"/>
      <c r="U560" s="860"/>
      <c r="V560" s="860"/>
      <c r="W560" s="860"/>
      <c r="X560" s="864"/>
      <c r="Y560" s="865"/>
      <c r="Z560" s="865"/>
      <c r="AA560" s="866"/>
      <c r="AB560" s="867"/>
      <c r="AC560" s="868"/>
      <c r="AD560" s="866"/>
      <c r="AE560" s="860"/>
      <c r="AF560" s="869"/>
      <c r="AG560" s="869"/>
      <c r="AH560" s="870"/>
      <c r="AI560" s="871"/>
      <c r="AJ560" s="870"/>
      <c r="AK560" s="870"/>
      <c r="AL560" s="860"/>
      <c r="AM560" s="860"/>
      <c r="AN560" s="860"/>
      <c r="AO560" s="860"/>
      <c r="AP560" s="860"/>
      <c r="AQ560" s="860"/>
      <c r="AR560" s="860"/>
      <c r="AS560" s="860"/>
      <c r="AT560" s="860"/>
      <c r="AU560" s="860"/>
      <c r="AV560" s="860"/>
      <c r="AW560" s="860"/>
      <c r="AX560" s="860"/>
      <c r="AY560" s="860"/>
      <c r="AZ560" s="860"/>
      <c r="BA560" s="860"/>
      <c r="BB560" s="860"/>
      <c r="BC560" s="860"/>
      <c r="BD560" s="860"/>
      <c r="BE560" s="860"/>
      <c r="BF560" s="860"/>
      <c r="BG560" s="860"/>
      <c r="BH560" s="860"/>
      <c r="BI560" s="860"/>
      <c r="BJ560" s="860"/>
      <c r="BK560" s="860"/>
      <c r="BL560" s="860"/>
      <c r="BM560" s="860"/>
      <c r="BN560" s="872"/>
      <c r="BO560" s="872"/>
      <c r="BP560" s="872"/>
      <c r="BQ560" s="872"/>
      <c r="BR560" s="872"/>
      <c r="BS560" s="872"/>
      <c r="BT560" s="860"/>
      <c r="BU560" s="860"/>
      <c r="BV560" s="860"/>
      <c r="BW560" s="860"/>
      <c r="BX560" s="872"/>
      <c r="BY560" s="872"/>
      <c r="BZ560" s="872"/>
      <c r="CA560" s="872"/>
      <c r="CB560" s="872"/>
      <c r="CC560" s="872"/>
    </row>
    <row r="561" s="860" customFormat="1" ht="13.5" spans="1:81">
      <c r="A561" s="861"/>
      <c r="B561" s="860"/>
      <c r="C561" s="860"/>
      <c r="D561" s="860"/>
      <c r="E561" s="862"/>
      <c r="F561" s="860"/>
      <c r="G561" s="860"/>
      <c r="H561" s="860"/>
      <c r="I561" s="860"/>
      <c r="J561" s="860"/>
      <c r="K561" s="860"/>
      <c r="L561" s="860"/>
      <c r="M561" s="860"/>
      <c r="N561" s="860"/>
      <c r="O561" s="860"/>
      <c r="P561" s="860"/>
      <c r="Q561" s="860"/>
      <c r="R561" s="860"/>
      <c r="S561" s="860"/>
      <c r="T561" s="860"/>
      <c r="U561" s="860"/>
      <c r="V561" s="860"/>
      <c r="W561" s="860"/>
      <c r="X561" s="864"/>
      <c r="Y561" s="865"/>
      <c r="Z561" s="865"/>
      <c r="AA561" s="866"/>
      <c r="AB561" s="867"/>
      <c r="AC561" s="868"/>
      <c r="AD561" s="866"/>
      <c r="AE561" s="860"/>
      <c r="AF561" s="869"/>
      <c r="AG561" s="869"/>
      <c r="AH561" s="870"/>
      <c r="AI561" s="871"/>
      <c r="AJ561" s="870"/>
      <c r="AK561" s="870"/>
      <c r="AL561" s="860"/>
      <c r="AM561" s="860"/>
      <c r="AN561" s="860"/>
      <c r="AO561" s="860"/>
      <c r="AP561" s="860"/>
      <c r="AQ561" s="860"/>
      <c r="AR561" s="860"/>
      <c r="AS561" s="860"/>
      <c r="AT561" s="860"/>
      <c r="AU561" s="860"/>
      <c r="AV561" s="860"/>
      <c r="AW561" s="860"/>
      <c r="AX561" s="860"/>
      <c r="AY561" s="860"/>
      <c r="AZ561" s="860"/>
      <c r="BA561" s="860"/>
      <c r="BB561" s="860"/>
      <c r="BC561" s="860"/>
      <c r="BD561" s="860"/>
      <c r="BE561" s="860"/>
      <c r="BF561" s="860"/>
      <c r="BG561" s="860"/>
      <c r="BH561" s="860"/>
      <c r="BI561" s="860"/>
      <c r="BJ561" s="860"/>
      <c r="BK561" s="860"/>
      <c r="BL561" s="860"/>
      <c r="BM561" s="860"/>
      <c r="BN561" s="872"/>
      <c r="BO561" s="872"/>
      <c r="BP561" s="872"/>
      <c r="BQ561" s="872"/>
      <c r="BR561" s="872"/>
      <c r="BS561" s="872"/>
      <c r="BT561" s="860"/>
      <c r="BU561" s="860"/>
      <c r="BV561" s="860"/>
      <c r="BW561" s="860"/>
      <c r="BX561" s="872"/>
      <c r="BY561" s="872"/>
      <c r="BZ561" s="872"/>
      <c r="CA561" s="872"/>
      <c r="CB561" s="872"/>
      <c r="CC561" s="872"/>
    </row>
    <row r="562" s="860" customFormat="1" ht="13.5" spans="1:81">
      <c r="A562" s="861"/>
      <c r="B562" s="860"/>
      <c r="C562" s="860"/>
      <c r="D562" s="860"/>
      <c r="E562" s="862"/>
      <c r="F562" s="860"/>
      <c r="G562" s="860"/>
      <c r="H562" s="860"/>
      <c r="I562" s="860"/>
      <c r="J562" s="860"/>
      <c r="K562" s="860"/>
      <c r="L562" s="860"/>
      <c r="M562" s="860"/>
      <c r="N562" s="860"/>
      <c r="O562" s="860"/>
      <c r="P562" s="860"/>
      <c r="Q562" s="860"/>
      <c r="R562" s="860"/>
      <c r="S562" s="860"/>
      <c r="T562" s="860"/>
      <c r="U562" s="860"/>
      <c r="V562" s="860"/>
      <c r="W562" s="860"/>
      <c r="X562" s="864"/>
      <c r="Y562" s="865"/>
      <c r="Z562" s="865"/>
      <c r="AA562" s="866"/>
      <c r="AB562" s="867"/>
      <c r="AC562" s="868"/>
      <c r="AD562" s="866"/>
      <c r="AE562" s="860"/>
      <c r="AF562" s="869"/>
      <c r="AG562" s="869"/>
      <c r="AH562" s="870"/>
      <c r="AI562" s="871"/>
      <c r="AJ562" s="870"/>
      <c r="AK562" s="870"/>
      <c r="AL562" s="860"/>
      <c r="AM562" s="860"/>
      <c r="AN562" s="860"/>
      <c r="AO562" s="860"/>
      <c r="AP562" s="860"/>
      <c r="AQ562" s="860"/>
      <c r="AR562" s="860"/>
      <c r="AS562" s="860"/>
      <c r="AT562" s="860"/>
      <c r="AU562" s="860"/>
      <c r="AV562" s="860"/>
      <c r="AW562" s="860"/>
      <c r="AX562" s="860"/>
      <c r="AY562" s="860"/>
      <c r="AZ562" s="860"/>
      <c r="BA562" s="860"/>
      <c r="BB562" s="860"/>
      <c r="BC562" s="860"/>
      <c r="BD562" s="860"/>
      <c r="BE562" s="860"/>
      <c r="BF562" s="860"/>
      <c r="BG562" s="860"/>
      <c r="BH562" s="860"/>
      <c r="BI562" s="860"/>
      <c r="BJ562" s="860"/>
      <c r="BK562" s="860"/>
      <c r="BL562" s="860"/>
      <c r="BM562" s="860"/>
      <c r="BN562" s="872"/>
      <c r="BO562" s="872"/>
      <c r="BP562" s="872"/>
      <c r="BQ562" s="872"/>
      <c r="BR562" s="872"/>
      <c r="BS562" s="872"/>
      <c r="BT562" s="860"/>
      <c r="BU562" s="860"/>
      <c r="BV562" s="860"/>
      <c r="BW562" s="860"/>
      <c r="BX562" s="872"/>
      <c r="BY562" s="872"/>
      <c r="BZ562" s="872"/>
      <c r="CA562" s="872"/>
      <c r="CB562" s="872"/>
      <c r="CC562" s="872"/>
    </row>
    <row r="563" s="860" customFormat="1" ht="13.5" spans="1:81">
      <c r="A563" s="861"/>
      <c r="B563" s="860"/>
      <c r="C563" s="860"/>
      <c r="D563" s="860"/>
      <c r="E563" s="862"/>
      <c r="F563" s="860"/>
      <c r="G563" s="860"/>
      <c r="H563" s="860"/>
      <c r="I563" s="860"/>
      <c r="J563" s="860"/>
      <c r="K563" s="860"/>
      <c r="L563" s="860"/>
      <c r="M563" s="860"/>
      <c r="N563" s="860"/>
      <c r="O563" s="860"/>
      <c r="P563" s="860"/>
      <c r="Q563" s="860"/>
      <c r="R563" s="860"/>
      <c r="S563" s="860"/>
      <c r="T563" s="860"/>
      <c r="U563" s="860"/>
      <c r="V563" s="860"/>
      <c r="W563" s="860"/>
      <c r="X563" s="864"/>
      <c r="Y563" s="865"/>
      <c r="Z563" s="865"/>
      <c r="AA563" s="866"/>
      <c r="AB563" s="867"/>
      <c r="AC563" s="868"/>
      <c r="AD563" s="866"/>
      <c r="AE563" s="860"/>
      <c r="AF563" s="869"/>
      <c r="AG563" s="869"/>
      <c r="AH563" s="870"/>
      <c r="AI563" s="871"/>
      <c r="AJ563" s="870"/>
      <c r="AK563" s="870"/>
      <c r="AL563" s="860"/>
      <c r="AM563" s="860"/>
      <c r="AN563" s="860"/>
      <c r="AO563" s="860"/>
      <c r="AP563" s="860"/>
      <c r="AQ563" s="860"/>
      <c r="AR563" s="860"/>
      <c r="AS563" s="860"/>
      <c r="AT563" s="860"/>
      <c r="AU563" s="860"/>
      <c r="AV563" s="860"/>
      <c r="AW563" s="860"/>
      <c r="AX563" s="860"/>
      <c r="AY563" s="860"/>
      <c r="AZ563" s="860"/>
      <c r="BA563" s="860"/>
      <c r="BB563" s="860"/>
      <c r="BC563" s="860"/>
      <c r="BD563" s="860"/>
      <c r="BE563" s="860"/>
      <c r="BF563" s="860"/>
      <c r="BG563" s="860"/>
      <c r="BH563" s="860"/>
      <c r="BI563" s="860"/>
      <c r="BJ563" s="860"/>
      <c r="BK563" s="860"/>
      <c r="BL563" s="860"/>
      <c r="BM563" s="860"/>
      <c r="BN563" s="872"/>
      <c r="BO563" s="872"/>
      <c r="BP563" s="872"/>
      <c r="BQ563" s="872"/>
      <c r="BR563" s="872"/>
      <c r="BS563" s="872"/>
      <c r="BT563" s="860"/>
      <c r="BU563" s="860"/>
      <c r="BV563" s="860"/>
      <c r="BW563" s="860"/>
      <c r="BX563" s="872"/>
      <c r="BY563" s="872"/>
      <c r="BZ563" s="872"/>
      <c r="CA563" s="872"/>
      <c r="CB563" s="872"/>
      <c r="CC563" s="872"/>
    </row>
    <row r="564" s="860" customFormat="1" ht="13.5" spans="1:81">
      <c r="A564" s="861"/>
      <c r="B564" s="860"/>
      <c r="C564" s="860"/>
      <c r="D564" s="860"/>
      <c r="E564" s="862"/>
      <c r="F564" s="860"/>
      <c r="G564" s="860"/>
      <c r="H564" s="860"/>
      <c r="I564" s="860"/>
      <c r="J564" s="860"/>
      <c r="K564" s="860"/>
      <c r="L564" s="860"/>
      <c r="M564" s="860"/>
      <c r="N564" s="860"/>
      <c r="O564" s="860"/>
      <c r="P564" s="860"/>
      <c r="Q564" s="860"/>
      <c r="R564" s="860"/>
      <c r="S564" s="860"/>
      <c r="T564" s="860"/>
      <c r="U564" s="860"/>
      <c r="V564" s="860"/>
      <c r="W564" s="860"/>
      <c r="X564" s="864"/>
      <c r="Y564" s="865"/>
      <c r="Z564" s="865"/>
      <c r="AA564" s="866"/>
      <c r="AB564" s="867"/>
      <c r="AC564" s="868"/>
      <c r="AD564" s="866"/>
      <c r="AE564" s="860"/>
      <c r="AF564" s="869"/>
      <c r="AG564" s="869"/>
      <c r="AH564" s="870"/>
      <c r="AI564" s="871"/>
      <c r="AJ564" s="870"/>
      <c r="AK564" s="870"/>
      <c r="AL564" s="860"/>
      <c r="AM564" s="860"/>
      <c r="AN564" s="860"/>
      <c r="AO564" s="860"/>
      <c r="AP564" s="860"/>
      <c r="AQ564" s="860"/>
      <c r="AR564" s="860"/>
      <c r="AS564" s="860"/>
      <c r="AT564" s="860"/>
      <c r="AU564" s="860"/>
      <c r="AV564" s="860"/>
      <c r="AW564" s="860"/>
      <c r="AX564" s="860"/>
      <c r="AY564" s="860"/>
      <c r="AZ564" s="860"/>
      <c r="BA564" s="860"/>
      <c r="BB564" s="860"/>
      <c r="BC564" s="860"/>
      <c r="BD564" s="860"/>
      <c r="BE564" s="860"/>
      <c r="BF564" s="860"/>
      <c r="BG564" s="860"/>
      <c r="BH564" s="860"/>
      <c r="BI564" s="860"/>
      <c r="BJ564" s="860"/>
      <c r="BK564" s="860"/>
      <c r="BL564" s="860"/>
      <c r="BM564" s="860"/>
      <c r="BN564" s="872"/>
      <c r="BO564" s="872"/>
      <c r="BP564" s="872"/>
      <c r="BQ564" s="872"/>
      <c r="BR564" s="872"/>
      <c r="BS564" s="872"/>
      <c r="BT564" s="860"/>
      <c r="BU564" s="860"/>
      <c r="BV564" s="860"/>
      <c r="BW564" s="860"/>
      <c r="BX564" s="872"/>
      <c r="BY564" s="872"/>
      <c r="BZ564" s="872"/>
      <c r="CA564" s="872"/>
      <c r="CB564" s="872"/>
      <c r="CC564" s="872"/>
    </row>
    <row r="565" s="860" customFormat="1" ht="13.5" spans="1:81">
      <c r="A565" s="861"/>
      <c r="B565" s="860"/>
      <c r="C565" s="860"/>
      <c r="D565" s="860"/>
      <c r="E565" s="862"/>
      <c r="F565" s="860"/>
      <c r="G565" s="860"/>
      <c r="H565" s="860"/>
      <c r="I565" s="860"/>
      <c r="J565" s="860"/>
      <c r="K565" s="860"/>
      <c r="L565" s="860"/>
      <c r="M565" s="860"/>
      <c r="N565" s="860"/>
      <c r="O565" s="860"/>
      <c r="P565" s="860"/>
      <c r="Q565" s="860"/>
      <c r="R565" s="860"/>
      <c r="S565" s="860"/>
      <c r="T565" s="860"/>
      <c r="U565" s="860"/>
      <c r="V565" s="860"/>
      <c r="W565" s="860"/>
      <c r="X565" s="864"/>
      <c r="Y565" s="865"/>
      <c r="Z565" s="865"/>
      <c r="AA565" s="866"/>
      <c r="AB565" s="867"/>
      <c r="AC565" s="868"/>
      <c r="AD565" s="866"/>
      <c r="AE565" s="860"/>
      <c r="AF565" s="869"/>
      <c r="AG565" s="869"/>
      <c r="AH565" s="870"/>
      <c r="AI565" s="871"/>
      <c r="AJ565" s="870"/>
      <c r="AK565" s="870"/>
      <c r="AL565" s="860"/>
      <c r="AM565" s="860"/>
      <c r="AN565" s="860"/>
      <c r="AO565" s="860"/>
      <c r="AP565" s="860"/>
      <c r="AQ565" s="860"/>
      <c r="AR565" s="860"/>
      <c r="AS565" s="860"/>
      <c r="AT565" s="860"/>
      <c r="AU565" s="860"/>
      <c r="AV565" s="860"/>
      <c r="AW565" s="860"/>
      <c r="AX565" s="860"/>
      <c r="AY565" s="860"/>
      <c r="AZ565" s="860"/>
      <c r="BA565" s="860"/>
      <c r="BB565" s="860"/>
      <c r="BC565" s="860"/>
      <c r="BD565" s="860"/>
      <c r="BE565" s="860"/>
      <c r="BF565" s="860"/>
      <c r="BG565" s="860"/>
      <c r="BH565" s="860"/>
      <c r="BI565" s="860"/>
      <c r="BJ565" s="860"/>
      <c r="BK565" s="860"/>
      <c r="BL565" s="860"/>
      <c r="BM565" s="860"/>
      <c r="BN565" s="872"/>
      <c r="BO565" s="872"/>
      <c r="BP565" s="872"/>
      <c r="BQ565" s="872"/>
      <c r="BR565" s="872"/>
      <c r="BS565" s="872"/>
      <c r="BT565" s="860"/>
      <c r="BU565" s="860"/>
      <c r="BV565" s="860"/>
      <c r="BW565" s="860"/>
      <c r="BX565" s="872"/>
      <c r="BY565" s="872"/>
      <c r="BZ565" s="872"/>
      <c r="CA565" s="872"/>
      <c r="CB565" s="872"/>
      <c r="CC565" s="872"/>
    </row>
    <row r="566" s="860" customFormat="1" ht="13.5" spans="1:81">
      <c r="A566" s="861"/>
      <c r="B566" s="860"/>
      <c r="C566" s="860"/>
      <c r="D566" s="860"/>
      <c r="E566" s="862"/>
      <c r="F566" s="860"/>
      <c r="G566" s="860"/>
      <c r="H566" s="860"/>
      <c r="I566" s="860"/>
      <c r="J566" s="860"/>
      <c r="K566" s="860"/>
      <c r="L566" s="860"/>
      <c r="M566" s="860"/>
      <c r="N566" s="860"/>
      <c r="O566" s="860"/>
      <c r="P566" s="860"/>
      <c r="Q566" s="860"/>
      <c r="R566" s="860"/>
      <c r="S566" s="860"/>
      <c r="T566" s="860"/>
      <c r="U566" s="860"/>
      <c r="V566" s="860"/>
      <c r="W566" s="860"/>
      <c r="X566" s="864"/>
      <c r="Y566" s="865"/>
      <c r="Z566" s="865"/>
      <c r="AA566" s="866"/>
      <c r="AB566" s="867"/>
      <c r="AC566" s="868"/>
      <c r="AD566" s="866"/>
      <c r="AE566" s="860"/>
      <c r="AF566" s="869"/>
      <c r="AG566" s="869"/>
      <c r="AH566" s="870"/>
      <c r="AI566" s="871"/>
      <c r="AJ566" s="870"/>
      <c r="AK566" s="870"/>
      <c r="AL566" s="860"/>
      <c r="AM566" s="860"/>
      <c r="AN566" s="860"/>
      <c r="AO566" s="860"/>
      <c r="AP566" s="860"/>
      <c r="AQ566" s="860"/>
      <c r="AR566" s="860"/>
      <c r="AS566" s="860"/>
      <c r="AT566" s="860"/>
      <c r="AU566" s="860"/>
      <c r="AV566" s="860"/>
      <c r="AW566" s="860"/>
      <c r="AX566" s="860"/>
      <c r="AY566" s="860"/>
      <c r="AZ566" s="860"/>
      <c r="BA566" s="860"/>
      <c r="BB566" s="860"/>
      <c r="BC566" s="860"/>
      <c r="BD566" s="860"/>
      <c r="BE566" s="860"/>
      <c r="BF566" s="860"/>
      <c r="BG566" s="860"/>
      <c r="BH566" s="860"/>
      <c r="BI566" s="860"/>
      <c r="BJ566" s="860"/>
      <c r="BK566" s="860"/>
      <c r="BL566" s="860"/>
      <c r="BM566" s="860"/>
      <c r="BN566" s="872"/>
      <c r="BO566" s="872"/>
      <c r="BP566" s="872"/>
      <c r="BQ566" s="872"/>
      <c r="BR566" s="872"/>
      <c r="BS566" s="872"/>
      <c r="BT566" s="860"/>
      <c r="BU566" s="860"/>
      <c r="BV566" s="860"/>
      <c r="BW566" s="860"/>
      <c r="BX566" s="872"/>
      <c r="BY566" s="872"/>
      <c r="BZ566" s="872"/>
      <c r="CA566" s="872"/>
      <c r="CB566" s="872"/>
      <c r="CC566" s="872"/>
    </row>
    <row r="567" s="860" customFormat="1" ht="13.5" spans="1:81">
      <c r="A567" s="861"/>
      <c r="B567" s="860"/>
      <c r="C567" s="860"/>
      <c r="D567" s="860"/>
      <c r="E567" s="862"/>
      <c r="F567" s="860"/>
      <c r="G567" s="860"/>
      <c r="H567" s="860"/>
      <c r="I567" s="860"/>
      <c r="J567" s="860"/>
      <c r="K567" s="860"/>
      <c r="L567" s="860"/>
      <c r="M567" s="860"/>
      <c r="N567" s="860"/>
      <c r="O567" s="860"/>
      <c r="P567" s="860"/>
      <c r="Q567" s="860"/>
      <c r="R567" s="860"/>
      <c r="S567" s="860"/>
      <c r="T567" s="860"/>
      <c r="U567" s="860"/>
      <c r="V567" s="860"/>
      <c r="W567" s="860"/>
      <c r="X567" s="864"/>
      <c r="Y567" s="865"/>
      <c r="Z567" s="865"/>
      <c r="AA567" s="866"/>
      <c r="AB567" s="867"/>
      <c r="AC567" s="868"/>
      <c r="AD567" s="866"/>
      <c r="AE567" s="860"/>
      <c r="AF567" s="869"/>
      <c r="AG567" s="869"/>
      <c r="AH567" s="870"/>
      <c r="AI567" s="871"/>
      <c r="AJ567" s="870"/>
      <c r="AK567" s="870"/>
      <c r="AL567" s="860"/>
      <c r="AM567" s="860"/>
      <c r="AN567" s="860"/>
      <c r="AO567" s="860"/>
      <c r="AP567" s="860"/>
      <c r="AQ567" s="860"/>
      <c r="AR567" s="860"/>
      <c r="AS567" s="860"/>
      <c r="AT567" s="860"/>
      <c r="AU567" s="860"/>
      <c r="AV567" s="860"/>
      <c r="AW567" s="860"/>
      <c r="AX567" s="860"/>
      <c r="AY567" s="860"/>
      <c r="AZ567" s="860"/>
      <c r="BA567" s="860"/>
      <c r="BB567" s="860"/>
      <c r="BC567" s="860"/>
      <c r="BD567" s="860"/>
      <c r="BE567" s="860"/>
      <c r="BF567" s="860"/>
      <c r="BG567" s="860"/>
      <c r="BH567" s="860"/>
      <c r="BI567" s="860"/>
      <c r="BJ567" s="860"/>
      <c r="BK567" s="860"/>
      <c r="BL567" s="860"/>
      <c r="BM567" s="860"/>
      <c r="BN567" s="872"/>
      <c r="BO567" s="872"/>
      <c r="BP567" s="872"/>
      <c r="BQ567" s="872"/>
      <c r="BR567" s="872"/>
      <c r="BS567" s="872"/>
      <c r="BT567" s="860"/>
      <c r="BU567" s="860"/>
      <c r="BV567" s="860"/>
      <c r="BW567" s="860"/>
      <c r="BX567" s="872"/>
      <c r="BY567" s="872"/>
      <c r="BZ567" s="872"/>
      <c r="CA567" s="872"/>
      <c r="CB567" s="872"/>
      <c r="CC567" s="872"/>
    </row>
    <row r="568" s="860" customFormat="1" ht="13.5" spans="1:81">
      <c r="A568" s="861"/>
      <c r="B568" s="860"/>
      <c r="C568" s="860"/>
      <c r="D568" s="860"/>
      <c r="E568" s="862"/>
      <c r="F568" s="860"/>
      <c r="G568" s="860"/>
      <c r="H568" s="860"/>
      <c r="I568" s="860"/>
      <c r="J568" s="860"/>
      <c r="K568" s="860"/>
      <c r="L568" s="860"/>
      <c r="M568" s="860"/>
      <c r="N568" s="860"/>
      <c r="O568" s="860"/>
      <c r="P568" s="860"/>
      <c r="Q568" s="860"/>
      <c r="R568" s="860"/>
      <c r="S568" s="860"/>
      <c r="T568" s="860"/>
      <c r="U568" s="860"/>
      <c r="V568" s="860"/>
      <c r="W568" s="860"/>
      <c r="X568" s="864"/>
      <c r="Y568" s="865"/>
      <c r="Z568" s="865"/>
      <c r="AA568" s="866"/>
      <c r="AB568" s="867"/>
      <c r="AC568" s="868"/>
      <c r="AD568" s="866"/>
      <c r="AE568" s="860"/>
      <c r="AF568" s="869"/>
      <c r="AG568" s="869"/>
      <c r="AH568" s="870"/>
      <c r="AI568" s="871"/>
      <c r="AJ568" s="870"/>
      <c r="AK568" s="870"/>
      <c r="AL568" s="860"/>
      <c r="AM568" s="860"/>
      <c r="AN568" s="860"/>
      <c r="AO568" s="860"/>
      <c r="AP568" s="860"/>
      <c r="AQ568" s="860"/>
      <c r="AR568" s="860"/>
      <c r="AS568" s="860"/>
      <c r="AT568" s="860"/>
      <c r="AU568" s="860"/>
      <c r="AV568" s="860"/>
      <c r="AW568" s="860"/>
      <c r="AX568" s="860"/>
      <c r="AY568" s="860"/>
      <c r="AZ568" s="860"/>
      <c r="BA568" s="860"/>
      <c r="BB568" s="860"/>
      <c r="BC568" s="860"/>
      <c r="BD568" s="860"/>
      <c r="BE568" s="860"/>
      <c r="BF568" s="860"/>
      <c r="BG568" s="860"/>
      <c r="BH568" s="860"/>
      <c r="BI568" s="860"/>
      <c r="BJ568" s="860"/>
      <c r="BK568" s="860"/>
      <c r="BL568" s="860"/>
      <c r="BM568" s="860"/>
      <c r="BN568" s="872"/>
      <c r="BO568" s="872"/>
      <c r="BP568" s="872"/>
      <c r="BQ568" s="872"/>
      <c r="BR568" s="872"/>
      <c r="BS568" s="872"/>
      <c r="BT568" s="860"/>
      <c r="BU568" s="860"/>
      <c r="BV568" s="860"/>
      <c r="BW568" s="860"/>
      <c r="BX568" s="872"/>
      <c r="BY568" s="872"/>
      <c r="BZ568" s="872"/>
      <c r="CA568" s="872"/>
      <c r="CB568" s="872"/>
      <c r="CC568" s="872"/>
    </row>
    <row r="569" s="860" customFormat="1" ht="13.5" spans="1:81">
      <c r="A569" s="861"/>
      <c r="B569" s="860"/>
      <c r="C569" s="860"/>
      <c r="D569" s="860"/>
      <c r="E569" s="862"/>
      <c r="F569" s="860"/>
      <c r="G569" s="860"/>
      <c r="H569" s="860"/>
      <c r="I569" s="860"/>
      <c r="J569" s="860"/>
      <c r="K569" s="860"/>
      <c r="L569" s="860"/>
      <c r="M569" s="860"/>
      <c r="N569" s="860"/>
      <c r="O569" s="860"/>
      <c r="P569" s="860"/>
      <c r="Q569" s="860"/>
      <c r="R569" s="860"/>
      <c r="S569" s="860"/>
      <c r="T569" s="860"/>
      <c r="U569" s="860"/>
      <c r="V569" s="860"/>
      <c r="W569" s="860"/>
      <c r="X569" s="864"/>
      <c r="Y569" s="865"/>
      <c r="Z569" s="865"/>
      <c r="AA569" s="866"/>
      <c r="AB569" s="867"/>
      <c r="AC569" s="868"/>
      <c r="AD569" s="866"/>
      <c r="AE569" s="860"/>
      <c r="AF569" s="869"/>
      <c r="AG569" s="869"/>
      <c r="AH569" s="870"/>
      <c r="AI569" s="871"/>
      <c r="AJ569" s="870"/>
      <c r="AK569" s="870"/>
      <c r="AL569" s="860"/>
      <c r="AM569" s="860"/>
      <c r="AN569" s="860"/>
      <c r="AO569" s="860"/>
      <c r="AP569" s="860"/>
      <c r="AQ569" s="860"/>
      <c r="AR569" s="860"/>
      <c r="AS569" s="860"/>
      <c r="AT569" s="860"/>
      <c r="AU569" s="860"/>
      <c r="AV569" s="860"/>
      <c r="AW569" s="860"/>
      <c r="AX569" s="860"/>
      <c r="AY569" s="860"/>
      <c r="AZ569" s="860"/>
      <c r="BA569" s="860"/>
      <c r="BB569" s="860"/>
      <c r="BC569" s="860"/>
      <c r="BD569" s="860"/>
      <c r="BE569" s="860"/>
      <c r="BF569" s="860"/>
      <c r="BG569" s="860"/>
      <c r="BH569" s="860"/>
      <c r="BI569" s="860"/>
      <c r="BJ569" s="860"/>
      <c r="BK569" s="860"/>
      <c r="BL569" s="860"/>
      <c r="BM569" s="860"/>
      <c r="BN569" s="872"/>
      <c r="BO569" s="872"/>
      <c r="BP569" s="872"/>
      <c r="BQ569" s="872"/>
      <c r="BR569" s="872"/>
      <c r="BS569" s="872"/>
      <c r="BT569" s="860"/>
      <c r="BU569" s="860"/>
      <c r="BV569" s="860"/>
      <c r="BW569" s="860"/>
      <c r="BX569" s="872"/>
      <c r="BY569" s="872"/>
      <c r="BZ569" s="872"/>
      <c r="CA569" s="872"/>
      <c r="CB569" s="872"/>
      <c r="CC569" s="872"/>
    </row>
    <row r="570" s="860" customFormat="1" ht="13.5" spans="1:81">
      <c r="A570" s="861"/>
      <c r="B570" s="860"/>
      <c r="C570" s="860"/>
      <c r="D570" s="860"/>
      <c r="E570" s="862"/>
      <c r="F570" s="860"/>
      <c r="G570" s="860"/>
      <c r="H570" s="860"/>
      <c r="I570" s="860"/>
      <c r="J570" s="860"/>
      <c r="K570" s="860"/>
      <c r="L570" s="860"/>
      <c r="M570" s="860"/>
      <c r="N570" s="860"/>
      <c r="O570" s="860"/>
      <c r="P570" s="860"/>
      <c r="Q570" s="860"/>
      <c r="R570" s="860"/>
      <c r="S570" s="860"/>
      <c r="T570" s="860"/>
      <c r="U570" s="860"/>
      <c r="V570" s="860"/>
      <c r="W570" s="860"/>
      <c r="X570" s="864"/>
      <c r="Y570" s="865"/>
      <c r="Z570" s="865"/>
      <c r="AA570" s="866"/>
      <c r="AB570" s="867"/>
      <c r="AC570" s="868"/>
      <c r="AD570" s="866"/>
      <c r="AE570" s="860"/>
      <c r="AF570" s="869"/>
      <c r="AG570" s="869"/>
      <c r="AH570" s="870"/>
      <c r="AI570" s="871"/>
      <c r="AJ570" s="870"/>
      <c r="AK570" s="870"/>
      <c r="AL570" s="860"/>
      <c r="AM570" s="860"/>
      <c r="AN570" s="860"/>
      <c r="AO570" s="860"/>
      <c r="AP570" s="860"/>
      <c r="AQ570" s="860"/>
      <c r="AR570" s="860"/>
      <c r="AS570" s="860"/>
      <c r="AT570" s="860"/>
      <c r="AU570" s="860"/>
      <c r="AV570" s="860"/>
      <c r="AW570" s="860"/>
      <c r="AX570" s="860"/>
      <c r="AY570" s="860"/>
      <c r="AZ570" s="860"/>
      <c r="BA570" s="860"/>
      <c r="BB570" s="860"/>
      <c r="BC570" s="860"/>
      <c r="BD570" s="860"/>
      <c r="BE570" s="860"/>
      <c r="BF570" s="860"/>
      <c r="BG570" s="860"/>
      <c r="BH570" s="860"/>
      <c r="BI570" s="860"/>
      <c r="BJ570" s="860"/>
      <c r="BK570" s="860"/>
      <c r="BL570" s="860"/>
      <c r="BM570" s="860"/>
      <c r="BN570" s="872"/>
      <c r="BO570" s="872"/>
      <c r="BP570" s="872"/>
      <c r="BQ570" s="872"/>
      <c r="BR570" s="872"/>
      <c r="BS570" s="872"/>
      <c r="BT570" s="860"/>
      <c r="BU570" s="860"/>
      <c r="BV570" s="860"/>
      <c r="BW570" s="860"/>
      <c r="BX570" s="872"/>
      <c r="BY570" s="872"/>
      <c r="BZ570" s="872"/>
      <c r="CA570" s="872"/>
      <c r="CB570" s="872"/>
      <c r="CC570" s="872"/>
    </row>
    <row r="571" s="860" customFormat="1" ht="13.5" spans="1:81">
      <c r="A571" s="861"/>
      <c r="B571" s="860"/>
      <c r="C571" s="860"/>
      <c r="D571" s="860"/>
      <c r="E571" s="862"/>
      <c r="F571" s="860"/>
      <c r="G571" s="860"/>
      <c r="H571" s="860"/>
      <c r="I571" s="860"/>
      <c r="J571" s="860"/>
      <c r="K571" s="860"/>
      <c r="L571" s="860"/>
      <c r="M571" s="860"/>
      <c r="N571" s="860"/>
      <c r="O571" s="860"/>
      <c r="P571" s="860"/>
      <c r="Q571" s="860"/>
      <c r="R571" s="860"/>
      <c r="S571" s="860"/>
      <c r="T571" s="860"/>
      <c r="U571" s="860"/>
      <c r="V571" s="860"/>
      <c r="W571" s="860"/>
      <c r="X571" s="864"/>
      <c r="Y571" s="865"/>
      <c r="Z571" s="865"/>
      <c r="AA571" s="866"/>
      <c r="AB571" s="867"/>
      <c r="AC571" s="868"/>
      <c r="AD571" s="866"/>
      <c r="AE571" s="860"/>
      <c r="AF571" s="869"/>
      <c r="AG571" s="869"/>
      <c r="AH571" s="870"/>
      <c r="AI571" s="871"/>
      <c r="AJ571" s="870"/>
      <c r="AK571" s="870"/>
      <c r="AL571" s="860"/>
      <c r="AM571" s="860"/>
      <c r="AN571" s="860"/>
      <c r="AO571" s="860"/>
      <c r="AP571" s="860"/>
      <c r="AQ571" s="860"/>
      <c r="AR571" s="860"/>
      <c r="AS571" s="860"/>
      <c r="AT571" s="860"/>
      <c r="AU571" s="860"/>
      <c r="AV571" s="860"/>
      <c r="AW571" s="860"/>
      <c r="AX571" s="860"/>
      <c r="AY571" s="860"/>
      <c r="AZ571" s="860"/>
      <c r="BA571" s="860"/>
      <c r="BB571" s="860"/>
      <c r="BC571" s="860"/>
      <c r="BD571" s="860"/>
      <c r="BE571" s="860"/>
      <c r="BF571" s="860"/>
      <c r="BG571" s="860"/>
      <c r="BH571" s="860"/>
      <c r="BI571" s="860"/>
      <c r="BJ571" s="860"/>
      <c r="BK571" s="860"/>
      <c r="BL571" s="860"/>
      <c r="BM571" s="860"/>
      <c r="BN571" s="872"/>
      <c r="BO571" s="872"/>
      <c r="BP571" s="872"/>
      <c r="BQ571" s="872"/>
      <c r="BR571" s="872"/>
      <c r="BS571" s="872"/>
      <c r="BT571" s="860"/>
      <c r="BU571" s="860"/>
      <c r="BV571" s="860"/>
      <c r="BW571" s="860"/>
      <c r="BX571" s="872"/>
      <c r="BY571" s="872"/>
      <c r="BZ571" s="872"/>
      <c r="CA571" s="872"/>
      <c r="CB571" s="872"/>
      <c r="CC571" s="872"/>
    </row>
    <row r="572" s="860" customFormat="1" ht="13.5" spans="1:81">
      <c r="A572" s="861"/>
      <c r="B572" s="860"/>
      <c r="C572" s="860"/>
      <c r="D572" s="860"/>
      <c r="E572" s="862"/>
      <c r="F572" s="860"/>
      <c r="G572" s="860"/>
      <c r="H572" s="860"/>
      <c r="I572" s="860"/>
      <c r="J572" s="860"/>
      <c r="K572" s="860"/>
      <c r="L572" s="860"/>
      <c r="M572" s="860"/>
      <c r="N572" s="860"/>
      <c r="O572" s="860"/>
      <c r="P572" s="860"/>
      <c r="Q572" s="860"/>
      <c r="R572" s="860"/>
      <c r="S572" s="860"/>
      <c r="T572" s="860"/>
      <c r="U572" s="860"/>
      <c r="V572" s="860"/>
      <c r="W572" s="860"/>
      <c r="X572" s="864"/>
      <c r="Y572" s="865"/>
      <c r="Z572" s="865"/>
      <c r="AA572" s="866"/>
      <c r="AB572" s="867"/>
      <c r="AC572" s="868"/>
      <c r="AD572" s="866"/>
      <c r="AE572" s="860"/>
      <c r="AF572" s="869"/>
      <c r="AG572" s="869"/>
      <c r="AH572" s="870"/>
      <c r="AI572" s="871"/>
      <c r="AJ572" s="870"/>
      <c r="AK572" s="870"/>
      <c r="AL572" s="860"/>
      <c r="AM572" s="860"/>
      <c r="AN572" s="860"/>
      <c r="AO572" s="860"/>
      <c r="AP572" s="860"/>
      <c r="AQ572" s="860"/>
      <c r="AR572" s="860"/>
      <c r="AS572" s="860"/>
      <c r="AT572" s="860"/>
      <c r="AU572" s="860"/>
      <c r="AV572" s="860"/>
      <c r="AW572" s="860"/>
      <c r="AX572" s="860"/>
      <c r="AY572" s="860"/>
      <c r="AZ572" s="860"/>
      <c r="BA572" s="860"/>
      <c r="BB572" s="860"/>
      <c r="BC572" s="860"/>
      <c r="BD572" s="860"/>
      <c r="BE572" s="860"/>
      <c r="BF572" s="860"/>
      <c r="BG572" s="860"/>
      <c r="BH572" s="860"/>
      <c r="BI572" s="860"/>
      <c r="BJ572" s="860"/>
      <c r="BK572" s="860"/>
      <c r="BL572" s="860"/>
      <c r="BM572" s="860"/>
      <c r="BN572" s="872"/>
      <c r="BO572" s="872"/>
      <c r="BP572" s="872"/>
      <c r="BQ572" s="872"/>
      <c r="BR572" s="872"/>
      <c r="BS572" s="872"/>
      <c r="BT572" s="860"/>
      <c r="BU572" s="860"/>
      <c r="BV572" s="860"/>
      <c r="BW572" s="860"/>
      <c r="BX572" s="872"/>
      <c r="BY572" s="872"/>
      <c r="BZ572" s="872"/>
      <c r="CA572" s="872"/>
      <c r="CB572" s="872"/>
      <c r="CC572" s="872"/>
    </row>
    <row r="573" s="860" customFormat="1" ht="13.5" spans="1:81">
      <c r="A573" s="861"/>
      <c r="B573" s="860"/>
      <c r="C573" s="860"/>
      <c r="D573" s="860"/>
      <c r="E573" s="862"/>
      <c r="F573" s="860"/>
      <c r="G573" s="860"/>
      <c r="H573" s="860"/>
      <c r="I573" s="860"/>
      <c r="J573" s="860"/>
      <c r="K573" s="860"/>
      <c r="L573" s="860"/>
      <c r="M573" s="860"/>
      <c r="N573" s="860"/>
      <c r="O573" s="860"/>
      <c r="P573" s="860"/>
      <c r="Q573" s="860"/>
      <c r="R573" s="860"/>
      <c r="S573" s="860"/>
      <c r="T573" s="860"/>
      <c r="U573" s="860"/>
      <c r="V573" s="860"/>
      <c r="W573" s="860"/>
      <c r="X573" s="864"/>
      <c r="Y573" s="865"/>
      <c r="Z573" s="865"/>
      <c r="AA573" s="866"/>
      <c r="AB573" s="867"/>
      <c r="AC573" s="868"/>
      <c r="AD573" s="866"/>
      <c r="AE573" s="860"/>
      <c r="AF573" s="869"/>
      <c r="AG573" s="869"/>
      <c r="AH573" s="870"/>
      <c r="AI573" s="871"/>
      <c r="AJ573" s="870"/>
      <c r="AK573" s="870"/>
      <c r="AL573" s="860"/>
      <c r="AM573" s="860"/>
      <c r="AN573" s="860"/>
      <c r="AO573" s="860"/>
      <c r="AP573" s="860"/>
      <c r="AQ573" s="860"/>
      <c r="AR573" s="860"/>
      <c r="AS573" s="860"/>
      <c r="AT573" s="860"/>
      <c r="AU573" s="860"/>
      <c r="AV573" s="860"/>
      <c r="AW573" s="860"/>
      <c r="AX573" s="860"/>
      <c r="AY573" s="860"/>
      <c r="AZ573" s="860"/>
      <c r="BA573" s="860"/>
      <c r="BB573" s="860"/>
      <c r="BC573" s="860"/>
      <c r="BD573" s="860"/>
      <c r="BE573" s="860"/>
      <c r="BF573" s="860"/>
      <c r="BG573" s="860"/>
      <c r="BH573" s="860"/>
      <c r="BI573" s="860"/>
      <c r="BJ573" s="860"/>
      <c r="BK573" s="860"/>
      <c r="BL573" s="860"/>
      <c r="BM573" s="860"/>
      <c r="BN573" s="872"/>
      <c r="BO573" s="872"/>
      <c r="BP573" s="872"/>
      <c r="BQ573" s="872"/>
      <c r="BR573" s="872"/>
      <c r="BS573" s="872"/>
      <c r="BT573" s="860"/>
      <c r="BU573" s="860"/>
      <c r="BV573" s="860"/>
      <c r="BW573" s="860"/>
      <c r="BX573" s="872"/>
      <c r="BY573" s="872"/>
      <c r="BZ573" s="872"/>
      <c r="CA573" s="872"/>
      <c r="CB573" s="872"/>
      <c r="CC573" s="872"/>
    </row>
    <row r="574" s="860" customFormat="1" ht="13.5" spans="1:81">
      <c r="A574" s="861"/>
      <c r="B574" s="860"/>
      <c r="C574" s="860"/>
      <c r="D574" s="860"/>
      <c r="E574" s="862"/>
      <c r="F574" s="860"/>
      <c r="G574" s="860"/>
      <c r="H574" s="860"/>
      <c r="I574" s="860"/>
      <c r="J574" s="860"/>
      <c r="K574" s="860"/>
      <c r="L574" s="860"/>
      <c r="M574" s="860"/>
      <c r="N574" s="860"/>
      <c r="O574" s="860"/>
      <c r="P574" s="860"/>
      <c r="Q574" s="860"/>
      <c r="R574" s="860"/>
      <c r="S574" s="860"/>
      <c r="T574" s="860"/>
      <c r="U574" s="860"/>
      <c r="V574" s="860"/>
      <c r="W574" s="860"/>
      <c r="X574" s="864"/>
      <c r="Y574" s="865"/>
      <c r="Z574" s="865"/>
      <c r="AA574" s="866"/>
      <c r="AB574" s="867"/>
      <c r="AC574" s="868"/>
      <c r="AD574" s="866"/>
      <c r="AE574" s="860"/>
      <c r="AF574" s="869"/>
      <c r="AG574" s="869"/>
      <c r="AH574" s="870"/>
      <c r="AI574" s="871"/>
      <c r="AJ574" s="870"/>
      <c r="AK574" s="870"/>
      <c r="AL574" s="860"/>
      <c r="AM574" s="860"/>
      <c r="AN574" s="860"/>
      <c r="AO574" s="860"/>
      <c r="AP574" s="860"/>
      <c r="AQ574" s="860"/>
      <c r="AR574" s="860"/>
      <c r="AS574" s="860"/>
      <c r="AT574" s="860"/>
      <c r="AU574" s="860"/>
      <c r="AV574" s="860"/>
      <c r="AW574" s="860"/>
      <c r="AX574" s="860"/>
      <c r="AY574" s="860"/>
      <c r="AZ574" s="860"/>
      <c r="BA574" s="860"/>
      <c r="BB574" s="860"/>
      <c r="BC574" s="860"/>
      <c r="BD574" s="860"/>
      <c r="BE574" s="860"/>
      <c r="BF574" s="860"/>
      <c r="BG574" s="860"/>
      <c r="BH574" s="860"/>
      <c r="BI574" s="860"/>
      <c r="BJ574" s="860"/>
      <c r="BK574" s="860"/>
      <c r="BL574" s="860"/>
      <c r="BM574" s="860"/>
      <c r="BN574" s="872"/>
      <c r="BO574" s="872"/>
      <c r="BP574" s="872"/>
      <c r="BQ574" s="872"/>
      <c r="BR574" s="872"/>
      <c r="BS574" s="872"/>
      <c r="BT574" s="860"/>
      <c r="BU574" s="860"/>
      <c r="BV574" s="860"/>
      <c r="BW574" s="860"/>
      <c r="BX574" s="872"/>
      <c r="BY574" s="872"/>
      <c r="BZ574" s="872"/>
      <c r="CA574" s="872"/>
      <c r="CB574" s="872"/>
      <c r="CC574" s="872"/>
    </row>
    <row r="575" s="860" customFormat="1" ht="13.5" spans="1:81">
      <c r="A575" s="861"/>
      <c r="B575" s="860"/>
      <c r="C575" s="860"/>
      <c r="D575" s="860"/>
      <c r="E575" s="862"/>
      <c r="F575" s="860"/>
      <c r="G575" s="860"/>
      <c r="H575" s="860"/>
      <c r="I575" s="860"/>
      <c r="J575" s="860"/>
      <c r="K575" s="860"/>
      <c r="L575" s="860"/>
      <c r="M575" s="860"/>
      <c r="N575" s="860"/>
      <c r="O575" s="860"/>
      <c r="P575" s="860"/>
      <c r="Q575" s="860"/>
      <c r="R575" s="860"/>
      <c r="S575" s="860"/>
      <c r="T575" s="860"/>
      <c r="U575" s="860"/>
      <c r="V575" s="860"/>
      <c r="W575" s="860"/>
      <c r="X575" s="864"/>
      <c r="Y575" s="865"/>
      <c r="Z575" s="865"/>
      <c r="AA575" s="866"/>
      <c r="AB575" s="867"/>
      <c r="AC575" s="868"/>
      <c r="AD575" s="866"/>
      <c r="AE575" s="860"/>
      <c r="AF575" s="869"/>
      <c r="AG575" s="869"/>
      <c r="AH575" s="870"/>
      <c r="AI575" s="871"/>
      <c r="AJ575" s="870"/>
      <c r="AK575" s="870"/>
      <c r="AL575" s="860"/>
      <c r="AM575" s="860"/>
      <c r="AN575" s="860"/>
      <c r="AO575" s="860"/>
      <c r="AP575" s="860"/>
      <c r="AQ575" s="860"/>
      <c r="AR575" s="860"/>
      <c r="AS575" s="860"/>
      <c r="AT575" s="860"/>
      <c r="AU575" s="860"/>
      <c r="AV575" s="860"/>
      <c r="AW575" s="860"/>
      <c r="AX575" s="860"/>
      <c r="AY575" s="860"/>
      <c r="AZ575" s="860"/>
      <c r="BA575" s="860"/>
      <c r="BB575" s="860"/>
      <c r="BC575" s="860"/>
      <c r="BD575" s="860"/>
      <c r="BE575" s="860"/>
      <c r="BF575" s="860"/>
      <c r="BG575" s="860"/>
      <c r="BH575" s="860"/>
      <c r="BI575" s="860"/>
      <c r="BJ575" s="860"/>
      <c r="BK575" s="860"/>
      <c r="BL575" s="860"/>
      <c r="BM575" s="860"/>
      <c r="BN575" s="872"/>
      <c r="BO575" s="872"/>
      <c r="BP575" s="872"/>
      <c r="BQ575" s="872"/>
      <c r="BR575" s="872"/>
      <c r="BS575" s="872"/>
      <c r="BT575" s="860"/>
      <c r="BU575" s="860"/>
      <c r="BV575" s="860"/>
      <c r="BW575" s="860"/>
      <c r="BX575" s="872"/>
      <c r="BY575" s="872"/>
      <c r="BZ575" s="872"/>
      <c r="CA575" s="872"/>
      <c r="CB575" s="872"/>
      <c r="CC575" s="872"/>
    </row>
    <row r="576" s="860" customFormat="1" ht="13.5" spans="1:81">
      <c r="A576" s="861"/>
      <c r="B576" s="860"/>
      <c r="C576" s="860"/>
      <c r="D576" s="860"/>
      <c r="E576" s="862"/>
      <c r="F576" s="860"/>
      <c r="G576" s="860"/>
      <c r="H576" s="860"/>
      <c r="I576" s="860"/>
      <c r="J576" s="860"/>
      <c r="K576" s="860"/>
      <c r="L576" s="860"/>
      <c r="M576" s="860"/>
      <c r="N576" s="860"/>
      <c r="O576" s="860"/>
      <c r="P576" s="860"/>
      <c r="Q576" s="860"/>
      <c r="R576" s="860"/>
      <c r="S576" s="860"/>
      <c r="T576" s="860"/>
      <c r="U576" s="860"/>
      <c r="V576" s="860"/>
      <c r="W576" s="860"/>
      <c r="X576" s="864"/>
      <c r="Y576" s="865"/>
      <c r="Z576" s="865"/>
      <c r="AA576" s="866"/>
      <c r="AB576" s="867"/>
      <c r="AC576" s="868"/>
      <c r="AD576" s="866"/>
      <c r="AE576" s="860"/>
      <c r="AF576" s="869"/>
      <c r="AG576" s="869"/>
      <c r="AH576" s="870"/>
      <c r="AI576" s="871"/>
      <c r="AJ576" s="870"/>
      <c r="AK576" s="870"/>
      <c r="AL576" s="860"/>
      <c r="AM576" s="860"/>
      <c r="AN576" s="860"/>
      <c r="AO576" s="860"/>
      <c r="AP576" s="860"/>
      <c r="AQ576" s="860"/>
      <c r="AR576" s="860"/>
      <c r="AS576" s="860"/>
      <c r="AT576" s="860"/>
      <c r="AU576" s="860"/>
      <c r="AV576" s="860"/>
      <c r="AW576" s="860"/>
      <c r="AX576" s="860"/>
      <c r="AY576" s="860"/>
      <c r="AZ576" s="860"/>
      <c r="BA576" s="860"/>
      <c r="BB576" s="860"/>
      <c r="BC576" s="860"/>
      <c r="BD576" s="860"/>
      <c r="BE576" s="860"/>
      <c r="BF576" s="860"/>
      <c r="BG576" s="860"/>
      <c r="BH576" s="860"/>
      <c r="BI576" s="860"/>
      <c r="BJ576" s="860"/>
      <c r="BK576" s="860"/>
      <c r="BL576" s="860"/>
      <c r="BM576" s="860"/>
      <c r="BN576" s="872"/>
      <c r="BO576" s="872"/>
      <c r="BP576" s="872"/>
      <c r="BQ576" s="872"/>
      <c r="BR576" s="872"/>
      <c r="BS576" s="872"/>
      <c r="BT576" s="860"/>
      <c r="BU576" s="860"/>
      <c r="BV576" s="860"/>
      <c r="BW576" s="860"/>
      <c r="BX576" s="872"/>
      <c r="BY576" s="872"/>
      <c r="BZ576" s="872"/>
      <c r="CA576" s="872"/>
      <c r="CB576" s="872"/>
      <c r="CC576" s="872"/>
    </row>
    <row r="577" s="860" customFormat="1" ht="13.5" spans="1:81">
      <c r="A577" s="861"/>
      <c r="B577" s="860"/>
      <c r="C577" s="860"/>
      <c r="D577" s="860"/>
      <c r="E577" s="862"/>
      <c r="F577" s="860"/>
      <c r="G577" s="860"/>
      <c r="H577" s="860"/>
      <c r="I577" s="860"/>
      <c r="J577" s="860"/>
      <c r="K577" s="860"/>
      <c r="L577" s="860"/>
      <c r="M577" s="860"/>
      <c r="N577" s="860"/>
      <c r="O577" s="860"/>
      <c r="P577" s="860"/>
      <c r="Q577" s="860"/>
      <c r="R577" s="860"/>
      <c r="S577" s="860"/>
      <c r="T577" s="860"/>
      <c r="U577" s="860"/>
      <c r="V577" s="860"/>
      <c r="W577" s="860"/>
      <c r="X577" s="864"/>
      <c r="Y577" s="865"/>
      <c r="Z577" s="865"/>
      <c r="AA577" s="866"/>
      <c r="AB577" s="867"/>
      <c r="AC577" s="868"/>
      <c r="AD577" s="866"/>
      <c r="AE577" s="860"/>
      <c r="AF577" s="869"/>
      <c r="AG577" s="869"/>
      <c r="AH577" s="870"/>
      <c r="AI577" s="871"/>
      <c r="AJ577" s="870"/>
      <c r="AK577" s="870"/>
      <c r="AL577" s="860"/>
      <c r="AM577" s="860"/>
      <c r="AN577" s="860"/>
      <c r="AO577" s="860"/>
      <c r="AP577" s="860"/>
      <c r="AQ577" s="860"/>
      <c r="AR577" s="860"/>
      <c r="AS577" s="860"/>
      <c r="AT577" s="860"/>
      <c r="AU577" s="860"/>
      <c r="AV577" s="860"/>
      <c r="AW577" s="860"/>
      <c r="AX577" s="860"/>
      <c r="AY577" s="860"/>
      <c r="AZ577" s="860"/>
      <c r="BA577" s="860"/>
      <c r="BB577" s="860"/>
      <c r="BC577" s="860"/>
      <c r="BD577" s="860"/>
      <c r="BE577" s="860"/>
      <c r="BF577" s="860"/>
      <c r="BG577" s="860"/>
      <c r="BH577" s="860"/>
      <c r="BI577" s="860"/>
      <c r="BJ577" s="860"/>
      <c r="BK577" s="860"/>
      <c r="BL577" s="860"/>
      <c r="BM577" s="860"/>
      <c r="BN577" s="872"/>
      <c r="BO577" s="872"/>
      <c r="BP577" s="872"/>
      <c r="BQ577" s="872"/>
      <c r="BR577" s="872"/>
      <c r="BS577" s="872"/>
      <c r="BT577" s="860"/>
      <c r="BU577" s="860"/>
      <c r="BV577" s="860"/>
      <c r="BW577" s="860"/>
      <c r="BX577" s="872"/>
      <c r="BY577" s="872"/>
      <c r="BZ577" s="872"/>
      <c r="CA577" s="872"/>
      <c r="CB577" s="872"/>
      <c r="CC577" s="872"/>
    </row>
    <row r="578" s="860" customFormat="1" ht="13.5" spans="1:81">
      <c r="A578" s="861"/>
      <c r="B578" s="860"/>
      <c r="C578" s="860"/>
      <c r="D578" s="860"/>
      <c r="E578" s="862"/>
      <c r="F578" s="860"/>
      <c r="G578" s="860"/>
      <c r="H578" s="860"/>
      <c r="I578" s="860"/>
      <c r="J578" s="860"/>
      <c r="K578" s="860"/>
      <c r="L578" s="860"/>
      <c r="M578" s="860"/>
      <c r="N578" s="860"/>
      <c r="O578" s="860"/>
      <c r="P578" s="860"/>
      <c r="Q578" s="860"/>
      <c r="R578" s="860"/>
      <c r="S578" s="860"/>
      <c r="T578" s="860"/>
      <c r="U578" s="860"/>
      <c r="V578" s="860"/>
      <c r="W578" s="860"/>
      <c r="X578" s="864"/>
      <c r="Y578" s="865"/>
      <c r="Z578" s="865"/>
      <c r="AA578" s="866"/>
      <c r="AB578" s="867"/>
      <c r="AC578" s="868"/>
      <c r="AD578" s="866"/>
      <c r="AE578" s="860"/>
      <c r="AF578" s="869"/>
      <c r="AG578" s="869"/>
      <c r="AH578" s="870"/>
      <c r="AI578" s="871"/>
      <c r="AJ578" s="870"/>
      <c r="AK578" s="870"/>
      <c r="AL578" s="860"/>
      <c r="AM578" s="860"/>
      <c r="AN578" s="860"/>
      <c r="AO578" s="860"/>
      <c r="AP578" s="860"/>
      <c r="AQ578" s="860"/>
      <c r="AR578" s="860"/>
      <c r="AS578" s="860"/>
      <c r="AT578" s="860"/>
      <c r="AU578" s="860"/>
      <c r="AV578" s="860"/>
      <c r="AW578" s="860"/>
      <c r="AX578" s="860"/>
      <c r="AY578" s="860"/>
      <c r="AZ578" s="860"/>
      <c r="BA578" s="860"/>
      <c r="BB578" s="860"/>
      <c r="BC578" s="860"/>
      <c r="BD578" s="860"/>
      <c r="BE578" s="860"/>
      <c r="BF578" s="860"/>
      <c r="BG578" s="860"/>
      <c r="BH578" s="860"/>
      <c r="BI578" s="860"/>
      <c r="BJ578" s="860"/>
      <c r="BK578" s="860"/>
      <c r="BL578" s="860"/>
      <c r="BM578" s="860"/>
      <c r="BN578" s="872"/>
      <c r="BO578" s="872"/>
      <c r="BP578" s="872"/>
      <c r="BQ578" s="872"/>
      <c r="BR578" s="872"/>
      <c r="BS578" s="872"/>
      <c r="BT578" s="860"/>
      <c r="BU578" s="860"/>
      <c r="BV578" s="860"/>
      <c r="BW578" s="860"/>
      <c r="BX578" s="872"/>
      <c r="BY578" s="872"/>
      <c r="BZ578" s="872"/>
      <c r="CA578" s="872"/>
      <c r="CB578" s="872"/>
      <c r="CC578" s="872"/>
    </row>
    <row r="579" s="860" customFormat="1" ht="13.5" spans="1:81">
      <c r="A579" s="861"/>
      <c r="B579" s="860"/>
      <c r="C579" s="860"/>
      <c r="D579" s="860"/>
      <c r="E579" s="862"/>
      <c r="F579" s="860"/>
      <c r="G579" s="860"/>
      <c r="H579" s="860"/>
      <c r="I579" s="860"/>
      <c r="J579" s="860"/>
      <c r="K579" s="860"/>
      <c r="L579" s="860"/>
      <c r="M579" s="860"/>
      <c r="N579" s="860"/>
      <c r="O579" s="860"/>
      <c r="P579" s="860"/>
      <c r="Q579" s="860"/>
      <c r="R579" s="860"/>
      <c r="S579" s="860"/>
      <c r="T579" s="860"/>
      <c r="U579" s="860"/>
      <c r="V579" s="860"/>
      <c r="W579" s="860"/>
      <c r="X579" s="864"/>
      <c r="Y579" s="865"/>
      <c r="Z579" s="865"/>
      <c r="AA579" s="866"/>
      <c r="AB579" s="867"/>
      <c r="AC579" s="868"/>
      <c r="AD579" s="866"/>
      <c r="AE579" s="860"/>
      <c r="AF579" s="869"/>
      <c r="AG579" s="869"/>
      <c r="AH579" s="870"/>
      <c r="AI579" s="871"/>
      <c r="AJ579" s="870"/>
      <c r="AK579" s="870"/>
      <c r="AL579" s="860"/>
      <c r="AM579" s="860"/>
      <c r="AN579" s="860"/>
      <c r="AO579" s="860"/>
      <c r="AP579" s="860"/>
      <c r="AQ579" s="860"/>
      <c r="AR579" s="860"/>
      <c r="AS579" s="860"/>
      <c r="AT579" s="860"/>
      <c r="AU579" s="860"/>
      <c r="AV579" s="860"/>
      <c r="AW579" s="860"/>
      <c r="AX579" s="860"/>
      <c r="AY579" s="860"/>
      <c r="AZ579" s="860"/>
      <c r="BA579" s="860"/>
      <c r="BB579" s="860"/>
      <c r="BC579" s="860"/>
      <c r="BD579" s="860"/>
      <c r="BE579" s="860"/>
      <c r="BF579" s="860"/>
      <c r="BG579" s="860"/>
      <c r="BH579" s="860"/>
      <c r="BI579" s="860"/>
      <c r="BJ579" s="860"/>
      <c r="BK579" s="860"/>
      <c r="BL579" s="860"/>
      <c r="BM579" s="860"/>
      <c r="BN579" s="872"/>
      <c r="BO579" s="872"/>
      <c r="BP579" s="872"/>
      <c r="BQ579" s="872"/>
      <c r="BR579" s="872"/>
      <c r="BS579" s="872"/>
      <c r="BT579" s="860"/>
      <c r="BU579" s="860"/>
      <c r="BV579" s="860"/>
      <c r="BW579" s="860"/>
      <c r="BX579" s="872"/>
      <c r="BY579" s="872"/>
      <c r="BZ579" s="872"/>
      <c r="CA579" s="872"/>
      <c r="CB579" s="872"/>
      <c r="CC579" s="872"/>
    </row>
    <row r="580" s="860" customFormat="1" ht="13.5" spans="1:81">
      <c r="A580" s="861"/>
      <c r="B580" s="860"/>
      <c r="C580" s="860"/>
      <c r="D580" s="860"/>
      <c r="E580" s="862"/>
      <c r="F580" s="860"/>
      <c r="G580" s="860"/>
      <c r="H580" s="860"/>
      <c r="I580" s="860"/>
      <c r="J580" s="860"/>
      <c r="K580" s="860"/>
      <c r="L580" s="860"/>
      <c r="M580" s="860"/>
      <c r="N580" s="860"/>
      <c r="O580" s="860"/>
      <c r="P580" s="860"/>
      <c r="Q580" s="860"/>
      <c r="R580" s="860"/>
      <c r="S580" s="860"/>
      <c r="T580" s="860"/>
      <c r="U580" s="860"/>
      <c r="V580" s="860"/>
      <c r="W580" s="860"/>
      <c r="X580" s="864"/>
      <c r="Y580" s="865"/>
      <c r="Z580" s="865"/>
      <c r="AA580" s="866"/>
      <c r="AB580" s="867"/>
      <c r="AC580" s="868"/>
      <c r="AD580" s="866"/>
      <c r="AE580" s="860"/>
      <c r="AF580" s="869"/>
      <c r="AG580" s="869"/>
      <c r="AH580" s="870"/>
      <c r="AI580" s="871"/>
      <c r="AJ580" s="870"/>
      <c r="AK580" s="870"/>
      <c r="AL580" s="860"/>
      <c r="AM580" s="860"/>
      <c r="AN580" s="860"/>
      <c r="AO580" s="860"/>
      <c r="AP580" s="860"/>
      <c r="AQ580" s="860"/>
      <c r="AR580" s="860"/>
      <c r="AS580" s="860"/>
      <c r="AT580" s="860"/>
      <c r="AU580" s="860"/>
      <c r="AV580" s="860"/>
      <c r="AW580" s="860"/>
      <c r="AX580" s="860"/>
      <c r="AY580" s="860"/>
      <c r="AZ580" s="860"/>
      <c r="BA580" s="860"/>
      <c r="BB580" s="860"/>
      <c r="BC580" s="860"/>
      <c r="BD580" s="860"/>
      <c r="BE580" s="860"/>
      <c r="BF580" s="860"/>
      <c r="BG580" s="860"/>
      <c r="BH580" s="860"/>
      <c r="BI580" s="860"/>
      <c r="BJ580" s="860"/>
      <c r="BK580" s="860"/>
      <c r="BL580" s="860"/>
      <c r="BM580" s="860"/>
      <c r="BN580" s="872"/>
      <c r="BO580" s="872"/>
      <c r="BP580" s="872"/>
      <c r="BQ580" s="872"/>
      <c r="BR580" s="872"/>
      <c r="BS580" s="872"/>
      <c r="BT580" s="860"/>
      <c r="BU580" s="860"/>
      <c r="BV580" s="860"/>
      <c r="BW580" s="860"/>
      <c r="BX580" s="872"/>
      <c r="BY580" s="872"/>
      <c r="BZ580" s="872"/>
      <c r="CA580" s="872"/>
      <c r="CB580" s="872"/>
      <c r="CC580" s="872"/>
    </row>
    <row r="581" s="860" customFormat="1" ht="13.5" spans="1:81">
      <c r="A581" s="861"/>
      <c r="B581" s="860"/>
      <c r="C581" s="860"/>
      <c r="D581" s="860"/>
      <c r="E581" s="862"/>
      <c r="F581" s="860"/>
      <c r="G581" s="860"/>
      <c r="H581" s="860"/>
      <c r="I581" s="860"/>
      <c r="J581" s="860"/>
      <c r="K581" s="860"/>
      <c r="L581" s="860"/>
      <c r="M581" s="860"/>
      <c r="N581" s="860"/>
      <c r="O581" s="860"/>
      <c r="P581" s="860"/>
      <c r="Q581" s="860"/>
      <c r="R581" s="860"/>
      <c r="S581" s="860"/>
      <c r="T581" s="860"/>
      <c r="U581" s="860"/>
      <c r="V581" s="860"/>
      <c r="W581" s="860"/>
      <c r="X581" s="864"/>
      <c r="Y581" s="865"/>
      <c r="Z581" s="865"/>
      <c r="AA581" s="866"/>
      <c r="AB581" s="867"/>
      <c r="AC581" s="868"/>
      <c r="AD581" s="866"/>
      <c r="AE581" s="860"/>
      <c r="AF581" s="869"/>
      <c r="AG581" s="869"/>
      <c r="AH581" s="870"/>
      <c r="AI581" s="871"/>
      <c r="AJ581" s="870"/>
      <c r="AK581" s="870"/>
      <c r="AL581" s="860"/>
      <c r="AM581" s="860"/>
      <c r="AN581" s="860"/>
      <c r="AO581" s="860"/>
      <c r="AP581" s="860"/>
      <c r="AQ581" s="860"/>
      <c r="AR581" s="860"/>
      <c r="AS581" s="860"/>
      <c r="AT581" s="860"/>
      <c r="AU581" s="860"/>
      <c r="AV581" s="860"/>
      <c r="AW581" s="860"/>
      <c r="AX581" s="860"/>
      <c r="AY581" s="860"/>
      <c r="AZ581" s="860"/>
      <c r="BA581" s="860"/>
      <c r="BB581" s="860"/>
      <c r="BC581" s="860"/>
      <c r="BD581" s="860"/>
      <c r="BE581" s="860"/>
      <c r="BF581" s="860"/>
      <c r="BG581" s="860"/>
      <c r="BH581" s="860"/>
      <c r="BI581" s="860"/>
      <c r="BJ581" s="860"/>
      <c r="BK581" s="860"/>
      <c r="BL581" s="860"/>
      <c r="BM581" s="860"/>
      <c r="BN581" s="872"/>
      <c r="BO581" s="872"/>
      <c r="BP581" s="872"/>
      <c r="BQ581" s="872"/>
      <c r="BR581" s="872"/>
      <c r="BS581" s="872"/>
      <c r="BT581" s="860"/>
      <c r="BU581" s="860"/>
      <c r="BV581" s="860"/>
      <c r="BW581" s="860"/>
      <c r="BX581" s="872"/>
      <c r="BY581" s="872"/>
      <c r="BZ581" s="872"/>
      <c r="CA581" s="872"/>
      <c r="CB581" s="872"/>
      <c r="CC581" s="872"/>
    </row>
    <row r="582" s="860" customFormat="1" ht="13.5" spans="1:81">
      <c r="A582" s="861"/>
      <c r="B582" s="860"/>
      <c r="C582" s="860"/>
      <c r="D582" s="860"/>
      <c r="E582" s="862"/>
      <c r="F582" s="860"/>
      <c r="G582" s="860"/>
      <c r="H582" s="860"/>
      <c r="I582" s="860"/>
      <c r="J582" s="860"/>
      <c r="K582" s="860"/>
      <c r="L582" s="860"/>
      <c r="M582" s="860"/>
      <c r="N582" s="860"/>
      <c r="O582" s="860"/>
      <c r="P582" s="860"/>
      <c r="Q582" s="860"/>
      <c r="R582" s="860"/>
      <c r="S582" s="860"/>
      <c r="T582" s="860"/>
      <c r="U582" s="860"/>
      <c r="V582" s="860"/>
      <c r="W582" s="860"/>
      <c r="X582" s="864"/>
      <c r="Y582" s="865"/>
      <c r="Z582" s="865"/>
      <c r="AA582" s="866"/>
      <c r="AB582" s="867"/>
      <c r="AC582" s="868"/>
      <c r="AD582" s="866"/>
      <c r="AE582" s="860"/>
      <c r="AF582" s="869"/>
      <c r="AG582" s="869"/>
      <c r="AH582" s="870"/>
      <c r="AI582" s="871"/>
      <c r="AJ582" s="870"/>
      <c r="AK582" s="870"/>
      <c r="AL582" s="860"/>
      <c r="AM582" s="860"/>
      <c r="AN582" s="860"/>
      <c r="AO582" s="860"/>
      <c r="AP582" s="860"/>
      <c r="AQ582" s="860"/>
      <c r="AR582" s="860"/>
      <c r="AS582" s="860"/>
      <c r="AT582" s="860"/>
      <c r="AU582" s="860"/>
      <c r="AV582" s="860"/>
      <c r="AW582" s="860"/>
      <c r="AX582" s="860"/>
      <c r="AY582" s="860"/>
      <c r="AZ582" s="860"/>
      <c r="BA582" s="860"/>
      <c r="BB582" s="860"/>
      <c r="BC582" s="860"/>
      <c r="BD582" s="860"/>
      <c r="BE582" s="860"/>
      <c r="BF582" s="860"/>
      <c r="BG582" s="860"/>
      <c r="BH582" s="860"/>
      <c r="BI582" s="860"/>
      <c r="BJ582" s="860"/>
      <c r="BK582" s="860"/>
      <c r="BL582" s="860"/>
      <c r="BM582" s="860"/>
      <c r="BN582" s="872"/>
      <c r="BO582" s="872"/>
      <c r="BP582" s="872"/>
      <c r="BQ582" s="872"/>
      <c r="BR582" s="872"/>
      <c r="BS582" s="872"/>
      <c r="BT582" s="860"/>
      <c r="BU582" s="860"/>
      <c r="BV582" s="860"/>
      <c r="BW582" s="860"/>
      <c r="BX582" s="872"/>
      <c r="BY582" s="872"/>
      <c r="BZ582" s="872"/>
      <c r="CA582" s="872"/>
      <c r="CB582" s="872"/>
      <c r="CC582" s="872"/>
    </row>
    <row r="583" s="860" customFormat="1" ht="13.5" spans="1:81">
      <c r="A583" s="861"/>
      <c r="B583" s="860"/>
      <c r="C583" s="860"/>
      <c r="D583" s="860"/>
      <c r="E583" s="862"/>
      <c r="F583" s="860"/>
      <c r="G583" s="860"/>
      <c r="H583" s="860"/>
      <c r="I583" s="860"/>
      <c r="J583" s="860"/>
      <c r="K583" s="860"/>
      <c r="L583" s="860"/>
      <c r="M583" s="860"/>
      <c r="N583" s="860"/>
      <c r="O583" s="860"/>
      <c r="P583" s="860"/>
      <c r="Q583" s="860"/>
      <c r="R583" s="860"/>
      <c r="S583" s="860"/>
      <c r="T583" s="860"/>
      <c r="U583" s="860"/>
      <c r="V583" s="860"/>
      <c r="W583" s="860"/>
      <c r="X583" s="864"/>
      <c r="Y583" s="865"/>
      <c r="Z583" s="865"/>
      <c r="AA583" s="866"/>
      <c r="AB583" s="867"/>
      <c r="AC583" s="868"/>
      <c r="AD583" s="866"/>
      <c r="AE583" s="860"/>
      <c r="AF583" s="869"/>
      <c r="AG583" s="869"/>
      <c r="AH583" s="870"/>
      <c r="AI583" s="871"/>
      <c r="AJ583" s="870"/>
      <c r="AK583" s="870"/>
      <c r="AL583" s="860"/>
      <c r="AM583" s="860"/>
      <c r="AN583" s="860"/>
      <c r="AO583" s="860"/>
      <c r="AP583" s="860"/>
      <c r="AQ583" s="860"/>
      <c r="AR583" s="860"/>
      <c r="AS583" s="860"/>
      <c r="AT583" s="860"/>
      <c r="AU583" s="860"/>
      <c r="AV583" s="860"/>
      <c r="AW583" s="860"/>
      <c r="AX583" s="860"/>
      <c r="AY583" s="860"/>
      <c r="AZ583" s="860"/>
      <c r="BA583" s="860"/>
      <c r="BB583" s="860"/>
      <c r="BC583" s="860"/>
      <c r="BD583" s="860"/>
      <c r="BE583" s="860"/>
      <c r="BF583" s="860"/>
      <c r="BG583" s="860"/>
      <c r="BH583" s="860"/>
      <c r="BI583" s="860"/>
      <c r="BJ583" s="860"/>
      <c r="BK583" s="860"/>
      <c r="BL583" s="860"/>
      <c r="BM583" s="860"/>
      <c r="BN583" s="872"/>
      <c r="BO583" s="872"/>
      <c r="BP583" s="872"/>
      <c r="BQ583" s="872"/>
      <c r="BR583" s="872"/>
      <c r="BS583" s="872"/>
      <c r="BT583" s="860"/>
      <c r="BU583" s="860"/>
      <c r="BV583" s="860"/>
      <c r="BW583" s="860"/>
      <c r="BX583" s="872"/>
      <c r="BY583" s="872"/>
      <c r="BZ583" s="872"/>
      <c r="CA583" s="872"/>
      <c r="CB583" s="872"/>
      <c r="CC583" s="872"/>
    </row>
    <row r="584" s="860" customFormat="1" ht="13.5" spans="1:81">
      <c r="A584" s="861"/>
      <c r="B584" s="860"/>
      <c r="C584" s="860"/>
      <c r="D584" s="860"/>
      <c r="E584" s="862"/>
      <c r="F584" s="860"/>
      <c r="G584" s="860"/>
      <c r="H584" s="860"/>
      <c r="I584" s="860"/>
      <c r="J584" s="860"/>
      <c r="K584" s="860"/>
      <c r="L584" s="860"/>
      <c r="M584" s="860"/>
      <c r="N584" s="860"/>
      <c r="O584" s="860"/>
      <c r="P584" s="860"/>
      <c r="Q584" s="860"/>
      <c r="R584" s="860"/>
      <c r="S584" s="860"/>
      <c r="T584" s="860"/>
      <c r="U584" s="860"/>
      <c r="V584" s="860"/>
      <c r="W584" s="860"/>
      <c r="X584" s="864"/>
      <c r="Y584" s="865"/>
      <c r="Z584" s="865"/>
      <c r="AA584" s="866"/>
      <c r="AB584" s="867"/>
      <c r="AC584" s="868"/>
      <c r="AD584" s="866"/>
      <c r="AE584" s="860"/>
      <c r="AF584" s="869"/>
      <c r="AG584" s="869"/>
      <c r="AH584" s="870"/>
      <c r="AI584" s="871"/>
      <c r="AJ584" s="870"/>
      <c r="AK584" s="870"/>
      <c r="AL584" s="860"/>
      <c r="AM584" s="860"/>
      <c r="AN584" s="860"/>
      <c r="AO584" s="860"/>
      <c r="AP584" s="860"/>
      <c r="AQ584" s="860"/>
      <c r="AR584" s="860"/>
      <c r="AS584" s="860"/>
      <c r="AT584" s="860"/>
      <c r="AU584" s="860"/>
      <c r="AV584" s="860"/>
      <c r="AW584" s="860"/>
      <c r="AX584" s="860"/>
      <c r="AY584" s="860"/>
      <c r="AZ584" s="860"/>
      <c r="BA584" s="860"/>
      <c r="BB584" s="860"/>
      <c r="BC584" s="860"/>
      <c r="BD584" s="860"/>
      <c r="BE584" s="860"/>
      <c r="BF584" s="860"/>
      <c r="BG584" s="860"/>
      <c r="BH584" s="860"/>
      <c r="BI584" s="860"/>
      <c r="BJ584" s="860"/>
      <c r="BK584" s="860"/>
      <c r="BL584" s="860"/>
      <c r="BM584" s="860"/>
      <c r="BN584" s="872"/>
      <c r="BO584" s="872"/>
      <c r="BP584" s="872"/>
      <c r="BQ584" s="872"/>
      <c r="BR584" s="872"/>
      <c r="BS584" s="872"/>
      <c r="BT584" s="860"/>
      <c r="BU584" s="860"/>
      <c r="BV584" s="860"/>
      <c r="BW584" s="860"/>
      <c r="BX584" s="872"/>
      <c r="BY584" s="872"/>
      <c r="BZ584" s="872"/>
      <c r="CA584" s="872"/>
      <c r="CB584" s="872"/>
      <c r="CC584" s="872"/>
    </row>
    <row r="585" s="860" customFormat="1" ht="13.5" spans="1:81">
      <c r="A585" s="861"/>
      <c r="B585" s="860"/>
      <c r="C585" s="860"/>
      <c r="D585" s="860"/>
      <c r="E585" s="862"/>
      <c r="F585" s="860"/>
      <c r="G585" s="860"/>
      <c r="H585" s="860"/>
      <c r="I585" s="860"/>
      <c r="J585" s="860"/>
      <c r="K585" s="860"/>
      <c r="L585" s="860"/>
      <c r="M585" s="860"/>
      <c r="N585" s="860"/>
      <c r="O585" s="860"/>
      <c r="P585" s="860"/>
      <c r="Q585" s="860"/>
      <c r="R585" s="860"/>
      <c r="S585" s="860"/>
      <c r="T585" s="860"/>
      <c r="U585" s="860"/>
      <c r="V585" s="860"/>
      <c r="W585" s="860"/>
      <c r="X585" s="864"/>
      <c r="Y585" s="865"/>
      <c r="Z585" s="865"/>
      <c r="AA585" s="866"/>
      <c r="AB585" s="867"/>
      <c r="AC585" s="868"/>
      <c r="AD585" s="866"/>
      <c r="AE585" s="860"/>
      <c r="AF585" s="869"/>
      <c r="AG585" s="869"/>
      <c r="AH585" s="870"/>
      <c r="AI585" s="871"/>
      <c r="AJ585" s="870"/>
      <c r="AK585" s="870"/>
      <c r="AL585" s="860"/>
      <c r="AM585" s="860"/>
      <c r="AN585" s="860"/>
      <c r="AO585" s="860"/>
      <c r="AP585" s="860"/>
      <c r="AQ585" s="860"/>
      <c r="AR585" s="860"/>
      <c r="AS585" s="860"/>
      <c r="AT585" s="860"/>
      <c r="AU585" s="860"/>
      <c r="AV585" s="860"/>
      <c r="AW585" s="860"/>
      <c r="AX585" s="860"/>
      <c r="AY585" s="860"/>
      <c r="AZ585" s="860"/>
      <c r="BA585" s="860"/>
      <c r="BB585" s="860"/>
      <c r="BC585" s="860"/>
      <c r="BD585" s="860"/>
      <c r="BE585" s="860"/>
      <c r="BF585" s="860"/>
      <c r="BG585" s="860"/>
      <c r="BH585" s="860"/>
      <c r="BI585" s="860"/>
      <c r="BJ585" s="860"/>
      <c r="BK585" s="860"/>
      <c r="BL585" s="860"/>
      <c r="BM585" s="860"/>
      <c r="BN585" s="872"/>
      <c r="BO585" s="872"/>
      <c r="BP585" s="872"/>
      <c r="BQ585" s="872"/>
      <c r="BR585" s="872"/>
      <c r="BS585" s="872"/>
      <c r="BT585" s="860"/>
      <c r="BU585" s="860"/>
      <c r="BV585" s="860"/>
      <c r="BW585" s="860"/>
      <c r="BX585" s="872"/>
      <c r="BY585" s="872"/>
      <c r="BZ585" s="872"/>
      <c r="CA585" s="872"/>
      <c r="CB585" s="872"/>
      <c r="CC585" s="872"/>
    </row>
    <row r="586" s="860" customFormat="1" ht="13.5" spans="1:81">
      <c r="A586" s="861"/>
      <c r="B586" s="860"/>
      <c r="C586" s="860"/>
      <c r="D586" s="860"/>
      <c r="E586" s="862"/>
      <c r="F586" s="860"/>
      <c r="G586" s="860"/>
      <c r="H586" s="860"/>
      <c r="I586" s="860"/>
      <c r="J586" s="860"/>
      <c r="K586" s="860"/>
      <c r="L586" s="860"/>
      <c r="M586" s="860"/>
      <c r="N586" s="860"/>
      <c r="O586" s="860"/>
      <c r="P586" s="860"/>
      <c r="Q586" s="860"/>
      <c r="R586" s="860"/>
      <c r="S586" s="860"/>
      <c r="T586" s="860"/>
      <c r="U586" s="860"/>
      <c r="V586" s="860"/>
      <c r="W586" s="860"/>
      <c r="X586" s="864"/>
      <c r="Y586" s="865"/>
      <c r="Z586" s="865"/>
      <c r="AA586" s="866"/>
      <c r="AB586" s="867"/>
      <c r="AC586" s="868"/>
      <c r="AD586" s="866"/>
      <c r="AE586" s="860"/>
      <c r="AF586" s="869"/>
      <c r="AG586" s="869"/>
      <c r="AH586" s="870"/>
      <c r="AI586" s="871"/>
      <c r="AJ586" s="870"/>
      <c r="AK586" s="870"/>
      <c r="AL586" s="860"/>
      <c r="AM586" s="860"/>
      <c r="AN586" s="860"/>
      <c r="AO586" s="860"/>
      <c r="AP586" s="860"/>
      <c r="AQ586" s="860"/>
      <c r="AR586" s="860"/>
      <c r="AS586" s="860"/>
      <c r="AT586" s="860"/>
      <c r="AU586" s="860"/>
      <c r="AV586" s="860"/>
      <c r="AW586" s="860"/>
      <c r="AX586" s="860"/>
      <c r="AY586" s="860"/>
      <c r="AZ586" s="860"/>
      <c r="BA586" s="860"/>
      <c r="BB586" s="860"/>
      <c r="BC586" s="860"/>
      <c r="BD586" s="860"/>
      <c r="BE586" s="860"/>
      <c r="BF586" s="860"/>
      <c r="BG586" s="860"/>
      <c r="BH586" s="860"/>
      <c r="BI586" s="860"/>
      <c r="BJ586" s="860"/>
      <c r="BK586" s="860"/>
      <c r="BL586" s="860"/>
      <c r="BM586" s="860"/>
      <c r="BN586" s="872"/>
      <c r="BO586" s="872"/>
      <c r="BP586" s="872"/>
      <c r="BQ586" s="872"/>
      <c r="BR586" s="872"/>
      <c r="BS586" s="872"/>
      <c r="BT586" s="860"/>
      <c r="BU586" s="860"/>
      <c r="BV586" s="860"/>
      <c r="BW586" s="860"/>
      <c r="BX586" s="872"/>
      <c r="BY586" s="872"/>
      <c r="BZ586" s="872"/>
      <c r="CA586" s="872"/>
      <c r="CB586" s="872"/>
      <c r="CC586" s="872"/>
    </row>
    <row r="587" s="860" customFormat="1" ht="13.5" spans="1:81">
      <c r="A587" s="861"/>
      <c r="B587" s="860"/>
      <c r="C587" s="860"/>
      <c r="D587" s="860"/>
      <c r="E587" s="862"/>
      <c r="F587" s="860"/>
      <c r="G587" s="860"/>
      <c r="H587" s="860"/>
      <c r="I587" s="860"/>
      <c r="J587" s="860"/>
      <c r="K587" s="860"/>
      <c r="L587" s="860"/>
      <c r="M587" s="860"/>
      <c r="N587" s="860"/>
      <c r="O587" s="860"/>
      <c r="P587" s="860"/>
      <c r="Q587" s="860"/>
      <c r="R587" s="860"/>
      <c r="S587" s="860"/>
      <c r="T587" s="860"/>
      <c r="U587" s="860"/>
      <c r="V587" s="860"/>
      <c r="W587" s="860"/>
      <c r="X587" s="864"/>
      <c r="Y587" s="865"/>
      <c r="Z587" s="865"/>
      <c r="AA587" s="866"/>
      <c r="AB587" s="867"/>
      <c r="AC587" s="868"/>
      <c r="AD587" s="866"/>
      <c r="AE587" s="860"/>
      <c r="AF587" s="869"/>
      <c r="AG587" s="869"/>
      <c r="AH587" s="870"/>
      <c r="AI587" s="871"/>
      <c r="AJ587" s="870"/>
      <c r="AK587" s="870"/>
      <c r="AL587" s="860"/>
      <c r="AM587" s="860"/>
      <c r="AN587" s="860"/>
      <c r="AO587" s="860"/>
      <c r="AP587" s="860"/>
      <c r="AQ587" s="860"/>
      <c r="AR587" s="860"/>
      <c r="AS587" s="860"/>
      <c r="AT587" s="860"/>
      <c r="AU587" s="860"/>
      <c r="AV587" s="860"/>
      <c r="AW587" s="860"/>
      <c r="AX587" s="860"/>
      <c r="AY587" s="860"/>
      <c r="AZ587" s="860"/>
      <c r="BA587" s="860"/>
      <c r="BB587" s="860"/>
      <c r="BC587" s="860"/>
      <c r="BD587" s="860"/>
      <c r="BE587" s="860"/>
      <c r="BF587" s="860"/>
      <c r="BG587" s="860"/>
      <c r="BH587" s="860"/>
      <c r="BI587" s="860"/>
      <c r="BJ587" s="860"/>
      <c r="BK587" s="860"/>
      <c r="BL587" s="860"/>
      <c r="BM587" s="860"/>
      <c r="BN587" s="872"/>
      <c r="BO587" s="872"/>
      <c r="BP587" s="872"/>
      <c r="BQ587" s="872"/>
      <c r="BR587" s="872"/>
      <c r="BS587" s="872"/>
      <c r="BT587" s="860"/>
      <c r="BU587" s="860"/>
      <c r="BV587" s="860"/>
      <c r="BW587" s="860"/>
      <c r="BX587" s="872"/>
      <c r="BY587" s="872"/>
      <c r="BZ587" s="872"/>
      <c r="CA587" s="872"/>
      <c r="CB587" s="872"/>
      <c r="CC587" s="872"/>
    </row>
    <row r="588" s="860" customFormat="1" ht="13.5" spans="1:81">
      <c r="A588" s="861"/>
      <c r="B588" s="860"/>
      <c r="C588" s="860"/>
      <c r="D588" s="860"/>
      <c r="E588" s="862"/>
      <c r="F588" s="860"/>
      <c r="G588" s="860"/>
      <c r="H588" s="860"/>
      <c r="I588" s="860"/>
      <c r="J588" s="860"/>
      <c r="K588" s="860"/>
      <c r="L588" s="860"/>
      <c r="M588" s="860"/>
      <c r="N588" s="860"/>
      <c r="O588" s="860"/>
      <c r="P588" s="860"/>
      <c r="Q588" s="860"/>
      <c r="R588" s="860"/>
      <c r="S588" s="860"/>
      <c r="T588" s="860"/>
      <c r="U588" s="860"/>
      <c r="V588" s="860"/>
      <c r="W588" s="860"/>
      <c r="X588" s="864"/>
      <c r="Y588" s="865"/>
      <c r="Z588" s="865"/>
      <c r="AA588" s="866"/>
      <c r="AB588" s="867"/>
      <c r="AC588" s="868"/>
      <c r="AD588" s="866"/>
      <c r="AE588" s="860"/>
      <c r="AF588" s="869"/>
      <c r="AG588" s="869"/>
      <c r="AH588" s="870"/>
      <c r="AI588" s="871"/>
      <c r="AJ588" s="870"/>
      <c r="AK588" s="870"/>
      <c r="AL588" s="860"/>
      <c r="AM588" s="860"/>
      <c r="AN588" s="860"/>
      <c r="AO588" s="860"/>
      <c r="AP588" s="860"/>
      <c r="AQ588" s="860"/>
      <c r="AR588" s="860"/>
      <c r="AS588" s="860"/>
      <c r="AT588" s="860"/>
      <c r="AU588" s="860"/>
      <c r="AV588" s="860"/>
      <c r="AW588" s="860"/>
      <c r="AX588" s="860"/>
      <c r="AY588" s="860"/>
      <c r="AZ588" s="860"/>
      <c r="BA588" s="860"/>
      <c r="BB588" s="860"/>
      <c r="BC588" s="860"/>
      <c r="BD588" s="860"/>
      <c r="BE588" s="860"/>
      <c r="BF588" s="860"/>
      <c r="BG588" s="860"/>
      <c r="BH588" s="860"/>
      <c r="BI588" s="860"/>
      <c r="BJ588" s="860"/>
      <c r="BK588" s="860"/>
      <c r="BL588" s="860"/>
      <c r="BM588" s="860"/>
      <c r="BN588" s="872"/>
      <c r="BO588" s="872"/>
      <c r="BP588" s="872"/>
      <c r="BQ588" s="872"/>
      <c r="BR588" s="872"/>
      <c r="BS588" s="872"/>
      <c r="BT588" s="860"/>
      <c r="BU588" s="860"/>
      <c r="BV588" s="860"/>
      <c r="BW588" s="860"/>
      <c r="BX588" s="872"/>
      <c r="BY588" s="872"/>
      <c r="BZ588" s="872"/>
      <c r="CA588" s="872"/>
      <c r="CB588" s="872"/>
      <c r="CC588" s="872"/>
    </row>
    <row r="589" s="860" customFormat="1" ht="13.5" spans="1:81">
      <c r="A589" s="861"/>
      <c r="B589" s="860"/>
      <c r="C589" s="860"/>
      <c r="D589" s="860"/>
      <c r="E589" s="862"/>
      <c r="F589" s="860"/>
      <c r="G589" s="860"/>
      <c r="H589" s="860"/>
      <c r="I589" s="860"/>
      <c r="J589" s="860"/>
      <c r="K589" s="860"/>
      <c r="L589" s="860"/>
      <c r="M589" s="860"/>
      <c r="N589" s="860"/>
      <c r="O589" s="860"/>
      <c r="P589" s="860"/>
      <c r="Q589" s="860"/>
      <c r="R589" s="860"/>
      <c r="S589" s="860"/>
      <c r="T589" s="860"/>
      <c r="U589" s="860"/>
      <c r="V589" s="860"/>
      <c r="W589" s="860"/>
      <c r="X589" s="864"/>
      <c r="Y589" s="865"/>
      <c r="Z589" s="865"/>
      <c r="AA589" s="866"/>
      <c r="AB589" s="867"/>
      <c r="AC589" s="868"/>
      <c r="AD589" s="866"/>
      <c r="AE589" s="860"/>
      <c r="AF589" s="869"/>
      <c r="AG589" s="869"/>
      <c r="AH589" s="870"/>
      <c r="AI589" s="871"/>
      <c r="AJ589" s="870"/>
      <c r="AK589" s="870"/>
      <c r="AL589" s="860"/>
      <c r="AM589" s="860"/>
      <c r="AN589" s="860"/>
      <c r="AO589" s="860"/>
      <c r="AP589" s="860"/>
      <c r="AQ589" s="860"/>
      <c r="AR589" s="860"/>
      <c r="AS589" s="860"/>
      <c r="AT589" s="860"/>
      <c r="AU589" s="860"/>
      <c r="AV589" s="860"/>
      <c r="AW589" s="860"/>
      <c r="AX589" s="860"/>
      <c r="AY589" s="860"/>
      <c r="AZ589" s="860"/>
      <c r="BA589" s="860"/>
      <c r="BB589" s="860"/>
      <c r="BC589" s="860"/>
      <c r="BD589" s="860"/>
      <c r="BE589" s="860"/>
      <c r="BF589" s="860"/>
      <c r="BG589" s="860"/>
      <c r="BH589" s="860"/>
      <c r="BI589" s="860"/>
      <c r="BJ589" s="860"/>
      <c r="BK589" s="860"/>
      <c r="BL589" s="860"/>
      <c r="BM589" s="860"/>
      <c r="BN589" s="872"/>
      <c r="BO589" s="872"/>
      <c r="BP589" s="872"/>
      <c r="BQ589" s="872"/>
      <c r="BR589" s="872"/>
      <c r="BS589" s="872"/>
      <c r="BT589" s="860"/>
      <c r="BU589" s="860"/>
      <c r="BV589" s="860"/>
      <c r="BW589" s="860"/>
      <c r="BX589" s="872"/>
      <c r="BY589" s="872"/>
      <c r="BZ589" s="872"/>
      <c r="CA589" s="872"/>
      <c r="CB589" s="872"/>
      <c r="CC589" s="872"/>
    </row>
    <row r="590" s="860" customFormat="1" ht="13.5" spans="1:81">
      <c r="A590" s="861"/>
      <c r="B590" s="860"/>
      <c r="C590" s="860"/>
      <c r="D590" s="860"/>
      <c r="E590" s="862"/>
      <c r="F590" s="860"/>
      <c r="G590" s="860"/>
      <c r="H590" s="860"/>
      <c r="I590" s="860"/>
      <c r="J590" s="860"/>
      <c r="K590" s="860"/>
      <c r="L590" s="860"/>
      <c r="M590" s="860"/>
      <c r="N590" s="860"/>
      <c r="O590" s="860"/>
      <c r="P590" s="860"/>
      <c r="Q590" s="860"/>
      <c r="R590" s="860"/>
      <c r="S590" s="860"/>
      <c r="T590" s="860"/>
      <c r="U590" s="860"/>
      <c r="V590" s="860"/>
      <c r="W590" s="860"/>
      <c r="X590" s="864"/>
      <c r="Y590" s="865"/>
      <c r="Z590" s="865"/>
      <c r="AA590" s="866"/>
      <c r="AB590" s="867"/>
      <c r="AC590" s="868"/>
      <c r="AD590" s="866"/>
      <c r="AE590" s="860"/>
      <c r="AF590" s="869"/>
      <c r="AG590" s="869"/>
      <c r="AH590" s="870"/>
      <c r="AI590" s="871"/>
      <c r="AJ590" s="870"/>
      <c r="AK590" s="870"/>
      <c r="AL590" s="860"/>
      <c r="AM590" s="860"/>
      <c r="AN590" s="860"/>
      <c r="AO590" s="860"/>
      <c r="AP590" s="860"/>
      <c r="AQ590" s="860"/>
      <c r="AR590" s="860"/>
      <c r="AS590" s="860"/>
      <c r="AT590" s="860"/>
      <c r="AU590" s="860"/>
      <c r="AV590" s="860"/>
      <c r="AW590" s="860"/>
      <c r="AX590" s="860"/>
      <c r="AY590" s="860"/>
      <c r="AZ590" s="860"/>
      <c r="BA590" s="860"/>
      <c r="BB590" s="860"/>
      <c r="BC590" s="860"/>
      <c r="BD590" s="860"/>
      <c r="BE590" s="860"/>
      <c r="BF590" s="860"/>
      <c r="BG590" s="860"/>
      <c r="BH590" s="860"/>
      <c r="BI590" s="860"/>
      <c r="BJ590" s="860"/>
      <c r="BK590" s="860"/>
      <c r="BL590" s="860"/>
      <c r="BM590" s="860"/>
      <c r="BN590" s="872"/>
      <c r="BO590" s="872"/>
      <c r="BP590" s="872"/>
      <c r="BQ590" s="872"/>
      <c r="BR590" s="872"/>
      <c r="BS590" s="872"/>
      <c r="BT590" s="860"/>
      <c r="BU590" s="860"/>
      <c r="BV590" s="860"/>
      <c r="BW590" s="860"/>
      <c r="BX590" s="872"/>
      <c r="BY590" s="872"/>
      <c r="BZ590" s="872"/>
      <c r="CA590" s="872"/>
      <c r="CB590" s="872"/>
      <c r="CC590" s="872"/>
    </row>
    <row r="591" s="860" customFormat="1" ht="13.5" spans="1:81">
      <c r="A591" s="861"/>
      <c r="B591" s="860"/>
      <c r="C591" s="860"/>
      <c r="D591" s="860"/>
      <c r="E591" s="862"/>
      <c r="F591" s="860"/>
      <c r="G591" s="860"/>
      <c r="H591" s="860"/>
      <c r="I591" s="860"/>
      <c r="J591" s="860"/>
      <c r="K591" s="860"/>
      <c r="L591" s="860"/>
      <c r="M591" s="860"/>
      <c r="N591" s="860"/>
      <c r="O591" s="860"/>
      <c r="P591" s="860"/>
      <c r="Q591" s="860"/>
      <c r="R591" s="860"/>
      <c r="S591" s="860"/>
      <c r="T591" s="860"/>
      <c r="U591" s="860"/>
      <c r="V591" s="860"/>
      <c r="W591" s="860"/>
      <c r="X591" s="864"/>
      <c r="Y591" s="865"/>
      <c r="Z591" s="865"/>
      <c r="AA591" s="866"/>
      <c r="AB591" s="867"/>
      <c r="AC591" s="868"/>
      <c r="AD591" s="866"/>
      <c r="AE591" s="860"/>
      <c r="AF591" s="869"/>
      <c r="AG591" s="869"/>
      <c r="AH591" s="870"/>
      <c r="AI591" s="871"/>
      <c r="AJ591" s="870"/>
      <c r="AK591" s="870"/>
      <c r="AL591" s="860"/>
      <c r="AM591" s="860"/>
      <c r="AN591" s="860"/>
      <c r="AO591" s="860"/>
      <c r="AP591" s="860"/>
      <c r="AQ591" s="860"/>
      <c r="AR591" s="860"/>
      <c r="AS591" s="860"/>
      <c r="AT591" s="860"/>
      <c r="AU591" s="860"/>
      <c r="AV591" s="860"/>
      <c r="AW591" s="860"/>
      <c r="AX591" s="860"/>
      <c r="AY591" s="860"/>
      <c r="AZ591" s="860"/>
      <c r="BA591" s="860"/>
      <c r="BB591" s="860"/>
      <c r="BC591" s="860"/>
      <c r="BD591" s="860"/>
      <c r="BE591" s="860"/>
      <c r="BF591" s="860"/>
      <c r="BG591" s="860"/>
      <c r="BH591" s="860"/>
      <c r="BI591" s="860"/>
      <c r="BJ591" s="860"/>
      <c r="BK591" s="860"/>
      <c r="BL591" s="860"/>
      <c r="BM591" s="860"/>
      <c r="BN591" s="872"/>
      <c r="BO591" s="872"/>
      <c r="BP591" s="872"/>
      <c r="BQ591" s="872"/>
      <c r="BR591" s="872"/>
      <c r="BS591" s="872"/>
      <c r="BT591" s="860"/>
      <c r="BU591" s="860"/>
      <c r="BV591" s="860"/>
      <c r="BW591" s="860"/>
      <c r="BX591" s="872"/>
      <c r="BY591" s="872"/>
      <c r="BZ591" s="872"/>
      <c r="CA591" s="872"/>
      <c r="CB591" s="872"/>
      <c r="CC591" s="872"/>
    </row>
    <row r="592" s="860" customFormat="1" ht="13.5" spans="1:81">
      <c r="A592" s="861"/>
      <c r="B592" s="860"/>
      <c r="C592" s="860"/>
      <c r="D592" s="860"/>
      <c r="E592" s="862"/>
      <c r="F592" s="860"/>
      <c r="G592" s="860"/>
      <c r="H592" s="860"/>
      <c r="I592" s="860"/>
      <c r="J592" s="860"/>
      <c r="K592" s="860"/>
      <c r="L592" s="860"/>
      <c r="M592" s="860"/>
      <c r="N592" s="860"/>
      <c r="O592" s="860"/>
      <c r="P592" s="860"/>
      <c r="Q592" s="860"/>
      <c r="R592" s="860"/>
      <c r="S592" s="860"/>
      <c r="T592" s="860"/>
      <c r="U592" s="860"/>
      <c r="V592" s="860"/>
      <c r="W592" s="860"/>
      <c r="X592" s="864"/>
      <c r="Y592" s="865"/>
      <c r="Z592" s="865"/>
      <c r="AA592" s="866"/>
      <c r="AB592" s="867"/>
      <c r="AC592" s="868"/>
      <c r="AD592" s="866"/>
      <c r="AE592" s="860"/>
      <c r="AF592" s="869"/>
      <c r="AG592" s="869"/>
      <c r="AH592" s="870"/>
      <c r="AI592" s="871"/>
      <c r="AJ592" s="870"/>
      <c r="AK592" s="870"/>
      <c r="AL592" s="860"/>
      <c r="AM592" s="860"/>
      <c r="AN592" s="860"/>
      <c r="AO592" s="860"/>
      <c r="AP592" s="860"/>
      <c r="AQ592" s="860"/>
      <c r="AR592" s="860"/>
      <c r="AS592" s="860"/>
      <c r="AT592" s="860"/>
      <c r="AU592" s="860"/>
      <c r="AV592" s="860"/>
      <c r="AW592" s="860"/>
      <c r="AX592" s="860"/>
      <c r="AY592" s="860"/>
      <c r="AZ592" s="860"/>
      <c r="BA592" s="860"/>
      <c r="BB592" s="860"/>
      <c r="BC592" s="860"/>
      <c r="BD592" s="860"/>
      <c r="BE592" s="860"/>
      <c r="BF592" s="860"/>
      <c r="BG592" s="860"/>
      <c r="BH592" s="860"/>
      <c r="BI592" s="860"/>
      <c r="BJ592" s="860"/>
      <c r="BK592" s="860"/>
      <c r="BL592" s="860"/>
      <c r="BM592" s="860"/>
      <c r="BN592" s="872"/>
      <c r="BO592" s="872"/>
      <c r="BP592" s="872"/>
      <c r="BQ592" s="872"/>
      <c r="BR592" s="872"/>
      <c r="BS592" s="872"/>
      <c r="BT592" s="860"/>
      <c r="BU592" s="860"/>
      <c r="BV592" s="860"/>
      <c r="BW592" s="860"/>
      <c r="BX592" s="872"/>
      <c r="BY592" s="872"/>
      <c r="BZ592" s="872"/>
      <c r="CA592" s="872"/>
      <c r="CB592" s="872"/>
      <c r="CC592" s="872"/>
    </row>
    <row r="593" s="860" customFormat="1" ht="13.5" spans="1:81">
      <c r="A593" s="861"/>
      <c r="B593" s="860"/>
      <c r="C593" s="860"/>
      <c r="D593" s="860"/>
      <c r="E593" s="862"/>
      <c r="F593" s="860"/>
      <c r="G593" s="860"/>
      <c r="H593" s="860"/>
      <c r="I593" s="860"/>
      <c r="J593" s="860"/>
      <c r="K593" s="860"/>
      <c r="L593" s="860"/>
      <c r="M593" s="860"/>
      <c r="N593" s="860"/>
      <c r="O593" s="860"/>
      <c r="P593" s="860"/>
      <c r="Q593" s="860"/>
      <c r="R593" s="860"/>
      <c r="S593" s="860"/>
      <c r="T593" s="860"/>
      <c r="U593" s="860"/>
      <c r="V593" s="860"/>
      <c r="W593" s="860"/>
      <c r="X593" s="864"/>
      <c r="Y593" s="865"/>
      <c r="Z593" s="865"/>
      <c r="AA593" s="866"/>
      <c r="AB593" s="867"/>
      <c r="AC593" s="868"/>
      <c r="AD593" s="866"/>
      <c r="AE593" s="860"/>
      <c r="AF593" s="869"/>
      <c r="AG593" s="869"/>
      <c r="AH593" s="870"/>
      <c r="AI593" s="871"/>
      <c r="AJ593" s="870"/>
      <c r="AK593" s="870"/>
      <c r="AL593" s="860"/>
      <c r="AM593" s="860"/>
      <c r="AN593" s="860"/>
      <c r="AO593" s="860"/>
      <c r="AP593" s="860"/>
      <c r="AQ593" s="860"/>
      <c r="AR593" s="860"/>
      <c r="AS593" s="860"/>
      <c r="AT593" s="860"/>
      <c r="AU593" s="860"/>
      <c r="AV593" s="860"/>
      <c r="AW593" s="860"/>
      <c r="AX593" s="860"/>
      <c r="AY593" s="860"/>
      <c r="AZ593" s="860"/>
      <c r="BA593" s="860"/>
      <c r="BB593" s="860"/>
      <c r="BC593" s="860"/>
      <c r="BD593" s="860"/>
      <c r="BE593" s="860"/>
      <c r="BF593" s="860"/>
      <c r="BG593" s="860"/>
      <c r="BH593" s="860"/>
      <c r="BI593" s="860"/>
      <c r="BJ593" s="860"/>
      <c r="BK593" s="860"/>
      <c r="BL593" s="860"/>
      <c r="BM593" s="860"/>
      <c r="BN593" s="872"/>
      <c r="BO593" s="872"/>
      <c r="BP593" s="872"/>
      <c r="BQ593" s="872"/>
      <c r="BR593" s="872"/>
      <c r="BS593" s="872"/>
      <c r="BT593" s="860"/>
      <c r="BU593" s="860"/>
      <c r="BV593" s="860"/>
      <c r="BW593" s="860"/>
      <c r="BX593" s="872"/>
      <c r="BY593" s="872"/>
      <c r="BZ593" s="872"/>
      <c r="CA593" s="872"/>
      <c r="CB593" s="872"/>
      <c r="CC593" s="872"/>
    </row>
    <row r="594" s="860" customFormat="1" ht="13.5" spans="1:81">
      <c r="A594" s="861"/>
      <c r="B594" s="860"/>
      <c r="C594" s="860"/>
      <c r="D594" s="860"/>
      <c r="E594" s="862"/>
      <c r="F594" s="860"/>
      <c r="G594" s="860"/>
      <c r="H594" s="860"/>
      <c r="I594" s="860"/>
      <c r="J594" s="860"/>
      <c r="K594" s="860"/>
      <c r="L594" s="860"/>
      <c r="M594" s="860"/>
      <c r="N594" s="860"/>
      <c r="O594" s="860"/>
      <c r="P594" s="860"/>
      <c r="Q594" s="860"/>
      <c r="R594" s="860"/>
      <c r="S594" s="860"/>
      <c r="T594" s="860"/>
      <c r="U594" s="860"/>
      <c r="V594" s="860"/>
      <c r="W594" s="860"/>
      <c r="X594" s="864"/>
      <c r="Y594" s="865"/>
      <c r="Z594" s="865"/>
      <c r="AA594" s="866"/>
      <c r="AB594" s="867"/>
      <c r="AC594" s="868"/>
      <c r="AD594" s="866"/>
      <c r="AE594" s="860"/>
      <c r="AF594" s="869"/>
      <c r="AG594" s="869"/>
      <c r="AH594" s="870"/>
      <c r="AI594" s="871"/>
      <c r="AJ594" s="870"/>
      <c r="AK594" s="870"/>
      <c r="AL594" s="860"/>
      <c r="AM594" s="860"/>
      <c r="AN594" s="860"/>
      <c r="AO594" s="860"/>
      <c r="AP594" s="860"/>
      <c r="AQ594" s="860"/>
      <c r="AR594" s="860"/>
      <c r="AS594" s="860"/>
      <c r="AT594" s="860"/>
      <c r="AU594" s="860"/>
      <c r="AV594" s="860"/>
      <c r="AW594" s="860"/>
      <c r="AX594" s="860"/>
      <c r="AY594" s="860"/>
      <c r="AZ594" s="860"/>
      <c r="BA594" s="860"/>
      <c r="BB594" s="860"/>
      <c r="BC594" s="860"/>
      <c r="BD594" s="860"/>
      <c r="BE594" s="860"/>
      <c r="BF594" s="860"/>
      <c r="BG594" s="860"/>
      <c r="BH594" s="860"/>
      <c r="BI594" s="860"/>
      <c r="BJ594" s="860"/>
      <c r="BK594" s="860"/>
      <c r="BL594" s="860"/>
      <c r="BM594" s="860"/>
      <c r="BN594" s="872"/>
      <c r="BO594" s="872"/>
      <c r="BP594" s="872"/>
      <c r="BQ594" s="872"/>
      <c r="BR594" s="872"/>
      <c r="BS594" s="872"/>
      <c r="BT594" s="860"/>
      <c r="BU594" s="860"/>
      <c r="BV594" s="860"/>
      <c r="BW594" s="860"/>
      <c r="BX594" s="872"/>
      <c r="BY594" s="872"/>
      <c r="BZ594" s="872"/>
      <c r="CA594" s="872"/>
      <c r="CB594" s="872"/>
      <c r="CC594" s="872"/>
    </row>
    <row r="595" s="860" customFormat="1" ht="13.5" spans="1:81">
      <c r="A595" s="861"/>
      <c r="B595" s="860"/>
      <c r="C595" s="860"/>
      <c r="D595" s="860"/>
      <c r="E595" s="862"/>
      <c r="F595" s="860"/>
      <c r="G595" s="860"/>
      <c r="H595" s="860"/>
      <c r="I595" s="860"/>
      <c r="J595" s="860"/>
      <c r="K595" s="860"/>
      <c r="L595" s="860"/>
      <c r="M595" s="860"/>
      <c r="N595" s="860"/>
      <c r="O595" s="860"/>
      <c r="P595" s="860"/>
      <c r="Q595" s="860"/>
      <c r="R595" s="860"/>
      <c r="S595" s="860"/>
      <c r="T595" s="860"/>
      <c r="U595" s="860"/>
      <c r="V595" s="860"/>
      <c r="W595" s="860"/>
      <c r="X595" s="864"/>
      <c r="Y595" s="865"/>
      <c r="Z595" s="865"/>
      <c r="AA595" s="866"/>
      <c r="AB595" s="867"/>
      <c r="AC595" s="868"/>
      <c r="AD595" s="866"/>
      <c r="AE595" s="860"/>
      <c r="AF595" s="869"/>
      <c r="AG595" s="869"/>
      <c r="AH595" s="870"/>
      <c r="AI595" s="871"/>
      <c r="AJ595" s="870"/>
      <c r="AK595" s="870"/>
      <c r="AL595" s="860"/>
      <c r="AM595" s="860"/>
      <c r="AN595" s="860"/>
      <c r="AO595" s="860"/>
      <c r="AP595" s="860"/>
      <c r="AQ595" s="860"/>
      <c r="AR595" s="860"/>
      <c r="AS595" s="860"/>
      <c r="AT595" s="860"/>
      <c r="AU595" s="860"/>
      <c r="AV595" s="860"/>
      <c r="AW595" s="860"/>
      <c r="AX595" s="860"/>
      <c r="AY595" s="860"/>
      <c r="AZ595" s="860"/>
      <c r="BA595" s="860"/>
      <c r="BB595" s="860"/>
      <c r="BC595" s="860"/>
      <c r="BD595" s="860"/>
      <c r="BE595" s="860"/>
      <c r="BF595" s="860"/>
      <c r="BG595" s="860"/>
      <c r="BH595" s="860"/>
      <c r="BI595" s="860"/>
      <c r="BJ595" s="860"/>
      <c r="BK595" s="860"/>
      <c r="BL595" s="860"/>
      <c r="BM595" s="860"/>
      <c r="BN595" s="872"/>
      <c r="BO595" s="872"/>
      <c r="BP595" s="872"/>
      <c r="BQ595" s="872"/>
      <c r="BR595" s="872"/>
      <c r="BS595" s="872"/>
      <c r="BT595" s="860"/>
      <c r="BU595" s="860"/>
      <c r="BV595" s="860"/>
      <c r="BW595" s="860"/>
      <c r="BX595" s="872"/>
      <c r="BY595" s="872"/>
      <c r="BZ595" s="872"/>
      <c r="CA595" s="872"/>
      <c r="CB595" s="872"/>
      <c r="CC595" s="872"/>
    </row>
    <row r="596" s="860" customFormat="1" ht="13.5" spans="1:81">
      <c r="A596" s="861"/>
      <c r="B596" s="860"/>
      <c r="C596" s="860"/>
      <c r="D596" s="860"/>
      <c r="E596" s="862"/>
      <c r="F596" s="860"/>
      <c r="G596" s="860"/>
      <c r="H596" s="860"/>
      <c r="I596" s="860"/>
      <c r="J596" s="860"/>
      <c r="K596" s="860"/>
      <c r="L596" s="860"/>
      <c r="M596" s="860"/>
      <c r="N596" s="860"/>
      <c r="O596" s="860"/>
      <c r="P596" s="860"/>
      <c r="Q596" s="860"/>
      <c r="R596" s="860"/>
      <c r="S596" s="860"/>
      <c r="T596" s="860"/>
      <c r="U596" s="860"/>
      <c r="V596" s="860"/>
      <c r="W596" s="860"/>
      <c r="X596" s="864"/>
      <c r="Y596" s="865"/>
      <c r="Z596" s="865"/>
      <c r="AA596" s="866"/>
      <c r="AB596" s="867"/>
      <c r="AC596" s="868"/>
      <c r="AD596" s="866"/>
      <c r="AE596" s="860"/>
      <c r="AF596" s="869"/>
      <c r="AG596" s="869"/>
      <c r="AH596" s="870"/>
      <c r="AI596" s="871"/>
      <c r="AJ596" s="870"/>
      <c r="AK596" s="870"/>
      <c r="AL596" s="860"/>
      <c r="AM596" s="860"/>
      <c r="AN596" s="860"/>
      <c r="AO596" s="860"/>
      <c r="AP596" s="860"/>
      <c r="AQ596" s="860"/>
      <c r="AR596" s="860"/>
      <c r="AS596" s="860"/>
      <c r="AT596" s="860"/>
      <c r="AU596" s="860"/>
      <c r="AV596" s="860"/>
      <c r="AW596" s="860"/>
      <c r="AX596" s="860"/>
      <c r="AY596" s="860"/>
      <c r="AZ596" s="860"/>
      <c r="BA596" s="860"/>
      <c r="BB596" s="860"/>
      <c r="BC596" s="860"/>
      <c r="BD596" s="860"/>
      <c r="BE596" s="860"/>
      <c r="BF596" s="860"/>
      <c r="BG596" s="860"/>
      <c r="BH596" s="860"/>
      <c r="BI596" s="860"/>
      <c r="BJ596" s="860"/>
      <c r="BK596" s="860"/>
      <c r="BL596" s="860"/>
      <c r="BM596" s="860"/>
      <c r="BN596" s="872"/>
      <c r="BO596" s="872"/>
      <c r="BP596" s="872"/>
      <c r="BQ596" s="872"/>
      <c r="BR596" s="872"/>
      <c r="BS596" s="872"/>
      <c r="BT596" s="860"/>
      <c r="BU596" s="860"/>
      <c r="BV596" s="860"/>
      <c r="BW596" s="860"/>
      <c r="BX596" s="872"/>
      <c r="BY596" s="872"/>
      <c r="BZ596" s="872"/>
      <c r="CA596" s="872"/>
      <c r="CB596" s="872"/>
      <c r="CC596" s="872"/>
    </row>
    <row r="597" s="860" customFormat="1" ht="13.5" spans="1:81">
      <c r="A597" s="861"/>
      <c r="B597" s="860"/>
      <c r="C597" s="860"/>
      <c r="D597" s="860"/>
      <c r="E597" s="862"/>
      <c r="F597" s="860"/>
      <c r="G597" s="860"/>
      <c r="H597" s="860"/>
      <c r="I597" s="860"/>
      <c r="J597" s="860"/>
      <c r="K597" s="860"/>
      <c r="L597" s="860"/>
      <c r="M597" s="860"/>
      <c r="N597" s="860"/>
      <c r="O597" s="860"/>
      <c r="P597" s="860"/>
      <c r="Q597" s="860"/>
      <c r="R597" s="860"/>
      <c r="S597" s="860"/>
      <c r="T597" s="860"/>
      <c r="U597" s="860"/>
      <c r="V597" s="860"/>
      <c r="W597" s="860"/>
      <c r="X597" s="864"/>
      <c r="Y597" s="865"/>
      <c r="Z597" s="865"/>
      <c r="AA597" s="866"/>
      <c r="AB597" s="867"/>
      <c r="AC597" s="868"/>
      <c r="AD597" s="866"/>
      <c r="AE597" s="860"/>
      <c r="AF597" s="869"/>
      <c r="AG597" s="869"/>
      <c r="AH597" s="870"/>
      <c r="AI597" s="871"/>
      <c r="AJ597" s="870"/>
      <c r="AK597" s="870"/>
      <c r="AL597" s="860"/>
      <c r="AM597" s="860"/>
      <c r="AN597" s="860"/>
      <c r="AO597" s="860"/>
      <c r="AP597" s="860"/>
      <c r="AQ597" s="860"/>
      <c r="AR597" s="860"/>
      <c r="AS597" s="860"/>
      <c r="AT597" s="860"/>
      <c r="AU597" s="860"/>
      <c r="AV597" s="860"/>
      <c r="AW597" s="860"/>
      <c r="AX597" s="860"/>
      <c r="AY597" s="860"/>
      <c r="AZ597" s="860"/>
      <c r="BA597" s="860"/>
      <c r="BB597" s="860"/>
      <c r="BC597" s="860"/>
      <c r="BD597" s="860"/>
      <c r="BE597" s="860"/>
      <c r="BF597" s="860"/>
      <c r="BG597" s="860"/>
      <c r="BH597" s="860"/>
      <c r="BI597" s="860"/>
      <c r="BJ597" s="860"/>
      <c r="BK597" s="860"/>
      <c r="BL597" s="860"/>
      <c r="BM597" s="860"/>
      <c r="BN597" s="872"/>
      <c r="BO597" s="872"/>
      <c r="BP597" s="872"/>
      <c r="BQ597" s="872"/>
      <c r="BR597" s="872"/>
      <c r="BS597" s="872"/>
      <c r="BT597" s="860"/>
      <c r="BU597" s="860"/>
      <c r="BV597" s="860"/>
      <c r="BW597" s="860"/>
      <c r="BX597" s="872"/>
      <c r="BY597" s="872"/>
      <c r="BZ597" s="872"/>
      <c r="CA597" s="872"/>
      <c r="CB597" s="872"/>
      <c r="CC597" s="872"/>
    </row>
    <row r="598" s="860" customFormat="1" ht="13.5" spans="1:81">
      <c r="A598" s="861"/>
      <c r="B598" s="860"/>
      <c r="C598" s="860"/>
      <c r="D598" s="860"/>
      <c r="E598" s="862"/>
      <c r="F598" s="860"/>
      <c r="G598" s="860"/>
      <c r="H598" s="860"/>
      <c r="I598" s="860"/>
      <c r="J598" s="860"/>
      <c r="K598" s="860"/>
      <c r="L598" s="860"/>
      <c r="M598" s="860"/>
      <c r="N598" s="860"/>
      <c r="O598" s="860"/>
      <c r="P598" s="860"/>
      <c r="Q598" s="860"/>
      <c r="R598" s="860"/>
      <c r="S598" s="860"/>
      <c r="T598" s="860"/>
      <c r="U598" s="860"/>
      <c r="V598" s="860"/>
      <c r="W598" s="860"/>
      <c r="X598" s="864"/>
      <c r="Y598" s="865"/>
      <c r="Z598" s="865"/>
      <c r="AA598" s="866"/>
      <c r="AB598" s="867"/>
      <c r="AC598" s="868"/>
      <c r="AD598" s="866"/>
      <c r="AE598" s="860"/>
      <c r="AF598" s="869"/>
      <c r="AG598" s="869"/>
      <c r="AH598" s="870"/>
      <c r="AI598" s="871"/>
      <c r="AJ598" s="870"/>
      <c r="AK598" s="870"/>
      <c r="AL598" s="860"/>
      <c r="AM598" s="860"/>
      <c r="AN598" s="860"/>
      <c r="AO598" s="860"/>
      <c r="AP598" s="860"/>
      <c r="AQ598" s="860"/>
      <c r="AR598" s="860"/>
      <c r="AS598" s="860"/>
      <c r="AT598" s="860"/>
      <c r="AU598" s="860"/>
      <c r="AV598" s="860"/>
      <c r="AW598" s="860"/>
      <c r="AX598" s="860"/>
      <c r="AY598" s="860"/>
      <c r="AZ598" s="860"/>
      <c r="BA598" s="860"/>
      <c r="BB598" s="860"/>
      <c r="BC598" s="860"/>
      <c r="BD598" s="860"/>
      <c r="BE598" s="860"/>
      <c r="BF598" s="860"/>
      <c r="BG598" s="860"/>
      <c r="BH598" s="860"/>
      <c r="BI598" s="860"/>
      <c r="BJ598" s="860"/>
      <c r="BK598" s="860"/>
      <c r="BL598" s="860"/>
      <c r="BM598" s="860"/>
      <c r="BN598" s="872"/>
      <c r="BO598" s="872"/>
      <c r="BP598" s="872"/>
      <c r="BQ598" s="872"/>
      <c r="BR598" s="872"/>
      <c r="BS598" s="872"/>
      <c r="BT598" s="860"/>
      <c r="BU598" s="860"/>
      <c r="BV598" s="860"/>
      <c r="BW598" s="860"/>
      <c r="BX598" s="872"/>
      <c r="BY598" s="872"/>
      <c r="BZ598" s="872"/>
      <c r="CA598" s="872"/>
      <c r="CB598" s="872"/>
      <c r="CC598" s="872"/>
    </row>
    <row r="599" s="860" customFormat="1" ht="13.5" spans="1:81">
      <c r="A599" s="861"/>
      <c r="B599" s="860"/>
      <c r="C599" s="860"/>
      <c r="D599" s="860"/>
      <c r="E599" s="862"/>
      <c r="F599" s="860"/>
      <c r="G599" s="860"/>
      <c r="H599" s="860"/>
      <c r="I599" s="860"/>
      <c r="J599" s="860"/>
      <c r="K599" s="860"/>
      <c r="L599" s="860"/>
      <c r="M599" s="860"/>
      <c r="N599" s="860"/>
      <c r="O599" s="860"/>
      <c r="P599" s="860"/>
      <c r="Q599" s="860"/>
      <c r="R599" s="860"/>
      <c r="S599" s="860"/>
      <c r="T599" s="860"/>
      <c r="U599" s="860"/>
      <c r="V599" s="860"/>
      <c r="W599" s="860"/>
      <c r="X599" s="864"/>
      <c r="Y599" s="865"/>
      <c r="Z599" s="865"/>
      <c r="AA599" s="866"/>
      <c r="AB599" s="867"/>
      <c r="AC599" s="868"/>
      <c r="AD599" s="866"/>
      <c r="AE599" s="860"/>
      <c r="AF599" s="869"/>
      <c r="AG599" s="869"/>
      <c r="AH599" s="870"/>
      <c r="AI599" s="871"/>
      <c r="AJ599" s="870"/>
      <c r="AK599" s="870"/>
      <c r="AL599" s="860"/>
      <c r="AM599" s="860"/>
      <c r="AN599" s="860"/>
      <c r="AO599" s="860"/>
      <c r="AP599" s="860"/>
      <c r="AQ599" s="860"/>
      <c r="AR599" s="860"/>
      <c r="AS599" s="860"/>
      <c r="AT599" s="860"/>
      <c r="AU599" s="860"/>
      <c r="AV599" s="860"/>
      <c r="AW599" s="860"/>
      <c r="AX599" s="860"/>
      <c r="AY599" s="860"/>
      <c r="AZ599" s="860"/>
      <c r="BA599" s="860"/>
      <c r="BB599" s="860"/>
      <c r="BC599" s="860"/>
      <c r="BD599" s="860"/>
      <c r="BE599" s="860"/>
      <c r="BF599" s="860"/>
      <c r="BG599" s="860"/>
      <c r="BH599" s="860"/>
      <c r="BI599" s="860"/>
      <c r="BJ599" s="860"/>
      <c r="BK599" s="860"/>
      <c r="BL599" s="860"/>
      <c r="BM599" s="860"/>
      <c r="BN599" s="872"/>
      <c r="BO599" s="872"/>
      <c r="BP599" s="872"/>
      <c r="BQ599" s="872"/>
      <c r="BR599" s="872"/>
      <c r="BS599" s="872"/>
      <c r="BT599" s="860"/>
      <c r="BU599" s="860"/>
      <c r="BV599" s="860"/>
      <c r="BW599" s="860"/>
      <c r="BX599" s="872"/>
      <c r="BY599" s="872"/>
      <c r="BZ599" s="872"/>
      <c r="CA599" s="872"/>
      <c r="CB599" s="872"/>
      <c r="CC599" s="872"/>
    </row>
    <row r="600" s="860" customFormat="1" ht="13.5" spans="1:81">
      <c r="A600" s="861"/>
      <c r="B600" s="860"/>
      <c r="C600" s="860"/>
      <c r="D600" s="860"/>
      <c r="E600" s="862"/>
      <c r="F600" s="860"/>
      <c r="G600" s="860"/>
      <c r="H600" s="860"/>
      <c r="I600" s="860"/>
      <c r="J600" s="860"/>
      <c r="K600" s="860"/>
      <c r="L600" s="860"/>
      <c r="M600" s="860"/>
      <c r="N600" s="860"/>
      <c r="O600" s="860"/>
      <c r="P600" s="860"/>
      <c r="Q600" s="860"/>
      <c r="R600" s="860"/>
      <c r="S600" s="860"/>
      <c r="T600" s="860"/>
      <c r="U600" s="860"/>
      <c r="V600" s="860"/>
      <c r="W600" s="860"/>
      <c r="X600" s="864"/>
      <c r="Y600" s="865"/>
      <c r="Z600" s="865"/>
      <c r="AA600" s="866"/>
      <c r="AB600" s="867"/>
      <c r="AC600" s="868"/>
      <c r="AD600" s="866"/>
      <c r="AE600" s="860"/>
      <c r="AF600" s="869"/>
      <c r="AG600" s="869"/>
      <c r="AH600" s="870"/>
      <c r="AI600" s="871"/>
      <c r="AJ600" s="870"/>
      <c r="AK600" s="870"/>
      <c r="AL600" s="860"/>
      <c r="AM600" s="860"/>
      <c r="AN600" s="860"/>
      <c r="AO600" s="860"/>
      <c r="AP600" s="860"/>
      <c r="AQ600" s="860"/>
      <c r="AR600" s="860"/>
      <c r="AS600" s="860"/>
      <c r="AT600" s="860"/>
      <c r="AU600" s="860"/>
      <c r="AV600" s="860"/>
      <c r="AW600" s="860"/>
      <c r="AX600" s="860"/>
      <c r="AY600" s="860"/>
      <c r="AZ600" s="860"/>
      <c r="BA600" s="860"/>
      <c r="BB600" s="860"/>
      <c r="BC600" s="860"/>
      <c r="BD600" s="860"/>
      <c r="BE600" s="860"/>
      <c r="BF600" s="860"/>
      <c r="BG600" s="860"/>
      <c r="BH600" s="860"/>
      <c r="BI600" s="860"/>
      <c r="BJ600" s="860"/>
      <c r="BK600" s="860"/>
      <c r="BL600" s="860"/>
      <c r="BM600" s="860"/>
      <c r="BN600" s="872"/>
      <c r="BO600" s="872"/>
      <c r="BP600" s="872"/>
      <c r="BQ600" s="872"/>
      <c r="BR600" s="872"/>
      <c r="BS600" s="872"/>
      <c r="BT600" s="860"/>
      <c r="BU600" s="860"/>
      <c r="BV600" s="860"/>
      <c r="BW600" s="860"/>
      <c r="BX600" s="872"/>
      <c r="BY600" s="872"/>
      <c r="BZ600" s="872"/>
      <c r="CA600" s="872"/>
      <c r="CB600" s="872"/>
      <c r="CC600" s="872"/>
    </row>
    <row r="601" s="860" customFormat="1" ht="13.5" spans="1:81">
      <c r="A601" s="861"/>
      <c r="B601" s="860"/>
      <c r="C601" s="860"/>
      <c r="D601" s="860"/>
      <c r="E601" s="862"/>
      <c r="F601" s="860"/>
      <c r="G601" s="860"/>
      <c r="H601" s="860"/>
      <c r="I601" s="860"/>
      <c r="J601" s="860"/>
      <c r="K601" s="860"/>
      <c r="L601" s="860"/>
      <c r="M601" s="860"/>
      <c r="N601" s="860"/>
      <c r="O601" s="860"/>
      <c r="P601" s="860"/>
      <c r="Q601" s="860"/>
      <c r="R601" s="860"/>
      <c r="S601" s="860"/>
      <c r="T601" s="860"/>
      <c r="U601" s="860"/>
      <c r="V601" s="860"/>
      <c r="W601" s="860"/>
      <c r="X601" s="864"/>
      <c r="Y601" s="865"/>
      <c r="Z601" s="865"/>
      <c r="AA601" s="866"/>
      <c r="AB601" s="867"/>
      <c r="AC601" s="868"/>
      <c r="AD601" s="866"/>
      <c r="AE601" s="860"/>
      <c r="AF601" s="869"/>
      <c r="AG601" s="869"/>
      <c r="AH601" s="870"/>
      <c r="AI601" s="871"/>
      <c r="AJ601" s="870"/>
      <c r="AK601" s="870"/>
      <c r="AL601" s="860"/>
      <c r="AM601" s="860"/>
      <c r="AN601" s="860"/>
      <c r="AO601" s="860"/>
      <c r="AP601" s="860"/>
      <c r="AQ601" s="860"/>
      <c r="AR601" s="860"/>
      <c r="AS601" s="860"/>
      <c r="AT601" s="860"/>
      <c r="AU601" s="860"/>
      <c r="AV601" s="860"/>
      <c r="AW601" s="860"/>
      <c r="AX601" s="860"/>
      <c r="AY601" s="860"/>
      <c r="AZ601" s="860"/>
      <c r="BA601" s="860"/>
      <c r="BB601" s="860"/>
      <c r="BC601" s="860"/>
      <c r="BD601" s="860"/>
      <c r="BE601" s="860"/>
      <c r="BF601" s="860"/>
      <c r="BG601" s="860"/>
      <c r="BH601" s="860"/>
      <c r="BI601" s="860"/>
      <c r="BJ601" s="860"/>
      <c r="BK601" s="860"/>
      <c r="BL601" s="860"/>
      <c r="BM601" s="860"/>
      <c r="BN601" s="872"/>
      <c r="BO601" s="872"/>
      <c r="BP601" s="872"/>
      <c r="BQ601" s="872"/>
      <c r="BR601" s="872"/>
      <c r="BS601" s="872"/>
      <c r="BT601" s="860"/>
      <c r="BU601" s="860"/>
      <c r="BV601" s="860"/>
      <c r="BW601" s="860"/>
      <c r="BX601" s="872"/>
      <c r="BY601" s="872"/>
      <c r="BZ601" s="872"/>
      <c r="CA601" s="872"/>
      <c r="CB601" s="872"/>
      <c r="CC601" s="872"/>
    </row>
    <row r="602" s="860" customFormat="1" ht="13.5" spans="1:81">
      <c r="A602" s="861"/>
      <c r="B602" s="860"/>
      <c r="C602" s="860"/>
      <c r="D602" s="860"/>
      <c r="E602" s="862"/>
      <c r="F602" s="860"/>
      <c r="G602" s="860"/>
      <c r="H602" s="860"/>
      <c r="I602" s="860"/>
      <c r="J602" s="860"/>
      <c r="K602" s="860"/>
      <c r="L602" s="860"/>
      <c r="M602" s="860"/>
      <c r="N602" s="860"/>
      <c r="O602" s="860"/>
      <c r="P602" s="860"/>
      <c r="Q602" s="860"/>
      <c r="R602" s="860"/>
      <c r="S602" s="860"/>
      <c r="T602" s="860"/>
      <c r="U602" s="860"/>
      <c r="V602" s="860"/>
      <c r="W602" s="860"/>
      <c r="X602" s="864"/>
      <c r="Y602" s="865"/>
      <c r="Z602" s="865"/>
      <c r="AA602" s="866"/>
      <c r="AB602" s="867"/>
      <c r="AC602" s="868"/>
      <c r="AD602" s="866"/>
      <c r="AE602" s="860"/>
      <c r="AF602" s="869"/>
      <c r="AG602" s="869"/>
      <c r="AH602" s="870"/>
      <c r="AI602" s="871"/>
      <c r="AJ602" s="870"/>
      <c r="AK602" s="870"/>
      <c r="AL602" s="860"/>
      <c r="AM602" s="860"/>
      <c r="AN602" s="860"/>
      <c r="AO602" s="860"/>
      <c r="AP602" s="860"/>
      <c r="AQ602" s="860"/>
      <c r="AR602" s="860"/>
      <c r="AS602" s="860"/>
      <c r="AT602" s="860"/>
      <c r="AU602" s="860"/>
      <c r="AV602" s="860"/>
      <c r="AW602" s="860"/>
      <c r="AX602" s="860"/>
      <c r="AY602" s="860"/>
      <c r="AZ602" s="860"/>
      <c r="BA602" s="860"/>
      <c r="BB602" s="860"/>
      <c r="BC602" s="860"/>
      <c r="BD602" s="860"/>
      <c r="BE602" s="860"/>
      <c r="BF602" s="860"/>
      <c r="BG602" s="860"/>
      <c r="BH602" s="860"/>
      <c r="BI602" s="860"/>
      <c r="BJ602" s="860"/>
      <c r="BK602" s="860"/>
      <c r="BL602" s="860"/>
      <c r="BM602" s="860"/>
      <c r="BN602" s="872"/>
      <c r="BO602" s="872"/>
      <c r="BP602" s="872"/>
      <c r="BQ602" s="872"/>
      <c r="BR602" s="872"/>
      <c r="BS602" s="872"/>
      <c r="BT602" s="860"/>
      <c r="BU602" s="860"/>
      <c r="BV602" s="860"/>
      <c r="BW602" s="860"/>
      <c r="BX602" s="872"/>
      <c r="BY602" s="872"/>
      <c r="BZ602" s="872"/>
      <c r="CA602" s="872"/>
      <c r="CB602" s="872"/>
      <c r="CC602" s="872"/>
    </row>
    <row r="603" s="860" customFormat="1" ht="13.5" spans="1:81">
      <c r="A603" s="861"/>
      <c r="B603" s="860"/>
      <c r="C603" s="860"/>
      <c r="D603" s="860"/>
      <c r="E603" s="862"/>
      <c r="F603" s="860"/>
      <c r="G603" s="860"/>
      <c r="H603" s="860"/>
      <c r="I603" s="860"/>
      <c r="J603" s="860"/>
      <c r="K603" s="860"/>
      <c r="L603" s="860"/>
      <c r="M603" s="860"/>
      <c r="N603" s="860"/>
      <c r="O603" s="860"/>
      <c r="P603" s="860"/>
      <c r="Q603" s="860"/>
      <c r="R603" s="860"/>
      <c r="S603" s="860"/>
      <c r="T603" s="860"/>
      <c r="U603" s="860"/>
      <c r="V603" s="860"/>
      <c r="W603" s="860"/>
      <c r="X603" s="864"/>
      <c r="Y603" s="865"/>
      <c r="Z603" s="865"/>
      <c r="AA603" s="866"/>
      <c r="AB603" s="867"/>
      <c r="AC603" s="868"/>
      <c r="AD603" s="866"/>
      <c r="AE603" s="860"/>
      <c r="AF603" s="869"/>
      <c r="AG603" s="869"/>
      <c r="AH603" s="870"/>
      <c r="AI603" s="871"/>
      <c r="AJ603" s="870"/>
      <c r="AK603" s="870"/>
      <c r="AL603" s="860"/>
      <c r="AM603" s="860"/>
      <c r="AN603" s="860"/>
      <c r="AO603" s="860"/>
      <c r="AP603" s="860"/>
      <c r="AQ603" s="860"/>
      <c r="AR603" s="860"/>
      <c r="AS603" s="860"/>
      <c r="AT603" s="860"/>
      <c r="AU603" s="860"/>
      <c r="AV603" s="860"/>
      <c r="AW603" s="860"/>
      <c r="AX603" s="860"/>
      <c r="AY603" s="860"/>
      <c r="AZ603" s="860"/>
      <c r="BA603" s="860"/>
      <c r="BB603" s="860"/>
      <c r="BC603" s="860"/>
      <c r="BD603" s="860"/>
      <c r="BE603" s="860"/>
      <c r="BF603" s="860"/>
      <c r="BG603" s="860"/>
      <c r="BH603" s="860"/>
      <c r="BI603" s="860"/>
      <c r="BJ603" s="860"/>
      <c r="BK603" s="860"/>
      <c r="BL603" s="860"/>
      <c r="BM603" s="860"/>
      <c r="BN603" s="872"/>
      <c r="BO603" s="872"/>
      <c r="BP603" s="872"/>
      <c r="BQ603" s="872"/>
      <c r="BR603" s="872"/>
      <c r="BS603" s="872"/>
      <c r="BT603" s="860"/>
      <c r="BU603" s="860"/>
      <c r="BV603" s="860"/>
      <c r="BW603" s="860"/>
      <c r="BX603" s="872"/>
      <c r="BY603" s="872"/>
      <c r="BZ603" s="872"/>
      <c r="CA603" s="872"/>
      <c r="CB603" s="872"/>
      <c r="CC603" s="872"/>
    </row>
    <row r="604" s="860" customFormat="1" ht="13.5" spans="1:81">
      <c r="A604" s="861"/>
      <c r="B604" s="860"/>
      <c r="C604" s="860"/>
      <c r="D604" s="860"/>
      <c r="E604" s="862"/>
      <c r="F604" s="860"/>
      <c r="G604" s="860"/>
      <c r="H604" s="860"/>
      <c r="I604" s="860"/>
      <c r="J604" s="860"/>
      <c r="K604" s="860"/>
      <c r="L604" s="860"/>
      <c r="M604" s="860"/>
      <c r="N604" s="860"/>
      <c r="O604" s="860"/>
      <c r="P604" s="860"/>
      <c r="Q604" s="860"/>
      <c r="R604" s="860"/>
      <c r="S604" s="860"/>
      <c r="T604" s="860"/>
      <c r="U604" s="860"/>
      <c r="V604" s="860"/>
      <c r="W604" s="860"/>
      <c r="X604" s="864"/>
      <c r="Y604" s="865"/>
      <c r="Z604" s="865"/>
      <c r="AA604" s="866"/>
      <c r="AB604" s="867"/>
      <c r="AC604" s="868"/>
      <c r="AD604" s="866"/>
      <c r="AE604" s="860"/>
      <c r="AF604" s="869"/>
      <c r="AG604" s="869"/>
      <c r="AH604" s="870"/>
      <c r="AI604" s="871"/>
      <c r="AJ604" s="870"/>
      <c r="AK604" s="870"/>
      <c r="AL604" s="860"/>
      <c r="AM604" s="860"/>
      <c r="AN604" s="860"/>
      <c r="AO604" s="860"/>
      <c r="AP604" s="860"/>
      <c r="AQ604" s="860"/>
      <c r="AR604" s="860"/>
      <c r="AS604" s="860"/>
      <c r="AT604" s="860"/>
      <c r="AU604" s="860"/>
      <c r="AV604" s="860"/>
      <c r="AW604" s="860"/>
      <c r="AX604" s="860"/>
      <c r="AY604" s="860"/>
      <c r="AZ604" s="860"/>
      <c r="BA604" s="860"/>
      <c r="BB604" s="860"/>
      <c r="BC604" s="860"/>
      <c r="BD604" s="860"/>
      <c r="BE604" s="860"/>
      <c r="BF604" s="860"/>
      <c r="BG604" s="860"/>
      <c r="BH604" s="860"/>
      <c r="BI604" s="860"/>
      <c r="BJ604" s="860"/>
      <c r="BK604" s="860"/>
      <c r="BL604" s="860"/>
      <c r="BM604" s="860"/>
      <c r="BN604" s="872"/>
      <c r="BO604" s="872"/>
      <c r="BP604" s="872"/>
      <c r="BQ604" s="872"/>
      <c r="BR604" s="872"/>
      <c r="BS604" s="872"/>
      <c r="BT604" s="860"/>
      <c r="BU604" s="860"/>
      <c r="BV604" s="860"/>
      <c r="BW604" s="860"/>
      <c r="BX604" s="872"/>
      <c r="BY604" s="872"/>
      <c r="BZ604" s="872"/>
      <c r="CA604" s="872"/>
      <c r="CB604" s="872"/>
      <c r="CC604" s="872"/>
    </row>
    <row r="605" s="860" customFormat="1" ht="13.5" spans="1:81">
      <c r="A605" s="861"/>
      <c r="B605" s="860"/>
      <c r="C605" s="860"/>
      <c r="D605" s="860"/>
      <c r="E605" s="862"/>
      <c r="F605" s="860"/>
      <c r="G605" s="860"/>
      <c r="H605" s="860"/>
      <c r="I605" s="860"/>
      <c r="J605" s="860"/>
      <c r="K605" s="860"/>
      <c r="L605" s="860"/>
      <c r="M605" s="860"/>
      <c r="N605" s="860"/>
      <c r="O605" s="860"/>
      <c r="P605" s="860"/>
      <c r="Q605" s="860"/>
      <c r="R605" s="860"/>
      <c r="S605" s="860"/>
      <c r="T605" s="860"/>
      <c r="U605" s="860"/>
      <c r="V605" s="860"/>
      <c r="W605" s="860"/>
      <c r="X605" s="864"/>
      <c r="Y605" s="865"/>
      <c r="Z605" s="865"/>
      <c r="AA605" s="866"/>
      <c r="AB605" s="867"/>
      <c r="AC605" s="868"/>
      <c r="AD605" s="866"/>
      <c r="AE605" s="860"/>
      <c r="AF605" s="869"/>
      <c r="AG605" s="869"/>
      <c r="AH605" s="870"/>
      <c r="AI605" s="871"/>
      <c r="AJ605" s="870"/>
      <c r="AK605" s="870"/>
      <c r="AL605" s="860"/>
      <c r="AM605" s="860"/>
      <c r="AN605" s="860"/>
      <c r="AO605" s="860"/>
      <c r="AP605" s="860"/>
      <c r="AQ605" s="860"/>
      <c r="AR605" s="860"/>
      <c r="AS605" s="860"/>
      <c r="AT605" s="860"/>
      <c r="AU605" s="860"/>
      <c r="AV605" s="860"/>
      <c r="AW605" s="860"/>
      <c r="AX605" s="860"/>
      <c r="AY605" s="860"/>
      <c r="AZ605" s="860"/>
      <c r="BA605" s="860"/>
      <c r="BB605" s="860"/>
      <c r="BC605" s="860"/>
      <c r="BD605" s="860"/>
      <c r="BE605" s="860"/>
      <c r="BF605" s="860"/>
      <c r="BG605" s="860"/>
      <c r="BH605" s="860"/>
      <c r="BI605" s="860"/>
      <c r="BJ605" s="860"/>
      <c r="BK605" s="860"/>
      <c r="BL605" s="860"/>
      <c r="BM605" s="860"/>
      <c r="BN605" s="872"/>
      <c r="BO605" s="872"/>
      <c r="BP605" s="872"/>
      <c r="BQ605" s="872"/>
      <c r="BR605" s="872"/>
      <c r="BS605" s="872"/>
      <c r="BT605" s="860"/>
      <c r="BU605" s="860"/>
      <c r="BV605" s="860"/>
      <c r="BW605" s="860"/>
      <c r="BX605" s="872"/>
      <c r="BY605" s="872"/>
      <c r="BZ605" s="872"/>
      <c r="CA605" s="872"/>
      <c r="CB605" s="872"/>
      <c r="CC605" s="872"/>
    </row>
    <row r="606" s="860" customFormat="1" ht="13.5" spans="1:81">
      <c r="A606" s="861"/>
      <c r="B606" s="860"/>
      <c r="C606" s="860"/>
      <c r="D606" s="860"/>
      <c r="E606" s="862"/>
      <c r="F606" s="860"/>
      <c r="G606" s="860"/>
      <c r="H606" s="860"/>
      <c r="I606" s="860"/>
      <c r="J606" s="860"/>
      <c r="K606" s="860"/>
      <c r="L606" s="860"/>
      <c r="M606" s="860"/>
      <c r="N606" s="860"/>
      <c r="O606" s="860"/>
      <c r="P606" s="860"/>
      <c r="Q606" s="860"/>
      <c r="R606" s="860"/>
      <c r="S606" s="860"/>
      <c r="T606" s="860"/>
      <c r="U606" s="860"/>
      <c r="V606" s="860"/>
      <c r="W606" s="860"/>
      <c r="X606" s="864"/>
      <c r="Y606" s="865"/>
      <c r="Z606" s="865"/>
      <c r="AA606" s="866"/>
      <c r="AB606" s="867"/>
      <c r="AC606" s="868"/>
      <c r="AD606" s="866"/>
      <c r="AE606" s="860"/>
      <c r="AF606" s="869"/>
      <c r="AG606" s="869"/>
      <c r="AH606" s="870"/>
      <c r="AI606" s="871"/>
      <c r="AJ606" s="870"/>
      <c r="AK606" s="870"/>
      <c r="AL606" s="860"/>
      <c r="AM606" s="860"/>
      <c r="AN606" s="860"/>
      <c r="AO606" s="860"/>
      <c r="AP606" s="860"/>
      <c r="AQ606" s="860"/>
      <c r="AR606" s="860"/>
      <c r="AS606" s="860"/>
      <c r="AT606" s="860"/>
      <c r="AU606" s="860"/>
      <c r="AV606" s="860"/>
      <c r="AW606" s="860"/>
      <c r="AX606" s="860"/>
      <c r="AY606" s="860"/>
      <c r="AZ606" s="860"/>
      <c r="BA606" s="860"/>
      <c r="BB606" s="860"/>
      <c r="BC606" s="860"/>
      <c r="BD606" s="860"/>
      <c r="BE606" s="860"/>
      <c r="BF606" s="860"/>
      <c r="BG606" s="860"/>
      <c r="BH606" s="860"/>
      <c r="BI606" s="860"/>
      <c r="BJ606" s="860"/>
      <c r="BK606" s="860"/>
      <c r="BL606" s="860"/>
      <c r="BM606" s="860"/>
      <c r="BN606" s="872"/>
      <c r="BO606" s="872"/>
      <c r="BP606" s="872"/>
      <c r="BQ606" s="872"/>
      <c r="BR606" s="872"/>
      <c r="BS606" s="872"/>
      <c r="BT606" s="860"/>
      <c r="BU606" s="860"/>
      <c r="BV606" s="860"/>
      <c r="BW606" s="860"/>
      <c r="BX606" s="872"/>
      <c r="BY606" s="872"/>
      <c r="BZ606" s="872"/>
      <c r="CA606" s="872"/>
      <c r="CB606" s="872"/>
      <c r="CC606" s="872"/>
    </row>
    <row r="607" s="860" customFormat="1" ht="13.5" spans="1:81">
      <c r="A607" s="861"/>
      <c r="B607" s="860"/>
      <c r="C607" s="860"/>
      <c r="D607" s="860"/>
      <c r="E607" s="862"/>
      <c r="F607" s="860"/>
      <c r="G607" s="860"/>
      <c r="H607" s="860"/>
      <c r="I607" s="860"/>
      <c r="J607" s="860"/>
      <c r="K607" s="860"/>
      <c r="L607" s="860"/>
      <c r="M607" s="860"/>
      <c r="N607" s="860"/>
      <c r="O607" s="860"/>
      <c r="P607" s="860"/>
      <c r="Q607" s="860"/>
      <c r="R607" s="860"/>
      <c r="S607" s="860"/>
      <c r="T607" s="860"/>
      <c r="U607" s="860"/>
      <c r="V607" s="860"/>
      <c r="W607" s="860"/>
      <c r="X607" s="864"/>
      <c r="Y607" s="865"/>
      <c r="Z607" s="865"/>
      <c r="AA607" s="866"/>
      <c r="AB607" s="867"/>
      <c r="AC607" s="868"/>
      <c r="AD607" s="866"/>
      <c r="AE607" s="860"/>
      <c r="AF607" s="869"/>
      <c r="AG607" s="869"/>
      <c r="AH607" s="870"/>
      <c r="AI607" s="871"/>
      <c r="AJ607" s="870"/>
      <c r="AK607" s="870"/>
      <c r="AL607" s="860"/>
      <c r="AM607" s="860"/>
      <c r="AN607" s="860"/>
      <c r="AO607" s="860"/>
      <c r="AP607" s="860"/>
      <c r="AQ607" s="860"/>
      <c r="AR607" s="860"/>
      <c r="AS607" s="860"/>
      <c r="AT607" s="860"/>
      <c r="AU607" s="860"/>
      <c r="AV607" s="860"/>
      <c r="AW607" s="860"/>
      <c r="AX607" s="860"/>
      <c r="AY607" s="860"/>
      <c r="AZ607" s="860"/>
      <c r="BA607" s="860"/>
      <c r="BB607" s="860"/>
      <c r="BC607" s="860"/>
      <c r="BD607" s="860"/>
      <c r="BE607" s="860"/>
      <c r="BF607" s="860"/>
      <c r="BG607" s="860"/>
      <c r="BH607" s="860"/>
      <c r="BI607" s="860"/>
      <c r="BJ607" s="860"/>
      <c r="BK607" s="860"/>
      <c r="BL607" s="860"/>
      <c r="BM607" s="860"/>
      <c r="BN607" s="872"/>
      <c r="BO607" s="872"/>
      <c r="BP607" s="872"/>
      <c r="BQ607" s="872"/>
      <c r="BR607" s="872"/>
      <c r="BS607" s="872"/>
      <c r="BT607" s="860"/>
      <c r="BU607" s="860"/>
      <c r="BV607" s="860"/>
      <c r="BW607" s="860"/>
      <c r="BX607" s="872"/>
      <c r="BY607" s="872"/>
      <c r="BZ607" s="872"/>
      <c r="CA607" s="872"/>
      <c r="CB607" s="872"/>
      <c r="CC607" s="872"/>
    </row>
    <row r="608" s="860" customFormat="1" ht="13.5" spans="1:81">
      <c r="A608" s="861"/>
      <c r="B608" s="860"/>
      <c r="C608" s="860"/>
      <c r="D608" s="860"/>
      <c r="E608" s="862"/>
      <c r="F608" s="860"/>
      <c r="G608" s="860"/>
      <c r="H608" s="860"/>
      <c r="I608" s="860"/>
      <c r="J608" s="860"/>
      <c r="K608" s="860"/>
      <c r="L608" s="860"/>
      <c r="M608" s="860"/>
      <c r="N608" s="860"/>
      <c r="O608" s="860"/>
      <c r="P608" s="860"/>
      <c r="Q608" s="860"/>
      <c r="R608" s="860"/>
      <c r="S608" s="860"/>
      <c r="T608" s="860"/>
      <c r="U608" s="860"/>
      <c r="V608" s="860"/>
      <c r="W608" s="860"/>
      <c r="X608" s="864"/>
      <c r="Y608" s="865"/>
      <c r="Z608" s="865"/>
      <c r="AA608" s="866"/>
      <c r="AB608" s="867"/>
      <c r="AC608" s="868"/>
      <c r="AD608" s="866"/>
      <c r="AE608" s="860"/>
      <c r="AF608" s="869"/>
      <c r="AG608" s="869"/>
      <c r="AH608" s="870"/>
      <c r="AI608" s="871"/>
      <c r="AJ608" s="870"/>
      <c r="AK608" s="870"/>
      <c r="AL608" s="860"/>
      <c r="AM608" s="860"/>
      <c r="AN608" s="860"/>
      <c r="AO608" s="860"/>
      <c r="AP608" s="860"/>
      <c r="AQ608" s="860"/>
      <c r="AR608" s="860"/>
      <c r="AS608" s="860"/>
      <c r="AT608" s="860"/>
      <c r="AU608" s="860"/>
      <c r="AV608" s="860"/>
      <c r="AW608" s="860"/>
      <c r="AX608" s="860"/>
      <c r="AY608" s="860"/>
      <c r="AZ608" s="860"/>
      <c r="BA608" s="860"/>
      <c r="BB608" s="860"/>
      <c r="BC608" s="860"/>
      <c r="BD608" s="860"/>
      <c r="BE608" s="860"/>
      <c r="BF608" s="860"/>
      <c r="BG608" s="860"/>
      <c r="BH608" s="860"/>
      <c r="BI608" s="860"/>
      <c r="BJ608" s="860"/>
      <c r="BK608" s="860"/>
      <c r="BL608" s="860"/>
      <c r="BM608" s="860"/>
      <c r="BN608" s="872"/>
      <c r="BO608" s="872"/>
      <c r="BP608" s="872"/>
      <c r="BQ608" s="872"/>
      <c r="BR608" s="872"/>
      <c r="BS608" s="872"/>
      <c r="BT608" s="860"/>
      <c r="BU608" s="860"/>
      <c r="BV608" s="860"/>
      <c r="BW608" s="860"/>
      <c r="BX608" s="872"/>
      <c r="BY608" s="872"/>
      <c r="BZ608" s="872"/>
      <c r="CA608" s="872"/>
      <c r="CB608" s="872"/>
      <c r="CC608" s="872"/>
    </row>
    <row r="609" s="860" customFormat="1" ht="13.5" spans="1:81">
      <c r="A609" s="861"/>
      <c r="B609" s="860"/>
      <c r="C609" s="860"/>
      <c r="D609" s="860"/>
      <c r="E609" s="862"/>
      <c r="F609" s="860"/>
      <c r="G609" s="860"/>
      <c r="H609" s="860"/>
      <c r="I609" s="860"/>
      <c r="J609" s="860"/>
      <c r="K609" s="860"/>
      <c r="L609" s="860"/>
      <c r="M609" s="860"/>
      <c r="N609" s="860"/>
      <c r="O609" s="860"/>
      <c r="P609" s="860"/>
      <c r="Q609" s="860"/>
      <c r="R609" s="860"/>
      <c r="S609" s="860"/>
      <c r="T609" s="860"/>
      <c r="U609" s="860"/>
      <c r="V609" s="860"/>
      <c r="W609" s="860"/>
      <c r="X609" s="864"/>
      <c r="Y609" s="865"/>
      <c r="Z609" s="865"/>
      <c r="AA609" s="866"/>
      <c r="AB609" s="867"/>
      <c r="AC609" s="868"/>
      <c r="AD609" s="866"/>
      <c r="AE609" s="860"/>
      <c r="AF609" s="869"/>
      <c r="AG609" s="869"/>
      <c r="AH609" s="870"/>
      <c r="AI609" s="871"/>
      <c r="AJ609" s="870"/>
      <c r="AK609" s="870"/>
      <c r="AL609" s="860"/>
      <c r="AM609" s="860"/>
      <c r="AN609" s="860"/>
      <c r="AO609" s="860"/>
      <c r="AP609" s="860"/>
      <c r="AQ609" s="860"/>
      <c r="AR609" s="860"/>
      <c r="AS609" s="860"/>
      <c r="AT609" s="860"/>
      <c r="AU609" s="860"/>
      <c r="AV609" s="860"/>
      <c r="AW609" s="860"/>
      <c r="AX609" s="860"/>
      <c r="AY609" s="860"/>
      <c r="AZ609" s="860"/>
      <c r="BA609" s="860"/>
      <c r="BB609" s="860"/>
      <c r="BC609" s="860"/>
      <c r="BD609" s="860"/>
      <c r="BE609" s="860"/>
      <c r="BF609" s="860"/>
      <c r="BG609" s="860"/>
      <c r="BH609" s="860"/>
      <c r="BI609" s="860"/>
      <c r="BJ609" s="860"/>
      <c r="BK609" s="860"/>
      <c r="BL609" s="860"/>
      <c r="BM609" s="860"/>
      <c r="BN609" s="872"/>
      <c r="BO609" s="872"/>
      <c r="BP609" s="872"/>
      <c r="BQ609" s="872"/>
      <c r="BR609" s="872"/>
      <c r="BS609" s="872"/>
      <c r="BT609" s="860"/>
      <c r="BU609" s="860"/>
      <c r="BV609" s="860"/>
      <c r="BW609" s="860"/>
      <c r="BX609" s="872"/>
      <c r="BY609" s="872"/>
      <c r="BZ609" s="872"/>
      <c r="CA609" s="872"/>
      <c r="CB609" s="872"/>
      <c r="CC609" s="872"/>
    </row>
    <row r="610" s="860" customFormat="1" ht="13.5" spans="1:81">
      <c r="A610" s="861"/>
      <c r="B610" s="860"/>
      <c r="C610" s="860"/>
      <c r="D610" s="860"/>
      <c r="E610" s="862"/>
      <c r="F610" s="860"/>
      <c r="G610" s="860"/>
      <c r="H610" s="860"/>
      <c r="I610" s="860"/>
      <c r="J610" s="860"/>
      <c r="K610" s="860"/>
      <c r="L610" s="860"/>
      <c r="M610" s="860"/>
      <c r="N610" s="860"/>
      <c r="O610" s="860"/>
      <c r="P610" s="860"/>
      <c r="Q610" s="860"/>
      <c r="R610" s="860"/>
      <c r="S610" s="860"/>
      <c r="T610" s="860"/>
      <c r="U610" s="860"/>
      <c r="V610" s="860"/>
      <c r="W610" s="860"/>
      <c r="X610" s="864"/>
      <c r="Y610" s="865"/>
      <c r="Z610" s="865"/>
      <c r="AA610" s="866"/>
      <c r="AB610" s="867"/>
      <c r="AC610" s="868"/>
      <c r="AD610" s="866"/>
      <c r="AE610" s="860"/>
      <c r="AF610" s="869"/>
      <c r="AG610" s="869"/>
      <c r="AH610" s="870"/>
      <c r="AI610" s="871"/>
      <c r="AJ610" s="870"/>
      <c r="AK610" s="870"/>
      <c r="AL610" s="860"/>
      <c r="AM610" s="860"/>
      <c r="AN610" s="860"/>
      <c r="AO610" s="860"/>
      <c r="AP610" s="860"/>
      <c r="AQ610" s="860"/>
      <c r="AR610" s="860"/>
      <c r="AS610" s="860"/>
      <c r="AT610" s="860"/>
      <c r="AU610" s="860"/>
      <c r="AV610" s="860"/>
      <c r="AW610" s="860"/>
      <c r="AX610" s="860"/>
      <c r="AY610" s="860"/>
      <c r="AZ610" s="860"/>
      <c r="BA610" s="860"/>
      <c r="BB610" s="860"/>
      <c r="BC610" s="860"/>
      <c r="BD610" s="860"/>
      <c r="BE610" s="860"/>
      <c r="BF610" s="860"/>
      <c r="BG610" s="860"/>
      <c r="BH610" s="860"/>
      <c r="BI610" s="860"/>
      <c r="BJ610" s="860"/>
      <c r="BK610" s="860"/>
      <c r="BL610" s="860"/>
      <c r="BM610" s="860"/>
      <c r="BN610" s="872"/>
      <c r="BO610" s="872"/>
      <c r="BP610" s="872"/>
      <c r="BQ610" s="872"/>
      <c r="BR610" s="872"/>
      <c r="BS610" s="872"/>
      <c r="BT610" s="860"/>
      <c r="BU610" s="860"/>
      <c r="BV610" s="860"/>
      <c r="BW610" s="860"/>
      <c r="BX610" s="872"/>
      <c r="BY610" s="872"/>
      <c r="BZ610" s="872"/>
      <c r="CA610" s="872"/>
      <c r="CB610" s="872"/>
      <c r="CC610" s="872"/>
    </row>
    <row r="611" s="860" customFormat="1" ht="13.5" spans="1:81">
      <c r="A611" s="861"/>
      <c r="B611" s="860"/>
      <c r="C611" s="860"/>
      <c r="D611" s="860"/>
      <c r="E611" s="862"/>
      <c r="F611" s="860"/>
      <c r="G611" s="860"/>
      <c r="H611" s="860"/>
      <c r="I611" s="860"/>
      <c r="J611" s="860"/>
      <c r="K611" s="860"/>
      <c r="L611" s="860"/>
      <c r="M611" s="860"/>
      <c r="N611" s="860"/>
      <c r="O611" s="860"/>
      <c r="P611" s="860"/>
      <c r="Q611" s="860"/>
      <c r="R611" s="860"/>
      <c r="S611" s="860"/>
      <c r="T611" s="860"/>
      <c r="U611" s="860"/>
      <c r="V611" s="860"/>
      <c r="W611" s="860"/>
      <c r="X611" s="864"/>
      <c r="Y611" s="865"/>
      <c r="Z611" s="865"/>
      <c r="AA611" s="866"/>
      <c r="AB611" s="867"/>
      <c r="AC611" s="868"/>
      <c r="AD611" s="866"/>
      <c r="AE611" s="860"/>
      <c r="AF611" s="869"/>
      <c r="AG611" s="869"/>
      <c r="AH611" s="870"/>
      <c r="AI611" s="871"/>
      <c r="AJ611" s="870"/>
      <c r="AK611" s="870"/>
      <c r="AL611" s="860"/>
      <c r="AM611" s="860"/>
      <c r="AN611" s="860"/>
      <c r="AO611" s="860"/>
      <c r="AP611" s="860"/>
      <c r="AQ611" s="860"/>
      <c r="AR611" s="860"/>
      <c r="AS611" s="860"/>
      <c r="AT611" s="860"/>
      <c r="AU611" s="860"/>
      <c r="AV611" s="860"/>
      <c r="AW611" s="860"/>
      <c r="AX611" s="860"/>
      <c r="AY611" s="860"/>
      <c r="AZ611" s="860"/>
      <c r="BA611" s="860"/>
      <c r="BB611" s="860"/>
      <c r="BC611" s="860"/>
      <c r="BD611" s="860"/>
      <c r="BE611" s="860"/>
      <c r="BF611" s="860"/>
      <c r="BG611" s="860"/>
      <c r="BH611" s="860"/>
      <c r="BI611" s="860"/>
      <c r="BJ611" s="860"/>
      <c r="BK611" s="860"/>
      <c r="BL611" s="860"/>
      <c r="BM611" s="860"/>
      <c r="BN611" s="872"/>
      <c r="BO611" s="872"/>
      <c r="BP611" s="872"/>
      <c r="BQ611" s="872"/>
      <c r="BR611" s="872"/>
      <c r="BS611" s="872"/>
      <c r="BT611" s="860"/>
      <c r="BU611" s="860"/>
      <c r="BV611" s="860"/>
      <c r="BW611" s="860"/>
      <c r="BX611" s="872"/>
      <c r="BY611" s="872"/>
      <c r="BZ611" s="872"/>
      <c r="CA611" s="872"/>
      <c r="CB611" s="872"/>
      <c r="CC611" s="872"/>
    </row>
    <row r="612" s="860" customFormat="1" ht="13.5" spans="1:81">
      <c r="A612" s="861"/>
      <c r="B612" s="860"/>
      <c r="C612" s="860"/>
      <c r="D612" s="860"/>
      <c r="E612" s="862"/>
      <c r="F612" s="860"/>
      <c r="G612" s="860"/>
      <c r="H612" s="860"/>
      <c r="I612" s="860"/>
      <c r="J612" s="860"/>
      <c r="K612" s="860"/>
      <c r="L612" s="860"/>
      <c r="M612" s="860"/>
      <c r="N612" s="860"/>
      <c r="O612" s="860"/>
      <c r="P612" s="860"/>
      <c r="Q612" s="860"/>
      <c r="R612" s="860"/>
      <c r="S612" s="860"/>
      <c r="T612" s="860"/>
      <c r="U612" s="860"/>
      <c r="V612" s="860"/>
      <c r="W612" s="860"/>
      <c r="X612" s="864"/>
      <c r="Y612" s="865"/>
      <c r="Z612" s="865"/>
      <c r="AA612" s="866"/>
      <c r="AB612" s="867"/>
      <c r="AC612" s="868"/>
      <c r="AD612" s="866"/>
      <c r="AE612" s="860"/>
      <c r="AF612" s="869"/>
      <c r="AG612" s="869"/>
      <c r="AH612" s="870"/>
      <c r="AI612" s="871"/>
      <c r="AJ612" s="870"/>
      <c r="AK612" s="870"/>
      <c r="AL612" s="860"/>
      <c r="AM612" s="860"/>
      <c r="AN612" s="860"/>
      <c r="AO612" s="860"/>
      <c r="AP612" s="860"/>
      <c r="AQ612" s="860"/>
      <c r="AR612" s="860"/>
      <c r="AS612" s="860"/>
      <c r="AT612" s="860"/>
      <c r="AU612" s="860"/>
      <c r="AV612" s="860"/>
      <c r="AW612" s="860"/>
      <c r="AX612" s="860"/>
      <c r="AY612" s="860"/>
      <c r="AZ612" s="860"/>
      <c r="BA612" s="860"/>
      <c r="BB612" s="860"/>
      <c r="BC612" s="860"/>
      <c r="BD612" s="860"/>
      <c r="BE612" s="860"/>
      <c r="BF612" s="860"/>
      <c r="BG612" s="860"/>
      <c r="BH612" s="860"/>
      <c r="BI612" s="860"/>
      <c r="BJ612" s="860"/>
      <c r="BK612" s="860"/>
      <c r="BL612" s="860"/>
      <c r="BM612" s="860"/>
      <c r="BN612" s="872"/>
      <c r="BO612" s="872"/>
      <c r="BP612" s="872"/>
      <c r="BQ612" s="872"/>
      <c r="BR612" s="872"/>
      <c r="BS612" s="872"/>
      <c r="BT612" s="860"/>
      <c r="BU612" s="860"/>
      <c r="BV612" s="860"/>
      <c r="BW612" s="860"/>
      <c r="BX612" s="872"/>
      <c r="BY612" s="872"/>
      <c r="BZ612" s="872"/>
      <c r="CA612" s="872"/>
      <c r="CB612" s="872"/>
      <c r="CC612" s="872"/>
    </row>
    <row r="613" s="860" customFormat="1" ht="13.5" spans="1:81">
      <c r="A613" s="861"/>
      <c r="B613" s="860"/>
      <c r="C613" s="860"/>
      <c r="D613" s="860"/>
      <c r="E613" s="862"/>
      <c r="F613" s="860"/>
      <c r="G613" s="860"/>
      <c r="H613" s="860"/>
      <c r="I613" s="860"/>
      <c r="J613" s="860"/>
      <c r="K613" s="860"/>
      <c r="L613" s="860"/>
      <c r="M613" s="860"/>
      <c r="N613" s="860"/>
      <c r="O613" s="860"/>
      <c r="P613" s="860"/>
      <c r="Q613" s="860"/>
      <c r="R613" s="860"/>
      <c r="S613" s="860"/>
      <c r="T613" s="860"/>
      <c r="U613" s="860"/>
      <c r="V613" s="860"/>
      <c r="W613" s="860"/>
      <c r="X613" s="864"/>
      <c r="Y613" s="865"/>
      <c r="Z613" s="865"/>
      <c r="AA613" s="866"/>
      <c r="AB613" s="867"/>
      <c r="AC613" s="868"/>
      <c r="AD613" s="866"/>
      <c r="AE613" s="860"/>
      <c r="AF613" s="869"/>
      <c r="AG613" s="869"/>
      <c r="AH613" s="870"/>
      <c r="AI613" s="871"/>
      <c r="AJ613" s="870"/>
      <c r="AK613" s="870"/>
      <c r="AL613" s="860"/>
      <c r="AM613" s="860"/>
      <c r="AN613" s="860"/>
      <c r="AO613" s="860"/>
      <c r="AP613" s="860"/>
      <c r="AQ613" s="860"/>
      <c r="AR613" s="860"/>
      <c r="AS613" s="860"/>
      <c r="AT613" s="860"/>
      <c r="AU613" s="860"/>
      <c r="AV613" s="860"/>
      <c r="AW613" s="860"/>
      <c r="AX613" s="860"/>
      <c r="AY613" s="860"/>
      <c r="AZ613" s="860"/>
      <c r="BA613" s="860"/>
      <c r="BB613" s="860"/>
      <c r="BC613" s="860"/>
      <c r="BD613" s="860"/>
      <c r="BE613" s="860"/>
      <c r="BF613" s="860"/>
      <c r="BG613" s="860"/>
      <c r="BH613" s="860"/>
      <c r="BI613" s="860"/>
      <c r="BJ613" s="860"/>
      <c r="BK613" s="860"/>
      <c r="BL613" s="860"/>
      <c r="BM613" s="860"/>
      <c r="BN613" s="872"/>
      <c r="BO613" s="872"/>
      <c r="BP613" s="872"/>
      <c r="BQ613" s="872"/>
      <c r="BR613" s="872"/>
      <c r="BS613" s="872"/>
      <c r="BT613" s="860"/>
      <c r="BU613" s="860"/>
      <c r="BV613" s="860"/>
      <c r="BW613" s="860"/>
      <c r="BX613" s="872"/>
      <c r="BY613" s="872"/>
      <c r="BZ613" s="872"/>
      <c r="CA613" s="872"/>
      <c r="CB613" s="872"/>
      <c r="CC613" s="872"/>
    </row>
    <row r="614" s="860" customFormat="1" ht="13.5" spans="1:81">
      <c r="A614" s="861"/>
      <c r="B614" s="860"/>
      <c r="C614" s="860"/>
      <c r="D614" s="860"/>
      <c r="E614" s="862"/>
      <c r="F614" s="860"/>
      <c r="G614" s="860"/>
      <c r="H614" s="860"/>
      <c r="I614" s="860"/>
      <c r="J614" s="860"/>
      <c r="K614" s="860"/>
      <c r="L614" s="860"/>
      <c r="M614" s="860"/>
      <c r="N614" s="860"/>
      <c r="O614" s="860"/>
      <c r="P614" s="860"/>
      <c r="Q614" s="860"/>
      <c r="R614" s="860"/>
      <c r="S614" s="860"/>
      <c r="T614" s="860"/>
      <c r="U614" s="860"/>
      <c r="V614" s="860"/>
      <c r="W614" s="860"/>
      <c r="X614" s="864"/>
      <c r="Y614" s="865"/>
      <c r="Z614" s="865"/>
      <c r="AA614" s="866"/>
      <c r="AB614" s="867"/>
      <c r="AC614" s="868"/>
      <c r="AD614" s="866"/>
      <c r="AE614" s="860"/>
      <c r="AF614" s="869"/>
      <c r="AG614" s="869"/>
      <c r="AH614" s="870"/>
      <c r="AI614" s="871"/>
      <c r="AJ614" s="870"/>
      <c r="AK614" s="870"/>
      <c r="AL614" s="860"/>
      <c r="AM614" s="860"/>
      <c r="AN614" s="860"/>
      <c r="AO614" s="860"/>
      <c r="AP614" s="860"/>
      <c r="AQ614" s="860"/>
      <c r="AR614" s="860"/>
      <c r="AS614" s="860"/>
      <c r="AT614" s="860"/>
      <c r="AU614" s="860"/>
      <c r="AV614" s="860"/>
      <c r="AW614" s="860"/>
      <c r="AX614" s="860"/>
      <c r="AY614" s="860"/>
      <c r="AZ614" s="860"/>
      <c r="BA614" s="860"/>
      <c r="BB614" s="860"/>
      <c r="BC614" s="860"/>
      <c r="BD614" s="860"/>
      <c r="BE614" s="860"/>
      <c r="BF614" s="860"/>
      <c r="BG614" s="860"/>
      <c r="BH614" s="860"/>
      <c r="BI614" s="860"/>
      <c r="BJ614" s="860"/>
      <c r="BK614" s="860"/>
      <c r="BL614" s="860"/>
      <c r="BM614" s="860"/>
      <c r="BN614" s="872"/>
      <c r="BO614" s="872"/>
      <c r="BP614" s="872"/>
      <c r="BQ614" s="872"/>
      <c r="BR614" s="872"/>
      <c r="BS614" s="872"/>
      <c r="BT614" s="860"/>
      <c r="BU614" s="860"/>
      <c r="BV614" s="860"/>
      <c r="BW614" s="860"/>
      <c r="BX614" s="872"/>
      <c r="BY614" s="872"/>
      <c r="BZ614" s="872"/>
      <c r="CA614" s="872"/>
      <c r="CB614" s="872"/>
      <c r="CC614" s="872"/>
    </row>
    <row r="615" s="860" customFormat="1" ht="13.5" spans="1:81">
      <c r="A615" s="861"/>
      <c r="B615" s="860"/>
      <c r="C615" s="860"/>
      <c r="D615" s="860"/>
      <c r="E615" s="862"/>
      <c r="F615" s="860"/>
      <c r="G615" s="860"/>
      <c r="H615" s="860"/>
      <c r="I615" s="860"/>
      <c r="J615" s="860"/>
      <c r="K615" s="860"/>
      <c r="L615" s="860"/>
      <c r="M615" s="860"/>
      <c r="N615" s="860"/>
      <c r="O615" s="860"/>
      <c r="P615" s="860"/>
      <c r="Q615" s="860"/>
      <c r="R615" s="860"/>
      <c r="S615" s="860"/>
      <c r="T615" s="860"/>
      <c r="U615" s="860"/>
      <c r="V615" s="860"/>
      <c r="W615" s="860"/>
      <c r="X615" s="864"/>
      <c r="Y615" s="865"/>
      <c r="Z615" s="865"/>
      <c r="AA615" s="866"/>
      <c r="AB615" s="867"/>
      <c r="AC615" s="868"/>
      <c r="AD615" s="866"/>
      <c r="AE615" s="860"/>
      <c r="AF615" s="869"/>
      <c r="AG615" s="869"/>
      <c r="AH615" s="870"/>
      <c r="AI615" s="871"/>
      <c r="AJ615" s="870"/>
      <c r="AK615" s="870"/>
      <c r="AL615" s="860"/>
      <c r="AM615" s="860"/>
      <c r="AN615" s="860"/>
      <c r="AO615" s="860"/>
      <c r="AP615" s="860"/>
      <c r="AQ615" s="860"/>
      <c r="AR615" s="860"/>
      <c r="AS615" s="860"/>
      <c r="AT615" s="860"/>
      <c r="AU615" s="860"/>
      <c r="AV615" s="860"/>
      <c r="AW615" s="860"/>
      <c r="AX615" s="860"/>
      <c r="AY615" s="860"/>
      <c r="AZ615" s="860"/>
      <c r="BA615" s="860"/>
      <c r="BB615" s="860"/>
      <c r="BC615" s="860"/>
      <c r="BD615" s="860"/>
      <c r="BE615" s="860"/>
      <c r="BF615" s="860"/>
      <c r="BG615" s="860"/>
      <c r="BH615" s="860"/>
      <c r="BI615" s="860"/>
      <c r="BJ615" s="860"/>
      <c r="BK615" s="860"/>
      <c r="BL615" s="860"/>
      <c r="BM615" s="860"/>
      <c r="BN615" s="872"/>
      <c r="BO615" s="872"/>
      <c r="BP615" s="872"/>
      <c r="BQ615" s="872"/>
      <c r="BR615" s="872"/>
      <c r="BS615" s="872"/>
      <c r="BT615" s="860"/>
      <c r="BU615" s="860"/>
      <c r="BV615" s="860"/>
      <c r="BW615" s="860"/>
      <c r="BX615" s="872"/>
      <c r="BY615" s="872"/>
      <c r="BZ615" s="872"/>
      <c r="CA615" s="872"/>
      <c r="CB615" s="872"/>
      <c r="CC615" s="872"/>
    </row>
    <row r="616" s="860" customFormat="1" ht="13.5" spans="1:81">
      <c r="A616" s="861"/>
      <c r="B616" s="860"/>
      <c r="C616" s="860"/>
      <c r="D616" s="860"/>
      <c r="E616" s="862"/>
      <c r="F616" s="860"/>
      <c r="G616" s="860"/>
      <c r="H616" s="860"/>
      <c r="I616" s="860"/>
      <c r="J616" s="860"/>
      <c r="K616" s="860"/>
      <c r="L616" s="860"/>
      <c r="M616" s="860"/>
      <c r="N616" s="860"/>
      <c r="O616" s="860"/>
      <c r="P616" s="860"/>
      <c r="Q616" s="860"/>
      <c r="R616" s="860"/>
      <c r="S616" s="860"/>
      <c r="T616" s="860"/>
      <c r="U616" s="860"/>
      <c r="V616" s="860"/>
      <c r="W616" s="860"/>
      <c r="X616" s="864"/>
      <c r="Y616" s="865"/>
      <c r="Z616" s="865"/>
      <c r="AA616" s="866"/>
      <c r="AB616" s="867"/>
      <c r="AC616" s="868"/>
      <c r="AD616" s="866"/>
      <c r="AE616" s="860"/>
      <c r="AF616" s="869"/>
      <c r="AG616" s="869"/>
      <c r="AH616" s="870"/>
      <c r="AI616" s="871"/>
      <c r="AJ616" s="870"/>
      <c r="AK616" s="870"/>
      <c r="AL616" s="860"/>
      <c r="AM616" s="860"/>
      <c r="AN616" s="860"/>
      <c r="AO616" s="860"/>
      <c r="AP616" s="860"/>
      <c r="AQ616" s="860"/>
      <c r="AR616" s="860"/>
      <c r="AS616" s="860"/>
      <c r="AT616" s="860"/>
      <c r="AU616" s="860"/>
      <c r="AV616" s="860"/>
      <c r="AW616" s="860"/>
      <c r="AX616" s="860"/>
      <c r="AY616" s="860"/>
      <c r="AZ616" s="860"/>
      <c r="BA616" s="860"/>
      <c r="BB616" s="860"/>
      <c r="BC616" s="860"/>
      <c r="BD616" s="860"/>
      <c r="BE616" s="860"/>
      <c r="BF616" s="860"/>
      <c r="BG616" s="860"/>
      <c r="BH616" s="860"/>
      <c r="BI616" s="860"/>
      <c r="BJ616" s="860"/>
      <c r="BK616" s="860"/>
      <c r="BL616" s="860"/>
      <c r="BM616" s="860"/>
      <c r="BN616" s="872"/>
      <c r="BO616" s="872"/>
      <c r="BP616" s="872"/>
      <c r="BQ616" s="872"/>
      <c r="BR616" s="872"/>
      <c r="BS616" s="872"/>
      <c r="BT616" s="860"/>
      <c r="BU616" s="860"/>
      <c r="BV616" s="860"/>
      <c r="BW616" s="860"/>
      <c r="BX616" s="872"/>
      <c r="BY616" s="872"/>
      <c r="BZ616" s="872"/>
      <c r="CA616" s="872"/>
      <c r="CB616" s="872"/>
      <c r="CC616" s="872"/>
    </row>
    <row r="617" s="860" customFormat="1" ht="13.5" spans="1:81">
      <c r="A617" s="861"/>
      <c r="B617" s="860"/>
      <c r="C617" s="860"/>
      <c r="D617" s="860"/>
      <c r="E617" s="862"/>
      <c r="F617" s="860"/>
      <c r="G617" s="860"/>
      <c r="H617" s="860"/>
      <c r="I617" s="860"/>
      <c r="J617" s="860"/>
      <c r="K617" s="860"/>
      <c r="L617" s="860"/>
      <c r="M617" s="860"/>
      <c r="N617" s="860"/>
      <c r="O617" s="860"/>
      <c r="P617" s="860"/>
      <c r="Q617" s="860"/>
      <c r="R617" s="860"/>
      <c r="S617" s="860"/>
      <c r="T617" s="860"/>
      <c r="U617" s="860"/>
      <c r="V617" s="860"/>
      <c r="W617" s="860"/>
      <c r="X617" s="864"/>
      <c r="Y617" s="865"/>
      <c r="Z617" s="865"/>
      <c r="AA617" s="866"/>
      <c r="AB617" s="867"/>
      <c r="AC617" s="868"/>
      <c r="AD617" s="866"/>
      <c r="AE617" s="860"/>
      <c r="AF617" s="869"/>
      <c r="AG617" s="869"/>
      <c r="AH617" s="870"/>
      <c r="AI617" s="871"/>
      <c r="AJ617" s="870"/>
      <c r="AK617" s="870"/>
      <c r="AL617" s="860"/>
      <c r="AM617" s="860"/>
      <c r="AN617" s="860"/>
      <c r="AO617" s="860"/>
      <c r="AP617" s="860"/>
      <c r="AQ617" s="860"/>
      <c r="AR617" s="860"/>
      <c r="AS617" s="860"/>
      <c r="AT617" s="860"/>
      <c r="AU617" s="860"/>
      <c r="AV617" s="860"/>
      <c r="AW617" s="860"/>
      <c r="AX617" s="860"/>
      <c r="AY617" s="860"/>
      <c r="AZ617" s="860"/>
      <c r="BA617" s="860"/>
      <c r="BB617" s="860"/>
      <c r="BC617" s="860"/>
      <c r="BD617" s="860"/>
      <c r="BE617" s="860"/>
      <c r="BF617" s="860"/>
      <c r="BG617" s="860"/>
      <c r="BH617" s="860"/>
      <c r="BI617" s="860"/>
      <c r="BJ617" s="860"/>
      <c r="BK617" s="860"/>
      <c r="BL617" s="860"/>
      <c r="BM617" s="860"/>
      <c r="BN617" s="872"/>
      <c r="BO617" s="872"/>
      <c r="BP617" s="872"/>
      <c r="BQ617" s="872"/>
      <c r="BR617" s="872"/>
      <c r="BS617" s="872"/>
      <c r="BT617" s="860"/>
      <c r="BU617" s="860"/>
      <c r="BV617" s="860"/>
      <c r="BW617" s="860"/>
      <c r="BX617" s="872"/>
      <c r="BY617" s="872"/>
      <c r="BZ617" s="872"/>
      <c r="CA617" s="872"/>
      <c r="CB617" s="872"/>
      <c r="CC617" s="872"/>
    </row>
    <row r="618" s="860" customFormat="1" ht="13.5" spans="1:81">
      <c r="A618" s="861"/>
      <c r="B618" s="860"/>
      <c r="C618" s="860"/>
      <c r="D618" s="860"/>
      <c r="E618" s="862"/>
      <c r="F618" s="860"/>
      <c r="G618" s="860"/>
      <c r="H618" s="860"/>
      <c r="I618" s="860"/>
      <c r="J618" s="860"/>
      <c r="K618" s="860"/>
      <c r="L618" s="860"/>
      <c r="M618" s="860"/>
      <c r="N618" s="860"/>
      <c r="O618" s="860"/>
      <c r="P618" s="860"/>
      <c r="Q618" s="860"/>
      <c r="R618" s="860"/>
      <c r="S618" s="860"/>
      <c r="T618" s="860"/>
      <c r="U618" s="860"/>
      <c r="V618" s="860"/>
      <c r="W618" s="860"/>
      <c r="X618" s="864"/>
      <c r="Y618" s="865"/>
      <c r="Z618" s="865"/>
      <c r="AA618" s="866"/>
      <c r="AB618" s="867"/>
      <c r="AC618" s="868"/>
      <c r="AD618" s="866"/>
      <c r="AE618" s="860"/>
      <c r="AF618" s="869"/>
      <c r="AG618" s="869"/>
      <c r="AH618" s="870"/>
      <c r="AI618" s="871"/>
      <c r="AJ618" s="870"/>
      <c r="AK618" s="870"/>
      <c r="AL618" s="860"/>
      <c r="AM618" s="860"/>
      <c r="AN618" s="860"/>
      <c r="AO618" s="860"/>
      <c r="AP618" s="860"/>
      <c r="AQ618" s="860"/>
      <c r="AR618" s="860"/>
      <c r="AS618" s="860"/>
      <c r="AT618" s="860"/>
      <c r="AU618" s="860"/>
      <c r="AV618" s="860"/>
      <c r="AW618" s="860"/>
      <c r="AX618" s="860"/>
      <c r="AY618" s="860"/>
      <c r="AZ618" s="860"/>
      <c r="BA618" s="860"/>
      <c r="BB618" s="860"/>
      <c r="BC618" s="860"/>
      <c r="BD618" s="860"/>
      <c r="BE618" s="860"/>
      <c r="BF618" s="860"/>
      <c r="BG618" s="860"/>
      <c r="BH618" s="860"/>
      <c r="BI618" s="860"/>
      <c r="BJ618" s="860"/>
      <c r="BK618" s="860"/>
      <c r="BL618" s="860"/>
      <c r="BM618" s="860"/>
      <c r="BN618" s="872"/>
      <c r="BO618" s="872"/>
      <c r="BP618" s="872"/>
      <c r="BQ618" s="872"/>
      <c r="BR618" s="872"/>
      <c r="BS618" s="872"/>
      <c r="BT618" s="860"/>
      <c r="BU618" s="860"/>
      <c r="BV618" s="860"/>
      <c r="BW618" s="860"/>
      <c r="BX618" s="872"/>
      <c r="BY618" s="872"/>
      <c r="BZ618" s="872"/>
      <c r="CA618" s="872"/>
      <c r="CB618" s="872"/>
      <c r="CC618" s="872"/>
    </row>
    <row r="619" s="860" customFormat="1" ht="13.5" spans="1:81">
      <c r="A619" s="861"/>
      <c r="B619" s="860"/>
      <c r="C619" s="860"/>
      <c r="D619" s="860"/>
      <c r="E619" s="862"/>
      <c r="F619" s="860"/>
      <c r="G619" s="860"/>
      <c r="H619" s="860"/>
      <c r="I619" s="860"/>
      <c r="J619" s="860"/>
      <c r="K619" s="860"/>
      <c r="L619" s="860"/>
      <c r="M619" s="860"/>
      <c r="N619" s="860"/>
      <c r="O619" s="860"/>
      <c r="P619" s="860"/>
      <c r="Q619" s="860"/>
      <c r="R619" s="860"/>
      <c r="S619" s="860"/>
      <c r="T619" s="860"/>
      <c r="U619" s="860"/>
      <c r="V619" s="860"/>
      <c r="W619" s="860"/>
      <c r="X619" s="864"/>
      <c r="Y619" s="865"/>
      <c r="Z619" s="865"/>
      <c r="AA619" s="866"/>
      <c r="AB619" s="867"/>
      <c r="AC619" s="868"/>
      <c r="AD619" s="866"/>
      <c r="AE619" s="860"/>
      <c r="AF619" s="869"/>
      <c r="AG619" s="869"/>
      <c r="AH619" s="870"/>
      <c r="AI619" s="871"/>
      <c r="AJ619" s="870"/>
      <c r="AK619" s="870"/>
      <c r="AL619" s="860"/>
      <c r="AM619" s="860"/>
      <c r="AN619" s="860"/>
      <c r="AO619" s="860"/>
      <c r="AP619" s="860"/>
      <c r="AQ619" s="860"/>
      <c r="AR619" s="860"/>
      <c r="AS619" s="860"/>
      <c r="AT619" s="860"/>
      <c r="AU619" s="860"/>
      <c r="AV619" s="860"/>
      <c r="AW619" s="860"/>
      <c r="AX619" s="860"/>
      <c r="AY619" s="860"/>
      <c r="AZ619" s="860"/>
      <c r="BA619" s="860"/>
      <c r="BB619" s="860"/>
      <c r="BC619" s="860"/>
      <c r="BD619" s="860"/>
      <c r="BE619" s="860"/>
      <c r="BF619" s="860"/>
      <c r="BG619" s="860"/>
      <c r="BH619" s="860"/>
      <c r="BI619" s="860"/>
      <c r="BJ619" s="860"/>
      <c r="BK619" s="860"/>
      <c r="BL619" s="860"/>
      <c r="BM619" s="860"/>
      <c r="BN619" s="872"/>
      <c r="BO619" s="872"/>
      <c r="BP619" s="872"/>
      <c r="BQ619" s="872"/>
      <c r="BR619" s="872"/>
      <c r="BS619" s="872"/>
      <c r="BT619" s="860"/>
      <c r="BU619" s="860"/>
      <c r="BV619" s="860"/>
      <c r="BW619" s="860"/>
      <c r="BX619" s="872"/>
      <c r="BY619" s="872"/>
      <c r="BZ619" s="872"/>
      <c r="CA619" s="872"/>
      <c r="CB619" s="872"/>
      <c r="CC619" s="872"/>
    </row>
    <row r="620" s="860" customFormat="1" ht="13.5" spans="1:81">
      <c r="A620" s="861"/>
      <c r="B620" s="860"/>
      <c r="C620" s="860"/>
      <c r="D620" s="860"/>
      <c r="E620" s="862"/>
      <c r="F620" s="860"/>
      <c r="G620" s="860"/>
      <c r="H620" s="860"/>
      <c r="I620" s="860"/>
      <c r="J620" s="860"/>
      <c r="K620" s="860"/>
      <c r="L620" s="860"/>
      <c r="M620" s="860"/>
      <c r="N620" s="860"/>
      <c r="O620" s="860"/>
      <c r="P620" s="860"/>
      <c r="Q620" s="860"/>
      <c r="R620" s="860"/>
      <c r="S620" s="860"/>
      <c r="T620" s="860"/>
      <c r="U620" s="860"/>
      <c r="V620" s="860"/>
      <c r="W620" s="860"/>
      <c r="X620" s="864"/>
      <c r="Y620" s="865"/>
      <c r="Z620" s="865"/>
      <c r="AA620" s="866"/>
      <c r="AB620" s="867"/>
      <c r="AC620" s="868"/>
      <c r="AD620" s="866"/>
      <c r="AE620" s="860"/>
      <c r="AF620" s="869"/>
      <c r="AG620" s="869"/>
      <c r="AH620" s="870"/>
      <c r="AI620" s="871"/>
      <c r="AJ620" s="870"/>
      <c r="AK620" s="870"/>
      <c r="AL620" s="860"/>
      <c r="AM620" s="860"/>
      <c r="AN620" s="860"/>
      <c r="AO620" s="860"/>
      <c r="AP620" s="860"/>
      <c r="AQ620" s="860"/>
      <c r="AR620" s="860"/>
      <c r="AS620" s="860"/>
      <c r="AT620" s="860"/>
      <c r="AU620" s="860"/>
      <c r="AV620" s="860"/>
      <c r="AW620" s="860"/>
      <c r="AX620" s="860"/>
      <c r="AY620" s="860"/>
      <c r="AZ620" s="860"/>
      <c r="BA620" s="860"/>
      <c r="BB620" s="860"/>
      <c r="BC620" s="860"/>
      <c r="BD620" s="860"/>
      <c r="BE620" s="860"/>
      <c r="BF620" s="860"/>
      <c r="BG620" s="860"/>
      <c r="BH620" s="860"/>
      <c r="BI620" s="860"/>
      <c r="BJ620" s="860"/>
      <c r="BK620" s="860"/>
      <c r="BL620" s="860"/>
      <c r="BM620" s="860"/>
      <c r="BN620" s="872"/>
      <c r="BO620" s="872"/>
      <c r="BP620" s="872"/>
      <c r="BQ620" s="872"/>
      <c r="BR620" s="872"/>
      <c r="BS620" s="872"/>
      <c r="BT620" s="860"/>
      <c r="BU620" s="860"/>
      <c r="BV620" s="860"/>
      <c r="BW620" s="860"/>
      <c r="BX620" s="872"/>
      <c r="BY620" s="872"/>
      <c r="BZ620" s="872"/>
      <c r="CA620" s="872"/>
      <c r="CB620" s="872"/>
      <c r="CC620" s="872"/>
    </row>
    <row r="621" s="860" customFormat="1" ht="13.5" spans="1:81">
      <c r="A621" s="861"/>
      <c r="B621" s="860"/>
      <c r="C621" s="860"/>
      <c r="D621" s="860"/>
      <c r="E621" s="862"/>
      <c r="F621" s="860"/>
      <c r="G621" s="860"/>
      <c r="H621" s="860"/>
      <c r="I621" s="860"/>
      <c r="J621" s="860"/>
      <c r="K621" s="860"/>
      <c r="L621" s="860"/>
      <c r="M621" s="860"/>
      <c r="N621" s="860"/>
      <c r="O621" s="860"/>
      <c r="P621" s="860"/>
      <c r="Q621" s="860"/>
      <c r="R621" s="860"/>
      <c r="S621" s="860"/>
      <c r="T621" s="860"/>
      <c r="U621" s="860"/>
      <c r="V621" s="860"/>
      <c r="W621" s="860"/>
      <c r="X621" s="864"/>
      <c r="Y621" s="865"/>
      <c r="Z621" s="865"/>
      <c r="AA621" s="866"/>
      <c r="AB621" s="867"/>
      <c r="AC621" s="868"/>
      <c r="AD621" s="866"/>
      <c r="AE621" s="860"/>
      <c r="AF621" s="869"/>
      <c r="AG621" s="869"/>
      <c r="AH621" s="870"/>
      <c r="AI621" s="871"/>
      <c r="AJ621" s="870"/>
      <c r="AK621" s="870"/>
      <c r="AL621" s="860"/>
      <c r="AM621" s="860"/>
      <c r="AN621" s="860"/>
      <c r="AO621" s="860"/>
      <c r="AP621" s="860"/>
      <c r="AQ621" s="860"/>
      <c r="AR621" s="860"/>
      <c r="AS621" s="860"/>
      <c r="AT621" s="860"/>
      <c r="AU621" s="860"/>
      <c r="AV621" s="860"/>
      <c r="AW621" s="860"/>
      <c r="AX621" s="860"/>
      <c r="AY621" s="860"/>
      <c r="AZ621" s="860"/>
      <c r="BA621" s="860"/>
      <c r="BB621" s="860"/>
      <c r="BC621" s="860"/>
      <c r="BD621" s="860"/>
      <c r="BE621" s="860"/>
      <c r="BF621" s="860"/>
      <c r="BG621" s="860"/>
      <c r="BH621" s="860"/>
      <c r="BI621" s="860"/>
      <c r="BJ621" s="860"/>
      <c r="BK621" s="860"/>
      <c r="BL621" s="860"/>
      <c r="BM621" s="860"/>
      <c r="BN621" s="872"/>
      <c r="BO621" s="872"/>
      <c r="BP621" s="872"/>
      <c r="BQ621" s="872"/>
      <c r="BR621" s="872"/>
      <c r="BS621" s="872"/>
      <c r="BT621" s="860"/>
      <c r="BU621" s="860"/>
      <c r="BV621" s="860"/>
      <c r="BW621" s="860"/>
      <c r="BX621" s="872"/>
      <c r="BY621" s="872"/>
      <c r="BZ621" s="872"/>
      <c r="CA621" s="872"/>
      <c r="CB621" s="872"/>
      <c r="CC621" s="872"/>
    </row>
    <row r="622" s="860" customFormat="1" ht="13.5" spans="1:81">
      <c r="A622" s="861"/>
      <c r="B622" s="860"/>
      <c r="C622" s="860"/>
      <c r="D622" s="860"/>
      <c r="E622" s="862"/>
      <c r="F622" s="860"/>
      <c r="G622" s="860"/>
      <c r="H622" s="860"/>
      <c r="I622" s="860"/>
      <c r="J622" s="860"/>
      <c r="K622" s="860"/>
      <c r="L622" s="860"/>
      <c r="M622" s="860"/>
      <c r="N622" s="860"/>
      <c r="O622" s="860"/>
      <c r="P622" s="860"/>
      <c r="Q622" s="860"/>
      <c r="R622" s="860"/>
      <c r="S622" s="860"/>
      <c r="T622" s="860"/>
      <c r="U622" s="860"/>
      <c r="V622" s="860"/>
      <c r="W622" s="860"/>
      <c r="X622" s="864"/>
      <c r="Y622" s="865"/>
      <c r="Z622" s="865"/>
      <c r="AA622" s="866"/>
      <c r="AB622" s="867"/>
      <c r="AC622" s="868"/>
      <c r="AD622" s="866"/>
      <c r="AE622" s="860"/>
      <c r="AF622" s="869"/>
      <c r="AG622" s="869"/>
      <c r="AH622" s="870"/>
      <c r="AI622" s="871"/>
      <c r="AJ622" s="870"/>
      <c r="AK622" s="870"/>
      <c r="AL622" s="860"/>
      <c r="AM622" s="860"/>
      <c r="AN622" s="860"/>
      <c r="AO622" s="860"/>
      <c r="AP622" s="860"/>
      <c r="AQ622" s="860"/>
      <c r="AR622" s="860"/>
      <c r="AS622" s="860"/>
      <c r="AT622" s="860"/>
      <c r="AU622" s="860"/>
      <c r="AV622" s="860"/>
      <c r="AW622" s="860"/>
      <c r="AX622" s="860"/>
      <c r="AY622" s="860"/>
      <c r="AZ622" s="860"/>
      <c r="BA622" s="860"/>
      <c r="BB622" s="860"/>
      <c r="BC622" s="860"/>
      <c r="BD622" s="860"/>
      <c r="BE622" s="860"/>
      <c r="BF622" s="860"/>
      <c r="BG622" s="860"/>
      <c r="BH622" s="860"/>
      <c r="BI622" s="860"/>
      <c r="BJ622" s="860"/>
      <c r="BK622" s="860"/>
      <c r="BL622" s="860"/>
      <c r="BM622" s="860"/>
      <c r="BN622" s="872"/>
      <c r="BO622" s="872"/>
      <c r="BP622" s="872"/>
      <c r="BQ622" s="872"/>
      <c r="BR622" s="872"/>
      <c r="BS622" s="872"/>
      <c r="BT622" s="860"/>
      <c r="BU622" s="860"/>
      <c r="BV622" s="860"/>
      <c r="BW622" s="860"/>
      <c r="BX622" s="872"/>
      <c r="BY622" s="872"/>
      <c r="BZ622" s="872"/>
      <c r="CA622" s="872"/>
      <c r="CB622" s="872"/>
      <c r="CC622" s="872"/>
    </row>
    <row r="623" s="860" customFormat="1" ht="13.5" spans="1:81">
      <c r="A623" s="861"/>
      <c r="B623" s="860"/>
      <c r="C623" s="860"/>
      <c r="D623" s="860"/>
      <c r="E623" s="862"/>
      <c r="F623" s="860"/>
      <c r="G623" s="860"/>
      <c r="H623" s="860"/>
      <c r="I623" s="860"/>
      <c r="J623" s="860"/>
      <c r="K623" s="860"/>
      <c r="L623" s="860"/>
      <c r="M623" s="860"/>
      <c r="N623" s="860"/>
      <c r="O623" s="860"/>
      <c r="P623" s="860"/>
      <c r="Q623" s="860"/>
      <c r="R623" s="860"/>
      <c r="S623" s="860"/>
      <c r="T623" s="860"/>
      <c r="U623" s="860"/>
      <c r="V623" s="860"/>
      <c r="W623" s="860"/>
      <c r="X623" s="864"/>
      <c r="Y623" s="865"/>
      <c r="Z623" s="865"/>
      <c r="AA623" s="866"/>
      <c r="AB623" s="867"/>
      <c r="AC623" s="868"/>
      <c r="AD623" s="866"/>
      <c r="AE623" s="860"/>
      <c r="AF623" s="869"/>
      <c r="AG623" s="869"/>
      <c r="AH623" s="870"/>
      <c r="AI623" s="871"/>
      <c r="AJ623" s="870"/>
      <c r="AK623" s="870"/>
      <c r="AL623" s="860"/>
      <c r="AM623" s="860"/>
      <c r="AN623" s="860"/>
      <c r="AO623" s="860"/>
      <c r="AP623" s="860"/>
      <c r="AQ623" s="860"/>
      <c r="AR623" s="860"/>
      <c r="AS623" s="860"/>
      <c r="AT623" s="860"/>
      <c r="AU623" s="860"/>
      <c r="AV623" s="860"/>
      <c r="AW623" s="860"/>
      <c r="AX623" s="860"/>
      <c r="AY623" s="860"/>
      <c r="AZ623" s="860"/>
      <c r="BA623" s="860"/>
      <c r="BB623" s="860"/>
      <c r="BC623" s="860"/>
      <c r="BD623" s="860"/>
      <c r="BE623" s="860"/>
      <c r="BF623" s="860"/>
      <c r="BG623" s="860"/>
      <c r="BH623" s="860"/>
      <c r="BI623" s="860"/>
      <c r="BJ623" s="860"/>
      <c r="BK623" s="860"/>
      <c r="BL623" s="860"/>
      <c r="BM623" s="860"/>
      <c r="BN623" s="872"/>
      <c r="BO623" s="872"/>
      <c r="BP623" s="872"/>
      <c r="BQ623" s="872"/>
      <c r="BR623" s="872"/>
      <c r="BS623" s="872"/>
      <c r="BT623" s="860"/>
      <c r="BU623" s="860"/>
      <c r="BV623" s="860"/>
      <c r="BW623" s="860"/>
      <c r="BX623" s="872"/>
      <c r="BY623" s="872"/>
      <c r="BZ623" s="872"/>
      <c r="CA623" s="872"/>
      <c r="CB623" s="872"/>
      <c r="CC623" s="872"/>
    </row>
    <row r="624" s="860" customFormat="1" ht="13.5" spans="1:81">
      <c r="A624" s="861"/>
      <c r="B624" s="860"/>
      <c r="C624" s="860"/>
      <c r="D624" s="860"/>
      <c r="E624" s="862"/>
      <c r="F624" s="860"/>
      <c r="G624" s="860"/>
      <c r="H624" s="860"/>
      <c r="I624" s="860"/>
      <c r="J624" s="860"/>
      <c r="K624" s="860"/>
      <c r="L624" s="860"/>
      <c r="M624" s="860"/>
      <c r="N624" s="860"/>
      <c r="O624" s="860"/>
      <c r="P624" s="860"/>
      <c r="Q624" s="860"/>
      <c r="R624" s="860"/>
      <c r="S624" s="860"/>
      <c r="T624" s="860"/>
      <c r="U624" s="860"/>
      <c r="V624" s="860"/>
      <c r="W624" s="860"/>
      <c r="X624" s="864"/>
      <c r="Y624" s="865"/>
      <c r="Z624" s="865"/>
      <c r="AA624" s="866"/>
      <c r="AB624" s="867"/>
      <c r="AC624" s="868"/>
      <c r="AD624" s="866"/>
      <c r="AE624" s="860"/>
      <c r="AF624" s="869"/>
      <c r="AG624" s="869"/>
      <c r="AH624" s="870"/>
      <c r="AI624" s="871"/>
      <c r="AJ624" s="870"/>
      <c r="AK624" s="870"/>
      <c r="AL624" s="860"/>
      <c r="AM624" s="860"/>
      <c r="AN624" s="860"/>
      <c r="AO624" s="860"/>
      <c r="AP624" s="860"/>
      <c r="AQ624" s="860"/>
      <c r="AR624" s="860"/>
      <c r="AS624" s="860"/>
      <c r="AT624" s="860"/>
      <c r="AU624" s="860"/>
      <c r="AV624" s="860"/>
      <c r="AW624" s="860"/>
      <c r="AX624" s="860"/>
      <c r="AY624" s="860"/>
      <c r="AZ624" s="860"/>
      <c r="BA624" s="860"/>
      <c r="BB624" s="860"/>
      <c r="BC624" s="860"/>
      <c r="BD624" s="860"/>
      <c r="BE624" s="860"/>
      <c r="BF624" s="860"/>
      <c r="BG624" s="860"/>
      <c r="BH624" s="860"/>
      <c r="BI624" s="860"/>
      <c r="BJ624" s="860"/>
      <c r="BK624" s="860"/>
      <c r="BL624" s="860"/>
      <c r="BM624" s="860"/>
      <c r="BN624" s="872"/>
      <c r="BO624" s="872"/>
      <c r="BP624" s="872"/>
      <c r="BQ624" s="872"/>
      <c r="BR624" s="872"/>
      <c r="BS624" s="872"/>
      <c r="BT624" s="860"/>
      <c r="BU624" s="860"/>
      <c r="BV624" s="860"/>
      <c r="BW624" s="860"/>
      <c r="BX624" s="872"/>
      <c r="BY624" s="872"/>
      <c r="BZ624" s="872"/>
      <c r="CA624" s="872"/>
      <c r="CB624" s="872"/>
      <c r="CC624" s="872"/>
    </row>
    <row r="625" s="860" customFormat="1" ht="13.5" spans="1:81">
      <c r="A625" s="861"/>
      <c r="B625" s="860"/>
      <c r="C625" s="860"/>
      <c r="D625" s="860"/>
      <c r="E625" s="862"/>
      <c r="F625" s="860"/>
      <c r="G625" s="860"/>
      <c r="H625" s="860"/>
      <c r="I625" s="860"/>
      <c r="J625" s="860"/>
      <c r="K625" s="860"/>
      <c r="L625" s="860"/>
      <c r="M625" s="860"/>
      <c r="N625" s="860"/>
      <c r="O625" s="860"/>
      <c r="P625" s="860"/>
      <c r="Q625" s="860"/>
      <c r="R625" s="860"/>
      <c r="S625" s="860"/>
      <c r="T625" s="860"/>
      <c r="U625" s="860"/>
      <c r="V625" s="860"/>
      <c r="W625" s="860"/>
      <c r="X625" s="864"/>
      <c r="Y625" s="865"/>
      <c r="Z625" s="865"/>
      <c r="AA625" s="866"/>
      <c r="AB625" s="867"/>
      <c r="AC625" s="868"/>
      <c r="AD625" s="866"/>
      <c r="AE625" s="860"/>
      <c r="AF625" s="869"/>
      <c r="AG625" s="869"/>
      <c r="AH625" s="870"/>
      <c r="AI625" s="871"/>
      <c r="AJ625" s="870"/>
      <c r="AK625" s="870"/>
      <c r="AL625" s="860"/>
      <c r="AM625" s="860"/>
      <c r="AN625" s="860"/>
      <c r="AO625" s="860"/>
      <c r="AP625" s="860"/>
      <c r="AQ625" s="860"/>
      <c r="AR625" s="860"/>
      <c r="AS625" s="860"/>
      <c r="AT625" s="860"/>
      <c r="AU625" s="860"/>
      <c r="AV625" s="860"/>
      <c r="AW625" s="860"/>
      <c r="AX625" s="860"/>
      <c r="AY625" s="860"/>
      <c r="AZ625" s="860"/>
      <c r="BA625" s="860"/>
      <c r="BB625" s="860"/>
      <c r="BC625" s="860"/>
      <c r="BD625" s="860"/>
      <c r="BE625" s="860"/>
      <c r="BF625" s="860"/>
      <c r="BG625" s="860"/>
      <c r="BH625" s="860"/>
      <c r="BI625" s="860"/>
      <c r="BJ625" s="860"/>
      <c r="BK625" s="860"/>
      <c r="BL625" s="860"/>
      <c r="BM625" s="860"/>
      <c r="BN625" s="872"/>
      <c r="BO625" s="872"/>
      <c r="BP625" s="872"/>
      <c r="BQ625" s="872"/>
      <c r="BR625" s="872"/>
      <c r="BS625" s="872"/>
      <c r="BT625" s="860"/>
      <c r="BU625" s="860"/>
      <c r="BV625" s="860"/>
      <c r="BW625" s="860"/>
      <c r="BX625" s="872"/>
      <c r="BY625" s="872"/>
      <c r="BZ625" s="872"/>
      <c r="CA625" s="872"/>
      <c r="CB625" s="872"/>
      <c r="CC625" s="872"/>
    </row>
    <row r="626" s="860" customFormat="1" ht="13.5" spans="1:81">
      <c r="A626" s="861"/>
      <c r="B626" s="860"/>
      <c r="C626" s="860"/>
      <c r="D626" s="860"/>
      <c r="E626" s="862"/>
      <c r="F626" s="860"/>
      <c r="G626" s="860"/>
      <c r="H626" s="860"/>
      <c r="I626" s="860"/>
      <c r="J626" s="860"/>
      <c r="K626" s="860"/>
      <c r="L626" s="860"/>
      <c r="M626" s="860"/>
      <c r="N626" s="860"/>
      <c r="O626" s="860"/>
      <c r="P626" s="860"/>
      <c r="Q626" s="860"/>
      <c r="R626" s="860"/>
      <c r="S626" s="860"/>
      <c r="T626" s="860"/>
      <c r="U626" s="860"/>
      <c r="V626" s="860"/>
      <c r="W626" s="860"/>
      <c r="X626" s="864"/>
      <c r="Y626" s="865"/>
      <c r="Z626" s="865"/>
      <c r="AA626" s="866"/>
      <c r="AB626" s="867"/>
      <c r="AC626" s="868"/>
      <c r="AD626" s="866"/>
      <c r="AE626" s="860"/>
      <c r="AF626" s="869"/>
      <c r="AG626" s="869"/>
      <c r="AH626" s="870"/>
      <c r="AI626" s="871"/>
      <c r="AJ626" s="870"/>
      <c r="AK626" s="870"/>
      <c r="AL626" s="860"/>
      <c r="AM626" s="860"/>
      <c r="AN626" s="860"/>
      <c r="AO626" s="860"/>
      <c r="AP626" s="860"/>
      <c r="AQ626" s="860"/>
      <c r="AR626" s="860"/>
      <c r="AS626" s="860"/>
      <c r="AT626" s="860"/>
      <c r="AU626" s="860"/>
      <c r="AV626" s="860"/>
      <c r="AW626" s="860"/>
      <c r="AX626" s="860"/>
      <c r="AY626" s="860"/>
      <c r="AZ626" s="860"/>
      <c r="BA626" s="860"/>
      <c r="BB626" s="860"/>
      <c r="BC626" s="860"/>
      <c r="BD626" s="860"/>
      <c r="BE626" s="860"/>
      <c r="BF626" s="860"/>
      <c r="BG626" s="860"/>
      <c r="BH626" s="860"/>
      <c r="BI626" s="860"/>
      <c r="BJ626" s="860"/>
      <c r="BK626" s="860"/>
      <c r="BL626" s="860"/>
      <c r="BM626" s="860"/>
      <c r="BN626" s="872"/>
      <c r="BO626" s="872"/>
      <c r="BP626" s="872"/>
      <c r="BQ626" s="872"/>
      <c r="BR626" s="872"/>
      <c r="BS626" s="872"/>
      <c r="BT626" s="860"/>
      <c r="BU626" s="860"/>
      <c r="BV626" s="860"/>
      <c r="BW626" s="860"/>
      <c r="BX626" s="872"/>
      <c r="BY626" s="872"/>
      <c r="BZ626" s="872"/>
      <c r="CA626" s="872"/>
      <c r="CB626" s="872"/>
      <c r="CC626" s="872"/>
    </row>
    <row r="627" s="860" customFormat="1" ht="13.5" spans="1:81">
      <c r="A627" s="861"/>
      <c r="B627" s="860"/>
      <c r="C627" s="860"/>
      <c r="D627" s="860"/>
      <c r="E627" s="862"/>
      <c r="F627" s="860"/>
      <c r="G627" s="860"/>
      <c r="H627" s="860"/>
      <c r="I627" s="860"/>
      <c r="J627" s="860"/>
      <c r="K627" s="860"/>
      <c r="L627" s="860"/>
      <c r="M627" s="860"/>
      <c r="N627" s="860"/>
      <c r="O627" s="860"/>
      <c r="P627" s="860"/>
      <c r="Q627" s="860"/>
      <c r="R627" s="860"/>
      <c r="S627" s="860"/>
      <c r="T627" s="860"/>
      <c r="U627" s="860"/>
      <c r="V627" s="860"/>
      <c r="W627" s="860"/>
      <c r="X627" s="864"/>
      <c r="Y627" s="865"/>
      <c r="Z627" s="865"/>
      <c r="AA627" s="866"/>
      <c r="AB627" s="867"/>
      <c r="AC627" s="868"/>
      <c r="AD627" s="866"/>
      <c r="AE627" s="860"/>
      <c r="AF627" s="869"/>
      <c r="AG627" s="869"/>
      <c r="AH627" s="870"/>
      <c r="AI627" s="871"/>
      <c r="AJ627" s="870"/>
      <c r="AK627" s="870"/>
      <c r="AL627" s="860"/>
      <c r="AM627" s="860"/>
      <c r="AN627" s="860"/>
      <c r="AO627" s="860"/>
      <c r="AP627" s="860"/>
      <c r="AQ627" s="860"/>
      <c r="AR627" s="860"/>
      <c r="AS627" s="860"/>
      <c r="AT627" s="860"/>
      <c r="AU627" s="860"/>
      <c r="AV627" s="860"/>
      <c r="AW627" s="860"/>
      <c r="AX627" s="860"/>
      <c r="AY627" s="860"/>
      <c r="AZ627" s="860"/>
      <c r="BA627" s="860"/>
      <c r="BB627" s="860"/>
      <c r="BC627" s="860"/>
      <c r="BD627" s="860"/>
      <c r="BE627" s="860"/>
      <c r="BF627" s="860"/>
      <c r="BG627" s="860"/>
      <c r="BH627" s="860"/>
      <c r="BI627" s="860"/>
      <c r="BJ627" s="860"/>
      <c r="BK627" s="860"/>
      <c r="BL627" s="860"/>
      <c r="BM627" s="860"/>
      <c r="BN627" s="872"/>
      <c r="BO627" s="872"/>
      <c r="BP627" s="872"/>
      <c r="BQ627" s="872"/>
      <c r="BR627" s="872"/>
      <c r="BS627" s="872"/>
      <c r="BT627" s="860"/>
      <c r="BU627" s="860"/>
      <c r="BV627" s="860"/>
      <c r="BW627" s="860"/>
      <c r="BX627" s="872"/>
      <c r="BY627" s="872"/>
      <c r="BZ627" s="872"/>
      <c r="CA627" s="872"/>
      <c r="CB627" s="872"/>
      <c r="CC627" s="872"/>
    </row>
    <row r="628" s="860" customFormat="1" ht="13.5" spans="1:81">
      <c r="A628" s="861"/>
      <c r="B628" s="860"/>
      <c r="C628" s="860"/>
      <c r="D628" s="860"/>
      <c r="E628" s="862"/>
      <c r="F628" s="860"/>
      <c r="G628" s="860"/>
      <c r="H628" s="860"/>
      <c r="I628" s="860"/>
      <c r="J628" s="860"/>
      <c r="K628" s="860"/>
      <c r="L628" s="860"/>
      <c r="M628" s="860"/>
      <c r="N628" s="860"/>
      <c r="O628" s="860"/>
      <c r="P628" s="860"/>
      <c r="Q628" s="860"/>
      <c r="R628" s="860"/>
      <c r="S628" s="860"/>
      <c r="T628" s="860"/>
      <c r="U628" s="860"/>
      <c r="V628" s="860"/>
      <c r="W628" s="860"/>
      <c r="X628" s="864"/>
      <c r="Y628" s="865"/>
      <c r="Z628" s="865"/>
      <c r="AA628" s="866"/>
      <c r="AB628" s="867"/>
      <c r="AC628" s="868"/>
      <c r="AD628" s="866"/>
      <c r="AE628" s="860"/>
      <c r="AF628" s="869"/>
      <c r="AG628" s="869"/>
      <c r="AH628" s="870"/>
      <c r="AI628" s="871"/>
      <c r="AJ628" s="870"/>
      <c r="AK628" s="870"/>
      <c r="AL628" s="860"/>
      <c r="AM628" s="860"/>
      <c r="AN628" s="860"/>
      <c r="AO628" s="860"/>
      <c r="AP628" s="860"/>
      <c r="AQ628" s="860"/>
      <c r="AR628" s="860"/>
      <c r="AS628" s="860"/>
      <c r="AT628" s="860"/>
      <c r="AU628" s="860"/>
      <c r="AV628" s="860"/>
      <c r="AW628" s="860"/>
      <c r="AX628" s="860"/>
      <c r="AY628" s="860"/>
      <c r="AZ628" s="860"/>
      <c r="BA628" s="860"/>
      <c r="BB628" s="860"/>
      <c r="BC628" s="860"/>
      <c r="BD628" s="860"/>
      <c r="BE628" s="860"/>
      <c r="BF628" s="860"/>
      <c r="BG628" s="860"/>
      <c r="BH628" s="860"/>
      <c r="BI628" s="860"/>
      <c r="BJ628" s="860"/>
      <c r="BK628" s="860"/>
      <c r="BL628" s="860"/>
      <c r="BM628" s="860"/>
      <c r="BN628" s="872"/>
      <c r="BO628" s="872"/>
      <c r="BP628" s="872"/>
      <c r="BQ628" s="872"/>
      <c r="BR628" s="872"/>
      <c r="BS628" s="872"/>
      <c r="BT628" s="860"/>
      <c r="BU628" s="860"/>
      <c r="BV628" s="860"/>
      <c r="BW628" s="860"/>
      <c r="BX628" s="872"/>
      <c r="BY628" s="872"/>
      <c r="BZ628" s="872"/>
      <c r="CA628" s="872"/>
      <c r="CB628" s="872"/>
      <c r="CC628" s="872"/>
    </row>
    <row r="629" s="860" customFormat="1" ht="13.5" spans="1:81">
      <c r="A629" s="861"/>
      <c r="B629" s="860"/>
      <c r="C629" s="860"/>
      <c r="D629" s="860"/>
      <c r="E629" s="862"/>
      <c r="F629" s="860"/>
      <c r="G629" s="860"/>
      <c r="H629" s="860"/>
      <c r="I629" s="860"/>
      <c r="J629" s="860"/>
      <c r="K629" s="860"/>
      <c r="L629" s="860"/>
      <c r="M629" s="860"/>
      <c r="N629" s="860"/>
      <c r="O629" s="860"/>
      <c r="P629" s="860"/>
      <c r="Q629" s="860"/>
      <c r="R629" s="860"/>
      <c r="S629" s="860"/>
      <c r="T629" s="860"/>
      <c r="U629" s="860"/>
      <c r="V629" s="860"/>
      <c r="W629" s="860"/>
      <c r="X629" s="864"/>
      <c r="Y629" s="865"/>
      <c r="Z629" s="865"/>
      <c r="AA629" s="866"/>
      <c r="AB629" s="867"/>
      <c r="AC629" s="868"/>
      <c r="AD629" s="866"/>
      <c r="AE629" s="860"/>
      <c r="AF629" s="869"/>
      <c r="AG629" s="869"/>
      <c r="AH629" s="870"/>
      <c r="AI629" s="871"/>
      <c r="AJ629" s="870"/>
      <c r="AK629" s="870"/>
      <c r="AL629" s="860"/>
      <c r="AM629" s="860"/>
      <c r="AN629" s="860"/>
      <c r="AO629" s="860"/>
      <c r="AP629" s="860"/>
      <c r="AQ629" s="860"/>
      <c r="AR629" s="860"/>
      <c r="AS629" s="860"/>
      <c r="AT629" s="860"/>
      <c r="AU629" s="860"/>
      <c r="AV629" s="860"/>
      <c r="AW629" s="860"/>
      <c r="AX629" s="860"/>
      <c r="AY629" s="860"/>
      <c r="AZ629" s="860"/>
      <c r="BA629" s="860"/>
      <c r="BB629" s="860"/>
      <c r="BC629" s="860"/>
      <c r="BD629" s="860"/>
      <c r="BE629" s="860"/>
      <c r="BF629" s="860"/>
      <c r="BG629" s="860"/>
      <c r="BH629" s="860"/>
      <c r="BI629" s="860"/>
      <c r="BJ629" s="860"/>
      <c r="BK629" s="860"/>
      <c r="BL629" s="860"/>
      <c r="BM629" s="860"/>
      <c r="BN629" s="872"/>
      <c r="BO629" s="872"/>
      <c r="BP629" s="872"/>
      <c r="BQ629" s="872"/>
      <c r="BR629" s="872"/>
      <c r="BS629" s="872"/>
      <c r="BT629" s="860"/>
      <c r="BU629" s="860"/>
      <c r="BV629" s="860"/>
      <c r="BW629" s="860"/>
      <c r="BX629" s="872"/>
      <c r="BY629" s="872"/>
      <c r="BZ629" s="872"/>
      <c r="CA629" s="872"/>
      <c r="CB629" s="872"/>
      <c r="CC629" s="872"/>
    </row>
    <row r="630" s="860" customFormat="1" ht="13.5" spans="1:81">
      <c r="A630" s="861"/>
      <c r="B630" s="860"/>
      <c r="C630" s="860"/>
      <c r="D630" s="860"/>
      <c r="E630" s="862"/>
      <c r="F630" s="860"/>
      <c r="G630" s="860"/>
      <c r="H630" s="860"/>
      <c r="I630" s="860"/>
      <c r="J630" s="860"/>
      <c r="K630" s="860"/>
      <c r="L630" s="860"/>
      <c r="M630" s="860"/>
      <c r="N630" s="860"/>
      <c r="O630" s="860"/>
      <c r="P630" s="860"/>
      <c r="Q630" s="860"/>
      <c r="R630" s="860"/>
      <c r="S630" s="860"/>
      <c r="T630" s="860"/>
      <c r="U630" s="860"/>
      <c r="V630" s="860"/>
      <c r="W630" s="860"/>
      <c r="X630" s="864"/>
      <c r="Y630" s="865"/>
      <c r="Z630" s="865"/>
      <c r="AA630" s="866"/>
      <c r="AB630" s="867"/>
      <c r="AC630" s="868"/>
      <c r="AD630" s="866"/>
      <c r="AE630" s="860"/>
      <c r="AF630" s="869"/>
      <c r="AG630" s="869"/>
      <c r="AH630" s="870"/>
      <c r="AI630" s="871"/>
      <c r="AJ630" s="870"/>
      <c r="AK630" s="870"/>
      <c r="AL630" s="860"/>
      <c r="AM630" s="860"/>
      <c r="AN630" s="860"/>
      <c r="AO630" s="860"/>
      <c r="AP630" s="860"/>
      <c r="AQ630" s="860"/>
      <c r="AR630" s="860"/>
      <c r="AS630" s="860"/>
      <c r="AT630" s="860"/>
      <c r="AU630" s="860"/>
      <c r="AV630" s="860"/>
      <c r="AW630" s="860"/>
      <c r="AX630" s="860"/>
      <c r="AY630" s="860"/>
      <c r="AZ630" s="860"/>
      <c r="BA630" s="860"/>
      <c r="BB630" s="860"/>
      <c r="BC630" s="860"/>
      <c r="BD630" s="860"/>
      <c r="BE630" s="860"/>
      <c r="BF630" s="860"/>
      <c r="BG630" s="860"/>
      <c r="BH630" s="860"/>
      <c r="BI630" s="860"/>
      <c r="BJ630" s="860"/>
      <c r="BK630" s="860"/>
      <c r="BL630" s="860"/>
      <c r="BM630" s="860"/>
      <c r="BN630" s="872"/>
      <c r="BO630" s="872"/>
      <c r="BP630" s="872"/>
      <c r="BQ630" s="872"/>
      <c r="BR630" s="872"/>
      <c r="BS630" s="872"/>
      <c r="BT630" s="860"/>
      <c r="BU630" s="860"/>
      <c r="BV630" s="860"/>
      <c r="BW630" s="860"/>
      <c r="BX630" s="872"/>
      <c r="BY630" s="872"/>
      <c r="BZ630" s="872"/>
      <c r="CA630" s="872"/>
      <c r="CB630" s="872"/>
      <c r="CC630" s="872"/>
    </row>
    <row r="631" s="860" customFormat="1" ht="13.5" spans="1:81">
      <c r="A631" s="861"/>
      <c r="B631" s="860"/>
      <c r="C631" s="860"/>
      <c r="D631" s="860"/>
      <c r="E631" s="862"/>
      <c r="F631" s="860"/>
      <c r="G631" s="860"/>
      <c r="H631" s="860"/>
      <c r="I631" s="860"/>
      <c r="J631" s="860"/>
      <c r="K631" s="860"/>
      <c r="L631" s="860"/>
      <c r="M631" s="860"/>
      <c r="N631" s="860"/>
      <c r="O631" s="860"/>
      <c r="P631" s="860"/>
      <c r="Q631" s="860"/>
      <c r="R631" s="860"/>
      <c r="S631" s="860"/>
      <c r="T631" s="860"/>
      <c r="U631" s="860"/>
      <c r="V631" s="860"/>
      <c r="W631" s="860"/>
      <c r="X631" s="864"/>
      <c r="Y631" s="865"/>
      <c r="Z631" s="865"/>
      <c r="AA631" s="866"/>
      <c r="AB631" s="867"/>
      <c r="AC631" s="868"/>
      <c r="AD631" s="866"/>
      <c r="AE631" s="860"/>
      <c r="AF631" s="869"/>
      <c r="AG631" s="869"/>
      <c r="AH631" s="870"/>
      <c r="AI631" s="871"/>
      <c r="AJ631" s="870"/>
      <c r="AK631" s="870"/>
      <c r="AL631" s="860"/>
      <c r="AM631" s="860"/>
      <c r="AN631" s="860"/>
      <c r="AO631" s="860"/>
      <c r="AP631" s="860"/>
      <c r="AQ631" s="860"/>
      <c r="AR631" s="860"/>
      <c r="AS631" s="860"/>
      <c r="AT631" s="860"/>
      <c r="AU631" s="860"/>
      <c r="AV631" s="860"/>
      <c r="AW631" s="860"/>
      <c r="AX631" s="860"/>
      <c r="AY631" s="860"/>
      <c r="AZ631" s="860"/>
      <c r="BA631" s="860"/>
      <c r="BB631" s="860"/>
      <c r="BC631" s="860"/>
      <c r="BD631" s="860"/>
      <c r="BE631" s="860"/>
      <c r="BF631" s="860"/>
      <c r="BG631" s="860"/>
      <c r="BH631" s="860"/>
      <c r="BI631" s="860"/>
      <c r="BJ631" s="860"/>
      <c r="BK631" s="860"/>
      <c r="BL631" s="860"/>
      <c r="BM631" s="860"/>
      <c r="BN631" s="872"/>
      <c r="BO631" s="872"/>
      <c r="BP631" s="872"/>
      <c r="BQ631" s="872"/>
      <c r="BR631" s="872"/>
      <c r="BS631" s="872"/>
      <c r="BT631" s="860"/>
      <c r="BU631" s="860"/>
      <c r="BV631" s="860"/>
      <c r="BW631" s="860"/>
      <c r="BX631" s="872"/>
      <c r="BY631" s="872"/>
      <c r="BZ631" s="872"/>
      <c r="CA631" s="872"/>
      <c r="CB631" s="872"/>
      <c r="CC631" s="872"/>
    </row>
    <row r="632" s="860" customFormat="1" ht="13.5" spans="1:81">
      <c r="A632" s="861"/>
      <c r="B632" s="860"/>
      <c r="C632" s="860"/>
      <c r="D632" s="860"/>
      <c r="E632" s="862"/>
      <c r="F632" s="860"/>
      <c r="G632" s="860"/>
      <c r="H632" s="860"/>
      <c r="I632" s="860"/>
      <c r="J632" s="860"/>
      <c r="K632" s="860"/>
      <c r="L632" s="860"/>
      <c r="M632" s="860"/>
      <c r="N632" s="860"/>
      <c r="O632" s="860"/>
      <c r="P632" s="860"/>
      <c r="Q632" s="860"/>
      <c r="R632" s="860"/>
      <c r="S632" s="860"/>
      <c r="T632" s="860"/>
      <c r="U632" s="860"/>
      <c r="V632" s="860"/>
      <c r="W632" s="860"/>
      <c r="X632" s="864"/>
      <c r="Y632" s="865"/>
      <c r="Z632" s="865"/>
      <c r="AA632" s="866"/>
      <c r="AB632" s="867"/>
      <c r="AC632" s="868"/>
      <c r="AD632" s="866"/>
      <c r="AE632" s="860"/>
      <c r="AF632" s="869"/>
      <c r="AG632" s="869"/>
      <c r="AH632" s="870"/>
      <c r="AI632" s="871"/>
      <c r="AJ632" s="870"/>
      <c r="AK632" s="870"/>
      <c r="AL632" s="860"/>
      <c r="AM632" s="860"/>
      <c r="AN632" s="860"/>
      <c r="AO632" s="860"/>
      <c r="AP632" s="860"/>
      <c r="AQ632" s="860"/>
      <c r="AR632" s="860"/>
      <c r="AS632" s="860"/>
      <c r="AT632" s="860"/>
      <c r="AU632" s="860"/>
      <c r="AV632" s="860"/>
      <c r="AW632" s="860"/>
      <c r="AX632" s="860"/>
      <c r="AY632" s="860"/>
      <c r="AZ632" s="860"/>
      <c r="BA632" s="860"/>
      <c r="BB632" s="860"/>
      <c r="BC632" s="860"/>
      <c r="BD632" s="860"/>
      <c r="BE632" s="860"/>
      <c r="BF632" s="860"/>
      <c r="BG632" s="860"/>
      <c r="BH632" s="860"/>
      <c r="BI632" s="860"/>
      <c r="BJ632" s="860"/>
      <c r="BK632" s="860"/>
      <c r="BL632" s="860"/>
      <c r="BM632" s="860"/>
      <c r="BN632" s="872"/>
      <c r="BO632" s="872"/>
      <c r="BP632" s="872"/>
      <c r="BQ632" s="872"/>
      <c r="BR632" s="872"/>
      <c r="BS632" s="872"/>
      <c r="BT632" s="860"/>
      <c r="BU632" s="860"/>
      <c r="BV632" s="860"/>
      <c r="BW632" s="860"/>
      <c r="BX632" s="872"/>
      <c r="BY632" s="872"/>
      <c r="BZ632" s="872"/>
      <c r="CA632" s="872"/>
      <c r="CB632" s="872"/>
      <c r="CC632" s="872"/>
    </row>
    <row r="633" s="860" customFormat="1" ht="13.5" spans="1:81">
      <c r="A633" s="861"/>
      <c r="B633" s="860"/>
      <c r="C633" s="860"/>
      <c r="D633" s="860"/>
      <c r="E633" s="862"/>
      <c r="F633" s="860"/>
      <c r="G633" s="860"/>
      <c r="H633" s="860"/>
      <c r="I633" s="860"/>
      <c r="J633" s="860"/>
      <c r="K633" s="860"/>
      <c r="L633" s="860"/>
      <c r="M633" s="860"/>
      <c r="N633" s="860"/>
      <c r="O633" s="860"/>
      <c r="P633" s="860"/>
      <c r="Q633" s="860"/>
      <c r="R633" s="860"/>
      <c r="S633" s="860"/>
      <c r="T633" s="860"/>
      <c r="U633" s="860"/>
      <c r="V633" s="860"/>
      <c r="W633" s="860"/>
      <c r="X633" s="864"/>
      <c r="Y633" s="865"/>
      <c r="Z633" s="865"/>
      <c r="AA633" s="866"/>
      <c r="AB633" s="867"/>
      <c r="AC633" s="868"/>
      <c r="AD633" s="866"/>
      <c r="AE633" s="860"/>
      <c r="AF633" s="869"/>
      <c r="AG633" s="869"/>
      <c r="AH633" s="870"/>
      <c r="AI633" s="871"/>
      <c r="AJ633" s="870"/>
      <c r="AK633" s="870"/>
      <c r="AL633" s="860"/>
      <c r="AM633" s="860"/>
      <c r="AN633" s="860"/>
      <c r="AO633" s="860"/>
      <c r="AP633" s="860"/>
      <c r="AQ633" s="860"/>
      <c r="AR633" s="860"/>
      <c r="AS633" s="860"/>
      <c r="AT633" s="860"/>
      <c r="AU633" s="860"/>
      <c r="AV633" s="860"/>
      <c r="AW633" s="860"/>
      <c r="AX633" s="860"/>
      <c r="AY633" s="860"/>
      <c r="AZ633" s="860"/>
      <c r="BA633" s="860"/>
      <c r="BB633" s="860"/>
      <c r="BC633" s="860"/>
      <c r="BD633" s="860"/>
      <c r="BE633" s="860"/>
      <c r="BF633" s="860"/>
      <c r="BG633" s="860"/>
      <c r="BH633" s="860"/>
      <c r="BI633" s="860"/>
      <c r="BJ633" s="860"/>
      <c r="BK633" s="860"/>
      <c r="BL633" s="860"/>
      <c r="BM633" s="860"/>
      <c r="BN633" s="872"/>
      <c r="BO633" s="872"/>
      <c r="BP633" s="872"/>
      <c r="BQ633" s="872"/>
      <c r="BR633" s="872"/>
      <c r="BS633" s="872"/>
      <c r="BT633" s="860"/>
      <c r="BU633" s="860"/>
      <c r="BV633" s="860"/>
      <c r="BW633" s="860"/>
      <c r="BX633" s="872"/>
      <c r="BY633" s="872"/>
      <c r="BZ633" s="872"/>
      <c r="CA633" s="872"/>
      <c r="CB633" s="872"/>
      <c r="CC633" s="872"/>
    </row>
    <row r="634" s="860" customFormat="1" ht="13.5" spans="1:81">
      <c r="A634" s="861"/>
      <c r="B634" s="860"/>
      <c r="C634" s="860"/>
      <c r="D634" s="860"/>
      <c r="E634" s="862"/>
      <c r="F634" s="860"/>
      <c r="G634" s="860"/>
      <c r="H634" s="860"/>
      <c r="I634" s="860"/>
      <c r="J634" s="860"/>
      <c r="K634" s="860"/>
      <c r="L634" s="860"/>
      <c r="M634" s="860"/>
      <c r="N634" s="860"/>
      <c r="O634" s="860"/>
      <c r="P634" s="860"/>
      <c r="Q634" s="860"/>
      <c r="R634" s="860"/>
      <c r="S634" s="860"/>
      <c r="T634" s="860"/>
      <c r="U634" s="860"/>
      <c r="V634" s="860"/>
      <c r="W634" s="860"/>
      <c r="X634" s="864"/>
      <c r="Y634" s="865"/>
      <c r="Z634" s="865"/>
      <c r="AA634" s="866"/>
      <c r="AB634" s="867"/>
      <c r="AC634" s="868"/>
      <c r="AD634" s="866"/>
      <c r="AE634" s="860"/>
      <c r="AF634" s="869"/>
      <c r="AG634" s="869"/>
      <c r="AH634" s="870"/>
      <c r="AI634" s="871"/>
      <c r="AJ634" s="870"/>
      <c r="AK634" s="870"/>
      <c r="AL634" s="860"/>
      <c r="AM634" s="860"/>
      <c r="AN634" s="860"/>
      <c r="AO634" s="860"/>
      <c r="AP634" s="860"/>
      <c r="AQ634" s="860"/>
      <c r="AR634" s="860"/>
      <c r="AS634" s="860"/>
      <c r="AT634" s="860"/>
      <c r="AU634" s="860"/>
      <c r="AV634" s="860"/>
      <c r="AW634" s="860"/>
      <c r="AX634" s="860"/>
      <c r="AY634" s="860"/>
      <c r="AZ634" s="860"/>
      <c r="BA634" s="860"/>
      <c r="BB634" s="860"/>
      <c r="BC634" s="860"/>
      <c r="BD634" s="860"/>
      <c r="BE634" s="860"/>
      <c r="BF634" s="860"/>
      <c r="BG634" s="860"/>
      <c r="BH634" s="860"/>
      <c r="BI634" s="860"/>
      <c r="BJ634" s="860"/>
      <c r="BK634" s="860"/>
      <c r="BL634" s="860"/>
      <c r="BM634" s="860"/>
      <c r="BN634" s="872"/>
      <c r="BO634" s="872"/>
      <c r="BP634" s="872"/>
      <c r="BQ634" s="872"/>
      <c r="BR634" s="872"/>
      <c r="BS634" s="872"/>
      <c r="BT634" s="860"/>
      <c r="BU634" s="860"/>
      <c r="BV634" s="860"/>
      <c r="BW634" s="860"/>
      <c r="BX634" s="872"/>
      <c r="BY634" s="872"/>
      <c r="BZ634" s="872"/>
      <c r="CA634" s="872"/>
      <c r="CB634" s="872"/>
      <c r="CC634" s="872"/>
    </row>
    <row r="635" s="860" customFormat="1" ht="13.5" spans="1:81">
      <c r="A635" s="861"/>
      <c r="B635" s="860"/>
      <c r="C635" s="860"/>
      <c r="D635" s="860"/>
      <c r="E635" s="862"/>
      <c r="F635" s="860"/>
      <c r="G635" s="860"/>
      <c r="H635" s="860"/>
      <c r="I635" s="860"/>
      <c r="J635" s="860"/>
      <c r="K635" s="860"/>
      <c r="L635" s="860"/>
      <c r="M635" s="860"/>
      <c r="N635" s="860"/>
      <c r="O635" s="860"/>
      <c r="P635" s="860"/>
      <c r="Q635" s="860"/>
      <c r="R635" s="860"/>
      <c r="S635" s="860"/>
      <c r="T635" s="860"/>
      <c r="U635" s="860"/>
      <c r="V635" s="860"/>
      <c r="W635" s="860"/>
      <c r="X635" s="864"/>
      <c r="Y635" s="865"/>
      <c r="Z635" s="865"/>
      <c r="AA635" s="866"/>
      <c r="AB635" s="867"/>
      <c r="AC635" s="868"/>
      <c r="AD635" s="866"/>
      <c r="AE635" s="860"/>
      <c r="AF635" s="869"/>
      <c r="AG635" s="869"/>
      <c r="AH635" s="870"/>
      <c r="AI635" s="871"/>
      <c r="AJ635" s="870"/>
      <c r="AK635" s="870"/>
      <c r="AL635" s="860"/>
      <c r="AM635" s="860"/>
      <c r="AN635" s="860"/>
      <c r="AO635" s="860"/>
      <c r="AP635" s="860"/>
      <c r="AQ635" s="860"/>
      <c r="AR635" s="860"/>
      <c r="AS635" s="860"/>
      <c r="AT635" s="860"/>
      <c r="AU635" s="860"/>
      <c r="AV635" s="860"/>
      <c r="AW635" s="860"/>
      <c r="AX635" s="860"/>
      <c r="AY635" s="860"/>
      <c r="AZ635" s="860"/>
      <c r="BA635" s="860"/>
      <c r="BB635" s="860"/>
      <c r="BC635" s="860"/>
      <c r="BD635" s="860"/>
      <c r="BE635" s="860"/>
      <c r="BF635" s="860"/>
      <c r="BG635" s="860"/>
      <c r="BH635" s="860"/>
      <c r="BI635" s="860"/>
      <c r="BJ635" s="860"/>
      <c r="BK635" s="860"/>
      <c r="BL635" s="860"/>
      <c r="BM635" s="860"/>
      <c r="BN635" s="872"/>
      <c r="BO635" s="872"/>
      <c r="BP635" s="872"/>
      <c r="BQ635" s="872"/>
      <c r="BR635" s="872"/>
      <c r="BS635" s="872"/>
      <c r="BT635" s="860"/>
      <c r="BU635" s="860"/>
      <c r="BV635" s="860"/>
      <c r="BW635" s="860"/>
      <c r="BX635" s="872"/>
      <c r="BY635" s="872"/>
      <c r="BZ635" s="872"/>
      <c r="CA635" s="872"/>
      <c r="CB635" s="872"/>
      <c r="CC635" s="872"/>
    </row>
    <row r="636" s="860" customFormat="1" ht="13.5" spans="1:81">
      <c r="A636" s="861"/>
      <c r="B636" s="860"/>
      <c r="C636" s="860"/>
      <c r="D636" s="860"/>
      <c r="E636" s="862"/>
      <c r="F636" s="860"/>
      <c r="G636" s="860"/>
      <c r="H636" s="860"/>
      <c r="I636" s="860"/>
      <c r="J636" s="860"/>
      <c r="K636" s="860"/>
      <c r="L636" s="860"/>
      <c r="M636" s="860"/>
      <c r="N636" s="860"/>
      <c r="O636" s="860"/>
      <c r="P636" s="860"/>
      <c r="Q636" s="860"/>
      <c r="R636" s="860"/>
      <c r="S636" s="860"/>
      <c r="T636" s="860"/>
      <c r="U636" s="860"/>
      <c r="V636" s="860"/>
      <c r="W636" s="860"/>
      <c r="X636" s="864"/>
      <c r="Y636" s="865"/>
      <c r="Z636" s="865"/>
      <c r="AA636" s="866"/>
      <c r="AB636" s="867"/>
      <c r="AC636" s="868"/>
      <c r="AD636" s="866"/>
      <c r="AE636" s="860"/>
      <c r="AF636" s="869"/>
      <c r="AG636" s="869"/>
      <c r="AH636" s="870"/>
      <c r="AI636" s="871"/>
      <c r="AJ636" s="870"/>
      <c r="AK636" s="870"/>
      <c r="AL636" s="860"/>
      <c r="AM636" s="860"/>
      <c r="AN636" s="860"/>
      <c r="AO636" s="860"/>
      <c r="AP636" s="860"/>
      <c r="AQ636" s="860"/>
      <c r="AR636" s="860"/>
      <c r="AS636" s="860"/>
      <c r="AT636" s="860"/>
      <c r="AU636" s="860"/>
      <c r="AV636" s="860"/>
      <c r="AW636" s="860"/>
      <c r="AX636" s="860"/>
      <c r="AY636" s="860"/>
      <c r="AZ636" s="860"/>
      <c r="BA636" s="860"/>
      <c r="BB636" s="860"/>
      <c r="BC636" s="860"/>
      <c r="BD636" s="860"/>
      <c r="BE636" s="860"/>
      <c r="BF636" s="860"/>
      <c r="BG636" s="860"/>
      <c r="BH636" s="860"/>
      <c r="BI636" s="860"/>
      <c r="BJ636" s="860"/>
      <c r="BK636" s="860"/>
      <c r="BL636" s="860"/>
      <c r="BM636" s="860"/>
      <c r="BN636" s="872"/>
      <c r="BO636" s="872"/>
      <c r="BP636" s="872"/>
      <c r="BQ636" s="872"/>
      <c r="BR636" s="872"/>
      <c r="BS636" s="872"/>
      <c r="BT636" s="860"/>
      <c r="BU636" s="860"/>
      <c r="BV636" s="860"/>
      <c r="BW636" s="860"/>
      <c r="BX636" s="872"/>
      <c r="BY636" s="872"/>
      <c r="BZ636" s="872"/>
      <c r="CA636" s="872"/>
      <c r="CB636" s="872"/>
      <c r="CC636" s="872"/>
    </row>
    <row r="637" s="860" customFormat="1" ht="13.5" spans="1:81">
      <c r="A637" s="861"/>
      <c r="B637" s="860"/>
      <c r="C637" s="860"/>
      <c r="D637" s="860"/>
      <c r="E637" s="862"/>
      <c r="F637" s="860"/>
      <c r="G637" s="860"/>
      <c r="H637" s="860"/>
      <c r="I637" s="860"/>
      <c r="J637" s="860"/>
      <c r="K637" s="860"/>
      <c r="L637" s="860"/>
      <c r="M637" s="860"/>
      <c r="N637" s="860"/>
      <c r="O637" s="860"/>
      <c r="P637" s="860"/>
      <c r="Q637" s="860"/>
      <c r="R637" s="860"/>
      <c r="S637" s="860"/>
      <c r="T637" s="860"/>
      <c r="U637" s="860"/>
      <c r="V637" s="860"/>
      <c r="W637" s="860"/>
      <c r="X637" s="864"/>
      <c r="Y637" s="865"/>
      <c r="Z637" s="865"/>
      <c r="AA637" s="866"/>
      <c r="AB637" s="867"/>
      <c r="AC637" s="868"/>
      <c r="AD637" s="866"/>
      <c r="AE637" s="860"/>
      <c r="AF637" s="869"/>
      <c r="AG637" s="869"/>
      <c r="AH637" s="870"/>
      <c r="AI637" s="871"/>
      <c r="AJ637" s="870"/>
      <c r="AK637" s="870"/>
      <c r="AL637" s="860"/>
      <c r="AM637" s="860"/>
      <c r="AN637" s="860"/>
      <c r="AO637" s="860"/>
      <c r="AP637" s="860"/>
      <c r="AQ637" s="860"/>
      <c r="AR637" s="860"/>
      <c r="AS637" s="860"/>
      <c r="AT637" s="860"/>
      <c r="AU637" s="860"/>
      <c r="AV637" s="860"/>
      <c r="AW637" s="860"/>
      <c r="AX637" s="860"/>
      <c r="AY637" s="860"/>
      <c r="AZ637" s="860"/>
      <c r="BA637" s="860"/>
      <c r="BB637" s="860"/>
      <c r="BC637" s="860"/>
      <c r="BD637" s="860"/>
      <c r="BE637" s="860"/>
      <c r="BF637" s="860"/>
      <c r="BG637" s="860"/>
      <c r="BH637" s="860"/>
      <c r="BI637" s="860"/>
      <c r="BJ637" s="860"/>
      <c r="BK637" s="860"/>
      <c r="BL637" s="860"/>
      <c r="BM637" s="860"/>
      <c r="BN637" s="872"/>
      <c r="BO637" s="872"/>
      <c r="BP637" s="872"/>
      <c r="BQ637" s="872"/>
      <c r="BR637" s="872"/>
      <c r="BS637" s="872"/>
      <c r="BT637" s="860"/>
      <c r="BU637" s="860"/>
      <c r="BV637" s="860"/>
      <c r="BW637" s="860"/>
      <c r="BX637" s="872"/>
      <c r="BY637" s="872"/>
      <c r="BZ637" s="872"/>
      <c r="CA637" s="872"/>
      <c r="CB637" s="872"/>
      <c r="CC637" s="872"/>
    </row>
    <row r="638" s="860" customFormat="1" ht="13.5" spans="1:81">
      <c r="A638" s="861"/>
      <c r="B638" s="860"/>
      <c r="C638" s="860"/>
      <c r="D638" s="860"/>
      <c r="E638" s="862"/>
      <c r="F638" s="860"/>
      <c r="G638" s="860"/>
      <c r="H638" s="860"/>
      <c r="I638" s="860"/>
      <c r="J638" s="860"/>
      <c r="K638" s="860"/>
      <c r="L638" s="860"/>
      <c r="M638" s="860"/>
      <c r="N638" s="860"/>
      <c r="O638" s="860"/>
      <c r="P638" s="860"/>
      <c r="Q638" s="860"/>
      <c r="R638" s="860"/>
      <c r="S638" s="860"/>
      <c r="T638" s="860"/>
      <c r="U638" s="860"/>
      <c r="V638" s="860"/>
      <c r="W638" s="860"/>
      <c r="X638" s="864"/>
      <c r="Y638" s="865"/>
      <c r="Z638" s="865"/>
      <c r="AA638" s="866"/>
      <c r="AB638" s="867"/>
      <c r="AC638" s="868"/>
      <c r="AD638" s="866"/>
      <c r="AE638" s="860"/>
      <c r="AF638" s="869"/>
      <c r="AG638" s="869"/>
      <c r="AH638" s="870"/>
      <c r="AI638" s="871"/>
      <c r="AJ638" s="870"/>
      <c r="AK638" s="870"/>
      <c r="AL638" s="860"/>
      <c r="AM638" s="860"/>
      <c r="AN638" s="860"/>
      <c r="AO638" s="860"/>
      <c r="AP638" s="860"/>
      <c r="AQ638" s="860"/>
      <c r="AR638" s="860"/>
      <c r="AS638" s="860"/>
      <c r="AT638" s="860"/>
      <c r="AU638" s="860"/>
      <c r="AV638" s="860"/>
      <c r="AW638" s="860"/>
      <c r="AX638" s="860"/>
      <c r="AY638" s="860"/>
      <c r="AZ638" s="860"/>
      <c r="BA638" s="860"/>
      <c r="BB638" s="860"/>
      <c r="BC638" s="860"/>
      <c r="BD638" s="860"/>
      <c r="BE638" s="860"/>
      <c r="BF638" s="860"/>
      <c r="BG638" s="860"/>
      <c r="BH638" s="860"/>
      <c r="BI638" s="860"/>
      <c r="BJ638" s="860"/>
      <c r="BK638" s="860"/>
      <c r="BL638" s="860"/>
      <c r="BM638" s="860"/>
      <c r="BN638" s="872"/>
      <c r="BO638" s="872"/>
      <c r="BP638" s="872"/>
      <c r="BQ638" s="872"/>
      <c r="BR638" s="872"/>
      <c r="BS638" s="872"/>
      <c r="BT638" s="860"/>
      <c r="BU638" s="860"/>
      <c r="BV638" s="860"/>
      <c r="BW638" s="860"/>
      <c r="BX638" s="872"/>
      <c r="BY638" s="872"/>
      <c r="BZ638" s="872"/>
      <c r="CA638" s="872"/>
      <c r="CB638" s="872"/>
      <c r="CC638" s="872"/>
    </row>
    <row r="639" s="860" customFormat="1" ht="13.5" spans="1:81">
      <c r="A639" s="861"/>
      <c r="B639" s="860"/>
      <c r="C639" s="860"/>
      <c r="D639" s="860"/>
      <c r="E639" s="862"/>
      <c r="F639" s="860"/>
      <c r="G639" s="860"/>
      <c r="H639" s="860"/>
      <c r="I639" s="860"/>
      <c r="J639" s="860"/>
      <c r="K639" s="860"/>
      <c r="L639" s="860"/>
      <c r="M639" s="860"/>
      <c r="N639" s="860"/>
      <c r="O639" s="860"/>
      <c r="P639" s="860"/>
      <c r="Q639" s="860"/>
      <c r="R639" s="860"/>
      <c r="S639" s="860"/>
      <c r="T639" s="860"/>
      <c r="U639" s="860"/>
      <c r="V639" s="860"/>
      <c r="W639" s="860"/>
      <c r="X639" s="864"/>
      <c r="Y639" s="865"/>
      <c r="Z639" s="865"/>
      <c r="AA639" s="866"/>
      <c r="AB639" s="867"/>
      <c r="AC639" s="868"/>
      <c r="AD639" s="866"/>
      <c r="AE639" s="860"/>
      <c r="AF639" s="869"/>
      <c r="AG639" s="869"/>
      <c r="AH639" s="870"/>
      <c r="AI639" s="871"/>
      <c r="AJ639" s="870"/>
      <c r="AK639" s="870"/>
      <c r="AL639" s="860"/>
      <c r="AM639" s="860"/>
      <c r="AN639" s="860"/>
      <c r="AO639" s="860"/>
      <c r="AP639" s="860"/>
      <c r="AQ639" s="860"/>
      <c r="AR639" s="860"/>
      <c r="AS639" s="860"/>
      <c r="AT639" s="860"/>
      <c r="AU639" s="860"/>
      <c r="AV639" s="860"/>
      <c r="AW639" s="860"/>
      <c r="AX639" s="860"/>
      <c r="AY639" s="860"/>
      <c r="AZ639" s="860"/>
      <c r="BA639" s="860"/>
      <c r="BB639" s="860"/>
      <c r="BC639" s="860"/>
      <c r="BD639" s="860"/>
      <c r="BE639" s="860"/>
      <c r="BF639" s="860"/>
      <c r="BG639" s="860"/>
      <c r="BH639" s="860"/>
      <c r="BI639" s="860"/>
      <c r="BJ639" s="860"/>
      <c r="BK639" s="860"/>
      <c r="BL639" s="860"/>
      <c r="BM639" s="860"/>
      <c r="BN639" s="872"/>
      <c r="BO639" s="872"/>
      <c r="BP639" s="872"/>
      <c r="BQ639" s="872"/>
      <c r="BR639" s="872"/>
      <c r="BS639" s="872"/>
      <c r="BT639" s="860"/>
      <c r="BU639" s="860"/>
      <c r="BV639" s="860"/>
      <c r="BW639" s="860"/>
      <c r="BX639" s="872"/>
      <c r="BY639" s="872"/>
      <c r="BZ639" s="872"/>
      <c r="CA639" s="872"/>
      <c r="CB639" s="872"/>
      <c r="CC639" s="872"/>
    </row>
    <row r="640" s="860" customFormat="1" ht="13.5" spans="1:81">
      <c r="A640" s="861"/>
      <c r="B640" s="860"/>
      <c r="C640" s="860"/>
      <c r="D640" s="860"/>
      <c r="E640" s="862"/>
      <c r="F640" s="860"/>
      <c r="G640" s="860"/>
      <c r="H640" s="860"/>
      <c r="I640" s="860"/>
      <c r="J640" s="860"/>
      <c r="K640" s="860"/>
      <c r="L640" s="860"/>
      <c r="M640" s="860"/>
      <c r="N640" s="860"/>
      <c r="O640" s="860"/>
      <c r="P640" s="860"/>
      <c r="Q640" s="860"/>
      <c r="R640" s="860"/>
      <c r="S640" s="860"/>
      <c r="T640" s="860"/>
      <c r="U640" s="860"/>
      <c r="V640" s="860"/>
      <c r="W640" s="860"/>
      <c r="X640" s="864"/>
      <c r="Y640" s="865"/>
      <c r="Z640" s="865"/>
      <c r="AA640" s="866"/>
      <c r="AB640" s="867"/>
      <c r="AC640" s="868"/>
      <c r="AD640" s="866"/>
      <c r="AE640" s="860"/>
      <c r="AF640" s="869"/>
      <c r="AG640" s="869"/>
      <c r="AH640" s="870"/>
      <c r="AI640" s="871"/>
      <c r="AJ640" s="870"/>
      <c r="AK640" s="870"/>
      <c r="AL640" s="860"/>
      <c r="AM640" s="860"/>
      <c r="AN640" s="860"/>
      <c r="AO640" s="860"/>
      <c r="AP640" s="860"/>
      <c r="AQ640" s="860"/>
      <c r="AR640" s="860"/>
      <c r="AS640" s="860"/>
      <c r="AT640" s="860"/>
      <c r="AU640" s="860"/>
      <c r="AV640" s="860"/>
      <c r="AW640" s="860"/>
      <c r="AX640" s="860"/>
      <c r="AY640" s="860"/>
      <c r="AZ640" s="860"/>
      <c r="BA640" s="860"/>
      <c r="BB640" s="860"/>
      <c r="BC640" s="860"/>
      <c r="BD640" s="860"/>
      <c r="BE640" s="860"/>
      <c r="BF640" s="860"/>
      <c r="BG640" s="860"/>
      <c r="BH640" s="860"/>
      <c r="BI640" s="860"/>
      <c r="BJ640" s="860"/>
      <c r="BK640" s="860"/>
      <c r="BL640" s="860"/>
      <c r="BM640" s="860"/>
      <c r="BN640" s="872"/>
      <c r="BO640" s="872"/>
      <c r="BP640" s="872"/>
      <c r="BQ640" s="872"/>
      <c r="BR640" s="872"/>
      <c r="BS640" s="872"/>
      <c r="BT640" s="860"/>
      <c r="BU640" s="860"/>
      <c r="BV640" s="860"/>
      <c r="BW640" s="860"/>
      <c r="BX640" s="872"/>
      <c r="BY640" s="872"/>
      <c r="BZ640" s="872"/>
      <c r="CA640" s="872"/>
      <c r="CB640" s="872"/>
      <c r="CC640" s="872"/>
    </row>
    <row r="641" s="860" customFormat="1" ht="13.5" spans="1:81">
      <c r="A641" s="861"/>
      <c r="B641" s="860"/>
      <c r="C641" s="860"/>
      <c r="D641" s="860"/>
      <c r="E641" s="862"/>
      <c r="F641" s="860"/>
      <c r="G641" s="860"/>
      <c r="H641" s="860"/>
      <c r="I641" s="860"/>
      <c r="J641" s="860"/>
      <c r="K641" s="860"/>
      <c r="L641" s="860"/>
      <c r="M641" s="860"/>
      <c r="N641" s="860"/>
      <c r="O641" s="860"/>
      <c r="P641" s="860"/>
      <c r="Q641" s="860"/>
      <c r="R641" s="860"/>
      <c r="S641" s="860"/>
      <c r="T641" s="860"/>
      <c r="U641" s="860"/>
      <c r="V641" s="860"/>
      <c r="W641" s="860"/>
      <c r="X641" s="864"/>
      <c r="Y641" s="865"/>
      <c r="Z641" s="865"/>
      <c r="AA641" s="866"/>
      <c r="AB641" s="867"/>
      <c r="AC641" s="868"/>
      <c r="AD641" s="866"/>
      <c r="AE641" s="860"/>
      <c r="AF641" s="869"/>
      <c r="AG641" s="869"/>
      <c r="AH641" s="870"/>
      <c r="AI641" s="871"/>
      <c r="AJ641" s="870"/>
      <c r="AK641" s="870"/>
      <c r="AL641" s="860"/>
      <c r="AM641" s="860"/>
      <c r="AN641" s="860"/>
      <c r="AO641" s="860"/>
      <c r="AP641" s="860"/>
      <c r="AQ641" s="860"/>
      <c r="AR641" s="860"/>
      <c r="AS641" s="860"/>
      <c r="AT641" s="860"/>
      <c r="AU641" s="860"/>
      <c r="AV641" s="860"/>
      <c r="AW641" s="860"/>
      <c r="AX641" s="860"/>
      <c r="AY641" s="860"/>
      <c r="AZ641" s="860"/>
      <c r="BA641" s="860"/>
      <c r="BB641" s="860"/>
      <c r="BC641" s="860"/>
      <c r="BD641" s="860"/>
      <c r="BE641" s="860"/>
      <c r="BF641" s="860"/>
      <c r="BG641" s="860"/>
      <c r="BH641" s="860"/>
      <c r="BI641" s="860"/>
      <c r="BJ641" s="860"/>
      <c r="BK641" s="860"/>
      <c r="BL641" s="860"/>
      <c r="BM641" s="860"/>
      <c r="BN641" s="872"/>
      <c r="BO641" s="872"/>
      <c r="BP641" s="872"/>
      <c r="BQ641" s="872"/>
      <c r="BR641" s="872"/>
      <c r="BS641" s="872"/>
      <c r="BT641" s="860"/>
      <c r="BU641" s="860"/>
      <c r="BV641" s="860"/>
      <c r="BW641" s="860"/>
      <c r="BX641" s="872"/>
      <c r="BY641" s="872"/>
      <c r="BZ641" s="872"/>
      <c r="CA641" s="872"/>
      <c r="CB641" s="872"/>
      <c r="CC641" s="872"/>
    </row>
    <row r="642" s="860" customFormat="1" ht="13.5" spans="1:81">
      <c r="A642" s="861"/>
      <c r="B642" s="860"/>
      <c r="C642" s="860"/>
      <c r="D642" s="860"/>
      <c r="E642" s="862"/>
      <c r="F642" s="860"/>
      <c r="G642" s="860"/>
      <c r="H642" s="860"/>
      <c r="I642" s="860"/>
      <c r="J642" s="860"/>
      <c r="K642" s="860"/>
      <c r="L642" s="860"/>
      <c r="M642" s="860"/>
      <c r="N642" s="860"/>
      <c r="O642" s="860"/>
      <c r="P642" s="860"/>
      <c r="Q642" s="860"/>
      <c r="R642" s="860"/>
      <c r="S642" s="860"/>
      <c r="T642" s="860"/>
      <c r="U642" s="860"/>
      <c r="V642" s="860"/>
      <c r="W642" s="860"/>
      <c r="X642" s="864"/>
      <c r="Y642" s="865"/>
      <c r="Z642" s="865"/>
      <c r="AA642" s="866"/>
      <c r="AB642" s="867"/>
      <c r="AC642" s="868"/>
      <c r="AD642" s="866"/>
      <c r="AE642" s="860"/>
      <c r="AF642" s="869"/>
      <c r="AG642" s="869"/>
      <c r="AH642" s="870"/>
      <c r="AI642" s="871"/>
      <c r="AJ642" s="870"/>
      <c r="AK642" s="870"/>
      <c r="AL642" s="860"/>
      <c r="AM642" s="860"/>
      <c r="AN642" s="860"/>
      <c r="AO642" s="860"/>
      <c r="AP642" s="860"/>
      <c r="AQ642" s="860"/>
      <c r="AR642" s="860"/>
      <c r="AS642" s="860"/>
      <c r="AT642" s="860"/>
      <c r="AU642" s="860"/>
      <c r="AV642" s="860"/>
      <c r="AW642" s="860"/>
      <c r="AX642" s="860"/>
      <c r="AY642" s="860"/>
      <c r="AZ642" s="860"/>
      <c r="BA642" s="860"/>
      <c r="BB642" s="860"/>
      <c r="BC642" s="860"/>
      <c r="BD642" s="860"/>
      <c r="BE642" s="860"/>
      <c r="BF642" s="860"/>
      <c r="BG642" s="860"/>
      <c r="BH642" s="860"/>
      <c r="BI642" s="860"/>
      <c r="BJ642" s="860"/>
      <c r="BK642" s="860"/>
      <c r="BL642" s="860"/>
      <c r="BM642" s="860"/>
      <c r="BN642" s="872"/>
      <c r="BO642" s="872"/>
      <c r="BP642" s="872"/>
      <c r="BQ642" s="872"/>
      <c r="BR642" s="872"/>
      <c r="BS642" s="872"/>
      <c r="BT642" s="860"/>
      <c r="BU642" s="860"/>
      <c r="BV642" s="860"/>
      <c r="BW642" s="860"/>
      <c r="BX642" s="872"/>
      <c r="BY642" s="872"/>
      <c r="BZ642" s="872"/>
      <c r="CA642" s="872"/>
      <c r="CB642" s="872"/>
      <c r="CC642" s="872"/>
    </row>
    <row r="643" s="860" customFormat="1" ht="13.5" spans="1:81">
      <c r="A643" s="861"/>
      <c r="B643" s="860"/>
      <c r="C643" s="860"/>
      <c r="D643" s="860"/>
      <c r="E643" s="862"/>
      <c r="F643" s="860"/>
      <c r="G643" s="860"/>
      <c r="H643" s="860"/>
      <c r="I643" s="860"/>
      <c r="J643" s="860"/>
      <c r="K643" s="860"/>
      <c r="L643" s="860"/>
      <c r="M643" s="860"/>
      <c r="N643" s="860"/>
      <c r="O643" s="860"/>
      <c r="P643" s="860"/>
      <c r="Q643" s="860"/>
      <c r="R643" s="860"/>
      <c r="S643" s="860"/>
      <c r="T643" s="860"/>
      <c r="U643" s="860"/>
      <c r="V643" s="860"/>
      <c r="W643" s="860"/>
      <c r="X643" s="864"/>
      <c r="Y643" s="865"/>
      <c r="Z643" s="865"/>
      <c r="AA643" s="866"/>
      <c r="AB643" s="867"/>
      <c r="AC643" s="868"/>
      <c r="AD643" s="866"/>
      <c r="AE643" s="860"/>
      <c r="AF643" s="869"/>
      <c r="AG643" s="869"/>
      <c r="AH643" s="870"/>
      <c r="AI643" s="871"/>
      <c r="AJ643" s="870"/>
      <c r="AK643" s="870"/>
      <c r="AL643" s="860"/>
      <c r="AM643" s="860"/>
      <c r="AN643" s="860"/>
      <c r="AO643" s="860"/>
      <c r="AP643" s="860"/>
      <c r="AQ643" s="860"/>
      <c r="AR643" s="860"/>
      <c r="AS643" s="860"/>
      <c r="AT643" s="860"/>
      <c r="AU643" s="860"/>
      <c r="AV643" s="860"/>
      <c r="AW643" s="860"/>
      <c r="AX643" s="860"/>
      <c r="AY643" s="860"/>
      <c r="AZ643" s="860"/>
      <c r="BA643" s="860"/>
      <c r="BB643" s="860"/>
      <c r="BC643" s="860"/>
      <c r="BD643" s="860"/>
      <c r="BE643" s="860"/>
      <c r="BF643" s="860"/>
      <c r="BG643" s="860"/>
      <c r="BH643" s="860"/>
      <c r="BI643" s="860"/>
      <c r="BJ643" s="860"/>
      <c r="BK643" s="860"/>
      <c r="BL643" s="860"/>
      <c r="BM643" s="860"/>
      <c r="BN643" s="872"/>
      <c r="BO643" s="872"/>
      <c r="BP643" s="872"/>
      <c r="BQ643" s="872"/>
      <c r="BR643" s="872"/>
      <c r="BS643" s="872"/>
      <c r="BT643" s="860"/>
      <c r="BU643" s="860"/>
      <c r="BV643" s="860"/>
      <c r="BW643" s="860"/>
      <c r="BX643" s="872"/>
      <c r="BY643" s="872"/>
      <c r="BZ643" s="872"/>
      <c r="CA643" s="872"/>
      <c r="CB643" s="872"/>
      <c r="CC643" s="872"/>
    </row>
    <row r="644" s="860" customFormat="1" ht="13.5" spans="1:81">
      <c r="A644" s="861"/>
      <c r="B644" s="860"/>
      <c r="C644" s="860"/>
      <c r="D644" s="860"/>
      <c r="E644" s="862"/>
      <c r="F644" s="860"/>
      <c r="G644" s="860"/>
      <c r="H644" s="860"/>
      <c r="I644" s="860"/>
      <c r="J644" s="860"/>
      <c r="K644" s="860"/>
      <c r="L644" s="860"/>
      <c r="M644" s="860"/>
      <c r="N644" s="860"/>
      <c r="O644" s="860"/>
      <c r="P644" s="860"/>
      <c r="Q644" s="860"/>
      <c r="R644" s="860"/>
      <c r="S644" s="860"/>
      <c r="T644" s="860"/>
      <c r="U644" s="860"/>
      <c r="V644" s="860"/>
      <c r="W644" s="860"/>
      <c r="X644" s="864"/>
      <c r="Y644" s="865"/>
      <c r="Z644" s="865"/>
      <c r="AA644" s="866"/>
      <c r="AB644" s="867"/>
      <c r="AC644" s="868"/>
      <c r="AD644" s="866"/>
      <c r="AE644" s="860"/>
      <c r="AF644" s="869"/>
      <c r="AG644" s="869"/>
      <c r="AH644" s="870"/>
      <c r="AI644" s="871"/>
      <c r="AJ644" s="870"/>
      <c r="AK644" s="870"/>
      <c r="AL644" s="860"/>
      <c r="AM644" s="860"/>
      <c r="AN644" s="860"/>
      <c r="AO644" s="860"/>
      <c r="AP644" s="860"/>
      <c r="AQ644" s="860"/>
      <c r="AR644" s="860"/>
      <c r="AS644" s="860"/>
      <c r="AT644" s="860"/>
      <c r="AU644" s="860"/>
      <c r="AV644" s="860"/>
      <c r="AW644" s="860"/>
      <c r="AX644" s="860"/>
      <c r="AY644" s="860"/>
      <c r="AZ644" s="860"/>
      <c r="BA644" s="860"/>
      <c r="BB644" s="860"/>
      <c r="BC644" s="860"/>
      <c r="BD644" s="860"/>
      <c r="BE644" s="860"/>
      <c r="BF644" s="860"/>
      <c r="BG644" s="860"/>
      <c r="BH644" s="860"/>
      <c r="BI644" s="860"/>
      <c r="BJ644" s="860"/>
      <c r="BK644" s="860"/>
      <c r="BL644" s="860"/>
      <c r="BM644" s="860"/>
      <c r="BN644" s="872"/>
      <c r="BO644" s="872"/>
      <c r="BP644" s="872"/>
      <c r="BQ644" s="872"/>
      <c r="BR644" s="872"/>
      <c r="BS644" s="872"/>
      <c r="BT644" s="860"/>
      <c r="BU644" s="860"/>
      <c r="BV644" s="860"/>
      <c r="BW644" s="860"/>
      <c r="BX644" s="872"/>
      <c r="BY644" s="872"/>
      <c r="BZ644" s="872"/>
      <c r="CA644" s="872"/>
      <c r="CB644" s="872"/>
      <c r="CC644" s="872"/>
    </row>
    <row r="645" s="860" customFormat="1" ht="13.5" spans="1:81">
      <c r="A645" s="861"/>
      <c r="B645" s="860"/>
      <c r="C645" s="860"/>
      <c r="D645" s="860"/>
      <c r="E645" s="862"/>
      <c r="F645" s="860"/>
      <c r="G645" s="860"/>
      <c r="H645" s="860"/>
      <c r="I645" s="860"/>
      <c r="J645" s="860"/>
      <c r="K645" s="860"/>
      <c r="L645" s="860"/>
      <c r="M645" s="860"/>
      <c r="N645" s="860"/>
      <c r="O645" s="860"/>
      <c r="P645" s="860"/>
      <c r="Q645" s="860"/>
      <c r="R645" s="860"/>
      <c r="S645" s="860"/>
      <c r="T645" s="860"/>
      <c r="U645" s="860"/>
      <c r="V645" s="860"/>
      <c r="W645" s="860"/>
      <c r="X645" s="864"/>
      <c r="Y645" s="865"/>
      <c r="Z645" s="865"/>
      <c r="AA645" s="866"/>
      <c r="AB645" s="867"/>
      <c r="AC645" s="868"/>
      <c r="AD645" s="866"/>
      <c r="AE645" s="860"/>
      <c r="AF645" s="869"/>
      <c r="AG645" s="869"/>
      <c r="AH645" s="870"/>
      <c r="AI645" s="871"/>
      <c r="AJ645" s="870"/>
      <c r="AK645" s="870"/>
      <c r="AL645" s="860"/>
      <c r="AM645" s="860"/>
      <c r="AN645" s="860"/>
      <c r="AO645" s="860"/>
      <c r="AP645" s="860"/>
      <c r="AQ645" s="860"/>
      <c r="AR645" s="860"/>
      <c r="AS645" s="860"/>
      <c r="AT645" s="860"/>
      <c r="AU645" s="860"/>
      <c r="AV645" s="860"/>
      <c r="AW645" s="860"/>
      <c r="AX645" s="860"/>
      <c r="AY645" s="860"/>
      <c r="AZ645" s="860"/>
      <c r="BA645" s="860"/>
      <c r="BB645" s="860"/>
      <c r="BC645" s="860"/>
      <c r="BD645" s="860"/>
      <c r="BE645" s="860"/>
      <c r="BF645" s="860"/>
      <c r="BG645" s="860"/>
      <c r="BH645" s="860"/>
      <c r="BI645" s="860"/>
      <c r="BJ645" s="860"/>
      <c r="BK645" s="860"/>
      <c r="BL645" s="860"/>
      <c r="BM645" s="860"/>
      <c r="BN645" s="872"/>
      <c r="BO645" s="872"/>
      <c r="BP645" s="872"/>
      <c r="BQ645" s="872"/>
      <c r="BR645" s="872"/>
      <c r="BS645" s="872"/>
      <c r="BT645" s="860"/>
      <c r="BU645" s="860"/>
      <c r="BV645" s="860"/>
      <c r="BW645" s="860"/>
      <c r="BX645" s="872"/>
      <c r="BY645" s="872"/>
      <c r="BZ645" s="872"/>
      <c r="CA645" s="872"/>
      <c r="CB645" s="872"/>
      <c r="CC645" s="872"/>
    </row>
    <row r="646" s="860" customFormat="1" ht="13.5" spans="1:81">
      <c r="A646" s="861"/>
      <c r="B646" s="860"/>
      <c r="C646" s="860"/>
      <c r="D646" s="860"/>
      <c r="E646" s="862"/>
      <c r="F646" s="860"/>
      <c r="G646" s="860"/>
      <c r="H646" s="860"/>
      <c r="I646" s="860"/>
      <c r="J646" s="860"/>
      <c r="K646" s="860"/>
      <c r="L646" s="860"/>
      <c r="M646" s="860"/>
      <c r="N646" s="860"/>
      <c r="O646" s="860"/>
      <c r="P646" s="860"/>
      <c r="Q646" s="860"/>
      <c r="R646" s="860"/>
      <c r="S646" s="860"/>
      <c r="T646" s="860"/>
      <c r="U646" s="860"/>
      <c r="V646" s="860"/>
      <c r="W646" s="860"/>
      <c r="X646" s="864"/>
      <c r="Y646" s="865"/>
      <c r="Z646" s="865"/>
      <c r="AA646" s="866"/>
      <c r="AB646" s="867"/>
      <c r="AC646" s="868"/>
      <c r="AD646" s="866"/>
      <c r="AE646" s="860"/>
      <c r="AF646" s="869"/>
      <c r="AG646" s="869"/>
      <c r="AH646" s="870"/>
      <c r="AI646" s="871"/>
      <c r="AJ646" s="870"/>
      <c r="AK646" s="870"/>
      <c r="AL646" s="860"/>
      <c r="AM646" s="860"/>
      <c r="AN646" s="860"/>
      <c r="AO646" s="860"/>
      <c r="AP646" s="860"/>
      <c r="AQ646" s="860"/>
      <c r="AR646" s="860"/>
      <c r="AS646" s="860"/>
      <c r="AT646" s="860"/>
      <c r="AU646" s="860"/>
      <c r="AV646" s="860"/>
      <c r="AW646" s="860"/>
      <c r="AX646" s="860"/>
      <c r="AY646" s="860"/>
      <c r="AZ646" s="860"/>
      <c r="BA646" s="860"/>
      <c r="BB646" s="860"/>
      <c r="BC646" s="860"/>
      <c r="BD646" s="860"/>
      <c r="BE646" s="860"/>
      <c r="BF646" s="860"/>
      <c r="BG646" s="860"/>
      <c r="BH646" s="860"/>
      <c r="BI646" s="860"/>
      <c r="BJ646" s="860"/>
      <c r="BK646" s="860"/>
      <c r="BL646" s="860"/>
      <c r="BM646" s="860"/>
      <c r="BN646" s="872"/>
      <c r="BO646" s="872"/>
      <c r="BP646" s="872"/>
      <c r="BQ646" s="872"/>
      <c r="BR646" s="872"/>
      <c r="BS646" s="872"/>
      <c r="BT646" s="860"/>
      <c r="BU646" s="860"/>
      <c r="BV646" s="860"/>
      <c r="BW646" s="860"/>
      <c r="BX646" s="872"/>
      <c r="BY646" s="872"/>
      <c r="BZ646" s="872"/>
      <c r="CA646" s="872"/>
      <c r="CB646" s="872"/>
      <c r="CC646" s="872"/>
    </row>
    <row r="647" s="860" customFormat="1" ht="13.5" spans="1:81">
      <c r="A647" s="861"/>
      <c r="B647" s="860"/>
      <c r="C647" s="860"/>
      <c r="D647" s="860"/>
      <c r="E647" s="862"/>
      <c r="F647" s="860"/>
      <c r="G647" s="860"/>
      <c r="H647" s="860"/>
      <c r="I647" s="860"/>
      <c r="J647" s="860"/>
      <c r="K647" s="860"/>
      <c r="L647" s="860"/>
      <c r="M647" s="860"/>
      <c r="N647" s="860"/>
      <c r="O647" s="860"/>
      <c r="P647" s="860"/>
      <c r="Q647" s="860"/>
      <c r="R647" s="860"/>
      <c r="S647" s="860"/>
      <c r="T647" s="860"/>
      <c r="U647" s="860"/>
      <c r="V647" s="860"/>
      <c r="W647" s="860"/>
      <c r="X647" s="864"/>
      <c r="Y647" s="865"/>
      <c r="Z647" s="865"/>
      <c r="AA647" s="866"/>
      <c r="AB647" s="867"/>
      <c r="AC647" s="868"/>
      <c r="AD647" s="866"/>
      <c r="AE647" s="860"/>
      <c r="AF647" s="869"/>
      <c r="AG647" s="869"/>
      <c r="AH647" s="870"/>
      <c r="AI647" s="871"/>
      <c r="AJ647" s="870"/>
      <c r="AK647" s="870"/>
      <c r="AL647" s="860"/>
      <c r="AM647" s="860"/>
      <c r="AN647" s="860"/>
      <c r="AO647" s="860"/>
      <c r="AP647" s="860"/>
      <c r="AQ647" s="860"/>
      <c r="AR647" s="860"/>
      <c r="AS647" s="860"/>
      <c r="AT647" s="860"/>
      <c r="AU647" s="860"/>
      <c r="AV647" s="860"/>
      <c r="AW647" s="860"/>
      <c r="AX647" s="860"/>
      <c r="AY647" s="860"/>
      <c r="AZ647" s="860"/>
      <c r="BA647" s="860"/>
      <c r="BB647" s="860"/>
      <c r="BC647" s="860"/>
      <c r="BD647" s="860"/>
      <c r="BE647" s="860"/>
      <c r="BF647" s="860"/>
      <c r="BG647" s="860"/>
      <c r="BH647" s="860"/>
      <c r="BI647" s="860"/>
      <c r="BJ647" s="860"/>
      <c r="BK647" s="860"/>
      <c r="BL647" s="860"/>
      <c r="BM647" s="860"/>
      <c r="BN647" s="872"/>
      <c r="BO647" s="872"/>
      <c r="BP647" s="872"/>
      <c r="BQ647" s="872"/>
      <c r="BR647" s="872"/>
      <c r="BS647" s="872"/>
      <c r="BT647" s="860"/>
      <c r="BU647" s="860"/>
      <c r="BV647" s="860"/>
      <c r="BW647" s="860"/>
      <c r="BX647" s="872"/>
      <c r="BY647" s="872"/>
      <c r="BZ647" s="872"/>
      <c r="CA647" s="872"/>
      <c r="CB647" s="872"/>
      <c r="CC647" s="872"/>
    </row>
    <row r="648" s="860" customFormat="1" ht="13.5" spans="1:81">
      <c r="A648" s="861"/>
      <c r="B648" s="860"/>
      <c r="C648" s="860"/>
      <c r="D648" s="860"/>
      <c r="E648" s="862"/>
      <c r="F648" s="860"/>
      <c r="G648" s="860"/>
      <c r="H648" s="860"/>
      <c r="I648" s="860"/>
      <c r="J648" s="860"/>
      <c r="K648" s="860"/>
      <c r="L648" s="860"/>
      <c r="M648" s="860"/>
      <c r="N648" s="860"/>
      <c r="O648" s="860"/>
      <c r="P648" s="860"/>
      <c r="Q648" s="860"/>
      <c r="R648" s="860"/>
      <c r="S648" s="860"/>
      <c r="T648" s="860"/>
      <c r="U648" s="860"/>
      <c r="V648" s="860"/>
      <c r="W648" s="860"/>
      <c r="X648" s="864"/>
      <c r="Y648" s="865"/>
      <c r="Z648" s="865"/>
      <c r="AA648" s="866"/>
      <c r="AB648" s="867"/>
      <c r="AC648" s="868"/>
      <c r="AD648" s="866"/>
      <c r="AE648" s="860"/>
      <c r="AF648" s="869"/>
      <c r="AG648" s="869"/>
      <c r="AH648" s="870"/>
      <c r="AI648" s="871"/>
      <c r="AJ648" s="870"/>
      <c r="AK648" s="870"/>
      <c r="AL648" s="860"/>
      <c r="AM648" s="860"/>
      <c r="AN648" s="860"/>
      <c r="AO648" s="860"/>
      <c r="AP648" s="860"/>
      <c r="AQ648" s="860"/>
      <c r="AR648" s="860"/>
      <c r="AS648" s="860"/>
      <c r="AT648" s="860"/>
      <c r="AU648" s="860"/>
      <c r="AV648" s="860"/>
      <c r="AW648" s="860"/>
      <c r="AX648" s="860"/>
      <c r="AY648" s="860"/>
      <c r="AZ648" s="860"/>
      <c r="BA648" s="860"/>
      <c r="BB648" s="860"/>
      <c r="BC648" s="860"/>
      <c r="BD648" s="860"/>
      <c r="BE648" s="860"/>
      <c r="BF648" s="860"/>
      <c r="BG648" s="860"/>
      <c r="BH648" s="860"/>
      <c r="BI648" s="860"/>
      <c r="BJ648" s="860"/>
      <c r="BK648" s="860"/>
      <c r="BL648" s="860"/>
      <c r="BM648" s="860"/>
      <c r="BN648" s="872"/>
      <c r="BO648" s="872"/>
      <c r="BP648" s="872"/>
      <c r="BQ648" s="872"/>
      <c r="BR648" s="872"/>
      <c r="BS648" s="872"/>
      <c r="BT648" s="860"/>
      <c r="BU648" s="860"/>
      <c r="BV648" s="860"/>
      <c r="BW648" s="860"/>
      <c r="BX648" s="872"/>
      <c r="BY648" s="872"/>
      <c r="BZ648" s="872"/>
      <c r="CA648" s="872"/>
      <c r="CB648" s="872"/>
      <c r="CC648" s="872"/>
    </row>
    <row r="649" s="860" customFormat="1" ht="13.5" spans="1:81">
      <c r="A649" s="861"/>
      <c r="B649" s="860"/>
      <c r="C649" s="860"/>
      <c r="D649" s="860"/>
      <c r="E649" s="862"/>
      <c r="F649" s="860"/>
      <c r="G649" s="860"/>
      <c r="H649" s="860"/>
      <c r="I649" s="860"/>
      <c r="J649" s="860"/>
      <c r="K649" s="860"/>
      <c r="L649" s="860"/>
      <c r="M649" s="860"/>
      <c r="N649" s="860"/>
      <c r="O649" s="860"/>
      <c r="P649" s="860"/>
      <c r="Q649" s="860"/>
      <c r="R649" s="860"/>
      <c r="S649" s="860"/>
      <c r="T649" s="860"/>
      <c r="U649" s="860"/>
      <c r="V649" s="860"/>
      <c r="W649" s="860"/>
      <c r="X649" s="864"/>
      <c r="Y649" s="865"/>
      <c r="Z649" s="865"/>
      <c r="AA649" s="866"/>
      <c r="AB649" s="867"/>
      <c r="AC649" s="868"/>
      <c r="AD649" s="866"/>
      <c r="AE649" s="860"/>
      <c r="AF649" s="869"/>
      <c r="AG649" s="869"/>
      <c r="AH649" s="870"/>
      <c r="AI649" s="871"/>
      <c r="AJ649" s="870"/>
      <c r="AK649" s="870"/>
      <c r="AL649" s="860"/>
      <c r="AM649" s="860"/>
      <c r="AN649" s="860"/>
      <c r="AO649" s="860"/>
      <c r="AP649" s="860"/>
      <c r="AQ649" s="860"/>
      <c r="AR649" s="860"/>
      <c r="AS649" s="860"/>
      <c r="AT649" s="860"/>
      <c r="AU649" s="860"/>
      <c r="AV649" s="860"/>
      <c r="AW649" s="860"/>
      <c r="AX649" s="860"/>
      <c r="AY649" s="860"/>
      <c r="AZ649" s="860"/>
      <c r="BA649" s="860"/>
      <c r="BB649" s="860"/>
      <c r="BC649" s="860"/>
      <c r="BD649" s="860"/>
      <c r="BE649" s="860"/>
      <c r="BF649" s="860"/>
      <c r="BG649" s="860"/>
      <c r="BH649" s="860"/>
      <c r="BI649" s="860"/>
      <c r="BJ649" s="860"/>
      <c r="BK649" s="860"/>
      <c r="BL649" s="860"/>
      <c r="BM649" s="860"/>
      <c r="BN649" s="872"/>
      <c r="BO649" s="872"/>
      <c r="BP649" s="872"/>
      <c r="BQ649" s="872"/>
      <c r="BR649" s="872"/>
      <c r="BS649" s="872"/>
      <c r="BT649" s="860"/>
      <c r="BU649" s="860"/>
      <c r="BV649" s="860"/>
      <c r="BW649" s="860"/>
      <c r="BX649" s="872"/>
      <c r="BY649" s="872"/>
      <c r="BZ649" s="872"/>
      <c r="CA649" s="872"/>
      <c r="CB649" s="872"/>
      <c r="CC649" s="872"/>
    </row>
    <row r="650" s="860" customFormat="1" ht="13.5" spans="1:81">
      <c r="A650" s="861"/>
      <c r="B650" s="860"/>
      <c r="C650" s="860"/>
      <c r="D650" s="860"/>
      <c r="E650" s="862"/>
      <c r="F650" s="860"/>
      <c r="G650" s="860"/>
      <c r="H650" s="860"/>
      <c r="I650" s="860"/>
      <c r="J650" s="860"/>
      <c r="K650" s="860"/>
      <c r="L650" s="860"/>
      <c r="M650" s="860"/>
      <c r="N650" s="860"/>
      <c r="O650" s="860"/>
      <c r="P650" s="860"/>
      <c r="Q650" s="860"/>
      <c r="R650" s="860"/>
      <c r="S650" s="860"/>
      <c r="T650" s="860"/>
      <c r="U650" s="860"/>
      <c r="V650" s="860"/>
      <c r="W650" s="860"/>
      <c r="X650" s="864"/>
      <c r="Y650" s="865"/>
      <c r="Z650" s="865"/>
      <c r="AA650" s="866"/>
      <c r="AB650" s="867"/>
      <c r="AC650" s="868"/>
      <c r="AD650" s="866"/>
      <c r="AE650" s="860"/>
      <c r="AF650" s="869"/>
      <c r="AG650" s="869"/>
      <c r="AH650" s="870"/>
      <c r="AI650" s="871"/>
      <c r="AJ650" s="870"/>
      <c r="AK650" s="870"/>
      <c r="AL650" s="860"/>
      <c r="AM650" s="860"/>
      <c r="AN650" s="860"/>
      <c r="AO650" s="860"/>
      <c r="AP650" s="860"/>
      <c r="AQ650" s="860"/>
      <c r="AR650" s="860"/>
      <c r="AS650" s="860"/>
      <c r="AT650" s="860"/>
      <c r="AU650" s="860"/>
      <c r="AV650" s="860"/>
      <c r="AW650" s="860"/>
      <c r="AX650" s="860"/>
      <c r="AY650" s="860"/>
      <c r="AZ650" s="860"/>
      <c r="BA650" s="860"/>
      <c r="BB650" s="860"/>
      <c r="BC650" s="860"/>
      <c r="BD650" s="860"/>
      <c r="BE650" s="860"/>
      <c r="BF650" s="860"/>
      <c r="BG650" s="860"/>
      <c r="BH650" s="860"/>
      <c r="BI650" s="860"/>
      <c r="BJ650" s="860"/>
      <c r="BK650" s="860"/>
      <c r="BL650" s="860"/>
      <c r="BM650" s="860"/>
      <c r="BN650" s="872"/>
      <c r="BO650" s="872"/>
      <c r="BP650" s="872"/>
      <c r="BQ650" s="872"/>
      <c r="BR650" s="872"/>
      <c r="BS650" s="872"/>
      <c r="BT650" s="860"/>
      <c r="BU650" s="860"/>
      <c r="BV650" s="860"/>
      <c r="BW650" s="860"/>
      <c r="BX650" s="872"/>
      <c r="BY650" s="872"/>
      <c r="BZ650" s="872"/>
      <c r="CA650" s="872"/>
      <c r="CB650" s="872"/>
      <c r="CC650" s="872"/>
    </row>
    <row r="651" s="860" customFormat="1" ht="13.5" spans="1:81">
      <c r="A651" s="861"/>
      <c r="B651" s="860"/>
      <c r="C651" s="860"/>
      <c r="D651" s="860"/>
      <c r="E651" s="862"/>
      <c r="F651" s="860"/>
      <c r="G651" s="860"/>
      <c r="H651" s="860"/>
      <c r="I651" s="860"/>
      <c r="J651" s="860"/>
      <c r="K651" s="860"/>
      <c r="L651" s="860"/>
      <c r="M651" s="860"/>
      <c r="N651" s="860"/>
      <c r="O651" s="860"/>
      <c r="P651" s="860"/>
      <c r="Q651" s="860"/>
      <c r="R651" s="860"/>
      <c r="S651" s="860"/>
      <c r="T651" s="860"/>
      <c r="U651" s="860"/>
      <c r="V651" s="860"/>
      <c r="W651" s="860"/>
      <c r="X651" s="864"/>
      <c r="Y651" s="865"/>
      <c r="Z651" s="865"/>
      <c r="AA651" s="866"/>
      <c r="AB651" s="867"/>
      <c r="AC651" s="868"/>
      <c r="AD651" s="866"/>
      <c r="AE651" s="860"/>
      <c r="AF651" s="869"/>
      <c r="AG651" s="869"/>
      <c r="AH651" s="870"/>
      <c r="AI651" s="871"/>
      <c r="AJ651" s="870"/>
      <c r="AK651" s="870"/>
      <c r="AL651" s="860"/>
      <c r="AM651" s="860"/>
      <c r="AN651" s="860"/>
      <c r="AO651" s="860"/>
      <c r="AP651" s="860"/>
      <c r="AQ651" s="860"/>
      <c r="AR651" s="860"/>
      <c r="AS651" s="860"/>
      <c r="AT651" s="860"/>
      <c r="AU651" s="860"/>
      <c r="AV651" s="860"/>
      <c r="AW651" s="860"/>
      <c r="AX651" s="860"/>
      <c r="AY651" s="860"/>
      <c r="AZ651" s="860"/>
      <c r="BA651" s="860"/>
      <c r="BB651" s="860"/>
      <c r="BC651" s="860"/>
      <c r="BD651" s="860"/>
      <c r="BE651" s="860"/>
      <c r="BF651" s="860"/>
      <c r="BG651" s="860"/>
      <c r="BH651" s="860"/>
      <c r="BI651" s="860"/>
      <c r="BJ651" s="860"/>
      <c r="BK651" s="860"/>
      <c r="BL651" s="860"/>
      <c r="BM651" s="860"/>
      <c r="BN651" s="872"/>
      <c r="BO651" s="872"/>
      <c r="BP651" s="872"/>
      <c r="BQ651" s="872"/>
      <c r="BR651" s="872"/>
      <c r="BS651" s="872"/>
      <c r="BT651" s="860"/>
      <c r="BU651" s="860"/>
      <c r="BV651" s="860"/>
      <c r="BW651" s="860"/>
      <c r="BX651" s="872"/>
      <c r="BY651" s="872"/>
      <c r="BZ651" s="872"/>
      <c r="CA651" s="872"/>
      <c r="CB651" s="872"/>
      <c r="CC651" s="872"/>
    </row>
    <row r="652" s="860" customFormat="1" ht="13.5" spans="1:81">
      <c r="A652" s="861"/>
      <c r="B652" s="860"/>
      <c r="C652" s="860"/>
      <c r="D652" s="860"/>
      <c r="E652" s="862"/>
      <c r="F652" s="860"/>
      <c r="G652" s="860"/>
      <c r="H652" s="860"/>
      <c r="I652" s="860"/>
      <c r="J652" s="860"/>
      <c r="K652" s="860"/>
      <c r="L652" s="860"/>
      <c r="M652" s="860"/>
      <c r="N652" s="860"/>
      <c r="O652" s="860"/>
      <c r="P652" s="860"/>
      <c r="Q652" s="860"/>
      <c r="R652" s="860"/>
      <c r="S652" s="860"/>
      <c r="T652" s="860"/>
      <c r="U652" s="860"/>
      <c r="V652" s="860"/>
      <c r="W652" s="860"/>
      <c r="X652" s="864"/>
      <c r="Y652" s="865"/>
      <c r="Z652" s="865"/>
      <c r="AA652" s="866"/>
      <c r="AB652" s="867"/>
      <c r="AC652" s="868"/>
      <c r="AD652" s="866"/>
      <c r="AE652" s="860"/>
      <c r="AF652" s="869"/>
      <c r="AG652" s="869"/>
      <c r="AH652" s="870"/>
      <c r="AI652" s="871"/>
      <c r="AJ652" s="870"/>
      <c r="AK652" s="870"/>
      <c r="AL652" s="860"/>
      <c r="AM652" s="860"/>
      <c r="AN652" s="860"/>
      <c r="AO652" s="860"/>
      <c r="AP652" s="860"/>
      <c r="AQ652" s="860"/>
      <c r="AR652" s="860"/>
      <c r="AS652" s="860"/>
      <c r="AT652" s="860"/>
      <c r="AU652" s="860"/>
      <c r="AV652" s="860"/>
      <c r="AW652" s="860"/>
      <c r="AX652" s="860"/>
      <c r="AY652" s="860"/>
      <c r="AZ652" s="860"/>
      <c r="BA652" s="860"/>
      <c r="BB652" s="860"/>
      <c r="BC652" s="860"/>
      <c r="BD652" s="860"/>
      <c r="BE652" s="860"/>
      <c r="BF652" s="860"/>
      <c r="BG652" s="860"/>
      <c r="BH652" s="860"/>
      <c r="BI652" s="860"/>
      <c r="BJ652" s="860"/>
      <c r="BK652" s="860"/>
      <c r="BL652" s="860"/>
      <c r="BM652" s="860"/>
      <c r="BN652" s="872"/>
      <c r="BO652" s="872"/>
      <c r="BP652" s="872"/>
      <c r="BQ652" s="872"/>
      <c r="BR652" s="872"/>
      <c r="BS652" s="872"/>
      <c r="BT652" s="860"/>
      <c r="BU652" s="860"/>
      <c r="BV652" s="860"/>
      <c r="BW652" s="860"/>
      <c r="BX652" s="872"/>
      <c r="BY652" s="872"/>
      <c r="BZ652" s="872"/>
      <c r="CA652" s="872"/>
      <c r="CB652" s="872"/>
      <c r="CC652" s="872"/>
    </row>
    <row r="653" s="860" customFormat="1" ht="13.5" spans="1:81">
      <c r="A653" s="861"/>
      <c r="B653" s="860"/>
      <c r="C653" s="860"/>
      <c r="D653" s="860"/>
      <c r="E653" s="862"/>
      <c r="F653" s="860"/>
      <c r="G653" s="860"/>
      <c r="H653" s="860"/>
      <c r="I653" s="860"/>
      <c r="J653" s="860"/>
      <c r="K653" s="860"/>
      <c r="L653" s="860"/>
      <c r="M653" s="860"/>
      <c r="N653" s="860"/>
      <c r="O653" s="860"/>
      <c r="P653" s="860"/>
      <c r="Q653" s="860"/>
      <c r="R653" s="860"/>
      <c r="S653" s="860"/>
      <c r="T653" s="860"/>
      <c r="U653" s="860"/>
      <c r="V653" s="860"/>
      <c r="W653" s="860"/>
      <c r="X653" s="864"/>
      <c r="Y653" s="865"/>
      <c r="Z653" s="865"/>
      <c r="AA653" s="866"/>
      <c r="AB653" s="867"/>
      <c r="AC653" s="868"/>
      <c r="AD653" s="866"/>
      <c r="AE653" s="860"/>
      <c r="AF653" s="869"/>
      <c r="AG653" s="869"/>
      <c r="AH653" s="870"/>
      <c r="AI653" s="871"/>
      <c r="AJ653" s="870"/>
      <c r="AK653" s="870"/>
      <c r="AL653" s="860"/>
      <c r="AM653" s="860"/>
      <c r="AN653" s="860"/>
      <c r="AO653" s="860"/>
      <c r="AP653" s="860"/>
      <c r="AQ653" s="860"/>
      <c r="AR653" s="860"/>
      <c r="AS653" s="860"/>
      <c r="AT653" s="860"/>
      <c r="AU653" s="860"/>
      <c r="AV653" s="860"/>
      <c r="AW653" s="860"/>
      <c r="AX653" s="860"/>
      <c r="AY653" s="860"/>
      <c r="AZ653" s="860"/>
      <c r="BA653" s="860"/>
      <c r="BB653" s="860"/>
      <c r="BC653" s="860"/>
      <c r="BD653" s="860"/>
      <c r="BE653" s="860"/>
      <c r="BF653" s="860"/>
      <c r="BG653" s="860"/>
      <c r="BH653" s="860"/>
      <c r="BI653" s="860"/>
      <c r="BJ653" s="860"/>
      <c r="BK653" s="860"/>
      <c r="BL653" s="860"/>
      <c r="BM653" s="860"/>
      <c r="BN653" s="872"/>
      <c r="BO653" s="872"/>
      <c r="BP653" s="872"/>
      <c r="BQ653" s="872"/>
      <c r="BR653" s="872"/>
      <c r="BS653" s="872"/>
      <c r="BT653" s="860"/>
      <c r="BU653" s="860"/>
      <c r="BV653" s="860"/>
      <c r="BW653" s="860"/>
      <c r="BX653" s="872"/>
      <c r="BY653" s="872"/>
      <c r="BZ653" s="872"/>
      <c r="CA653" s="872"/>
      <c r="CB653" s="872"/>
      <c r="CC653" s="872"/>
    </row>
    <row r="654" s="860" customFormat="1" ht="13.5" spans="1:81">
      <c r="A654" s="861"/>
      <c r="B654" s="860"/>
      <c r="C654" s="860"/>
      <c r="D654" s="860"/>
      <c r="E654" s="862"/>
      <c r="F654" s="860"/>
      <c r="G654" s="860"/>
      <c r="H654" s="860"/>
      <c r="I654" s="860"/>
      <c r="J654" s="860"/>
      <c r="K654" s="860"/>
      <c r="L654" s="860"/>
      <c r="M654" s="860"/>
      <c r="N654" s="860"/>
      <c r="O654" s="860"/>
      <c r="P654" s="860"/>
      <c r="Q654" s="860"/>
      <c r="R654" s="860"/>
      <c r="S654" s="860"/>
      <c r="T654" s="860"/>
      <c r="U654" s="860"/>
      <c r="V654" s="860"/>
      <c r="W654" s="860"/>
      <c r="X654" s="864"/>
      <c r="Y654" s="865"/>
      <c r="Z654" s="865"/>
      <c r="AA654" s="866"/>
      <c r="AB654" s="867"/>
      <c r="AC654" s="868"/>
      <c r="AD654" s="866"/>
      <c r="AE654" s="860"/>
      <c r="AF654" s="869"/>
      <c r="AG654" s="869"/>
      <c r="AH654" s="870"/>
      <c r="AI654" s="871"/>
      <c r="AJ654" s="870"/>
      <c r="AK654" s="870"/>
      <c r="AL654" s="860"/>
      <c r="AM654" s="860"/>
      <c r="AN654" s="860"/>
      <c r="AO654" s="860"/>
      <c r="AP654" s="860"/>
      <c r="AQ654" s="860"/>
      <c r="AR654" s="860"/>
      <c r="AS654" s="860"/>
      <c r="AT654" s="860"/>
      <c r="AU654" s="860"/>
      <c r="AV654" s="860"/>
      <c r="AW654" s="860"/>
      <c r="AX654" s="860"/>
      <c r="AY654" s="860"/>
      <c r="AZ654" s="860"/>
      <c r="BA654" s="860"/>
      <c r="BB654" s="860"/>
      <c r="BC654" s="860"/>
      <c r="BD654" s="860"/>
      <c r="BE654" s="860"/>
      <c r="BF654" s="860"/>
      <c r="BG654" s="860"/>
      <c r="BH654" s="860"/>
      <c r="BI654" s="860"/>
      <c r="BJ654" s="860"/>
      <c r="BK654" s="860"/>
      <c r="BL654" s="860"/>
      <c r="BM654" s="860"/>
      <c r="BN654" s="872"/>
      <c r="BO654" s="872"/>
      <c r="BP654" s="872"/>
      <c r="BQ654" s="872"/>
      <c r="BR654" s="872"/>
      <c r="BS654" s="872"/>
      <c r="BT654" s="860"/>
      <c r="BU654" s="860"/>
      <c r="BV654" s="860"/>
      <c r="BW654" s="860"/>
      <c r="BX654" s="872"/>
      <c r="BY654" s="872"/>
      <c r="BZ654" s="872"/>
      <c r="CA654" s="872"/>
      <c r="CB654" s="872"/>
      <c r="CC654" s="872"/>
    </row>
    <row r="655" s="860" customFormat="1" ht="13.5" spans="1:81">
      <c r="A655" s="861"/>
      <c r="B655" s="860"/>
      <c r="C655" s="860"/>
      <c r="D655" s="860"/>
      <c r="E655" s="862"/>
      <c r="F655" s="860"/>
      <c r="G655" s="860"/>
      <c r="H655" s="860"/>
      <c r="I655" s="860"/>
      <c r="J655" s="860"/>
      <c r="K655" s="860"/>
      <c r="L655" s="860"/>
      <c r="M655" s="860"/>
      <c r="N655" s="860"/>
      <c r="O655" s="860"/>
      <c r="P655" s="860"/>
      <c r="Q655" s="860"/>
      <c r="R655" s="860"/>
      <c r="S655" s="860"/>
      <c r="T655" s="860"/>
      <c r="U655" s="860"/>
      <c r="V655" s="860"/>
      <c r="W655" s="860"/>
      <c r="X655" s="864"/>
      <c r="Y655" s="865"/>
      <c r="Z655" s="865"/>
      <c r="AA655" s="866"/>
      <c r="AB655" s="867"/>
      <c r="AC655" s="868"/>
      <c r="AD655" s="866"/>
      <c r="AE655" s="860"/>
      <c r="AF655" s="869"/>
      <c r="AG655" s="869"/>
      <c r="AH655" s="870"/>
      <c r="AI655" s="871"/>
      <c r="AJ655" s="870"/>
      <c r="AK655" s="870"/>
      <c r="AL655" s="860"/>
      <c r="AM655" s="860"/>
      <c r="AN655" s="860"/>
      <c r="AO655" s="860"/>
      <c r="AP655" s="860"/>
      <c r="AQ655" s="860"/>
      <c r="AR655" s="860"/>
      <c r="AS655" s="860"/>
      <c r="AT655" s="860"/>
      <c r="AU655" s="860"/>
      <c r="AV655" s="860"/>
      <c r="AW655" s="860"/>
      <c r="AX655" s="860"/>
      <c r="AY655" s="860"/>
      <c r="AZ655" s="860"/>
      <c r="BA655" s="860"/>
      <c r="BB655" s="860"/>
      <c r="BC655" s="860"/>
      <c r="BD655" s="860"/>
      <c r="BE655" s="860"/>
      <c r="BF655" s="860"/>
      <c r="BG655" s="860"/>
      <c r="BH655" s="860"/>
      <c r="BI655" s="860"/>
      <c r="BJ655" s="860"/>
      <c r="BK655" s="860"/>
      <c r="BL655" s="860"/>
      <c r="BM655" s="860"/>
      <c r="BN655" s="872"/>
      <c r="BO655" s="872"/>
      <c r="BP655" s="872"/>
      <c r="BQ655" s="872"/>
      <c r="BR655" s="872"/>
      <c r="BS655" s="872"/>
      <c r="BT655" s="860"/>
      <c r="BU655" s="860"/>
      <c r="BV655" s="860"/>
      <c r="BW655" s="860"/>
      <c r="BX655" s="872"/>
      <c r="BY655" s="872"/>
      <c r="BZ655" s="872"/>
      <c r="CA655" s="872"/>
      <c r="CB655" s="872"/>
      <c r="CC655" s="872"/>
    </row>
    <row r="656" s="860" customFormat="1" ht="13.5" spans="1:81">
      <c r="A656" s="861"/>
      <c r="B656" s="860"/>
      <c r="C656" s="860"/>
      <c r="D656" s="860"/>
      <c r="E656" s="862"/>
      <c r="F656" s="860"/>
      <c r="G656" s="860"/>
      <c r="H656" s="860"/>
      <c r="I656" s="860"/>
      <c r="J656" s="860"/>
      <c r="K656" s="860"/>
      <c r="L656" s="860"/>
      <c r="M656" s="860"/>
      <c r="N656" s="860"/>
      <c r="O656" s="860"/>
      <c r="P656" s="860"/>
      <c r="Q656" s="860"/>
      <c r="R656" s="860"/>
      <c r="S656" s="860"/>
      <c r="T656" s="860"/>
      <c r="U656" s="860"/>
      <c r="V656" s="860"/>
      <c r="W656" s="860"/>
      <c r="X656" s="864"/>
      <c r="Y656" s="865"/>
      <c r="Z656" s="865"/>
      <c r="AA656" s="866"/>
      <c r="AB656" s="867"/>
      <c r="AC656" s="868"/>
      <c r="AD656" s="866"/>
      <c r="AE656" s="860"/>
      <c r="AF656" s="869"/>
      <c r="AG656" s="869"/>
      <c r="AH656" s="870"/>
      <c r="AI656" s="871"/>
      <c r="AJ656" s="870"/>
      <c r="AK656" s="870"/>
      <c r="AL656" s="860"/>
      <c r="AM656" s="860"/>
      <c r="AN656" s="860"/>
      <c r="AO656" s="860"/>
      <c r="AP656" s="860"/>
      <c r="AQ656" s="860"/>
      <c r="AR656" s="860"/>
      <c r="AS656" s="860"/>
      <c r="AT656" s="860"/>
      <c r="AU656" s="860"/>
      <c r="AV656" s="860"/>
      <c r="AW656" s="860"/>
      <c r="AX656" s="860"/>
      <c r="AY656" s="860"/>
      <c r="AZ656" s="860"/>
      <c r="BA656" s="860"/>
      <c r="BB656" s="860"/>
      <c r="BC656" s="860"/>
      <c r="BD656" s="860"/>
      <c r="BE656" s="860"/>
      <c r="BF656" s="860"/>
      <c r="BG656" s="860"/>
      <c r="BH656" s="860"/>
      <c r="BI656" s="860"/>
      <c r="BJ656" s="860"/>
      <c r="BK656" s="860"/>
      <c r="BL656" s="860"/>
      <c r="BM656" s="860"/>
      <c r="BN656" s="872"/>
      <c r="BO656" s="872"/>
      <c r="BP656" s="872"/>
      <c r="BQ656" s="872"/>
      <c r="BR656" s="872"/>
      <c r="BS656" s="872"/>
      <c r="BT656" s="860"/>
      <c r="BU656" s="860"/>
      <c r="BV656" s="860"/>
      <c r="BW656" s="860"/>
      <c r="BX656" s="872"/>
      <c r="BY656" s="872"/>
      <c r="BZ656" s="872"/>
      <c r="CA656" s="872"/>
      <c r="CB656" s="872"/>
      <c r="CC656" s="872"/>
    </row>
    <row r="657" s="860" customFormat="1" ht="13.5" spans="1:81">
      <c r="A657" s="861"/>
      <c r="B657" s="860"/>
      <c r="C657" s="860"/>
      <c r="D657" s="860"/>
      <c r="E657" s="862"/>
      <c r="F657" s="860"/>
      <c r="G657" s="860"/>
      <c r="H657" s="860"/>
      <c r="I657" s="860"/>
      <c r="J657" s="860"/>
      <c r="K657" s="860"/>
      <c r="L657" s="860"/>
      <c r="M657" s="860"/>
      <c r="N657" s="860"/>
      <c r="O657" s="860"/>
      <c r="P657" s="860"/>
      <c r="Q657" s="860"/>
      <c r="R657" s="860"/>
      <c r="S657" s="860"/>
      <c r="T657" s="860"/>
      <c r="U657" s="860"/>
      <c r="V657" s="860"/>
      <c r="W657" s="860"/>
      <c r="X657" s="864"/>
      <c r="Y657" s="865"/>
      <c r="Z657" s="865"/>
      <c r="AA657" s="866"/>
      <c r="AB657" s="867"/>
      <c r="AC657" s="868"/>
      <c r="AD657" s="866"/>
      <c r="AE657" s="860"/>
      <c r="AF657" s="869"/>
      <c r="AG657" s="869"/>
      <c r="AH657" s="870"/>
      <c r="AI657" s="871"/>
      <c r="AJ657" s="870"/>
      <c r="AK657" s="870"/>
      <c r="AL657" s="860"/>
      <c r="AM657" s="860"/>
      <c r="AN657" s="860"/>
      <c r="AO657" s="860"/>
      <c r="AP657" s="860"/>
      <c r="AQ657" s="860"/>
      <c r="AR657" s="860"/>
      <c r="AS657" s="860"/>
      <c r="AT657" s="860"/>
      <c r="AU657" s="860"/>
      <c r="AV657" s="860"/>
      <c r="AW657" s="860"/>
      <c r="AX657" s="860"/>
      <c r="AY657" s="860"/>
      <c r="AZ657" s="860"/>
      <c r="BA657" s="860"/>
      <c r="BB657" s="860"/>
      <c r="BC657" s="860"/>
      <c r="BD657" s="860"/>
      <c r="BE657" s="860"/>
      <c r="BF657" s="860"/>
      <c r="BG657" s="860"/>
      <c r="BH657" s="860"/>
      <c r="BI657" s="860"/>
      <c r="BJ657" s="860"/>
      <c r="BK657" s="860"/>
      <c r="BL657" s="860"/>
      <c r="BM657" s="860"/>
      <c r="BN657" s="872"/>
      <c r="BO657" s="872"/>
      <c r="BP657" s="872"/>
      <c r="BQ657" s="872"/>
      <c r="BR657" s="872"/>
      <c r="BS657" s="872"/>
      <c r="BT657" s="860"/>
      <c r="BU657" s="860"/>
      <c r="BV657" s="860"/>
      <c r="BW657" s="860"/>
      <c r="BX657" s="872"/>
      <c r="BY657" s="872"/>
      <c r="BZ657" s="872"/>
      <c r="CA657" s="872"/>
      <c r="CB657" s="872"/>
      <c r="CC657" s="872"/>
    </row>
    <row r="658" s="860" customFormat="1" ht="13.5" spans="1:81">
      <c r="A658" s="861"/>
      <c r="B658" s="860"/>
      <c r="C658" s="860"/>
      <c r="D658" s="860"/>
      <c r="E658" s="862"/>
      <c r="F658" s="860"/>
      <c r="G658" s="860"/>
      <c r="H658" s="860"/>
      <c r="I658" s="860"/>
      <c r="J658" s="860"/>
      <c r="K658" s="860"/>
      <c r="L658" s="860"/>
      <c r="M658" s="860"/>
      <c r="N658" s="860"/>
      <c r="O658" s="860"/>
      <c r="P658" s="860"/>
      <c r="Q658" s="860"/>
      <c r="R658" s="860"/>
      <c r="S658" s="860"/>
      <c r="T658" s="860"/>
      <c r="U658" s="860"/>
      <c r="V658" s="860"/>
      <c r="W658" s="860"/>
      <c r="X658" s="864"/>
      <c r="Y658" s="865"/>
      <c r="Z658" s="865"/>
      <c r="AA658" s="866"/>
      <c r="AB658" s="867"/>
      <c r="AC658" s="868"/>
      <c r="AD658" s="866"/>
      <c r="AE658" s="860"/>
      <c r="AF658" s="869"/>
      <c r="AG658" s="869"/>
      <c r="AH658" s="870"/>
      <c r="AI658" s="871"/>
      <c r="AJ658" s="870"/>
      <c r="AK658" s="870"/>
      <c r="AL658" s="860"/>
      <c r="AM658" s="860"/>
      <c r="AN658" s="860"/>
      <c r="AO658" s="860"/>
      <c r="AP658" s="860"/>
      <c r="AQ658" s="860"/>
      <c r="AR658" s="860"/>
      <c r="AS658" s="860"/>
      <c r="AT658" s="860"/>
      <c r="AU658" s="860"/>
      <c r="AV658" s="860"/>
      <c r="AW658" s="860"/>
      <c r="AX658" s="860"/>
      <c r="AY658" s="860"/>
      <c r="AZ658" s="860"/>
      <c r="BA658" s="860"/>
      <c r="BB658" s="860"/>
      <c r="BC658" s="860"/>
      <c r="BD658" s="860"/>
      <c r="BE658" s="860"/>
      <c r="BF658" s="860"/>
      <c r="BG658" s="860"/>
      <c r="BH658" s="860"/>
      <c r="BI658" s="860"/>
      <c r="BJ658" s="860"/>
      <c r="BK658" s="860"/>
      <c r="BL658" s="860"/>
      <c r="BM658" s="860"/>
      <c r="BN658" s="872"/>
      <c r="BO658" s="872"/>
      <c r="BP658" s="872"/>
      <c r="BQ658" s="872"/>
      <c r="BR658" s="872"/>
      <c r="BS658" s="872"/>
      <c r="BT658" s="860"/>
      <c r="BU658" s="860"/>
      <c r="BV658" s="860"/>
      <c r="BW658" s="860"/>
      <c r="BX658" s="872"/>
      <c r="BY658" s="872"/>
      <c r="BZ658" s="872"/>
      <c r="CA658" s="872"/>
      <c r="CB658" s="872"/>
      <c r="CC658" s="872"/>
    </row>
    <row r="659" s="860" customFormat="1" ht="13.5" spans="1:81">
      <c r="A659" s="861"/>
      <c r="B659" s="860"/>
      <c r="C659" s="860"/>
      <c r="D659" s="860"/>
      <c r="E659" s="862"/>
      <c r="F659" s="860"/>
      <c r="G659" s="860"/>
      <c r="H659" s="860"/>
      <c r="I659" s="860"/>
      <c r="J659" s="860"/>
      <c r="K659" s="860"/>
      <c r="L659" s="860"/>
      <c r="M659" s="860"/>
      <c r="N659" s="860"/>
      <c r="O659" s="860"/>
      <c r="P659" s="860"/>
      <c r="Q659" s="860"/>
      <c r="R659" s="860"/>
      <c r="S659" s="860"/>
      <c r="T659" s="860"/>
      <c r="U659" s="860"/>
      <c r="V659" s="860"/>
      <c r="W659" s="860"/>
      <c r="X659" s="864"/>
      <c r="Y659" s="865"/>
      <c r="Z659" s="865"/>
      <c r="AA659" s="866"/>
      <c r="AB659" s="867"/>
      <c r="AC659" s="868"/>
      <c r="AD659" s="866"/>
      <c r="AE659" s="860"/>
      <c r="AF659" s="869"/>
      <c r="AG659" s="869"/>
      <c r="AH659" s="870"/>
      <c r="AI659" s="871"/>
      <c r="AJ659" s="870"/>
      <c r="AK659" s="870"/>
      <c r="AL659" s="860"/>
      <c r="AM659" s="860"/>
      <c r="AN659" s="860"/>
      <c r="AO659" s="860"/>
      <c r="AP659" s="860"/>
      <c r="AQ659" s="860"/>
      <c r="AR659" s="860"/>
      <c r="AS659" s="860"/>
      <c r="AT659" s="860"/>
      <c r="AU659" s="860"/>
      <c r="AV659" s="860"/>
      <c r="AW659" s="860"/>
      <c r="AX659" s="860"/>
      <c r="AY659" s="860"/>
      <c r="AZ659" s="860"/>
      <c r="BA659" s="860"/>
      <c r="BB659" s="860"/>
      <c r="BC659" s="860"/>
      <c r="BD659" s="860"/>
      <c r="BE659" s="860"/>
      <c r="BF659" s="860"/>
      <c r="BG659" s="860"/>
      <c r="BH659" s="860"/>
      <c r="BI659" s="860"/>
      <c r="BJ659" s="860"/>
      <c r="BK659" s="860"/>
      <c r="BL659" s="860"/>
      <c r="BM659" s="860"/>
      <c r="BN659" s="872"/>
      <c r="BO659" s="872"/>
      <c r="BP659" s="872"/>
      <c r="BQ659" s="872"/>
      <c r="BR659" s="872"/>
      <c r="BS659" s="872"/>
      <c r="BT659" s="860"/>
      <c r="BU659" s="860"/>
      <c r="BV659" s="860"/>
      <c r="BW659" s="860"/>
      <c r="BX659" s="872"/>
      <c r="BY659" s="872"/>
      <c r="BZ659" s="872"/>
      <c r="CA659" s="872"/>
      <c r="CB659" s="872"/>
      <c r="CC659" s="872"/>
    </row>
    <row r="660" s="860" customFormat="1" ht="13.5" spans="1:81">
      <c r="A660" s="861"/>
      <c r="B660" s="860"/>
      <c r="C660" s="860"/>
      <c r="D660" s="860"/>
      <c r="E660" s="862"/>
      <c r="F660" s="860"/>
      <c r="G660" s="860"/>
      <c r="H660" s="860"/>
      <c r="I660" s="860"/>
      <c r="J660" s="860"/>
      <c r="K660" s="860"/>
      <c r="L660" s="860"/>
      <c r="M660" s="860"/>
      <c r="N660" s="860"/>
      <c r="O660" s="860"/>
      <c r="P660" s="860"/>
      <c r="Q660" s="860"/>
      <c r="R660" s="860"/>
      <c r="S660" s="860"/>
      <c r="T660" s="860"/>
      <c r="U660" s="860"/>
      <c r="V660" s="860"/>
      <c r="W660" s="860"/>
      <c r="X660" s="864"/>
      <c r="Y660" s="865"/>
      <c r="Z660" s="865"/>
      <c r="AA660" s="866"/>
      <c r="AB660" s="867"/>
      <c r="AC660" s="868"/>
      <c r="AD660" s="866"/>
      <c r="AE660" s="860"/>
      <c r="AF660" s="869"/>
      <c r="AG660" s="869"/>
      <c r="AH660" s="870"/>
      <c r="AI660" s="871"/>
      <c r="AJ660" s="870"/>
      <c r="AK660" s="870"/>
      <c r="AL660" s="860"/>
      <c r="AM660" s="860"/>
      <c r="AN660" s="860"/>
      <c r="AO660" s="860"/>
      <c r="AP660" s="860"/>
      <c r="AQ660" s="860"/>
      <c r="AR660" s="860"/>
      <c r="AS660" s="860"/>
      <c r="AT660" s="860"/>
      <c r="AU660" s="860"/>
      <c r="AV660" s="860"/>
      <c r="AW660" s="860"/>
      <c r="AX660" s="860"/>
      <c r="AY660" s="860"/>
      <c r="AZ660" s="860"/>
      <c r="BA660" s="860"/>
      <c r="BB660" s="860"/>
      <c r="BC660" s="860"/>
      <c r="BD660" s="860"/>
      <c r="BE660" s="860"/>
      <c r="BF660" s="860"/>
      <c r="BG660" s="860"/>
      <c r="BH660" s="860"/>
      <c r="BI660" s="860"/>
      <c r="BJ660" s="860"/>
      <c r="BK660" s="860"/>
      <c r="BL660" s="860"/>
      <c r="BM660" s="860"/>
      <c r="BN660" s="872"/>
      <c r="BO660" s="872"/>
      <c r="BP660" s="872"/>
      <c r="BQ660" s="872"/>
      <c r="BR660" s="872"/>
      <c r="BS660" s="872"/>
      <c r="BT660" s="860"/>
      <c r="BU660" s="860"/>
      <c r="BV660" s="860"/>
      <c r="BW660" s="860"/>
      <c r="BX660" s="872"/>
      <c r="BY660" s="872"/>
      <c r="BZ660" s="872"/>
      <c r="CA660" s="872"/>
      <c r="CB660" s="872"/>
      <c r="CC660" s="872"/>
    </row>
    <row r="661" s="860" customFormat="1" ht="13.5" spans="1:81">
      <c r="A661" s="861"/>
      <c r="B661" s="860"/>
      <c r="C661" s="860"/>
      <c r="D661" s="860"/>
      <c r="E661" s="862"/>
      <c r="F661" s="860"/>
      <c r="G661" s="860"/>
      <c r="H661" s="860"/>
      <c r="I661" s="860"/>
      <c r="J661" s="860"/>
      <c r="K661" s="860"/>
      <c r="L661" s="860"/>
      <c r="M661" s="860"/>
      <c r="N661" s="860"/>
      <c r="O661" s="860"/>
      <c r="P661" s="860"/>
      <c r="Q661" s="860"/>
      <c r="R661" s="860"/>
      <c r="S661" s="860"/>
      <c r="T661" s="860"/>
      <c r="U661" s="860"/>
      <c r="V661" s="860"/>
      <c r="W661" s="860"/>
      <c r="X661" s="864"/>
      <c r="Y661" s="865"/>
      <c r="Z661" s="865"/>
      <c r="AA661" s="866"/>
      <c r="AB661" s="867"/>
      <c r="AC661" s="868"/>
      <c r="AD661" s="866"/>
      <c r="AE661" s="860"/>
      <c r="AF661" s="869"/>
      <c r="AG661" s="869"/>
      <c r="AH661" s="870"/>
      <c r="AI661" s="871"/>
      <c r="AJ661" s="870"/>
      <c r="AK661" s="870"/>
      <c r="AL661" s="860"/>
      <c r="AM661" s="860"/>
      <c r="AN661" s="860"/>
      <c r="AO661" s="860"/>
      <c r="AP661" s="860"/>
      <c r="AQ661" s="860"/>
      <c r="AR661" s="860"/>
      <c r="AS661" s="860"/>
      <c r="AT661" s="860"/>
      <c r="AU661" s="860"/>
      <c r="AV661" s="860"/>
      <c r="AW661" s="860"/>
      <c r="AX661" s="860"/>
      <c r="AY661" s="860"/>
      <c r="AZ661" s="860"/>
      <c r="BA661" s="860"/>
      <c r="BB661" s="860"/>
      <c r="BC661" s="860"/>
      <c r="BD661" s="860"/>
      <c r="BE661" s="860"/>
      <c r="BF661" s="860"/>
      <c r="BG661" s="860"/>
      <c r="BH661" s="860"/>
      <c r="BI661" s="860"/>
      <c r="BJ661" s="860"/>
      <c r="BK661" s="860"/>
      <c r="BL661" s="860"/>
      <c r="BM661" s="860"/>
      <c r="BN661" s="872"/>
      <c r="BO661" s="872"/>
      <c r="BP661" s="872"/>
      <c r="BQ661" s="872"/>
      <c r="BR661" s="872"/>
      <c r="BS661" s="872"/>
      <c r="BT661" s="860"/>
      <c r="BU661" s="860"/>
      <c r="BV661" s="860"/>
      <c r="BW661" s="860"/>
      <c r="BX661" s="872"/>
      <c r="BY661" s="872"/>
      <c r="BZ661" s="872"/>
      <c r="CA661" s="872"/>
      <c r="CB661" s="872"/>
      <c r="CC661" s="872"/>
    </row>
    <row r="662" s="860" customFormat="1" ht="13.5" spans="1:81">
      <c r="A662" s="861"/>
      <c r="B662" s="860"/>
      <c r="C662" s="860"/>
      <c r="D662" s="860"/>
      <c r="E662" s="862"/>
      <c r="F662" s="860"/>
      <c r="G662" s="860"/>
      <c r="H662" s="860"/>
      <c r="I662" s="860"/>
      <c r="J662" s="860"/>
      <c r="K662" s="860"/>
      <c r="L662" s="860"/>
      <c r="M662" s="860"/>
      <c r="N662" s="860"/>
      <c r="O662" s="860"/>
      <c r="P662" s="860"/>
      <c r="Q662" s="860"/>
      <c r="R662" s="860"/>
      <c r="S662" s="860"/>
      <c r="T662" s="860"/>
      <c r="U662" s="860"/>
      <c r="V662" s="860"/>
      <c r="W662" s="860"/>
      <c r="X662" s="864"/>
      <c r="Y662" s="865"/>
      <c r="Z662" s="865"/>
      <c r="AA662" s="866"/>
      <c r="AB662" s="867"/>
      <c r="AC662" s="868"/>
      <c r="AD662" s="866"/>
      <c r="AE662" s="860"/>
      <c r="AF662" s="869"/>
      <c r="AG662" s="869"/>
      <c r="AH662" s="870"/>
      <c r="AI662" s="871"/>
      <c r="AJ662" s="870"/>
      <c r="AK662" s="870"/>
      <c r="AL662" s="860"/>
      <c r="AM662" s="860"/>
      <c r="AN662" s="860"/>
      <c r="AO662" s="860"/>
      <c r="AP662" s="860"/>
      <c r="AQ662" s="860"/>
      <c r="AR662" s="860"/>
      <c r="AS662" s="860"/>
      <c r="AT662" s="860"/>
      <c r="AU662" s="860"/>
      <c r="AV662" s="860"/>
      <c r="AW662" s="860"/>
      <c r="AX662" s="860"/>
      <c r="AY662" s="860"/>
      <c r="AZ662" s="860"/>
      <c r="BA662" s="860"/>
      <c r="BB662" s="860"/>
      <c r="BC662" s="860"/>
      <c r="BD662" s="860"/>
      <c r="BE662" s="860"/>
      <c r="BF662" s="860"/>
      <c r="BG662" s="860"/>
      <c r="BH662" s="860"/>
      <c r="BI662" s="860"/>
      <c r="BJ662" s="860"/>
      <c r="BK662" s="860"/>
      <c r="BL662" s="860"/>
      <c r="BM662" s="860"/>
      <c r="BN662" s="872"/>
      <c r="BO662" s="872"/>
      <c r="BP662" s="872"/>
      <c r="BQ662" s="872"/>
      <c r="BR662" s="872"/>
      <c r="BS662" s="872"/>
      <c r="BT662" s="860"/>
      <c r="BU662" s="860"/>
      <c r="BV662" s="860"/>
      <c r="BW662" s="860"/>
      <c r="BX662" s="872"/>
      <c r="BY662" s="872"/>
      <c r="BZ662" s="872"/>
      <c r="CA662" s="872"/>
      <c r="CB662" s="872"/>
      <c r="CC662" s="872"/>
    </row>
    <row r="663" s="860" customFormat="1" ht="13.5" spans="1:81">
      <c r="A663" s="861"/>
      <c r="B663" s="860"/>
      <c r="C663" s="860"/>
      <c r="D663" s="860"/>
      <c r="E663" s="862"/>
      <c r="F663" s="860"/>
      <c r="G663" s="860"/>
      <c r="H663" s="860"/>
      <c r="I663" s="860"/>
      <c r="J663" s="860"/>
      <c r="K663" s="860"/>
      <c r="L663" s="860"/>
      <c r="M663" s="860"/>
      <c r="N663" s="860"/>
      <c r="O663" s="860"/>
      <c r="P663" s="860"/>
      <c r="Q663" s="860"/>
      <c r="R663" s="860"/>
      <c r="S663" s="860"/>
      <c r="T663" s="860"/>
      <c r="U663" s="860"/>
      <c r="V663" s="860"/>
      <c r="W663" s="860"/>
      <c r="X663" s="864"/>
      <c r="Y663" s="865"/>
      <c r="Z663" s="865"/>
      <c r="AA663" s="866"/>
      <c r="AB663" s="867"/>
      <c r="AC663" s="868"/>
      <c r="AD663" s="866"/>
      <c r="AE663" s="860"/>
      <c r="AF663" s="869"/>
      <c r="AG663" s="869"/>
      <c r="AH663" s="870"/>
      <c r="AI663" s="871"/>
      <c r="AJ663" s="870"/>
      <c r="AK663" s="870"/>
      <c r="AL663" s="860"/>
      <c r="AM663" s="860"/>
      <c r="AN663" s="860"/>
      <c r="AO663" s="860"/>
      <c r="AP663" s="860"/>
      <c r="AQ663" s="860"/>
      <c r="AR663" s="860"/>
      <c r="AS663" s="860"/>
      <c r="AT663" s="860"/>
      <c r="AU663" s="860"/>
      <c r="AV663" s="860"/>
      <c r="AW663" s="860"/>
      <c r="AX663" s="860"/>
      <c r="AY663" s="860"/>
      <c r="AZ663" s="860"/>
      <c r="BA663" s="860"/>
      <c r="BB663" s="860"/>
      <c r="BC663" s="860"/>
      <c r="BD663" s="860"/>
      <c r="BE663" s="860"/>
      <c r="BF663" s="860"/>
      <c r="BG663" s="860"/>
      <c r="BH663" s="860"/>
      <c r="BI663" s="860"/>
      <c r="BJ663" s="860"/>
      <c r="BK663" s="860"/>
      <c r="BL663" s="860"/>
      <c r="BM663" s="860"/>
      <c r="BN663" s="872"/>
      <c r="BO663" s="872"/>
      <c r="BP663" s="872"/>
      <c r="BQ663" s="872"/>
      <c r="BR663" s="872"/>
      <c r="BS663" s="872"/>
      <c r="BT663" s="860"/>
      <c r="BU663" s="860"/>
      <c r="BV663" s="860"/>
      <c r="BW663" s="860"/>
      <c r="BX663" s="872"/>
      <c r="BY663" s="872"/>
      <c r="BZ663" s="872"/>
      <c r="CA663" s="872"/>
      <c r="CB663" s="872"/>
      <c r="CC663" s="872"/>
    </row>
    <row r="664" s="860" customFormat="1" ht="13.5" spans="1:81">
      <c r="A664" s="861"/>
      <c r="B664" s="860"/>
      <c r="C664" s="860"/>
      <c r="D664" s="860"/>
      <c r="E664" s="862"/>
      <c r="F664" s="860"/>
      <c r="G664" s="860"/>
      <c r="H664" s="860"/>
      <c r="I664" s="860"/>
      <c r="J664" s="860"/>
      <c r="K664" s="860"/>
      <c r="L664" s="860"/>
      <c r="M664" s="860"/>
      <c r="N664" s="860"/>
      <c r="O664" s="860"/>
      <c r="P664" s="860"/>
      <c r="Q664" s="860"/>
      <c r="R664" s="860"/>
      <c r="S664" s="860"/>
      <c r="T664" s="860"/>
      <c r="U664" s="860"/>
      <c r="V664" s="860"/>
      <c r="W664" s="860"/>
      <c r="X664" s="864"/>
      <c r="Y664" s="865"/>
      <c r="Z664" s="865"/>
      <c r="AA664" s="866"/>
      <c r="AB664" s="867"/>
      <c r="AC664" s="868"/>
      <c r="AD664" s="866"/>
      <c r="AE664" s="860"/>
      <c r="AF664" s="869"/>
      <c r="AG664" s="869"/>
      <c r="AH664" s="870"/>
      <c r="AI664" s="871"/>
      <c r="AJ664" s="870"/>
      <c r="AK664" s="870"/>
      <c r="AL664" s="860"/>
      <c r="AM664" s="860"/>
      <c r="AN664" s="860"/>
      <c r="AO664" s="860"/>
      <c r="AP664" s="860"/>
      <c r="AQ664" s="860"/>
      <c r="AR664" s="860"/>
      <c r="AS664" s="860"/>
      <c r="AT664" s="860"/>
      <c r="AU664" s="860"/>
      <c r="AV664" s="860"/>
      <c r="AW664" s="860"/>
      <c r="AX664" s="860"/>
      <c r="AY664" s="860"/>
      <c r="AZ664" s="860"/>
      <c r="BA664" s="860"/>
      <c r="BB664" s="860"/>
      <c r="BC664" s="860"/>
      <c r="BD664" s="860"/>
      <c r="BE664" s="860"/>
      <c r="BF664" s="860"/>
      <c r="BG664" s="860"/>
      <c r="BH664" s="860"/>
      <c r="BI664" s="860"/>
      <c r="BJ664" s="860"/>
      <c r="BK664" s="860"/>
      <c r="BL664" s="860"/>
      <c r="BM664" s="860"/>
      <c r="BN664" s="872"/>
      <c r="BO664" s="872"/>
      <c r="BP664" s="872"/>
      <c r="BQ664" s="872"/>
      <c r="BR664" s="872"/>
      <c r="BS664" s="872"/>
      <c r="BT664" s="860"/>
      <c r="BU664" s="860"/>
      <c r="BV664" s="860"/>
      <c r="BW664" s="860"/>
      <c r="BX664" s="872"/>
      <c r="BY664" s="872"/>
      <c r="BZ664" s="872"/>
      <c r="CA664" s="872"/>
      <c r="CB664" s="872"/>
      <c r="CC664" s="872"/>
    </row>
    <row r="665" s="860" customFormat="1" ht="13.5" spans="1:81">
      <c r="A665" s="861"/>
      <c r="B665" s="860"/>
      <c r="C665" s="860"/>
      <c r="D665" s="860"/>
      <c r="E665" s="862"/>
      <c r="F665" s="860"/>
      <c r="G665" s="860"/>
      <c r="H665" s="860"/>
      <c r="I665" s="860"/>
      <c r="J665" s="860"/>
      <c r="K665" s="860"/>
      <c r="L665" s="860"/>
      <c r="M665" s="860"/>
      <c r="N665" s="860"/>
      <c r="O665" s="860"/>
      <c r="P665" s="860"/>
      <c r="Q665" s="860"/>
      <c r="R665" s="860"/>
      <c r="S665" s="860"/>
      <c r="T665" s="860"/>
      <c r="U665" s="860"/>
      <c r="V665" s="860"/>
      <c r="W665" s="860"/>
      <c r="X665" s="864"/>
      <c r="Y665" s="865"/>
      <c r="Z665" s="865"/>
      <c r="AA665" s="866"/>
      <c r="AB665" s="867"/>
      <c r="AC665" s="868"/>
      <c r="AD665" s="866"/>
      <c r="AE665" s="860"/>
      <c r="AF665" s="869"/>
      <c r="AG665" s="869"/>
      <c r="AH665" s="870"/>
      <c r="AI665" s="871"/>
      <c r="AJ665" s="870"/>
      <c r="AK665" s="870"/>
      <c r="AL665" s="860"/>
      <c r="AM665" s="860"/>
      <c r="AN665" s="860"/>
      <c r="AO665" s="860"/>
      <c r="AP665" s="860"/>
      <c r="AQ665" s="860"/>
      <c r="AR665" s="860"/>
      <c r="AS665" s="860"/>
      <c r="AT665" s="860"/>
      <c r="AU665" s="860"/>
      <c r="AV665" s="860"/>
      <c r="AW665" s="860"/>
      <c r="AX665" s="860"/>
      <c r="AY665" s="860"/>
      <c r="AZ665" s="860"/>
      <c r="BA665" s="860"/>
      <c r="BB665" s="860"/>
      <c r="BC665" s="860"/>
      <c r="BD665" s="860"/>
      <c r="BE665" s="860"/>
      <c r="BF665" s="860"/>
      <c r="BG665" s="860"/>
      <c r="BH665" s="860"/>
      <c r="BI665" s="860"/>
      <c r="BJ665" s="860"/>
      <c r="BK665" s="860"/>
      <c r="BL665" s="860"/>
      <c r="BM665" s="860"/>
      <c r="BN665" s="872"/>
      <c r="BO665" s="872"/>
      <c r="BP665" s="872"/>
      <c r="BQ665" s="872"/>
      <c r="BR665" s="872"/>
      <c r="BS665" s="872"/>
      <c r="BT665" s="860"/>
      <c r="BU665" s="860"/>
      <c r="BV665" s="860"/>
      <c r="BW665" s="860"/>
      <c r="BX665" s="872"/>
      <c r="BY665" s="872"/>
      <c r="BZ665" s="872"/>
      <c r="CA665" s="872"/>
      <c r="CB665" s="872"/>
      <c r="CC665" s="872"/>
    </row>
    <row r="666" s="860" customFormat="1" ht="13.5" spans="1:81">
      <c r="A666" s="861"/>
      <c r="B666" s="860"/>
      <c r="C666" s="860"/>
      <c r="D666" s="860"/>
      <c r="E666" s="862"/>
      <c r="F666" s="860"/>
      <c r="G666" s="860"/>
      <c r="H666" s="860"/>
      <c r="I666" s="860"/>
      <c r="J666" s="860"/>
      <c r="K666" s="860"/>
      <c r="L666" s="860"/>
      <c r="M666" s="860"/>
      <c r="N666" s="860"/>
      <c r="O666" s="860"/>
      <c r="P666" s="860"/>
      <c r="Q666" s="860"/>
      <c r="R666" s="860"/>
      <c r="S666" s="860"/>
      <c r="T666" s="860"/>
      <c r="U666" s="860"/>
      <c r="V666" s="860"/>
      <c r="W666" s="860"/>
      <c r="X666" s="864"/>
      <c r="Y666" s="865"/>
      <c r="Z666" s="865"/>
      <c r="AA666" s="866"/>
      <c r="AB666" s="867"/>
      <c r="AC666" s="868"/>
      <c r="AD666" s="866"/>
      <c r="AE666" s="860"/>
      <c r="AF666" s="869"/>
      <c r="AG666" s="869"/>
      <c r="AH666" s="870"/>
      <c r="AI666" s="871"/>
      <c r="AJ666" s="870"/>
      <c r="AK666" s="870"/>
      <c r="AL666" s="860"/>
      <c r="AM666" s="860"/>
      <c r="AN666" s="860"/>
      <c r="AO666" s="860"/>
      <c r="AP666" s="860"/>
      <c r="AQ666" s="860"/>
      <c r="AR666" s="860"/>
      <c r="AS666" s="860"/>
      <c r="AT666" s="860"/>
      <c r="AU666" s="860"/>
      <c r="AV666" s="860"/>
      <c r="AW666" s="860"/>
      <c r="AX666" s="860"/>
      <c r="AY666" s="860"/>
      <c r="AZ666" s="860"/>
      <c r="BA666" s="860"/>
      <c r="BB666" s="860"/>
      <c r="BC666" s="860"/>
      <c r="BD666" s="860"/>
      <c r="BE666" s="860"/>
      <c r="BF666" s="860"/>
      <c r="BG666" s="860"/>
      <c r="BH666" s="860"/>
      <c r="BI666" s="860"/>
      <c r="BJ666" s="860"/>
      <c r="BK666" s="860"/>
      <c r="BL666" s="860"/>
      <c r="BM666" s="860"/>
      <c r="BN666" s="872"/>
      <c r="BO666" s="872"/>
      <c r="BP666" s="872"/>
      <c r="BQ666" s="872"/>
      <c r="BR666" s="872"/>
      <c r="BS666" s="872"/>
      <c r="BT666" s="860"/>
      <c r="BU666" s="860"/>
      <c r="BV666" s="860"/>
      <c r="BW666" s="860"/>
      <c r="BX666" s="872"/>
      <c r="BY666" s="872"/>
      <c r="BZ666" s="872"/>
      <c r="CA666" s="872"/>
      <c r="CB666" s="872"/>
      <c r="CC666" s="872"/>
    </row>
    <row r="667" s="860" customFormat="1" ht="13.5" spans="1:81">
      <c r="A667" s="861"/>
      <c r="B667" s="860"/>
      <c r="C667" s="860"/>
      <c r="D667" s="860"/>
      <c r="E667" s="862"/>
      <c r="F667" s="860"/>
      <c r="G667" s="860"/>
      <c r="H667" s="860"/>
      <c r="I667" s="860"/>
      <c r="J667" s="860"/>
      <c r="K667" s="860"/>
      <c r="L667" s="860"/>
      <c r="M667" s="860"/>
      <c r="N667" s="860"/>
      <c r="O667" s="860"/>
      <c r="P667" s="860"/>
      <c r="Q667" s="860"/>
      <c r="R667" s="860"/>
      <c r="S667" s="860"/>
      <c r="T667" s="860"/>
      <c r="U667" s="860"/>
      <c r="V667" s="860"/>
      <c r="W667" s="860"/>
      <c r="X667" s="864"/>
      <c r="Y667" s="865"/>
      <c r="Z667" s="865"/>
      <c r="AA667" s="866"/>
      <c r="AB667" s="867"/>
      <c r="AC667" s="868"/>
      <c r="AD667" s="866"/>
      <c r="AE667" s="860"/>
      <c r="AF667" s="869"/>
      <c r="AG667" s="869"/>
      <c r="AH667" s="870"/>
      <c r="AI667" s="871"/>
      <c r="AJ667" s="870"/>
      <c r="AK667" s="870"/>
      <c r="AL667" s="860"/>
      <c r="AM667" s="860"/>
      <c r="AN667" s="860"/>
      <c r="AO667" s="860"/>
      <c r="AP667" s="860"/>
      <c r="AQ667" s="860"/>
      <c r="AR667" s="860"/>
      <c r="AS667" s="860"/>
      <c r="AT667" s="860"/>
      <c r="AU667" s="860"/>
      <c r="AV667" s="860"/>
      <c r="AW667" s="860"/>
      <c r="AX667" s="860"/>
      <c r="AY667" s="860"/>
      <c r="AZ667" s="860"/>
      <c r="BA667" s="860"/>
      <c r="BB667" s="860"/>
      <c r="BC667" s="860"/>
      <c r="BD667" s="860"/>
      <c r="BE667" s="860"/>
      <c r="BF667" s="860"/>
      <c r="BG667" s="860"/>
      <c r="BH667" s="860"/>
      <c r="BI667" s="860"/>
      <c r="BJ667" s="860"/>
      <c r="BK667" s="860"/>
      <c r="BL667" s="860"/>
      <c r="BM667" s="860"/>
      <c r="BN667" s="872"/>
      <c r="BO667" s="872"/>
      <c r="BP667" s="872"/>
      <c r="BQ667" s="872"/>
      <c r="BR667" s="872"/>
      <c r="BS667" s="872"/>
      <c r="BT667" s="860"/>
      <c r="BU667" s="860"/>
      <c r="BV667" s="860"/>
      <c r="BW667" s="860"/>
      <c r="BX667" s="872"/>
      <c r="BY667" s="872"/>
      <c r="BZ667" s="872"/>
      <c r="CA667" s="872"/>
      <c r="CB667" s="872"/>
      <c r="CC667" s="872"/>
    </row>
    <row r="668" s="860" customFormat="1" ht="13.5" spans="1:81">
      <c r="A668" s="861"/>
      <c r="B668" s="860"/>
      <c r="C668" s="860"/>
      <c r="D668" s="860"/>
      <c r="E668" s="862"/>
      <c r="F668" s="860"/>
      <c r="G668" s="860"/>
      <c r="H668" s="860"/>
      <c r="I668" s="860"/>
      <c r="J668" s="860"/>
      <c r="K668" s="860"/>
      <c r="L668" s="860"/>
      <c r="M668" s="860"/>
      <c r="N668" s="860"/>
      <c r="O668" s="860"/>
      <c r="P668" s="860"/>
      <c r="Q668" s="860"/>
      <c r="R668" s="860"/>
      <c r="S668" s="860"/>
      <c r="T668" s="860"/>
      <c r="U668" s="860"/>
      <c r="V668" s="860"/>
      <c r="W668" s="860"/>
      <c r="X668" s="864"/>
      <c r="Y668" s="865"/>
      <c r="Z668" s="865"/>
      <c r="AA668" s="866"/>
      <c r="AB668" s="867"/>
      <c r="AC668" s="868"/>
      <c r="AD668" s="866"/>
      <c r="AE668" s="860"/>
      <c r="AF668" s="869"/>
      <c r="AG668" s="869"/>
      <c r="AH668" s="870"/>
      <c r="AI668" s="871"/>
      <c r="AJ668" s="870"/>
      <c r="AK668" s="870"/>
      <c r="AL668" s="860"/>
      <c r="AM668" s="860"/>
      <c r="AN668" s="860"/>
      <c r="AO668" s="860"/>
      <c r="AP668" s="860"/>
      <c r="AQ668" s="860"/>
      <c r="AR668" s="860"/>
      <c r="AS668" s="860"/>
      <c r="AT668" s="860"/>
      <c r="AU668" s="860"/>
      <c r="AV668" s="860"/>
      <c r="AW668" s="860"/>
      <c r="AX668" s="860"/>
      <c r="AY668" s="860"/>
      <c r="AZ668" s="860"/>
      <c r="BA668" s="860"/>
      <c r="BB668" s="860"/>
      <c r="BC668" s="860"/>
      <c r="BD668" s="860"/>
      <c r="BE668" s="860"/>
      <c r="BF668" s="860"/>
      <c r="BG668" s="860"/>
      <c r="BH668" s="860"/>
      <c r="BI668" s="860"/>
      <c r="BJ668" s="860"/>
      <c r="BK668" s="860"/>
      <c r="BL668" s="860"/>
      <c r="BM668" s="860"/>
      <c r="BN668" s="872"/>
      <c r="BO668" s="872"/>
      <c r="BP668" s="872"/>
      <c r="BQ668" s="872"/>
      <c r="BR668" s="872"/>
      <c r="BS668" s="872"/>
      <c r="BT668" s="860"/>
      <c r="BU668" s="860"/>
      <c r="BV668" s="860"/>
      <c r="BW668" s="860"/>
      <c r="BX668" s="872"/>
      <c r="BY668" s="872"/>
      <c r="BZ668" s="872"/>
      <c r="CA668" s="872"/>
      <c r="CB668" s="872"/>
      <c r="CC668" s="872"/>
    </row>
    <row r="669" s="860" customFormat="1" ht="13.5" spans="1:81">
      <c r="A669" s="861"/>
      <c r="B669" s="860"/>
      <c r="C669" s="860"/>
      <c r="D669" s="860"/>
      <c r="E669" s="862"/>
      <c r="F669" s="860"/>
      <c r="G669" s="860"/>
      <c r="H669" s="860"/>
      <c r="I669" s="860"/>
      <c r="J669" s="860"/>
      <c r="K669" s="860"/>
      <c r="L669" s="860"/>
      <c r="M669" s="860"/>
      <c r="N669" s="860"/>
      <c r="O669" s="860"/>
      <c r="P669" s="860"/>
      <c r="Q669" s="860"/>
      <c r="R669" s="860"/>
      <c r="S669" s="860"/>
      <c r="T669" s="860"/>
      <c r="U669" s="860"/>
      <c r="V669" s="860"/>
      <c r="W669" s="860"/>
      <c r="X669" s="864"/>
      <c r="Y669" s="865"/>
      <c r="Z669" s="865"/>
      <c r="AA669" s="866"/>
      <c r="AB669" s="867"/>
      <c r="AC669" s="868"/>
      <c r="AD669" s="866"/>
      <c r="AE669" s="860"/>
      <c r="AF669" s="869"/>
      <c r="AG669" s="869"/>
      <c r="AH669" s="870"/>
      <c r="AI669" s="871"/>
      <c r="AJ669" s="870"/>
      <c r="AK669" s="870"/>
      <c r="AL669" s="860"/>
      <c r="AM669" s="860"/>
      <c r="AN669" s="860"/>
      <c r="AO669" s="860"/>
      <c r="AP669" s="860"/>
      <c r="AQ669" s="860"/>
      <c r="AR669" s="860"/>
      <c r="AS669" s="860"/>
      <c r="AT669" s="860"/>
      <c r="AU669" s="860"/>
      <c r="AV669" s="860"/>
      <c r="AW669" s="860"/>
      <c r="AX669" s="860"/>
      <c r="AY669" s="860"/>
      <c r="AZ669" s="860"/>
      <c r="BA669" s="860"/>
      <c r="BB669" s="860"/>
      <c r="BC669" s="860"/>
      <c r="BD669" s="860"/>
      <c r="BE669" s="860"/>
      <c r="BF669" s="860"/>
      <c r="BG669" s="860"/>
      <c r="BH669" s="860"/>
      <c r="BI669" s="860"/>
      <c r="BJ669" s="860"/>
      <c r="BK669" s="860"/>
      <c r="BL669" s="860"/>
      <c r="BM669" s="860"/>
      <c r="BN669" s="872"/>
      <c r="BO669" s="872"/>
      <c r="BP669" s="872"/>
      <c r="BQ669" s="872"/>
      <c r="BR669" s="872"/>
      <c r="BS669" s="872"/>
      <c r="BT669" s="860"/>
      <c r="BU669" s="860"/>
      <c r="BV669" s="860"/>
      <c r="BW669" s="860"/>
      <c r="BX669" s="872"/>
      <c r="BY669" s="872"/>
      <c r="BZ669" s="872"/>
      <c r="CA669" s="872"/>
      <c r="CB669" s="872"/>
      <c r="CC669" s="872"/>
    </row>
    <row r="670" s="860" customFormat="1" ht="13.5" spans="1:81">
      <c r="A670" s="861"/>
      <c r="B670" s="860"/>
      <c r="C670" s="860"/>
      <c r="D670" s="860"/>
      <c r="E670" s="862"/>
      <c r="F670" s="860"/>
      <c r="G670" s="860"/>
      <c r="H670" s="860"/>
      <c r="I670" s="860"/>
      <c r="J670" s="860"/>
      <c r="K670" s="860"/>
      <c r="L670" s="860"/>
      <c r="M670" s="860"/>
      <c r="N670" s="860"/>
      <c r="O670" s="860"/>
      <c r="P670" s="860"/>
      <c r="Q670" s="860"/>
      <c r="R670" s="860"/>
      <c r="S670" s="860"/>
      <c r="T670" s="860"/>
      <c r="U670" s="860"/>
      <c r="V670" s="860"/>
      <c r="W670" s="860"/>
      <c r="X670" s="864"/>
      <c r="Y670" s="865"/>
      <c r="Z670" s="865"/>
      <c r="AA670" s="866"/>
      <c r="AB670" s="867"/>
      <c r="AC670" s="868"/>
      <c r="AD670" s="866"/>
      <c r="AE670" s="860"/>
      <c r="AF670" s="869"/>
      <c r="AG670" s="869"/>
      <c r="AH670" s="870"/>
      <c r="AI670" s="871"/>
      <c r="AJ670" s="870"/>
      <c r="AK670" s="870"/>
      <c r="AL670" s="860"/>
      <c r="AM670" s="860"/>
      <c r="AN670" s="860"/>
      <c r="AO670" s="860"/>
      <c r="AP670" s="860"/>
      <c r="AQ670" s="860"/>
      <c r="AR670" s="860"/>
      <c r="AS670" s="860"/>
      <c r="AT670" s="860"/>
      <c r="AU670" s="860"/>
      <c r="AV670" s="860"/>
      <c r="AW670" s="860"/>
      <c r="AX670" s="860"/>
      <c r="AY670" s="860"/>
      <c r="AZ670" s="860"/>
      <c r="BA670" s="860"/>
      <c r="BB670" s="860"/>
      <c r="BC670" s="860"/>
      <c r="BD670" s="860"/>
      <c r="BE670" s="860"/>
      <c r="BF670" s="860"/>
      <c r="BG670" s="860"/>
      <c r="BH670" s="860"/>
      <c r="BI670" s="860"/>
      <c r="BJ670" s="860"/>
      <c r="BK670" s="860"/>
      <c r="BL670" s="860"/>
      <c r="BM670" s="860"/>
      <c r="BN670" s="872"/>
      <c r="BO670" s="872"/>
      <c r="BP670" s="872"/>
      <c r="BQ670" s="872"/>
      <c r="BR670" s="872"/>
      <c r="BS670" s="872"/>
      <c r="BT670" s="860"/>
      <c r="BU670" s="860"/>
      <c r="BV670" s="860"/>
      <c r="BW670" s="860"/>
      <c r="BX670" s="872"/>
      <c r="BY670" s="872"/>
      <c r="BZ670" s="872"/>
      <c r="CA670" s="872"/>
      <c r="CB670" s="872"/>
      <c r="CC670" s="872"/>
    </row>
    <row r="671" s="860" customFormat="1" ht="13.5" spans="1:81">
      <c r="A671" s="861"/>
      <c r="B671" s="860"/>
      <c r="C671" s="860"/>
      <c r="D671" s="860"/>
      <c r="E671" s="862"/>
      <c r="F671" s="860"/>
      <c r="G671" s="860"/>
      <c r="H671" s="860"/>
      <c r="I671" s="860"/>
      <c r="J671" s="860"/>
      <c r="K671" s="860"/>
      <c r="L671" s="860"/>
      <c r="M671" s="860"/>
      <c r="N671" s="860"/>
      <c r="O671" s="860"/>
      <c r="P671" s="860"/>
      <c r="Q671" s="860"/>
      <c r="R671" s="860"/>
      <c r="S671" s="860"/>
      <c r="T671" s="860"/>
      <c r="U671" s="860"/>
      <c r="V671" s="860"/>
      <c r="W671" s="860"/>
      <c r="X671" s="864"/>
      <c r="Y671" s="865"/>
      <c r="Z671" s="865"/>
      <c r="AA671" s="866"/>
      <c r="AB671" s="867"/>
      <c r="AC671" s="868"/>
      <c r="AD671" s="866"/>
      <c r="AE671" s="860"/>
      <c r="AF671" s="869"/>
      <c r="AG671" s="869"/>
      <c r="AH671" s="870"/>
      <c r="AI671" s="871"/>
      <c r="AJ671" s="870"/>
      <c r="AK671" s="870"/>
      <c r="AL671" s="860"/>
      <c r="AM671" s="860"/>
      <c r="AN671" s="860"/>
      <c r="AO671" s="860"/>
      <c r="AP671" s="860"/>
      <c r="AQ671" s="860"/>
      <c r="AR671" s="860"/>
      <c r="AS671" s="860"/>
      <c r="AT671" s="860"/>
      <c r="AU671" s="860"/>
      <c r="AV671" s="860"/>
      <c r="AW671" s="860"/>
      <c r="AX671" s="860"/>
      <c r="AY671" s="860"/>
      <c r="AZ671" s="860"/>
      <c r="BA671" s="860"/>
      <c r="BB671" s="860"/>
      <c r="BC671" s="860"/>
      <c r="BD671" s="860"/>
      <c r="BE671" s="860"/>
      <c r="BF671" s="860"/>
      <c r="BG671" s="860"/>
      <c r="BH671" s="860"/>
      <c r="BI671" s="860"/>
      <c r="BJ671" s="860"/>
      <c r="BK671" s="860"/>
      <c r="BL671" s="860"/>
      <c r="BM671" s="860"/>
      <c r="BN671" s="872"/>
      <c r="BO671" s="872"/>
      <c r="BP671" s="872"/>
      <c r="BQ671" s="872"/>
      <c r="BR671" s="872"/>
      <c r="BS671" s="872"/>
      <c r="BT671" s="860"/>
      <c r="BU671" s="860"/>
      <c r="BV671" s="860"/>
      <c r="BW671" s="860"/>
      <c r="BX671" s="872"/>
      <c r="BY671" s="872"/>
      <c r="BZ671" s="872"/>
      <c r="CA671" s="872"/>
      <c r="CB671" s="872"/>
      <c r="CC671" s="872"/>
    </row>
    <row r="672" s="860" customFormat="1" ht="13.5" spans="1:81">
      <c r="A672" s="861"/>
      <c r="B672" s="860"/>
      <c r="C672" s="860"/>
      <c r="D672" s="860"/>
      <c r="E672" s="862"/>
      <c r="F672" s="860"/>
      <c r="G672" s="860"/>
      <c r="H672" s="860"/>
      <c r="I672" s="860"/>
      <c r="J672" s="860"/>
      <c r="K672" s="860"/>
      <c r="L672" s="860"/>
      <c r="M672" s="860"/>
      <c r="N672" s="860"/>
      <c r="O672" s="860"/>
      <c r="P672" s="860"/>
      <c r="Q672" s="860"/>
      <c r="R672" s="860"/>
      <c r="S672" s="860"/>
      <c r="T672" s="860"/>
      <c r="U672" s="860"/>
      <c r="V672" s="860"/>
      <c r="W672" s="860"/>
      <c r="X672" s="864"/>
      <c r="Y672" s="865"/>
      <c r="Z672" s="865"/>
      <c r="AA672" s="866"/>
      <c r="AB672" s="867"/>
      <c r="AC672" s="868"/>
      <c r="AD672" s="866"/>
      <c r="AE672" s="860"/>
      <c r="AF672" s="869"/>
      <c r="AG672" s="869"/>
      <c r="AH672" s="870"/>
      <c r="AI672" s="871"/>
      <c r="AJ672" s="870"/>
      <c r="AK672" s="870"/>
      <c r="AL672" s="860"/>
      <c r="AM672" s="860"/>
      <c r="AN672" s="860"/>
      <c r="AO672" s="860"/>
      <c r="AP672" s="860"/>
      <c r="AQ672" s="860"/>
      <c r="AR672" s="860"/>
      <c r="AS672" s="860"/>
      <c r="AT672" s="860"/>
      <c r="AU672" s="860"/>
      <c r="AV672" s="860"/>
      <c r="AW672" s="860"/>
      <c r="AX672" s="860"/>
      <c r="AY672" s="860"/>
      <c r="AZ672" s="860"/>
      <c r="BA672" s="860"/>
      <c r="BB672" s="860"/>
      <c r="BC672" s="860"/>
      <c r="BD672" s="860"/>
      <c r="BE672" s="860"/>
      <c r="BF672" s="860"/>
      <c r="BG672" s="860"/>
      <c r="BH672" s="860"/>
      <c r="BI672" s="860"/>
      <c r="BJ672" s="860"/>
      <c r="BK672" s="860"/>
      <c r="BL672" s="860"/>
      <c r="BM672" s="860"/>
      <c r="BN672" s="872"/>
      <c r="BO672" s="872"/>
      <c r="BP672" s="872"/>
      <c r="BQ672" s="872"/>
      <c r="BR672" s="872"/>
      <c r="BS672" s="872"/>
      <c r="BT672" s="860"/>
      <c r="BU672" s="860"/>
      <c r="BV672" s="860"/>
      <c r="BW672" s="860"/>
      <c r="BX672" s="872"/>
      <c r="BY672" s="872"/>
      <c r="BZ672" s="872"/>
      <c r="CA672" s="872"/>
      <c r="CB672" s="872"/>
      <c r="CC672" s="872"/>
    </row>
    <row r="673" s="860" customFormat="1" ht="13.5" spans="1:81">
      <c r="A673" s="861"/>
      <c r="B673" s="860"/>
      <c r="C673" s="860"/>
      <c r="D673" s="860"/>
      <c r="E673" s="862"/>
      <c r="F673" s="860"/>
      <c r="G673" s="860"/>
      <c r="H673" s="860"/>
      <c r="I673" s="860"/>
      <c r="J673" s="860"/>
      <c r="K673" s="860"/>
      <c r="L673" s="860"/>
      <c r="M673" s="860"/>
      <c r="N673" s="860"/>
      <c r="O673" s="860"/>
      <c r="P673" s="860"/>
      <c r="Q673" s="860"/>
      <c r="R673" s="860"/>
      <c r="S673" s="860"/>
      <c r="T673" s="860"/>
      <c r="U673" s="860"/>
      <c r="V673" s="860"/>
      <c r="W673" s="860"/>
      <c r="X673" s="864"/>
      <c r="Y673" s="865"/>
      <c r="Z673" s="865"/>
      <c r="AA673" s="866"/>
      <c r="AB673" s="867"/>
      <c r="AC673" s="868"/>
      <c r="AD673" s="866"/>
      <c r="AE673" s="860"/>
      <c r="AF673" s="869"/>
      <c r="AG673" s="869"/>
      <c r="AH673" s="870"/>
      <c r="AI673" s="871"/>
      <c r="AJ673" s="870"/>
      <c r="AK673" s="870"/>
      <c r="AL673" s="860"/>
      <c r="AM673" s="860"/>
      <c r="AN673" s="860"/>
      <c r="AO673" s="860"/>
      <c r="AP673" s="860"/>
      <c r="AQ673" s="860"/>
      <c r="AR673" s="860"/>
      <c r="AS673" s="860"/>
      <c r="AT673" s="860"/>
      <c r="AU673" s="860"/>
      <c r="AV673" s="860"/>
      <c r="AW673" s="860"/>
      <c r="AX673" s="860"/>
      <c r="AY673" s="860"/>
      <c r="AZ673" s="860"/>
      <c r="BA673" s="860"/>
      <c r="BB673" s="860"/>
      <c r="BC673" s="860"/>
      <c r="BD673" s="860"/>
      <c r="BE673" s="860"/>
      <c r="BF673" s="860"/>
      <c r="BG673" s="860"/>
      <c r="BH673" s="860"/>
      <c r="BI673" s="860"/>
      <c r="BJ673" s="860"/>
      <c r="BK673" s="860"/>
      <c r="BL673" s="860"/>
      <c r="BM673" s="860"/>
      <c r="BN673" s="872"/>
      <c r="BO673" s="872"/>
      <c r="BP673" s="872"/>
      <c r="BQ673" s="872"/>
      <c r="BR673" s="872"/>
      <c r="BS673" s="872"/>
      <c r="BT673" s="860"/>
      <c r="BU673" s="860"/>
      <c r="BV673" s="860"/>
      <c r="BW673" s="860"/>
      <c r="BX673" s="872"/>
      <c r="BY673" s="872"/>
      <c r="BZ673" s="872"/>
      <c r="CA673" s="872"/>
      <c r="CB673" s="872"/>
      <c r="CC673" s="872"/>
    </row>
    <row r="674" s="860" customFormat="1" ht="13.5" spans="1:81">
      <c r="A674" s="861"/>
      <c r="B674" s="860"/>
      <c r="C674" s="860"/>
      <c r="D674" s="860"/>
      <c r="E674" s="862"/>
      <c r="F674" s="860"/>
      <c r="G674" s="860"/>
      <c r="H674" s="860"/>
      <c r="I674" s="860"/>
      <c r="J674" s="860"/>
      <c r="K674" s="860"/>
      <c r="L674" s="860"/>
      <c r="M674" s="860"/>
      <c r="N674" s="860"/>
      <c r="O674" s="860"/>
      <c r="P674" s="860"/>
      <c r="Q674" s="860"/>
      <c r="R674" s="860"/>
      <c r="S674" s="860"/>
      <c r="T674" s="860"/>
      <c r="U674" s="860"/>
      <c r="V674" s="860"/>
      <c r="W674" s="860"/>
      <c r="X674" s="864"/>
      <c r="Y674" s="865"/>
      <c r="Z674" s="865"/>
      <c r="AA674" s="866"/>
      <c r="AB674" s="867"/>
      <c r="AC674" s="868"/>
      <c r="AD674" s="866"/>
      <c r="AE674" s="860"/>
      <c r="AF674" s="869"/>
      <c r="AG674" s="869"/>
      <c r="AH674" s="870"/>
      <c r="AI674" s="871"/>
      <c r="AJ674" s="870"/>
      <c r="AK674" s="870"/>
      <c r="AL674" s="860"/>
      <c r="AM674" s="860"/>
      <c r="AN674" s="860"/>
      <c r="AO674" s="860"/>
      <c r="AP674" s="860"/>
      <c r="AQ674" s="860"/>
      <c r="AR674" s="860"/>
      <c r="AS674" s="860"/>
      <c r="AT674" s="860"/>
      <c r="AU674" s="860"/>
      <c r="AV674" s="860"/>
      <c r="AW674" s="860"/>
      <c r="AX674" s="860"/>
      <c r="AY674" s="860"/>
      <c r="AZ674" s="860"/>
      <c r="BA674" s="860"/>
      <c r="BB674" s="860"/>
      <c r="BC674" s="860"/>
      <c r="BD674" s="860"/>
      <c r="BE674" s="860"/>
      <c r="BF674" s="860"/>
      <c r="BG674" s="860"/>
      <c r="BH674" s="860"/>
      <c r="BI674" s="860"/>
      <c r="BJ674" s="860"/>
      <c r="BK674" s="860"/>
      <c r="BL674" s="860"/>
      <c r="BM674" s="860"/>
      <c r="BN674" s="872"/>
      <c r="BO674" s="872"/>
      <c r="BP674" s="872"/>
      <c r="BQ674" s="872"/>
      <c r="BR674" s="872"/>
      <c r="BS674" s="872"/>
      <c r="BT674" s="860"/>
      <c r="BU674" s="860"/>
      <c r="BV674" s="860"/>
      <c r="BW674" s="860"/>
      <c r="BX674" s="872"/>
      <c r="BY674" s="872"/>
      <c r="BZ674" s="872"/>
      <c r="CA674" s="872"/>
      <c r="CB674" s="872"/>
      <c r="CC674" s="872"/>
    </row>
    <row r="675" s="860" customFormat="1" ht="13.5" spans="1:81">
      <c r="A675" s="861"/>
      <c r="B675" s="860"/>
      <c r="C675" s="860"/>
      <c r="D675" s="860"/>
      <c r="E675" s="862"/>
      <c r="F675" s="860"/>
      <c r="G675" s="860"/>
      <c r="H675" s="860"/>
      <c r="I675" s="860"/>
      <c r="J675" s="860"/>
      <c r="K675" s="860"/>
      <c r="L675" s="860"/>
      <c r="M675" s="860"/>
      <c r="N675" s="860"/>
      <c r="O675" s="860"/>
      <c r="P675" s="860"/>
      <c r="Q675" s="860"/>
      <c r="R675" s="860"/>
      <c r="S675" s="860"/>
      <c r="T675" s="860"/>
      <c r="U675" s="860"/>
      <c r="V675" s="860"/>
      <c r="W675" s="860"/>
      <c r="X675" s="864"/>
      <c r="Y675" s="865"/>
      <c r="Z675" s="865"/>
      <c r="AA675" s="866"/>
      <c r="AB675" s="867"/>
      <c r="AC675" s="868"/>
      <c r="AD675" s="866"/>
      <c r="AE675" s="860"/>
      <c r="AF675" s="869"/>
      <c r="AG675" s="869"/>
      <c r="AH675" s="870"/>
      <c r="AI675" s="871"/>
      <c r="AJ675" s="870"/>
      <c r="AK675" s="870"/>
      <c r="AL675" s="860"/>
      <c r="AM675" s="860"/>
      <c r="AN675" s="860"/>
      <c r="AO675" s="860"/>
      <c r="AP675" s="860"/>
      <c r="AQ675" s="860"/>
      <c r="AR675" s="860"/>
      <c r="AS675" s="860"/>
      <c r="AT675" s="860"/>
      <c r="AU675" s="860"/>
      <c r="AV675" s="860"/>
      <c r="AW675" s="860"/>
      <c r="AX675" s="860"/>
      <c r="AY675" s="860"/>
      <c r="AZ675" s="860"/>
      <c r="BA675" s="860"/>
      <c r="BB675" s="860"/>
      <c r="BC675" s="860"/>
      <c r="BD675" s="860"/>
      <c r="BE675" s="860"/>
      <c r="BF675" s="860"/>
      <c r="BG675" s="860"/>
      <c r="BH675" s="860"/>
      <c r="BI675" s="860"/>
      <c r="BJ675" s="860"/>
      <c r="BK675" s="860"/>
      <c r="BL675" s="860"/>
      <c r="BM675" s="860"/>
      <c r="BN675" s="872"/>
      <c r="BO675" s="872"/>
      <c r="BP675" s="872"/>
      <c r="BQ675" s="872"/>
      <c r="BR675" s="872"/>
      <c r="BS675" s="872"/>
      <c r="BT675" s="860"/>
      <c r="BU675" s="860"/>
      <c r="BV675" s="860"/>
      <c r="BW675" s="860"/>
      <c r="BX675" s="872"/>
      <c r="BY675" s="872"/>
      <c r="BZ675" s="872"/>
      <c r="CA675" s="872"/>
      <c r="CB675" s="872"/>
      <c r="CC675" s="872"/>
    </row>
    <row r="676" s="860" customFormat="1" ht="13.5" spans="1:81">
      <c r="A676" s="861"/>
      <c r="B676" s="860"/>
      <c r="C676" s="860"/>
      <c r="D676" s="860"/>
      <c r="E676" s="862"/>
      <c r="F676" s="860"/>
      <c r="G676" s="860"/>
      <c r="H676" s="860"/>
      <c r="I676" s="860"/>
      <c r="J676" s="860"/>
      <c r="K676" s="860"/>
      <c r="L676" s="860"/>
      <c r="M676" s="860"/>
      <c r="N676" s="860"/>
      <c r="O676" s="860"/>
      <c r="P676" s="860"/>
      <c r="Q676" s="860"/>
      <c r="R676" s="860"/>
      <c r="S676" s="860"/>
      <c r="T676" s="860"/>
      <c r="U676" s="860"/>
      <c r="V676" s="860"/>
      <c r="W676" s="860"/>
      <c r="X676" s="864"/>
      <c r="Y676" s="865"/>
      <c r="Z676" s="865"/>
      <c r="AA676" s="866"/>
      <c r="AB676" s="867"/>
      <c r="AC676" s="868"/>
      <c r="AD676" s="866"/>
      <c r="AE676" s="860"/>
      <c r="AF676" s="869"/>
      <c r="AG676" s="869"/>
      <c r="AH676" s="870"/>
      <c r="AI676" s="871"/>
      <c r="AJ676" s="870"/>
      <c r="AK676" s="870"/>
      <c r="AL676" s="860"/>
      <c r="AM676" s="860"/>
      <c r="AN676" s="860"/>
      <c r="AO676" s="860"/>
      <c r="AP676" s="860"/>
      <c r="AQ676" s="860"/>
      <c r="AR676" s="860"/>
      <c r="AS676" s="860"/>
      <c r="AT676" s="860"/>
      <c r="AU676" s="860"/>
      <c r="AV676" s="860"/>
      <c r="AW676" s="860"/>
      <c r="AX676" s="860"/>
      <c r="AY676" s="860"/>
      <c r="AZ676" s="860"/>
      <c r="BA676" s="860"/>
      <c r="BB676" s="860"/>
      <c r="BC676" s="860"/>
      <c r="BD676" s="860"/>
      <c r="BE676" s="860"/>
      <c r="BF676" s="860"/>
      <c r="BG676" s="860"/>
      <c r="BH676" s="860"/>
      <c r="BI676" s="860"/>
      <c r="BJ676" s="860"/>
      <c r="BK676" s="860"/>
      <c r="BL676" s="860"/>
      <c r="BM676" s="860"/>
      <c r="BN676" s="872"/>
      <c r="BO676" s="872"/>
      <c r="BP676" s="872"/>
      <c r="BQ676" s="872"/>
      <c r="BR676" s="872"/>
      <c r="BS676" s="872"/>
      <c r="BT676" s="860"/>
      <c r="BU676" s="860"/>
      <c r="BV676" s="860"/>
      <c r="BW676" s="860"/>
      <c r="BX676" s="872"/>
      <c r="BY676" s="872"/>
      <c r="BZ676" s="872"/>
      <c r="CA676" s="872"/>
      <c r="CB676" s="872"/>
      <c r="CC676" s="872"/>
    </row>
    <row r="677" s="860" customFormat="1" ht="13.5" spans="1:81">
      <c r="A677" s="861"/>
      <c r="B677" s="860"/>
      <c r="C677" s="860"/>
      <c r="D677" s="860"/>
      <c r="E677" s="862"/>
      <c r="F677" s="860"/>
      <c r="G677" s="860"/>
      <c r="H677" s="860"/>
      <c r="I677" s="860"/>
      <c r="J677" s="860"/>
      <c r="K677" s="860"/>
      <c r="L677" s="860"/>
      <c r="M677" s="860"/>
      <c r="N677" s="860"/>
      <c r="O677" s="860"/>
      <c r="P677" s="860"/>
      <c r="Q677" s="860"/>
      <c r="R677" s="860"/>
      <c r="S677" s="860"/>
      <c r="T677" s="860"/>
      <c r="U677" s="860"/>
      <c r="V677" s="860"/>
      <c r="W677" s="860"/>
      <c r="X677" s="864"/>
      <c r="Y677" s="865"/>
      <c r="Z677" s="865"/>
      <c r="AA677" s="866"/>
      <c r="AB677" s="867"/>
      <c r="AC677" s="868"/>
      <c r="AD677" s="866"/>
      <c r="AE677" s="860"/>
      <c r="AF677" s="869"/>
      <c r="AG677" s="869"/>
      <c r="AH677" s="870"/>
      <c r="AI677" s="871"/>
      <c r="AJ677" s="870"/>
      <c r="AK677" s="870"/>
      <c r="AL677" s="860"/>
      <c r="AM677" s="860"/>
      <c r="AN677" s="860"/>
      <c r="AO677" s="860"/>
      <c r="AP677" s="860"/>
      <c r="AQ677" s="860"/>
      <c r="AR677" s="860"/>
      <c r="AS677" s="860"/>
      <c r="AT677" s="860"/>
      <c r="AU677" s="860"/>
      <c r="AV677" s="860"/>
      <c r="AW677" s="860"/>
      <c r="AX677" s="860"/>
      <c r="AY677" s="860"/>
      <c r="AZ677" s="860"/>
      <c r="BA677" s="860"/>
      <c r="BB677" s="860"/>
      <c r="BC677" s="860"/>
      <c r="BD677" s="860"/>
      <c r="BE677" s="860"/>
      <c r="BF677" s="860"/>
      <c r="BG677" s="860"/>
      <c r="BH677" s="860"/>
      <c r="BI677" s="860"/>
      <c r="BJ677" s="860"/>
      <c r="BK677" s="860"/>
      <c r="BL677" s="860"/>
      <c r="BM677" s="860"/>
      <c r="BN677" s="872"/>
      <c r="BO677" s="872"/>
      <c r="BP677" s="872"/>
      <c r="BQ677" s="872"/>
      <c r="BR677" s="872"/>
      <c r="BS677" s="872"/>
      <c r="BT677" s="860"/>
      <c r="BU677" s="860"/>
      <c r="BV677" s="860"/>
      <c r="BW677" s="860"/>
      <c r="BX677" s="872"/>
      <c r="BY677" s="872"/>
      <c r="BZ677" s="872"/>
      <c r="CA677" s="872"/>
      <c r="CB677" s="872"/>
      <c r="CC677" s="872"/>
    </row>
    <row r="678" s="860" customFormat="1" ht="13.5" spans="1:81">
      <c r="A678" s="861"/>
      <c r="B678" s="860"/>
      <c r="C678" s="860"/>
      <c r="D678" s="860"/>
      <c r="E678" s="862"/>
      <c r="F678" s="860"/>
      <c r="G678" s="860"/>
      <c r="H678" s="860"/>
      <c r="I678" s="860"/>
      <c r="J678" s="860"/>
      <c r="K678" s="860"/>
      <c r="L678" s="860"/>
      <c r="M678" s="860"/>
      <c r="N678" s="860"/>
      <c r="O678" s="860"/>
      <c r="P678" s="860"/>
      <c r="Q678" s="860"/>
      <c r="R678" s="860"/>
      <c r="S678" s="860"/>
      <c r="T678" s="860"/>
      <c r="U678" s="860"/>
      <c r="V678" s="860"/>
      <c r="W678" s="860"/>
      <c r="X678" s="864"/>
      <c r="Y678" s="865"/>
      <c r="Z678" s="865"/>
      <c r="AA678" s="866"/>
      <c r="AB678" s="867"/>
      <c r="AC678" s="868"/>
      <c r="AD678" s="866"/>
      <c r="AE678" s="860"/>
      <c r="AF678" s="869"/>
      <c r="AG678" s="869"/>
      <c r="AH678" s="870"/>
      <c r="AI678" s="871"/>
      <c r="AJ678" s="870"/>
      <c r="AK678" s="870"/>
      <c r="AL678" s="860"/>
      <c r="AM678" s="860"/>
      <c r="AN678" s="860"/>
      <c r="AO678" s="860"/>
      <c r="AP678" s="860"/>
      <c r="AQ678" s="860"/>
      <c r="AR678" s="860"/>
      <c r="AS678" s="860"/>
      <c r="AT678" s="860"/>
      <c r="AU678" s="860"/>
      <c r="AV678" s="860"/>
      <c r="AW678" s="860"/>
      <c r="AX678" s="860"/>
      <c r="AY678" s="860"/>
      <c r="AZ678" s="860"/>
      <c r="BA678" s="860"/>
      <c r="BB678" s="860"/>
      <c r="BC678" s="860"/>
      <c r="BD678" s="860"/>
      <c r="BE678" s="860"/>
      <c r="BF678" s="860"/>
      <c r="BG678" s="860"/>
      <c r="BH678" s="860"/>
      <c r="BI678" s="860"/>
      <c r="BJ678" s="860"/>
      <c r="BK678" s="860"/>
      <c r="BL678" s="860"/>
      <c r="BM678" s="860"/>
      <c r="BN678" s="872"/>
      <c r="BO678" s="872"/>
      <c r="BP678" s="872"/>
      <c r="BQ678" s="872"/>
      <c r="BR678" s="872"/>
      <c r="BS678" s="872"/>
      <c r="BT678" s="860"/>
      <c r="BU678" s="860"/>
      <c r="BV678" s="860"/>
      <c r="BW678" s="860"/>
      <c r="BX678" s="872"/>
      <c r="BY678" s="872"/>
      <c r="BZ678" s="872"/>
      <c r="CA678" s="872"/>
      <c r="CB678" s="872"/>
      <c r="CC678" s="872"/>
    </row>
    <row r="679" s="860" customFormat="1" ht="13.5" spans="1:81">
      <c r="A679" s="861"/>
      <c r="B679" s="860"/>
      <c r="C679" s="860"/>
      <c r="D679" s="860"/>
      <c r="E679" s="862"/>
      <c r="F679" s="860"/>
      <c r="G679" s="860"/>
      <c r="H679" s="860"/>
      <c r="I679" s="860"/>
      <c r="J679" s="860"/>
      <c r="K679" s="860"/>
      <c r="L679" s="860"/>
      <c r="M679" s="860"/>
      <c r="N679" s="860"/>
      <c r="O679" s="860"/>
      <c r="P679" s="860"/>
      <c r="Q679" s="860"/>
      <c r="R679" s="860"/>
      <c r="S679" s="860"/>
      <c r="T679" s="860"/>
      <c r="U679" s="860"/>
      <c r="V679" s="860"/>
      <c r="W679" s="860"/>
      <c r="X679" s="864"/>
      <c r="Y679" s="865"/>
      <c r="Z679" s="865"/>
      <c r="AA679" s="866"/>
      <c r="AB679" s="867"/>
      <c r="AC679" s="868"/>
      <c r="AD679" s="866"/>
      <c r="AE679" s="860"/>
      <c r="AF679" s="869"/>
      <c r="AG679" s="869"/>
      <c r="AH679" s="870"/>
      <c r="AI679" s="871"/>
      <c r="AJ679" s="870"/>
      <c r="AK679" s="870"/>
      <c r="AL679" s="860"/>
      <c r="AM679" s="860"/>
      <c r="AN679" s="860"/>
      <c r="AO679" s="860"/>
      <c r="AP679" s="860"/>
      <c r="AQ679" s="860"/>
      <c r="AR679" s="860"/>
      <c r="AS679" s="860"/>
      <c r="AT679" s="860"/>
      <c r="AU679" s="860"/>
      <c r="AV679" s="860"/>
      <c r="AW679" s="860"/>
      <c r="AX679" s="860"/>
      <c r="AY679" s="860"/>
      <c r="AZ679" s="860"/>
      <c r="BA679" s="860"/>
      <c r="BB679" s="860"/>
      <c r="BC679" s="860"/>
      <c r="BD679" s="860"/>
      <c r="BE679" s="860"/>
      <c r="BF679" s="860"/>
      <c r="BG679" s="860"/>
      <c r="BH679" s="860"/>
      <c r="BI679" s="860"/>
      <c r="BJ679" s="860"/>
      <c r="BK679" s="860"/>
      <c r="BL679" s="860"/>
      <c r="BM679" s="860"/>
      <c r="BN679" s="872"/>
      <c r="BO679" s="872"/>
      <c r="BP679" s="872"/>
      <c r="BQ679" s="872"/>
      <c r="BR679" s="872"/>
      <c r="BS679" s="872"/>
      <c r="BT679" s="860"/>
      <c r="BU679" s="860"/>
      <c r="BV679" s="860"/>
      <c r="BW679" s="860"/>
      <c r="BX679" s="872"/>
      <c r="BY679" s="872"/>
      <c r="BZ679" s="872"/>
      <c r="CA679" s="872"/>
      <c r="CB679" s="872"/>
      <c r="CC679" s="872"/>
    </row>
    <row r="680" s="860" customFormat="1" ht="13.5" spans="1:81">
      <c r="A680" s="861"/>
      <c r="B680" s="860"/>
      <c r="C680" s="860"/>
      <c r="D680" s="860"/>
      <c r="E680" s="862"/>
      <c r="F680" s="860"/>
      <c r="G680" s="860"/>
      <c r="H680" s="860"/>
      <c r="I680" s="860"/>
      <c r="J680" s="860"/>
      <c r="K680" s="860"/>
      <c r="L680" s="860"/>
      <c r="M680" s="860"/>
      <c r="N680" s="860"/>
      <c r="O680" s="860"/>
      <c r="P680" s="860"/>
      <c r="Q680" s="860"/>
      <c r="R680" s="860"/>
      <c r="S680" s="860"/>
      <c r="T680" s="860"/>
      <c r="U680" s="860"/>
      <c r="V680" s="860"/>
      <c r="W680" s="860"/>
      <c r="X680" s="864"/>
      <c r="Y680" s="865"/>
      <c r="Z680" s="865"/>
      <c r="AA680" s="866"/>
      <c r="AB680" s="867"/>
      <c r="AC680" s="868"/>
      <c r="AD680" s="866"/>
      <c r="AE680" s="860"/>
      <c r="AF680" s="869"/>
      <c r="AG680" s="869"/>
      <c r="AH680" s="870"/>
      <c r="AI680" s="871"/>
      <c r="AJ680" s="870"/>
      <c r="AK680" s="870"/>
      <c r="AL680" s="860"/>
      <c r="AM680" s="860"/>
      <c r="AN680" s="860"/>
      <c r="AO680" s="860"/>
      <c r="AP680" s="860"/>
      <c r="AQ680" s="860"/>
      <c r="AR680" s="860"/>
      <c r="AS680" s="860"/>
      <c r="AT680" s="860"/>
      <c r="AU680" s="860"/>
      <c r="AV680" s="860"/>
      <c r="AW680" s="860"/>
      <c r="AX680" s="860"/>
      <c r="AY680" s="860"/>
      <c r="AZ680" s="860"/>
      <c r="BA680" s="860"/>
      <c r="BB680" s="860"/>
      <c r="BC680" s="860"/>
      <c r="BD680" s="860"/>
      <c r="BE680" s="860"/>
      <c r="BF680" s="860"/>
      <c r="BG680" s="860"/>
      <c r="BH680" s="860"/>
      <c r="BI680" s="860"/>
      <c r="BJ680" s="860"/>
      <c r="BK680" s="860"/>
      <c r="BL680" s="860"/>
      <c r="BM680" s="860"/>
      <c r="BN680" s="872"/>
      <c r="BO680" s="872"/>
      <c r="BP680" s="872"/>
      <c r="BQ680" s="872"/>
      <c r="BR680" s="872"/>
      <c r="BS680" s="872"/>
      <c r="BT680" s="860"/>
      <c r="BU680" s="860"/>
      <c r="BV680" s="860"/>
      <c r="BW680" s="860"/>
      <c r="BX680" s="872"/>
      <c r="BY680" s="872"/>
      <c r="BZ680" s="872"/>
      <c r="CA680" s="872"/>
      <c r="CB680" s="872"/>
      <c r="CC680" s="872"/>
    </row>
    <row r="681" s="860" customFormat="1" ht="13.5" spans="1:81">
      <c r="A681" s="861"/>
      <c r="B681" s="860"/>
      <c r="C681" s="860"/>
      <c r="D681" s="860"/>
      <c r="E681" s="862"/>
      <c r="F681" s="860"/>
      <c r="G681" s="860"/>
      <c r="H681" s="860"/>
      <c r="I681" s="860"/>
      <c r="J681" s="860"/>
      <c r="K681" s="860"/>
      <c r="L681" s="860"/>
      <c r="M681" s="860"/>
      <c r="N681" s="860"/>
      <c r="O681" s="860"/>
      <c r="P681" s="860"/>
      <c r="Q681" s="860"/>
      <c r="R681" s="860"/>
      <c r="S681" s="860"/>
      <c r="T681" s="860"/>
      <c r="U681" s="860"/>
      <c r="V681" s="860"/>
      <c r="W681" s="860"/>
      <c r="X681" s="864"/>
      <c r="Y681" s="865"/>
      <c r="Z681" s="865"/>
      <c r="AA681" s="866"/>
      <c r="AB681" s="867"/>
      <c r="AC681" s="868"/>
      <c r="AD681" s="866"/>
      <c r="AE681" s="860"/>
      <c r="AF681" s="869"/>
      <c r="AG681" s="869"/>
      <c r="AH681" s="870"/>
      <c r="AI681" s="871"/>
      <c r="AJ681" s="870"/>
      <c r="AK681" s="870"/>
      <c r="AL681" s="860"/>
      <c r="AM681" s="860"/>
      <c r="AN681" s="860"/>
      <c r="AO681" s="860"/>
      <c r="AP681" s="860"/>
      <c r="AQ681" s="860"/>
      <c r="AR681" s="860"/>
      <c r="AS681" s="860"/>
      <c r="AT681" s="860"/>
      <c r="AU681" s="860"/>
      <c r="AV681" s="860"/>
      <c r="AW681" s="860"/>
      <c r="AX681" s="860"/>
      <c r="AY681" s="860"/>
      <c r="AZ681" s="860"/>
      <c r="BA681" s="860"/>
      <c r="BB681" s="860"/>
      <c r="BC681" s="860"/>
      <c r="BD681" s="860"/>
      <c r="BE681" s="860"/>
      <c r="BF681" s="860"/>
      <c r="BG681" s="860"/>
      <c r="BH681" s="860"/>
      <c r="BI681" s="860"/>
      <c r="BJ681" s="860"/>
      <c r="BK681" s="860"/>
      <c r="BL681" s="860"/>
      <c r="BM681" s="860"/>
      <c r="BN681" s="872"/>
      <c r="BO681" s="872"/>
      <c r="BP681" s="872"/>
      <c r="BQ681" s="872"/>
      <c r="BR681" s="872"/>
      <c r="BS681" s="872"/>
      <c r="BT681" s="860"/>
      <c r="BU681" s="860"/>
      <c r="BV681" s="860"/>
      <c r="BW681" s="860"/>
      <c r="BX681" s="872"/>
      <c r="BY681" s="872"/>
      <c r="BZ681" s="872"/>
      <c r="CA681" s="872"/>
      <c r="CB681" s="872"/>
      <c r="CC681" s="872"/>
    </row>
    <row r="682" s="860" customFormat="1" ht="13.5" spans="1:81">
      <c r="A682" s="861"/>
      <c r="B682" s="860"/>
      <c r="C682" s="860"/>
      <c r="D682" s="860"/>
      <c r="E682" s="862"/>
      <c r="F682" s="860"/>
      <c r="G682" s="860"/>
      <c r="H682" s="860"/>
      <c r="I682" s="860"/>
      <c r="J682" s="860"/>
      <c r="K682" s="860"/>
      <c r="L682" s="860"/>
      <c r="M682" s="860"/>
      <c r="N682" s="860"/>
      <c r="O682" s="860"/>
      <c r="P682" s="860"/>
      <c r="Q682" s="860"/>
      <c r="R682" s="860"/>
      <c r="S682" s="860"/>
      <c r="T682" s="860"/>
      <c r="U682" s="860"/>
      <c r="V682" s="860"/>
      <c r="W682" s="860"/>
      <c r="X682" s="864"/>
      <c r="Y682" s="865"/>
      <c r="Z682" s="865"/>
      <c r="AA682" s="866"/>
      <c r="AB682" s="867"/>
      <c r="AC682" s="868"/>
      <c r="AD682" s="866"/>
      <c r="AE682" s="860"/>
      <c r="AF682" s="869"/>
      <c r="AG682" s="869"/>
      <c r="AH682" s="870"/>
      <c r="AI682" s="871"/>
      <c r="AJ682" s="870"/>
      <c r="AK682" s="870"/>
      <c r="AL682" s="860"/>
      <c r="AM682" s="860"/>
      <c r="AN682" s="860"/>
      <c r="AO682" s="860"/>
      <c r="AP682" s="860"/>
      <c r="AQ682" s="860"/>
      <c r="AR682" s="860"/>
      <c r="AS682" s="860"/>
      <c r="AT682" s="860"/>
      <c r="AU682" s="860"/>
      <c r="AV682" s="860"/>
      <c r="AW682" s="860"/>
      <c r="AX682" s="860"/>
      <c r="AY682" s="860"/>
      <c r="AZ682" s="860"/>
      <c r="BA682" s="860"/>
      <c r="BB682" s="860"/>
      <c r="BC682" s="860"/>
      <c r="BD682" s="860"/>
      <c r="BE682" s="860"/>
      <c r="BF682" s="860"/>
      <c r="BG682" s="860"/>
      <c r="BH682" s="860"/>
      <c r="BI682" s="860"/>
      <c r="BJ682" s="860"/>
      <c r="BK682" s="860"/>
      <c r="BL682" s="860"/>
      <c r="BM682" s="860"/>
      <c r="BN682" s="872"/>
      <c r="BO682" s="872"/>
      <c r="BP682" s="872"/>
      <c r="BQ682" s="872"/>
      <c r="BR682" s="872"/>
      <c r="BS682" s="872"/>
      <c r="BT682" s="860"/>
      <c r="BU682" s="860"/>
      <c r="BV682" s="860"/>
      <c r="BW682" s="860"/>
      <c r="BX682" s="872"/>
      <c r="BY682" s="872"/>
      <c r="BZ682" s="872"/>
      <c r="CA682" s="872"/>
      <c r="CB682" s="872"/>
      <c r="CC682" s="872"/>
    </row>
    <row r="683" s="860" customFormat="1" ht="13.5" spans="1:81">
      <c r="A683" s="861"/>
      <c r="B683" s="860"/>
      <c r="C683" s="860"/>
      <c r="D683" s="860"/>
      <c r="E683" s="862"/>
      <c r="F683" s="860"/>
      <c r="G683" s="860"/>
      <c r="H683" s="860"/>
      <c r="I683" s="860"/>
      <c r="J683" s="860"/>
      <c r="K683" s="860"/>
      <c r="L683" s="860"/>
      <c r="M683" s="860"/>
      <c r="N683" s="860"/>
      <c r="O683" s="860"/>
      <c r="P683" s="860"/>
      <c r="Q683" s="860"/>
      <c r="R683" s="860"/>
      <c r="S683" s="860"/>
      <c r="T683" s="860"/>
      <c r="U683" s="860"/>
      <c r="V683" s="860"/>
      <c r="W683" s="860"/>
      <c r="X683" s="864"/>
      <c r="Y683" s="865"/>
      <c r="Z683" s="865"/>
      <c r="AA683" s="866"/>
      <c r="AB683" s="867"/>
      <c r="AC683" s="868"/>
      <c r="AD683" s="866"/>
      <c r="AE683" s="860"/>
      <c r="AF683" s="869"/>
      <c r="AG683" s="869"/>
      <c r="AH683" s="870"/>
      <c r="AI683" s="871"/>
      <c r="AJ683" s="870"/>
      <c r="AK683" s="870"/>
      <c r="AL683" s="860"/>
      <c r="AM683" s="860"/>
      <c r="AN683" s="860"/>
      <c r="AO683" s="860"/>
      <c r="AP683" s="860"/>
      <c r="AQ683" s="860"/>
      <c r="AR683" s="860"/>
      <c r="AS683" s="860"/>
      <c r="AT683" s="860"/>
      <c r="AU683" s="860"/>
      <c r="AV683" s="860"/>
      <c r="AW683" s="860"/>
      <c r="AX683" s="860"/>
      <c r="AY683" s="860"/>
      <c r="AZ683" s="860"/>
      <c r="BA683" s="860"/>
      <c r="BB683" s="860"/>
      <c r="BC683" s="860"/>
      <c r="BD683" s="860"/>
      <c r="BE683" s="860"/>
      <c r="BF683" s="860"/>
      <c r="BG683" s="860"/>
      <c r="BH683" s="860"/>
      <c r="BI683" s="860"/>
      <c r="BJ683" s="860"/>
      <c r="BK683" s="860"/>
      <c r="BL683" s="860"/>
      <c r="BM683" s="860"/>
      <c r="BN683" s="872"/>
      <c r="BO683" s="872"/>
      <c r="BP683" s="872"/>
      <c r="BQ683" s="872"/>
      <c r="BR683" s="872"/>
      <c r="BS683" s="872"/>
      <c r="BT683" s="860"/>
      <c r="BU683" s="860"/>
      <c r="BV683" s="860"/>
      <c r="BW683" s="860"/>
      <c r="BX683" s="872"/>
      <c r="BY683" s="872"/>
      <c r="BZ683" s="872"/>
      <c r="CA683" s="872"/>
      <c r="CB683" s="872"/>
      <c r="CC683" s="872"/>
    </row>
    <row r="684" s="860" customFormat="1" ht="13.5" spans="1:81">
      <c r="A684" s="861"/>
      <c r="B684" s="860"/>
      <c r="C684" s="860"/>
      <c r="D684" s="860"/>
      <c r="E684" s="862"/>
      <c r="F684" s="860"/>
      <c r="G684" s="860"/>
      <c r="H684" s="860"/>
      <c r="I684" s="860"/>
      <c r="J684" s="860"/>
      <c r="K684" s="860"/>
      <c r="L684" s="860"/>
      <c r="M684" s="860"/>
      <c r="N684" s="860"/>
      <c r="O684" s="860"/>
      <c r="P684" s="860"/>
      <c r="Q684" s="860"/>
      <c r="R684" s="860"/>
      <c r="S684" s="860"/>
      <c r="T684" s="860"/>
      <c r="U684" s="860"/>
      <c r="V684" s="860"/>
      <c r="W684" s="860"/>
      <c r="X684" s="864"/>
      <c r="Y684" s="865"/>
      <c r="Z684" s="865"/>
      <c r="AA684" s="866"/>
      <c r="AB684" s="867"/>
      <c r="AC684" s="868"/>
      <c r="AD684" s="866"/>
      <c r="AE684" s="860"/>
      <c r="AF684" s="869"/>
      <c r="AG684" s="869"/>
      <c r="AH684" s="870"/>
      <c r="AI684" s="871"/>
      <c r="AJ684" s="870"/>
      <c r="AK684" s="870"/>
      <c r="AL684" s="860"/>
      <c r="AM684" s="860"/>
      <c r="AN684" s="860"/>
      <c r="AO684" s="860"/>
      <c r="AP684" s="860"/>
      <c r="AQ684" s="860"/>
      <c r="AR684" s="860"/>
      <c r="AS684" s="860"/>
      <c r="AT684" s="860"/>
      <c r="AU684" s="860"/>
      <c r="AV684" s="860"/>
      <c r="AW684" s="860"/>
      <c r="AX684" s="860"/>
      <c r="AY684" s="860"/>
      <c r="AZ684" s="860"/>
      <c r="BA684" s="860"/>
      <c r="BB684" s="860"/>
      <c r="BC684" s="860"/>
      <c r="BD684" s="860"/>
      <c r="BE684" s="860"/>
      <c r="BF684" s="860"/>
      <c r="BG684" s="860"/>
      <c r="BH684" s="860"/>
      <c r="BI684" s="860"/>
      <c r="BJ684" s="860"/>
      <c r="BK684" s="860"/>
      <c r="BL684" s="860"/>
      <c r="BM684" s="860"/>
      <c r="BN684" s="872"/>
      <c r="BO684" s="872"/>
      <c r="BP684" s="872"/>
      <c r="BQ684" s="872"/>
      <c r="BR684" s="872"/>
      <c r="BS684" s="872"/>
      <c r="BT684" s="860"/>
      <c r="BU684" s="860"/>
      <c r="BV684" s="860"/>
      <c r="BW684" s="860"/>
      <c r="BX684" s="872"/>
      <c r="BY684" s="872"/>
      <c r="BZ684" s="872"/>
      <c r="CA684" s="872"/>
      <c r="CB684" s="872"/>
      <c r="CC684" s="872"/>
    </row>
    <row r="685" s="860" customFormat="1" ht="13.5" spans="1:81">
      <c r="A685" s="861"/>
      <c r="B685" s="860"/>
      <c r="C685" s="860"/>
      <c r="D685" s="860"/>
      <c r="E685" s="862"/>
      <c r="F685" s="860"/>
      <c r="G685" s="860"/>
      <c r="H685" s="860"/>
      <c r="I685" s="860"/>
      <c r="J685" s="860"/>
      <c r="K685" s="860"/>
      <c r="L685" s="860"/>
      <c r="M685" s="860"/>
      <c r="N685" s="860"/>
      <c r="O685" s="860"/>
      <c r="P685" s="860"/>
      <c r="Q685" s="860"/>
      <c r="R685" s="860"/>
      <c r="S685" s="860"/>
      <c r="T685" s="860"/>
      <c r="U685" s="860"/>
      <c r="V685" s="860"/>
      <c r="W685" s="860"/>
      <c r="X685" s="864"/>
      <c r="Y685" s="865"/>
      <c r="Z685" s="865"/>
      <c r="AA685" s="866"/>
      <c r="AB685" s="867"/>
      <c r="AC685" s="868"/>
      <c r="AD685" s="866"/>
      <c r="AE685" s="860"/>
      <c r="AF685" s="869"/>
      <c r="AG685" s="869"/>
      <c r="AH685" s="870"/>
      <c r="AI685" s="871"/>
      <c r="AJ685" s="870"/>
      <c r="AK685" s="870"/>
      <c r="AL685" s="860"/>
      <c r="AM685" s="860"/>
      <c r="AN685" s="860"/>
      <c r="AO685" s="860"/>
      <c r="AP685" s="860"/>
      <c r="AQ685" s="860"/>
      <c r="AR685" s="860"/>
      <c r="AS685" s="860"/>
      <c r="AT685" s="860"/>
      <c r="AU685" s="860"/>
      <c r="AV685" s="860"/>
      <c r="AW685" s="860"/>
      <c r="AX685" s="860"/>
      <c r="AY685" s="860"/>
      <c r="AZ685" s="860"/>
      <c r="BA685" s="860"/>
      <c r="BB685" s="860"/>
      <c r="BC685" s="860"/>
      <c r="BD685" s="860"/>
      <c r="BE685" s="860"/>
      <c r="BF685" s="860"/>
      <c r="BG685" s="860"/>
      <c r="BH685" s="860"/>
      <c r="BI685" s="860"/>
      <c r="BJ685" s="860"/>
      <c r="BK685" s="860"/>
      <c r="BL685" s="860"/>
      <c r="BM685" s="860"/>
      <c r="BN685" s="872"/>
      <c r="BO685" s="872"/>
      <c r="BP685" s="872"/>
      <c r="BQ685" s="872"/>
      <c r="BR685" s="872"/>
      <c r="BS685" s="872"/>
      <c r="BT685" s="860"/>
      <c r="BU685" s="860"/>
      <c r="BV685" s="860"/>
      <c r="BW685" s="860"/>
      <c r="BX685" s="872"/>
      <c r="BY685" s="872"/>
      <c r="BZ685" s="872"/>
      <c r="CA685" s="872"/>
      <c r="CB685" s="872"/>
      <c r="CC685" s="872"/>
    </row>
    <row r="686" s="860" customFormat="1" ht="13.5" spans="1:81">
      <c r="A686" s="861"/>
      <c r="B686" s="860"/>
      <c r="C686" s="860"/>
      <c r="D686" s="860"/>
      <c r="E686" s="862"/>
      <c r="F686" s="860"/>
      <c r="G686" s="860"/>
      <c r="H686" s="860"/>
      <c r="I686" s="860"/>
      <c r="J686" s="860"/>
      <c r="K686" s="860"/>
      <c r="L686" s="860"/>
      <c r="M686" s="860"/>
      <c r="N686" s="860"/>
      <c r="O686" s="860"/>
      <c r="P686" s="860"/>
      <c r="Q686" s="860"/>
      <c r="R686" s="860"/>
      <c r="S686" s="860"/>
      <c r="T686" s="860"/>
      <c r="U686" s="860"/>
      <c r="V686" s="860"/>
      <c r="W686" s="860"/>
      <c r="X686" s="864"/>
      <c r="Y686" s="865"/>
      <c r="Z686" s="865"/>
      <c r="AA686" s="866"/>
      <c r="AB686" s="867"/>
      <c r="AC686" s="868"/>
      <c r="AD686" s="866"/>
      <c r="AE686" s="860"/>
      <c r="AF686" s="869"/>
      <c r="AG686" s="869"/>
      <c r="AH686" s="870"/>
      <c r="AI686" s="871"/>
      <c r="AJ686" s="870"/>
      <c r="AK686" s="870"/>
      <c r="AL686" s="860"/>
      <c r="AM686" s="860"/>
      <c r="AN686" s="860"/>
      <c r="AO686" s="860"/>
      <c r="AP686" s="860"/>
      <c r="AQ686" s="860"/>
      <c r="AR686" s="860"/>
      <c r="AS686" s="860"/>
      <c r="AT686" s="860"/>
      <c r="AU686" s="860"/>
      <c r="AV686" s="860"/>
      <c r="AW686" s="860"/>
      <c r="AX686" s="860"/>
      <c r="AY686" s="860"/>
      <c r="AZ686" s="860"/>
      <c r="BA686" s="860"/>
      <c r="BB686" s="860"/>
      <c r="BC686" s="860"/>
      <c r="BD686" s="860"/>
      <c r="BE686" s="860"/>
      <c r="BF686" s="860"/>
      <c r="BG686" s="860"/>
      <c r="BH686" s="860"/>
      <c r="BI686" s="860"/>
      <c r="BJ686" s="860"/>
      <c r="BK686" s="860"/>
      <c r="BL686" s="860"/>
      <c r="BM686" s="860"/>
      <c r="BN686" s="872"/>
      <c r="BO686" s="872"/>
      <c r="BP686" s="872"/>
      <c r="BQ686" s="872"/>
      <c r="BR686" s="872"/>
      <c r="BS686" s="872"/>
      <c r="BT686" s="860"/>
      <c r="BU686" s="860"/>
      <c r="BV686" s="860"/>
      <c r="BW686" s="860"/>
      <c r="BX686" s="872"/>
      <c r="BY686" s="872"/>
      <c r="BZ686" s="872"/>
      <c r="CA686" s="872"/>
      <c r="CB686" s="872"/>
      <c r="CC686" s="872"/>
    </row>
    <row r="687" s="860" customFormat="1" ht="13.5" spans="1:81">
      <c r="A687" s="861"/>
      <c r="B687" s="860"/>
      <c r="C687" s="860"/>
      <c r="D687" s="860"/>
      <c r="E687" s="862"/>
      <c r="F687" s="860"/>
      <c r="G687" s="860"/>
      <c r="H687" s="860"/>
      <c r="I687" s="860"/>
      <c r="J687" s="860"/>
      <c r="K687" s="860"/>
      <c r="L687" s="860"/>
      <c r="M687" s="860"/>
      <c r="N687" s="860"/>
      <c r="O687" s="860"/>
      <c r="P687" s="860"/>
      <c r="Q687" s="860"/>
      <c r="R687" s="860"/>
      <c r="S687" s="860"/>
      <c r="T687" s="860"/>
      <c r="U687" s="860"/>
      <c r="V687" s="860"/>
      <c r="W687" s="860"/>
      <c r="X687" s="864"/>
      <c r="Y687" s="865"/>
      <c r="Z687" s="865"/>
      <c r="AA687" s="866"/>
      <c r="AB687" s="867"/>
      <c r="AC687" s="868"/>
      <c r="AD687" s="866"/>
      <c r="AE687" s="860"/>
      <c r="AF687" s="869"/>
      <c r="AG687" s="869"/>
      <c r="AH687" s="870"/>
      <c r="AI687" s="871"/>
      <c r="AJ687" s="870"/>
      <c r="AK687" s="870"/>
      <c r="AL687" s="860"/>
      <c r="AM687" s="860"/>
      <c r="AN687" s="860"/>
      <c r="AO687" s="860"/>
      <c r="AP687" s="860"/>
      <c r="AQ687" s="860"/>
      <c r="AR687" s="860"/>
      <c r="AS687" s="860"/>
      <c r="AT687" s="860"/>
      <c r="AU687" s="860"/>
      <c r="AV687" s="860"/>
      <c r="AW687" s="860"/>
      <c r="AX687" s="860"/>
      <c r="AY687" s="860"/>
      <c r="AZ687" s="860"/>
      <c r="BA687" s="860"/>
      <c r="BB687" s="860"/>
      <c r="BC687" s="860"/>
      <c r="BD687" s="860"/>
      <c r="BE687" s="860"/>
      <c r="BF687" s="860"/>
      <c r="BG687" s="860"/>
      <c r="BH687" s="860"/>
      <c r="BI687" s="860"/>
      <c r="BJ687" s="860"/>
      <c r="BK687" s="860"/>
      <c r="BL687" s="860"/>
      <c r="BM687" s="860"/>
      <c r="BN687" s="872"/>
      <c r="BO687" s="872"/>
      <c r="BP687" s="872"/>
      <c r="BQ687" s="872"/>
      <c r="BR687" s="872"/>
      <c r="BS687" s="872"/>
      <c r="BT687" s="860"/>
      <c r="BU687" s="860"/>
      <c r="BV687" s="860"/>
      <c r="BW687" s="860"/>
      <c r="BX687" s="872"/>
      <c r="BY687" s="872"/>
      <c r="BZ687" s="872"/>
      <c r="CA687" s="872"/>
      <c r="CB687" s="872"/>
      <c r="CC687" s="872"/>
    </row>
    <row r="688" s="860" customFormat="1" ht="13.5" spans="1:81">
      <c r="A688" s="861"/>
      <c r="B688" s="860"/>
      <c r="C688" s="860"/>
      <c r="D688" s="860"/>
      <c r="E688" s="862"/>
      <c r="F688" s="860"/>
      <c r="G688" s="860"/>
      <c r="H688" s="860"/>
      <c r="I688" s="860"/>
      <c r="J688" s="860"/>
      <c r="K688" s="860"/>
      <c r="L688" s="860"/>
      <c r="M688" s="860"/>
      <c r="N688" s="860"/>
      <c r="O688" s="860"/>
      <c r="P688" s="860"/>
      <c r="Q688" s="860"/>
      <c r="R688" s="860"/>
      <c r="S688" s="860"/>
      <c r="T688" s="860"/>
      <c r="U688" s="860"/>
      <c r="V688" s="860"/>
      <c r="W688" s="860"/>
      <c r="X688" s="864"/>
      <c r="Y688" s="865"/>
      <c r="Z688" s="865"/>
      <c r="AA688" s="866"/>
      <c r="AB688" s="867"/>
      <c r="AC688" s="868"/>
      <c r="AD688" s="866"/>
      <c r="AE688" s="860"/>
      <c r="AF688" s="869"/>
      <c r="AG688" s="869"/>
      <c r="AH688" s="870"/>
      <c r="AI688" s="871"/>
      <c r="AJ688" s="870"/>
      <c r="AK688" s="870"/>
      <c r="AL688" s="860"/>
      <c r="AM688" s="860"/>
      <c r="AN688" s="860"/>
      <c r="AO688" s="860"/>
      <c r="AP688" s="860"/>
      <c r="AQ688" s="860"/>
      <c r="AR688" s="860"/>
      <c r="AS688" s="860"/>
      <c r="AT688" s="860"/>
      <c r="AU688" s="860"/>
      <c r="AV688" s="860"/>
      <c r="AW688" s="860"/>
      <c r="AX688" s="860"/>
      <c r="AY688" s="860"/>
      <c r="AZ688" s="860"/>
      <c r="BA688" s="860"/>
      <c r="BB688" s="860"/>
      <c r="BC688" s="860"/>
      <c r="BD688" s="860"/>
      <c r="BE688" s="860"/>
      <c r="BF688" s="860"/>
      <c r="BG688" s="860"/>
      <c r="BH688" s="860"/>
      <c r="BI688" s="860"/>
      <c r="BJ688" s="860"/>
      <c r="BK688" s="860"/>
      <c r="BL688" s="860"/>
      <c r="BM688" s="860"/>
      <c r="BN688" s="872"/>
      <c r="BO688" s="872"/>
      <c r="BP688" s="872"/>
      <c r="BQ688" s="872"/>
      <c r="BR688" s="872"/>
      <c r="BS688" s="872"/>
      <c r="BT688" s="860"/>
      <c r="BU688" s="860"/>
      <c r="BV688" s="860"/>
      <c r="BW688" s="860"/>
      <c r="BX688" s="872"/>
      <c r="BY688" s="872"/>
      <c r="BZ688" s="872"/>
      <c r="CA688" s="872"/>
      <c r="CB688" s="872"/>
      <c r="CC688" s="872"/>
    </row>
    <row r="689" s="860" customFormat="1" ht="13.5" spans="1:81">
      <c r="A689" s="861"/>
      <c r="B689" s="860"/>
      <c r="C689" s="860"/>
      <c r="D689" s="860"/>
      <c r="E689" s="862"/>
      <c r="F689" s="860"/>
      <c r="G689" s="860"/>
      <c r="H689" s="860"/>
      <c r="I689" s="860"/>
      <c r="J689" s="860"/>
      <c r="K689" s="860"/>
      <c r="L689" s="860"/>
      <c r="M689" s="860"/>
      <c r="N689" s="860"/>
      <c r="O689" s="860"/>
      <c r="P689" s="860"/>
      <c r="Q689" s="860"/>
      <c r="R689" s="860"/>
      <c r="S689" s="860"/>
      <c r="T689" s="860"/>
      <c r="U689" s="860"/>
      <c r="V689" s="860"/>
      <c r="W689" s="860"/>
      <c r="X689" s="864"/>
      <c r="Y689" s="865"/>
      <c r="Z689" s="865"/>
      <c r="AA689" s="866"/>
      <c r="AB689" s="867"/>
      <c r="AC689" s="868"/>
      <c r="AD689" s="866"/>
      <c r="AE689" s="860"/>
      <c r="AF689" s="869"/>
      <c r="AG689" s="869"/>
      <c r="AH689" s="870"/>
      <c r="AI689" s="871"/>
      <c r="AJ689" s="870"/>
      <c r="AK689" s="870"/>
      <c r="AL689" s="860"/>
      <c r="AM689" s="860"/>
      <c r="AN689" s="860"/>
      <c r="AO689" s="860"/>
      <c r="AP689" s="860"/>
      <c r="AQ689" s="860"/>
      <c r="AR689" s="860"/>
      <c r="AS689" s="860"/>
      <c r="AT689" s="860"/>
      <c r="AU689" s="860"/>
      <c r="AV689" s="860"/>
      <c r="AW689" s="860"/>
      <c r="AX689" s="860"/>
      <c r="AY689" s="860"/>
      <c r="AZ689" s="860"/>
      <c r="BA689" s="860"/>
      <c r="BB689" s="860"/>
      <c r="BC689" s="860"/>
      <c r="BD689" s="860"/>
      <c r="BE689" s="860"/>
      <c r="BF689" s="860"/>
      <c r="BG689" s="860"/>
      <c r="BH689" s="860"/>
      <c r="BI689" s="860"/>
      <c r="BJ689" s="860"/>
      <c r="BK689" s="860"/>
      <c r="BL689" s="860"/>
      <c r="BM689" s="860"/>
      <c r="BN689" s="872"/>
      <c r="BO689" s="872"/>
      <c r="BP689" s="872"/>
      <c r="BQ689" s="872"/>
      <c r="BR689" s="872"/>
      <c r="BS689" s="872"/>
      <c r="BT689" s="860"/>
      <c r="BU689" s="860"/>
      <c r="BV689" s="860"/>
      <c r="BW689" s="860"/>
      <c r="BX689" s="872"/>
      <c r="BY689" s="872"/>
      <c r="BZ689" s="872"/>
      <c r="CA689" s="872"/>
      <c r="CB689" s="872"/>
      <c r="CC689" s="872"/>
    </row>
    <row r="690" s="860" customFormat="1" ht="13.5" spans="1:81">
      <c r="A690" s="861"/>
      <c r="B690" s="860"/>
      <c r="C690" s="860"/>
      <c r="D690" s="860"/>
      <c r="E690" s="862"/>
      <c r="F690" s="860"/>
      <c r="G690" s="860"/>
      <c r="H690" s="860"/>
      <c r="I690" s="860"/>
      <c r="J690" s="860"/>
      <c r="K690" s="860"/>
      <c r="L690" s="860"/>
      <c r="M690" s="860"/>
      <c r="N690" s="860"/>
      <c r="O690" s="860"/>
      <c r="P690" s="860"/>
      <c r="Q690" s="860"/>
      <c r="R690" s="860"/>
      <c r="S690" s="860"/>
      <c r="T690" s="860"/>
      <c r="U690" s="860"/>
      <c r="V690" s="860"/>
      <c r="W690" s="860"/>
      <c r="X690" s="864"/>
      <c r="Y690" s="865"/>
      <c r="Z690" s="865"/>
      <c r="AA690" s="866"/>
      <c r="AB690" s="867"/>
      <c r="AC690" s="868"/>
      <c r="AD690" s="866"/>
      <c r="AE690" s="860"/>
      <c r="AF690" s="869"/>
      <c r="AG690" s="869"/>
      <c r="AH690" s="870"/>
      <c r="AI690" s="871"/>
      <c r="AJ690" s="870"/>
      <c r="AK690" s="870"/>
      <c r="AL690" s="860"/>
      <c r="AM690" s="860"/>
      <c r="AN690" s="860"/>
      <c r="AO690" s="860"/>
      <c r="AP690" s="860"/>
      <c r="AQ690" s="860"/>
      <c r="AR690" s="860"/>
      <c r="AS690" s="860"/>
      <c r="AT690" s="860"/>
      <c r="AU690" s="860"/>
      <c r="AV690" s="860"/>
      <c r="AW690" s="860"/>
      <c r="AX690" s="860"/>
      <c r="AY690" s="860"/>
      <c r="AZ690" s="860"/>
      <c r="BA690" s="860"/>
      <c r="BB690" s="860"/>
      <c r="BC690" s="860"/>
      <c r="BD690" s="860"/>
      <c r="BE690" s="860"/>
      <c r="BF690" s="860"/>
      <c r="BG690" s="860"/>
      <c r="BH690" s="860"/>
      <c r="BI690" s="860"/>
      <c r="BJ690" s="860"/>
      <c r="BK690" s="860"/>
      <c r="BL690" s="860"/>
      <c r="BM690" s="860"/>
      <c r="BN690" s="872"/>
      <c r="BO690" s="872"/>
      <c r="BP690" s="872"/>
      <c r="BQ690" s="872"/>
      <c r="BR690" s="872"/>
      <c r="BS690" s="872"/>
      <c r="BT690" s="860"/>
      <c r="BU690" s="860"/>
      <c r="BV690" s="860"/>
      <c r="BW690" s="860"/>
      <c r="BX690" s="872"/>
      <c r="BY690" s="872"/>
      <c r="BZ690" s="872"/>
      <c r="CA690" s="872"/>
      <c r="CB690" s="872"/>
      <c r="CC690" s="872"/>
    </row>
    <row r="691" s="860" customFormat="1" ht="13.5" spans="1:81">
      <c r="A691" s="861"/>
      <c r="B691" s="860"/>
      <c r="C691" s="860"/>
      <c r="D691" s="860"/>
      <c r="E691" s="862"/>
      <c r="F691" s="860"/>
      <c r="G691" s="860"/>
      <c r="H691" s="860"/>
      <c r="I691" s="860"/>
      <c r="J691" s="860"/>
      <c r="K691" s="860"/>
      <c r="L691" s="860"/>
      <c r="M691" s="860"/>
      <c r="N691" s="860"/>
      <c r="O691" s="860"/>
      <c r="P691" s="860"/>
      <c r="Q691" s="860"/>
      <c r="R691" s="860"/>
      <c r="S691" s="860"/>
      <c r="T691" s="860"/>
      <c r="U691" s="860"/>
      <c r="V691" s="860"/>
      <c r="W691" s="860"/>
      <c r="X691" s="864"/>
      <c r="Y691" s="865"/>
      <c r="Z691" s="865"/>
      <c r="AA691" s="866"/>
      <c r="AB691" s="867"/>
      <c r="AC691" s="868"/>
      <c r="AD691" s="866"/>
      <c r="AE691" s="860"/>
      <c r="AF691" s="869"/>
      <c r="AG691" s="869"/>
      <c r="AH691" s="870"/>
      <c r="AI691" s="871"/>
      <c r="AJ691" s="870"/>
      <c r="AK691" s="870"/>
      <c r="AL691" s="860"/>
      <c r="AM691" s="860"/>
      <c r="AN691" s="860"/>
      <c r="AO691" s="860"/>
      <c r="AP691" s="860"/>
      <c r="AQ691" s="860"/>
      <c r="AR691" s="860"/>
      <c r="AS691" s="860"/>
      <c r="AT691" s="860"/>
      <c r="AU691" s="860"/>
      <c r="AV691" s="860"/>
      <c r="AW691" s="860"/>
      <c r="AX691" s="860"/>
      <c r="AY691" s="860"/>
      <c r="AZ691" s="860"/>
      <c r="BA691" s="860"/>
      <c r="BB691" s="860"/>
      <c r="BC691" s="860"/>
      <c r="BD691" s="860"/>
      <c r="BE691" s="860"/>
      <c r="BF691" s="860"/>
      <c r="BG691" s="860"/>
      <c r="BH691" s="860"/>
      <c r="BI691" s="860"/>
      <c r="BJ691" s="860"/>
      <c r="BK691" s="860"/>
      <c r="BL691" s="860"/>
      <c r="BM691" s="860"/>
      <c r="BN691" s="872"/>
      <c r="BO691" s="872"/>
      <c r="BP691" s="872"/>
      <c r="BQ691" s="872"/>
      <c r="BR691" s="872"/>
      <c r="BS691" s="872"/>
      <c r="BT691" s="860"/>
      <c r="BU691" s="860"/>
      <c r="BV691" s="860"/>
      <c r="BW691" s="860"/>
      <c r="BX691" s="872"/>
      <c r="BY691" s="872"/>
      <c r="BZ691" s="872"/>
      <c r="CA691" s="872"/>
      <c r="CB691" s="872"/>
      <c r="CC691" s="872"/>
    </row>
    <row r="692" s="860" customFormat="1" ht="13.5" spans="1:81">
      <c r="A692" s="861"/>
      <c r="B692" s="860"/>
      <c r="C692" s="860"/>
      <c r="D692" s="860"/>
      <c r="E692" s="862"/>
      <c r="F692" s="860"/>
      <c r="G692" s="860"/>
      <c r="H692" s="860"/>
      <c r="I692" s="860"/>
      <c r="J692" s="860"/>
      <c r="K692" s="860"/>
      <c r="L692" s="860"/>
      <c r="M692" s="860"/>
      <c r="N692" s="860"/>
      <c r="O692" s="860"/>
      <c r="P692" s="860"/>
      <c r="Q692" s="860"/>
      <c r="R692" s="860"/>
      <c r="S692" s="860"/>
      <c r="T692" s="860"/>
      <c r="U692" s="860"/>
      <c r="V692" s="860"/>
      <c r="W692" s="860"/>
      <c r="X692" s="864"/>
      <c r="Y692" s="865"/>
      <c r="Z692" s="865"/>
      <c r="AA692" s="866"/>
      <c r="AB692" s="867"/>
      <c r="AC692" s="868"/>
      <c r="AD692" s="866"/>
      <c r="AE692" s="860"/>
      <c r="AF692" s="869"/>
      <c r="AG692" s="869"/>
      <c r="AH692" s="870"/>
      <c r="AI692" s="871"/>
      <c r="AJ692" s="870"/>
      <c r="AK692" s="870"/>
      <c r="AL692" s="860"/>
      <c r="AM692" s="860"/>
      <c r="AN692" s="860"/>
      <c r="AO692" s="860"/>
      <c r="AP692" s="860"/>
      <c r="AQ692" s="860"/>
      <c r="AR692" s="860"/>
      <c r="AS692" s="860"/>
      <c r="AT692" s="860"/>
      <c r="AU692" s="860"/>
      <c r="AV692" s="860"/>
      <c r="AW692" s="860"/>
      <c r="AX692" s="860"/>
      <c r="AY692" s="860"/>
      <c r="AZ692" s="860"/>
      <c r="BA692" s="860"/>
      <c r="BB692" s="860"/>
      <c r="BC692" s="860"/>
      <c r="BD692" s="860"/>
      <c r="BE692" s="860"/>
      <c r="BF692" s="860"/>
      <c r="BG692" s="860"/>
      <c r="BH692" s="860"/>
      <c r="BI692" s="860"/>
      <c r="BJ692" s="860"/>
      <c r="BK692" s="860"/>
      <c r="BL692" s="860"/>
      <c r="BM692" s="860"/>
      <c r="BN692" s="872"/>
      <c r="BO692" s="872"/>
      <c r="BP692" s="872"/>
      <c r="BQ692" s="872"/>
      <c r="BR692" s="872"/>
      <c r="BS692" s="872"/>
      <c r="BT692" s="860"/>
      <c r="BU692" s="860"/>
      <c r="BV692" s="860"/>
      <c r="BW692" s="860"/>
      <c r="BX692" s="872"/>
      <c r="BY692" s="872"/>
      <c r="BZ692" s="872"/>
      <c r="CA692" s="872"/>
      <c r="CB692" s="872"/>
      <c r="CC692" s="872"/>
    </row>
    <row r="693" s="860" customFormat="1" ht="13.5" spans="1:81">
      <c r="A693" s="861"/>
      <c r="B693" s="860"/>
      <c r="C693" s="860"/>
      <c r="D693" s="860"/>
      <c r="E693" s="862"/>
      <c r="F693" s="860"/>
      <c r="G693" s="860"/>
      <c r="H693" s="860"/>
      <c r="I693" s="860"/>
      <c r="J693" s="860"/>
      <c r="K693" s="860"/>
      <c r="L693" s="860"/>
      <c r="M693" s="860"/>
      <c r="N693" s="860"/>
      <c r="O693" s="860"/>
      <c r="P693" s="860"/>
      <c r="Q693" s="860"/>
      <c r="R693" s="860"/>
      <c r="S693" s="860"/>
      <c r="T693" s="860"/>
      <c r="U693" s="860"/>
      <c r="V693" s="860"/>
      <c r="W693" s="860"/>
      <c r="X693" s="864"/>
      <c r="Y693" s="865"/>
      <c r="Z693" s="865"/>
      <c r="AA693" s="866"/>
      <c r="AB693" s="867"/>
      <c r="AC693" s="868"/>
      <c r="AD693" s="866"/>
      <c r="AE693" s="860"/>
      <c r="AF693" s="869"/>
      <c r="AG693" s="869"/>
      <c r="AH693" s="870"/>
      <c r="AI693" s="871"/>
      <c r="AJ693" s="870"/>
      <c r="AK693" s="870"/>
      <c r="AL693" s="860"/>
      <c r="AM693" s="860"/>
      <c r="AN693" s="860"/>
      <c r="AO693" s="860"/>
      <c r="AP693" s="860"/>
      <c r="AQ693" s="860"/>
      <c r="AR693" s="860"/>
      <c r="AS693" s="860"/>
      <c r="AT693" s="860"/>
      <c r="AU693" s="860"/>
      <c r="AV693" s="860"/>
      <c r="AW693" s="860"/>
      <c r="AX693" s="860"/>
      <c r="AY693" s="860"/>
      <c r="AZ693" s="860"/>
      <c r="BA693" s="860"/>
      <c r="BB693" s="860"/>
      <c r="BC693" s="860"/>
      <c r="BD693" s="860"/>
      <c r="BE693" s="860"/>
      <c r="BF693" s="860"/>
      <c r="BG693" s="860"/>
      <c r="BH693" s="860"/>
      <c r="BI693" s="860"/>
      <c r="BJ693" s="860"/>
      <c r="BK693" s="860"/>
      <c r="BL693" s="860"/>
      <c r="BM693" s="860"/>
      <c r="BN693" s="872"/>
      <c r="BO693" s="872"/>
      <c r="BP693" s="872"/>
      <c r="BQ693" s="872"/>
      <c r="BR693" s="872"/>
      <c r="BS693" s="872"/>
      <c r="BT693" s="860"/>
      <c r="BU693" s="860"/>
      <c r="BV693" s="860"/>
      <c r="BW693" s="860"/>
      <c r="BX693" s="872"/>
      <c r="BY693" s="872"/>
      <c r="BZ693" s="872"/>
      <c r="CA693" s="872"/>
      <c r="CB693" s="872"/>
      <c r="CC693" s="872"/>
    </row>
    <row r="694" s="860" customFormat="1" ht="13.5" spans="1:81">
      <c r="A694" s="861"/>
      <c r="B694" s="860"/>
      <c r="C694" s="860"/>
      <c r="D694" s="860"/>
      <c r="E694" s="862"/>
      <c r="F694" s="860"/>
      <c r="G694" s="860"/>
      <c r="H694" s="860"/>
      <c r="I694" s="860"/>
      <c r="J694" s="860"/>
      <c r="K694" s="860"/>
      <c r="L694" s="860"/>
      <c r="M694" s="860"/>
      <c r="N694" s="860"/>
      <c r="O694" s="860"/>
      <c r="P694" s="860"/>
      <c r="Q694" s="860"/>
      <c r="R694" s="860"/>
      <c r="S694" s="860"/>
      <c r="T694" s="860"/>
      <c r="U694" s="860"/>
      <c r="V694" s="860"/>
      <c r="W694" s="860"/>
      <c r="X694" s="864"/>
      <c r="Y694" s="865"/>
      <c r="Z694" s="865"/>
      <c r="AA694" s="866"/>
      <c r="AB694" s="867"/>
      <c r="AC694" s="868"/>
      <c r="AD694" s="866"/>
      <c r="AE694" s="860"/>
      <c r="AF694" s="869"/>
      <c r="AG694" s="869"/>
      <c r="AH694" s="870"/>
      <c r="AI694" s="871"/>
      <c r="AJ694" s="870"/>
      <c r="AK694" s="870"/>
      <c r="AL694" s="860"/>
      <c r="AM694" s="860"/>
      <c r="AN694" s="860"/>
      <c r="AO694" s="860"/>
      <c r="AP694" s="860"/>
      <c r="AQ694" s="860"/>
      <c r="AR694" s="860"/>
      <c r="AS694" s="860"/>
      <c r="AT694" s="860"/>
      <c r="AU694" s="860"/>
      <c r="AV694" s="860"/>
      <c r="AW694" s="860"/>
      <c r="AX694" s="860"/>
      <c r="AY694" s="860"/>
      <c r="AZ694" s="860"/>
      <c r="BA694" s="860"/>
      <c r="BB694" s="860"/>
      <c r="BC694" s="860"/>
      <c r="BD694" s="860"/>
      <c r="BE694" s="860"/>
      <c r="BF694" s="860"/>
      <c r="BG694" s="860"/>
      <c r="BH694" s="860"/>
      <c r="BI694" s="860"/>
      <c r="BJ694" s="860"/>
      <c r="BK694" s="860"/>
      <c r="BL694" s="860"/>
      <c r="BM694" s="860"/>
      <c r="BN694" s="872"/>
      <c r="BO694" s="872"/>
      <c r="BP694" s="872"/>
      <c r="BQ694" s="872"/>
      <c r="BR694" s="872"/>
      <c r="BS694" s="872"/>
      <c r="BT694" s="860"/>
      <c r="BU694" s="860"/>
      <c r="BV694" s="860"/>
      <c r="BW694" s="860"/>
      <c r="BX694" s="872"/>
      <c r="BY694" s="872"/>
      <c r="BZ694" s="872"/>
      <c r="CA694" s="872"/>
      <c r="CB694" s="872"/>
      <c r="CC694" s="872"/>
    </row>
    <row r="695" s="860" customFormat="1" ht="13.5" spans="1:81">
      <c r="A695" s="861"/>
      <c r="B695" s="860"/>
      <c r="C695" s="860"/>
      <c r="D695" s="860"/>
      <c r="E695" s="862"/>
      <c r="F695" s="860"/>
      <c r="G695" s="860"/>
      <c r="H695" s="860"/>
      <c r="I695" s="860"/>
      <c r="J695" s="860"/>
      <c r="K695" s="860"/>
      <c r="L695" s="860"/>
      <c r="M695" s="860"/>
      <c r="N695" s="860"/>
      <c r="O695" s="860"/>
      <c r="P695" s="860"/>
      <c r="Q695" s="860"/>
      <c r="R695" s="860"/>
      <c r="S695" s="860"/>
      <c r="T695" s="860"/>
      <c r="U695" s="860"/>
      <c r="V695" s="860"/>
      <c r="W695" s="860"/>
      <c r="X695" s="864"/>
      <c r="Y695" s="865"/>
      <c r="Z695" s="865"/>
      <c r="AA695" s="866"/>
      <c r="AB695" s="867"/>
      <c r="AC695" s="868"/>
      <c r="AD695" s="866"/>
      <c r="AE695" s="860"/>
      <c r="AF695" s="869"/>
      <c r="AG695" s="869"/>
      <c r="AH695" s="870"/>
      <c r="AI695" s="871"/>
      <c r="AJ695" s="870"/>
      <c r="AK695" s="870"/>
      <c r="AL695" s="860"/>
      <c r="AM695" s="860"/>
      <c r="AN695" s="860"/>
      <c r="AO695" s="860"/>
      <c r="AP695" s="860"/>
      <c r="AQ695" s="860"/>
      <c r="AR695" s="860"/>
      <c r="AS695" s="860"/>
      <c r="AT695" s="860"/>
      <c r="AU695" s="860"/>
      <c r="AV695" s="860"/>
      <c r="AW695" s="860"/>
      <c r="AX695" s="860"/>
      <c r="AY695" s="860"/>
      <c r="AZ695" s="860"/>
      <c r="BA695" s="860"/>
      <c r="BB695" s="860"/>
      <c r="BC695" s="860"/>
      <c r="BD695" s="860"/>
      <c r="BE695" s="860"/>
      <c r="BF695" s="860"/>
      <c r="BG695" s="860"/>
      <c r="BH695" s="860"/>
      <c r="BI695" s="860"/>
      <c r="BJ695" s="860"/>
      <c r="BK695" s="860"/>
      <c r="BL695" s="860"/>
      <c r="BM695" s="860"/>
      <c r="BN695" s="872"/>
      <c r="BO695" s="872"/>
      <c r="BP695" s="872"/>
      <c r="BQ695" s="872"/>
      <c r="BR695" s="872"/>
      <c r="BS695" s="872"/>
      <c r="BT695" s="860"/>
      <c r="BU695" s="860"/>
      <c r="BV695" s="860"/>
      <c r="BW695" s="860"/>
      <c r="BX695" s="872"/>
      <c r="BY695" s="872"/>
      <c r="BZ695" s="872"/>
      <c r="CA695" s="872"/>
      <c r="CB695" s="872"/>
      <c r="CC695" s="872"/>
    </row>
    <row r="696" s="860" customFormat="1" ht="13.5" spans="1:81">
      <c r="A696" s="861"/>
      <c r="B696" s="860"/>
      <c r="C696" s="860"/>
      <c r="D696" s="860"/>
      <c r="E696" s="862"/>
      <c r="F696" s="860"/>
      <c r="G696" s="860"/>
      <c r="H696" s="860"/>
      <c r="I696" s="860"/>
      <c r="J696" s="860"/>
      <c r="K696" s="860"/>
      <c r="L696" s="860"/>
      <c r="M696" s="860"/>
      <c r="N696" s="860"/>
      <c r="O696" s="860"/>
      <c r="P696" s="860"/>
      <c r="Q696" s="860"/>
      <c r="R696" s="860"/>
      <c r="S696" s="860"/>
      <c r="T696" s="860"/>
      <c r="U696" s="860"/>
      <c r="V696" s="860"/>
      <c r="W696" s="860"/>
      <c r="X696" s="864"/>
      <c r="Y696" s="865"/>
      <c r="Z696" s="865"/>
      <c r="AA696" s="866"/>
      <c r="AB696" s="867"/>
      <c r="AC696" s="868"/>
      <c r="AD696" s="866"/>
      <c r="AE696" s="860"/>
      <c r="AF696" s="869"/>
      <c r="AG696" s="869"/>
      <c r="AH696" s="870"/>
      <c r="AI696" s="871"/>
      <c r="AJ696" s="870"/>
      <c r="AK696" s="870"/>
      <c r="AL696" s="860"/>
      <c r="AM696" s="860"/>
      <c r="AN696" s="860"/>
      <c r="AO696" s="860"/>
      <c r="AP696" s="860"/>
      <c r="AQ696" s="860"/>
      <c r="AR696" s="860"/>
      <c r="AS696" s="860"/>
      <c r="AT696" s="860"/>
      <c r="AU696" s="860"/>
      <c r="AV696" s="860"/>
      <c r="AW696" s="860"/>
      <c r="AX696" s="860"/>
      <c r="AY696" s="860"/>
      <c r="AZ696" s="860"/>
      <c r="BA696" s="860"/>
      <c r="BB696" s="860"/>
      <c r="BC696" s="860"/>
      <c r="BD696" s="860"/>
      <c r="BE696" s="860"/>
      <c r="BF696" s="860"/>
      <c r="BG696" s="860"/>
      <c r="BH696" s="860"/>
      <c r="BI696" s="860"/>
      <c r="BJ696" s="860"/>
      <c r="BK696" s="860"/>
      <c r="BL696" s="860"/>
      <c r="BM696" s="860"/>
      <c r="BN696" s="872"/>
      <c r="BO696" s="872"/>
      <c r="BP696" s="872"/>
      <c r="BQ696" s="872"/>
      <c r="BR696" s="872"/>
      <c r="BS696" s="872"/>
      <c r="BT696" s="860"/>
      <c r="BU696" s="860"/>
      <c r="BV696" s="860"/>
      <c r="BW696" s="860"/>
      <c r="BX696" s="872"/>
      <c r="BY696" s="872"/>
      <c r="BZ696" s="872"/>
      <c r="CA696" s="872"/>
      <c r="CB696" s="872"/>
      <c r="CC696" s="872"/>
    </row>
    <row r="697" s="860" customFormat="1" ht="13.5" spans="1:81">
      <c r="A697" s="861"/>
      <c r="B697" s="860"/>
      <c r="C697" s="860"/>
      <c r="D697" s="860"/>
      <c r="E697" s="862"/>
      <c r="F697" s="860"/>
      <c r="G697" s="860"/>
      <c r="H697" s="860"/>
      <c r="I697" s="860"/>
      <c r="J697" s="860"/>
      <c r="K697" s="860"/>
      <c r="L697" s="860"/>
      <c r="M697" s="860"/>
      <c r="N697" s="860"/>
      <c r="O697" s="860"/>
      <c r="P697" s="860"/>
      <c r="Q697" s="860"/>
      <c r="R697" s="860"/>
      <c r="S697" s="860"/>
      <c r="T697" s="860"/>
      <c r="U697" s="860"/>
      <c r="V697" s="860"/>
      <c r="W697" s="860"/>
      <c r="X697" s="864"/>
      <c r="Y697" s="865"/>
      <c r="Z697" s="865"/>
      <c r="AA697" s="866"/>
      <c r="AB697" s="867"/>
      <c r="AC697" s="868"/>
      <c r="AD697" s="866"/>
      <c r="AE697" s="860"/>
      <c r="AF697" s="869"/>
      <c r="AG697" s="869"/>
      <c r="AH697" s="870"/>
      <c r="AI697" s="871"/>
      <c r="AJ697" s="870"/>
      <c r="AK697" s="870"/>
      <c r="AL697" s="860"/>
      <c r="AM697" s="860"/>
      <c r="AN697" s="860"/>
      <c r="AO697" s="860"/>
      <c r="AP697" s="860"/>
      <c r="AQ697" s="860"/>
      <c r="AR697" s="860"/>
      <c r="AS697" s="860"/>
      <c r="AT697" s="860"/>
      <c r="AU697" s="860"/>
      <c r="AV697" s="860"/>
      <c r="AW697" s="860"/>
      <c r="AX697" s="860"/>
      <c r="AY697" s="860"/>
      <c r="AZ697" s="860"/>
      <c r="BA697" s="860"/>
      <c r="BB697" s="860"/>
      <c r="BC697" s="860"/>
      <c r="BD697" s="860"/>
      <c r="BE697" s="860"/>
      <c r="BF697" s="860"/>
      <c r="BG697" s="860"/>
      <c r="BH697" s="860"/>
      <c r="BI697" s="860"/>
      <c r="BJ697" s="860"/>
      <c r="BK697" s="860"/>
      <c r="BL697" s="860"/>
      <c r="BM697" s="860"/>
      <c r="BN697" s="872"/>
      <c r="BO697" s="872"/>
      <c r="BP697" s="872"/>
      <c r="BQ697" s="872"/>
      <c r="BR697" s="872"/>
      <c r="BS697" s="872"/>
      <c r="BT697" s="860"/>
      <c r="BU697" s="860"/>
      <c r="BV697" s="860"/>
      <c r="BW697" s="860"/>
      <c r="BX697" s="872"/>
      <c r="BY697" s="872"/>
      <c r="BZ697" s="872"/>
      <c r="CA697" s="872"/>
      <c r="CB697" s="872"/>
      <c r="CC697" s="872"/>
    </row>
    <row r="698" s="860" customFormat="1" ht="13.5" spans="1:81">
      <c r="A698" s="861"/>
      <c r="B698" s="860"/>
      <c r="C698" s="860"/>
      <c r="D698" s="860"/>
      <c r="E698" s="862"/>
      <c r="F698" s="860"/>
      <c r="G698" s="860"/>
      <c r="H698" s="860"/>
      <c r="I698" s="860"/>
      <c r="J698" s="860"/>
      <c r="K698" s="860"/>
      <c r="L698" s="860"/>
      <c r="M698" s="860"/>
      <c r="N698" s="860"/>
      <c r="O698" s="860"/>
      <c r="P698" s="860"/>
      <c r="Q698" s="860"/>
      <c r="R698" s="860"/>
      <c r="S698" s="860"/>
      <c r="T698" s="860"/>
      <c r="U698" s="860"/>
      <c r="V698" s="860"/>
      <c r="W698" s="860"/>
      <c r="X698" s="864"/>
      <c r="Y698" s="865"/>
      <c r="Z698" s="865"/>
      <c r="AA698" s="866"/>
      <c r="AB698" s="867"/>
      <c r="AC698" s="868"/>
      <c r="AD698" s="866"/>
      <c r="AE698" s="860"/>
      <c r="AF698" s="869"/>
      <c r="AG698" s="869"/>
      <c r="AH698" s="870"/>
      <c r="AI698" s="871"/>
      <c r="AJ698" s="870"/>
      <c r="AK698" s="870"/>
      <c r="AL698" s="860"/>
      <c r="AM698" s="860"/>
      <c r="AN698" s="860"/>
      <c r="AO698" s="860"/>
      <c r="AP698" s="860"/>
      <c r="AQ698" s="860"/>
      <c r="AR698" s="860"/>
      <c r="AS698" s="860"/>
      <c r="AT698" s="860"/>
      <c r="AU698" s="860"/>
      <c r="AV698" s="860"/>
      <c r="AW698" s="860"/>
      <c r="AX698" s="860"/>
      <c r="AY698" s="860"/>
      <c r="AZ698" s="860"/>
      <c r="BA698" s="860"/>
      <c r="BB698" s="860"/>
      <c r="BC698" s="860"/>
      <c r="BD698" s="860"/>
      <c r="BE698" s="860"/>
      <c r="BF698" s="860"/>
      <c r="BG698" s="860"/>
      <c r="BH698" s="860"/>
      <c r="BI698" s="860"/>
      <c r="BJ698" s="860"/>
      <c r="BK698" s="860"/>
      <c r="BL698" s="860"/>
      <c r="BM698" s="860"/>
      <c r="BN698" s="872"/>
      <c r="BO698" s="872"/>
      <c r="BP698" s="872"/>
      <c r="BQ698" s="872"/>
      <c r="BR698" s="872"/>
      <c r="BS698" s="872"/>
      <c r="BT698" s="860"/>
      <c r="BU698" s="860"/>
      <c r="BV698" s="860"/>
      <c r="BW698" s="860"/>
      <c r="BX698" s="872"/>
      <c r="BY698" s="872"/>
      <c r="BZ698" s="872"/>
      <c r="CA698" s="872"/>
      <c r="CB698" s="872"/>
      <c r="CC698" s="872"/>
    </row>
    <row r="699" s="860" customFormat="1" ht="13.5" spans="1:81">
      <c r="A699" s="861"/>
      <c r="B699" s="860"/>
      <c r="C699" s="860"/>
      <c r="D699" s="860"/>
      <c r="E699" s="862"/>
      <c r="F699" s="860"/>
      <c r="G699" s="860"/>
      <c r="H699" s="860"/>
      <c r="I699" s="860"/>
      <c r="J699" s="860"/>
      <c r="K699" s="860"/>
      <c r="L699" s="860"/>
      <c r="M699" s="860"/>
      <c r="N699" s="860"/>
      <c r="O699" s="860"/>
      <c r="P699" s="860"/>
      <c r="Q699" s="860"/>
      <c r="R699" s="860"/>
      <c r="S699" s="860"/>
      <c r="T699" s="860"/>
      <c r="U699" s="860"/>
      <c r="V699" s="860"/>
      <c r="W699" s="860"/>
      <c r="X699" s="864"/>
      <c r="Y699" s="865"/>
      <c r="Z699" s="865"/>
      <c r="AA699" s="866"/>
      <c r="AB699" s="867"/>
      <c r="AC699" s="868"/>
      <c r="AD699" s="866"/>
      <c r="AE699" s="860"/>
      <c r="AF699" s="869"/>
      <c r="AG699" s="869"/>
      <c r="AH699" s="870"/>
      <c r="AI699" s="871"/>
      <c r="AJ699" s="870"/>
      <c r="AK699" s="870"/>
      <c r="AL699" s="860"/>
      <c r="AM699" s="860"/>
      <c r="AN699" s="860"/>
      <c r="AO699" s="860"/>
      <c r="AP699" s="860"/>
      <c r="AQ699" s="860"/>
      <c r="AR699" s="860"/>
      <c r="AS699" s="860"/>
      <c r="AT699" s="860"/>
      <c r="AU699" s="860"/>
      <c r="AV699" s="860"/>
      <c r="AW699" s="860"/>
      <c r="AX699" s="860"/>
      <c r="AY699" s="860"/>
      <c r="AZ699" s="860"/>
      <c r="BA699" s="860"/>
      <c r="BB699" s="860"/>
      <c r="BC699" s="860"/>
      <c r="BD699" s="860"/>
      <c r="BE699" s="860"/>
      <c r="BF699" s="860"/>
      <c r="BG699" s="860"/>
      <c r="BH699" s="860"/>
      <c r="BI699" s="860"/>
      <c r="BJ699" s="860"/>
      <c r="BK699" s="860"/>
      <c r="BL699" s="860"/>
      <c r="BM699" s="860"/>
      <c r="BN699" s="872"/>
      <c r="BO699" s="872"/>
      <c r="BP699" s="872"/>
      <c r="BQ699" s="872"/>
      <c r="BR699" s="872"/>
      <c r="BS699" s="872"/>
      <c r="BT699" s="860"/>
      <c r="BU699" s="860"/>
      <c r="BV699" s="860"/>
      <c r="BW699" s="860"/>
      <c r="BX699" s="872"/>
      <c r="BY699" s="872"/>
      <c r="BZ699" s="872"/>
      <c r="CA699" s="872"/>
      <c r="CB699" s="872"/>
      <c r="CC699" s="872"/>
    </row>
    <row r="700" s="860" customFormat="1" ht="13.5" spans="1:81">
      <c r="A700" s="861"/>
      <c r="B700" s="860"/>
      <c r="C700" s="860"/>
      <c r="D700" s="860"/>
      <c r="E700" s="862"/>
      <c r="F700" s="860"/>
      <c r="G700" s="860"/>
      <c r="H700" s="860"/>
      <c r="I700" s="860"/>
      <c r="J700" s="860"/>
      <c r="K700" s="860"/>
      <c r="L700" s="860"/>
      <c r="M700" s="860"/>
      <c r="N700" s="860"/>
      <c r="O700" s="860"/>
      <c r="P700" s="860"/>
      <c r="Q700" s="860"/>
      <c r="R700" s="860"/>
      <c r="S700" s="860"/>
      <c r="T700" s="860"/>
      <c r="U700" s="860"/>
      <c r="V700" s="860"/>
      <c r="W700" s="860"/>
      <c r="X700" s="864"/>
      <c r="Y700" s="865"/>
      <c r="Z700" s="865"/>
      <c r="AA700" s="866"/>
      <c r="AB700" s="867"/>
      <c r="AC700" s="868"/>
      <c r="AD700" s="866"/>
      <c r="AE700" s="860"/>
      <c r="AF700" s="869"/>
      <c r="AG700" s="869"/>
      <c r="AH700" s="870"/>
      <c r="AI700" s="871"/>
      <c r="AJ700" s="870"/>
      <c r="AK700" s="870"/>
      <c r="AL700" s="860"/>
      <c r="AM700" s="860"/>
      <c r="AN700" s="860"/>
      <c r="AO700" s="860"/>
      <c r="AP700" s="860"/>
      <c r="AQ700" s="860"/>
      <c r="AR700" s="860"/>
      <c r="AS700" s="860"/>
      <c r="AT700" s="860"/>
      <c r="AU700" s="860"/>
      <c r="AV700" s="860"/>
      <c r="AW700" s="860"/>
      <c r="AX700" s="860"/>
      <c r="AY700" s="860"/>
      <c r="AZ700" s="860"/>
      <c r="BA700" s="860"/>
      <c r="BB700" s="860"/>
      <c r="BC700" s="860"/>
      <c r="BD700" s="860"/>
      <c r="BE700" s="860"/>
      <c r="BF700" s="860"/>
      <c r="BG700" s="860"/>
      <c r="BH700" s="860"/>
      <c r="BI700" s="860"/>
      <c r="BJ700" s="860"/>
      <c r="BK700" s="860"/>
      <c r="BL700" s="860"/>
      <c r="BM700" s="860"/>
      <c r="BN700" s="872"/>
      <c r="BO700" s="872"/>
      <c r="BP700" s="872"/>
      <c r="BQ700" s="872"/>
      <c r="BR700" s="872"/>
      <c r="BS700" s="872"/>
      <c r="BT700" s="860"/>
      <c r="BU700" s="860"/>
      <c r="BV700" s="860"/>
      <c r="BW700" s="860"/>
      <c r="BX700" s="872"/>
      <c r="BY700" s="872"/>
      <c r="BZ700" s="872"/>
      <c r="CA700" s="872"/>
      <c r="CB700" s="872"/>
      <c r="CC700" s="872"/>
    </row>
    <row r="701" s="860" customFormat="1" ht="13.5" spans="1:81">
      <c r="A701" s="861"/>
      <c r="B701" s="860"/>
      <c r="C701" s="860"/>
      <c r="D701" s="860"/>
      <c r="E701" s="862"/>
      <c r="F701" s="860"/>
      <c r="G701" s="860"/>
      <c r="H701" s="860"/>
      <c r="I701" s="860"/>
      <c r="J701" s="860"/>
      <c r="K701" s="860"/>
      <c r="L701" s="860"/>
      <c r="M701" s="860"/>
      <c r="N701" s="860"/>
      <c r="O701" s="860"/>
      <c r="P701" s="860"/>
      <c r="Q701" s="860"/>
      <c r="R701" s="860"/>
      <c r="S701" s="860"/>
      <c r="T701" s="860"/>
      <c r="U701" s="860"/>
      <c r="V701" s="860"/>
      <c r="W701" s="860"/>
      <c r="X701" s="864"/>
      <c r="Y701" s="865"/>
      <c r="Z701" s="865"/>
      <c r="AA701" s="866"/>
      <c r="AB701" s="867"/>
      <c r="AC701" s="868"/>
      <c r="AD701" s="866"/>
      <c r="AE701" s="860"/>
      <c r="AF701" s="869"/>
      <c r="AG701" s="869"/>
      <c r="AH701" s="870"/>
      <c r="AI701" s="871"/>
      <c r="AJ701" s="870"/>
      <c r="AK701" s="870"/>
      <c r="AL701" s="860"/>
      <c r="AM701" s="860"/>
      <c r="AN701" s="860"/>
      <c r="AO701" s="860"/>
      <c r="AP701" s="860"/>
      <c r="AQ701" s="860"/>
      <c r="AR701" s="860"/>
      <c r="AS701" s="860"/>
      <c r="AT701" s="860"/>
      <c r="AU701" s="860"/>
      <c r="AV701" s="860"/>
      <c r="AW701" s="860"/>
      <c r="AX701" s="860"/>
      <c r="AY701" s="860"/>
      <c r="AZ701" s="860"/>
      <c r="BA701" s="860"/>
      <c r="BB701" s="860"/>
      <c r="BC701" s="860"/>
      <c r="BD701" s="860"/>
      <c r="BE701" s="860"/>
      <c r="BF701" s="860"/>
      <c r="BG701" s="860"/>
      <c r="BH701" s="860"/>
      <c r="BI701" s="860"/>
      <c r="BJ701" s="860"/>
      <c r="BK701" s="860"/>
      <c r="BL701" s="860"/>
      <c r="BM701" s="860"/>
      <c r="BN701" s="872"/>
      <c r="BO701" s="872"/>
      <c r="BP701" s="872"/>
      <c r="BQ701" s="872"/>
      <c r="BR701" s="872"/>
      <c r="BS701" s="872"/>
      <c r="BT701" s="860"/>
      <c r="BU701" s="860"/>
      <c r="BV701" s="860"/>
      <c r="BW701" s="860"/>
      <c r="BX701" s="872"/>
      <c r="BY701" s="872"/>
      <c r="BZ701" s="872"/>
      <c r="CA701" s="872"/>
      <c r="CB701" s="872"/>
      <c r="CC701" s="872"/>
    </row>
    <row r="702" s="860" customFormat="1" ht="13.5" spans="1:81">
      <c r="A702" s="861"/>
      <c r="B702" s="860"/>
      <c r="C702" s="860"/>
      <c r="D702" s="860"/>
      <c r="E702" s="862"/>
      <c r="F702" s="860"/>
      <c r="G702" s="860"/>
      <c r="H702" s="860"/>
      <c r="I702" s="860"/>
      <c r="J702" s="860"/>
      <c r="K702" s="860"/>
      <c r="L702" s="860"/>
      <c r="M702" s="860"/>
      <c r="N702" s="860"/>
      <c r="O702" s="860"/>
      <c r="P702" s="860"/>
      <c r="Q702" s="860"/>
      <c r="R702" s="860"/>
      <c r="S702" s="860"/>
      <c r="T702" s="860"/>
      <c r="U702" s="860"/>
      <c r="V702" s="860"/>
      <c r="W702" s="860"/>
      <c r="X702" s="864"/>
      <c r="Y702" s="865"/>
      <c r="Z702" s="865"/>
      <c r="AA702" s="866"/>
      <c r="AB702" s="867"/>
      <c r="AC702" s="868"/>
      <c r="AD702" s="866"/>
      <c r="AE702" s="860"/>
      <c r="AF702" s="869"/>
      <c r="AG702" s="869"/>
      <c r="AH702" s="870"/>
      <c r="AI702" s="871"/>
      <c r="AJ702" s="870"/>
      <c r="AK702" s="870"/>
      <c r="AL702" s="860"/>
      <c r="AM702" s="860"/>
      <c r="AN702" s="860"/>
      <c r="AO702" s="860"/>
      <c r="AP702" s="860"/>
      <c r="AQ702" s="860"/>
      <c r="AR702" s="860"/>
      <c r="AS702" s="860"/>
      <c r="AT702" s="860"/>
      <c r="AU702" s="860"/>
      <c r="AV702" s="860"/>
      <c r="AW702" s="860"/>
      <c r="AX702" s="860"/>
      <c r="AY702" s="860"/>
      <c r="AZ702" s="860"/>
      <c r="BA702" s="860"/>
      <c r="BB702" s="860"/>
      <c r="BC702" s="860"/>
      <c r="BD702" s="860"/>
      <c r="BE702" s="860"/>
      <c r="BF702" s="860"/>
      <c r="BG702" s="860"/>
      <c r="BH702" s="860"/>
      <c r="BI702" s="860"/>
      <c r="BJ702" s="860"/>
      <c r="BK702" s="860"/>
      <c r="BL702" s="860"/>
      <c r="BM702" s="860"/>
      <c r="BN702" s="872"/>
      <c r="BO702" s="872"/>
      <c r="BP702" s="872"/>
      <c r="BQ702" s="872"/>
      <c r="BR702" s="872"/>
      <c r="BS702" s="872"/>
      <c r="BT702" s="860"/>
      <c r="BU702" s="860"/>
      <c r="BV702" s="860"/>
      <c r="BW702" s="860"/>
      <c r="BX702" s="872"/>
      <c r="BY702" s="872"/>
      <c r="BZ702" s="872"/>
      <c r="CA702" s="872"/>
      <c r="CB702" s="872"/>
      <c r="CC702" s="872"/>
    </row>
    <row r="703" s="860" customFormat="1" ht="13.5" spans="1:81">
      <c r="A703" s="861"/>
      <c r="B703" s="860"/>
      <c r="C703" s="860"/>
      <c r="D703" s="860"/>
      <c r="E703" s="862"/>
      <c r="F703" s="860"/>
      <c r="G703" s="860"/>
      <c r="H703" s="860"/>
      <c r="I703" s="860"/>
      <c r="J703" s="860"/>
      <c r="K703" s="860"/>
      <c r="L703" s="860"/>
      <c r="M703" s="860"/>
      <c r="N703" s="860"/>
      <c r="O703" s="860"/>
      <c r="P703" s="860"/>
      <c r="Q703" s="860"/>
      <c r="R703" s="860"/>
      <c r="S703" s="860"/>
      <c r="T703" s="860"/>
      <c r="U703" s="860"/>
      <c r="V703" s="860"/>
      <c r="W703" s="860"/>
      <c r="X703" s="864"/>
      <c r="Y703" s="865"/>
      <c r="Z703" s="865"/>
      <c r="AA703" s="866"/>
      <c r="AB703" s="867"/>
      <c r="AC703" s="868"/>
      <c r="AD703" s="866"/>
      <c r="AE703" s="860"/>
      <c r="AF703" s="869"/>
      <c r="AG703" s="869"/>
      <c r="AH703" s="870"/>
      <c r="AI703" s="871"/>
      <c r="AJ703" s="870"/>
      <c r="AK703" s="870"/>
      <c r="AL703" s="860"/>
      <c r="AM703" s="860"/>
      <c r="AN703" s="860"/>
      <c r="AO703" s="860"/>
      <c r="AP703" s="860"/>
      <c r="AQ703" s="860"/>
      <c r="AR703" s="860"/>
      <c r="AS703" s="860"/>
      <c r="AT703" s="860"/>
      <c r="AU703" s="860"/>
      <c r="AV703" s="860"/>
      <c r="AW703" s="860"/>
      <c r="AX703" s="860"/>
      <c r="AY703" s="860"/>
      <c r="AZ703" s="860"/>
      <c r="BA703" s="860"/>
      <c r="BB703" s="860"/>
      <c r="BC703" s="860"/>
      <c r="BD703" s="860"/>
      <c r="BE703" s="860"/>
      <c r="BF703" s="860"/>
      <c r="BG703" s="860"/>
      <c r="BH703" s="860"/>
      <c r="BI703" s="860"/>
      <c r="BJ703" s="860"/>
      <c r="BK703" s="860"/>
      <c r="BL703" s="860"/>
      <c r="BM703" s="860"/>
      <c r="BN703" s="872"/>
      <c r="BO703" s="872"/>
      <c r="BP703" s="872"/>
      <c r="BQ703" s="872"/>
      <c r="BR703" s="872"/>
      <c r="BS703" s="872"/>
      <c r="BT703" s="860"/>
      <c r="BU703" s="860"/>
      <c r="BV703" s="860"/>
      <c r="BW703" s="860"/>
      <c r="BX703" s="872"/>
      <c r="BY703" s="872"/>
      <c r="BZ703" s="872"/>
      <c r="CA703" s="872"/>
      <c r="CB703" s="872"/>
      <c r="CC703" s="872"/>
    </row>
    <row r="704" s="860" customFormat="1" ht="13.5" spans="1:81">
      <c r="A704" s="861"/>
      <c r="B704" s="860"/>
      <c r="C704" s="860"/>
      <c r="D704" s="860"/>
      <c r="E704" s="862"/>
      <c r="F704" s="860"/>
      <c r="G704" s="860"/>
      <c r="H704" s="860"/>
      <c r="I704" s="860"/>
      <c r="J704" s="860"/>
      <c r="K704" s="860"/>
      <c r="L704" s="860"/>
      <c r="M704" s="860"/>
      <c r="N704" s="860"/>
      <c r="O704" s="860"/>
      <c r="P704" s="860"/>
      <c r="Q704" s="860"/>
      <c r="R704" s="860"/>
      <c r="S704" s="860"/>
      <c r="T704" s="860"/>
      <c r="U704" s="860"/>
      <c r="V704" s="860"/>
      <c r="W704" s="860"/>
      <c r="X704" s="864"/>
      <c r="Y704" s="865"/>
      <c r="Z704" s="865"/>
      <c r="AA704" s="866"/>
      <c r="AB704" s="867"/>
      <c r="AC704" s="868"/>
      <c r="AD704" s="866"/>
      <c r="AE704" s="860"/>
      <c r="AF704" s="869"/>
      <c r="AG704" s="869"/>
      <c r="AH704" s="870"/>
      <c r="AI704" s="871"/>
      <c r="AJ704" s="870"/>
      <c r="AK704" s="870"/>
      <c r="AL704" s="860"/>
      <c r="AM704" s="860"/>
      <c r="AN704" s="860"/>
      <c r="AO704" s="860"/>
      <c r="AP704" s="860"/>
      <c r="AQ704" s="860"/>
      <c r="AR704" s="860"/>
      <c r="AS704" s="860"/>
      <c r="AT704" s="860"/>
      <c r="AU704" s="860"/>
      <c r="AV704" s="860"/>
      <c r="AW704" s="860"/>
      <c r="AX704" s="860"/>
      <c r="AY704" s="860"/>
      <c r="AZ704" s="860"/>
      <c r="BA704" s="860"/>
      <c r="BB704" s="860"/>
      <c r="BC704" s="860"/>
      <c r="BD704" s="860"/>
      <c r="BE704" s="860"/>
      <c r="BF704" s="860"/>
      <c r="BG704" s="860"/>
      <c r="BH704" s="860"/>
      <c r="BI704" s="860"/>
      <c r="BJ704" s="860"/>
      <c r="BK704" s="860"/>
      <c r="BL704" s="860"/>
      <c r="BM704" s="860"/>
      <c r="BN704" s="872"/>
      <c r="BO704" s="872"/>
      <c r="BP704" s="872"/>
      <c r="BQ704" s="872"/>
      <c r="BR704" s="872"/>
      <c r="BS704" s="872"/>
      <c r="BT704" s="860"/>
      <c r="BU704" s="860"/>
      <c r="BV704" s="860"/>
      <c r="BW704" s="860"/>
      <c r="BX704" s="872"/>
      <c r="BY704" s="872"/>
      <c r="BZ704" s="872"/>
      <c r="CA704" s="872"/>
      <c r="CB704" s="872"/>
      <c r="CC704" s="872"/>
    </row>
    <row r="705" s="860" customFormat="1" ht="13.5" spans="1:81">
      <c r="A705" s="861"/>
      <c r="B705" s="860"/>
      <c r="C705" s="860"/>
      <c r="D705" s="860"/>
      <c r="E705" s="862"/>
      <c r="F705" s="860"/>
      <c r="G705" s="860"/>
      <c r="H705" s="860"/>
      <c r="I705" s="860"/>
      <c r="J705" s="860"/>
      <c r="K705" s="860"/>
      <c r="L705" s="860"/>
      <c r="M705" s="860"/>
      <c r="N705" s="860"/>
      <c r="O705" s="860"/>
      <c r="P705" s="860"/>
      <c r="Q705" s="860"/>
      <c r="R705" s="860"/>
      <c r="S705" s="860"/>
      <c r="T705" s="860"/>
      <c r="U705" s="860"/>
      <c r="V705" s="860"/>
      <c r="W705" s="860"/>
      <c r="X705" s="864"/>
      <c r="Y705" s="865"/>
      <c r="Z705" s="865"/>
      <c r="AA705" s="866"/>
      <c r="AB705" s="867"/>
      <c r="AC705" s="868"/>
      <c r="AD705" s="866"/>
      <c r="AE705" s="860"/>
      <c r="AF705" s="869"/>
      <c r="AG705" s="869"/>
      <c r="AH705" s="870"/>
      <c r="AI705" s="871"/>
      <c r="AJ705" s="870"/>
      <c r="AK705" s="870"/>
      <c r="AL705" s="860"/>
      <c r="AM705" s="860"/>
      <c r="AN705" s="860"/>
      <c r="AO705" s="860"/>
      <c r="AP705" s="860"/>
      <c r="AQ705" s="860"/>
      <c r="AR705" s="860"/>
      <c r="AS705" s="860"/>
      <c r="AT705" s="860"/>
      <c r="AU705" s="860"/>
      <c r="AV705" s="860"/>
      <c r="AW705" s="860"/>
      <c r="AX705" s="860"/>
      <c r="AY705" s="860"/>
      <c r="AZ705" s="860"/>
      <c r="BA705" s="860"/>
      <c r="BB705" s="860"/>
      <c r="BC705" s="860"/>
      <c r="BD705" s="860"/>
      <c r="BE705" s="860"/>
      <c r="BF705" s="860"/>
      <c r="BG705" s="860"/>
      <c r="BH705" s="860"/>
      <c r="BI705" s="860"/>
      <c r="BJ705" s="860"/>
      <c r="BK705" s="860"/>
      <c r="BL705" s="860"/>
      <c r="BM705" s="860"/>
      <c r="BN705" s="872"/>
      <c r="BO705" s="872"/>
      <c r="BP705" s="872"/>
      <c r="BQ705" s="872"/>
      <c r="BR705" s="872"/>
      <c r="BS705" s="872"/>
      <c r="BT705" s="860"/>
      <c r="BU705" s="860"/>
      <c r="BV705" s="860"/>
      <c r="BW705" s="860"/>
      <c r="BX705" s="872"/>
      <c r="BY705" s="872"/>
      <c r="BZ705" s="872"/>
      <c r="CA705" s="872"/>
      <c r="CB705" s="872"/>
      <c r="CC705" s="872"/>
    </row>
    <row r="706" s="860" customFormat="1" ht="13.5" spans="1:81">
      <c r="A706" s="861"/>
      <c r="B706" s="860"/>
      <c r="C706" s="860"/>
      <c r="D706" s="860"/>
      <c r="E706" s="862"/>
      <c r="F706" s="860"/>
      <c r="G706" s="860"/>
      <c r="H706" s="860"/>
      <c r="I706" s="860"/>
      <c r="J706" s="860"/>
      <c r="K706" s="860"/>
      <c r="L706" s="860"/>
      <c r="M706" s="860"/>
      <c r="N706" s="860"/>
      <c r="O706" s="860"/>
      <c r="P706" s="860"/>
      <c r="Q706" s="860"/>
      <c r="R706" s="860"/>
      <c r="S706" s="860"/>
      <c r="T706" s="860"/>
      <c r="U706" s="860"/>
      <c r="V706" s="860"/>
      <c r="W706" s="860"/>
      <c r="X706" s="864"/>
      <c r="Y706" s="865"/>
      <c r="Z706" s="865"/>
      <c r="AA706" s="866"/>
      <c r="AB706" s="867"/>
      <c r="AC706" s="868"/>
      <c r="AD706" s="866"/>
      <c r="AE706" s="860"/>
      <c r="AF706" s="869"/>
      <c r="AG706" s="869"/>
      <c r="AH706" s="870"/>
      <c r="AI706" s="871"/>
      <c r="AJ706" s="870"/>
      <c r="AK706" s="870"/>
      <c r="AL706" s="860"/>
      <c r="AM706" s="860"/>
      <c r="AN706" s="860"/>
      <c r="AO706" s="860"/>
      <c r="AP706" s="860"/>
      <c r="AQ706" s="860"/>
      <c r="AR706" s="860"/>
      <c r="AS706" s="860"/>
      <c r="AT706" s="860"/>
      <c r="AU706" s="860"/>
      <c r="AV706" s="860"/>
      <c r="AW706" s="860"/>
      <c r="AX706" s="860"/>
      <c r="AY706" s="860"/>
      <c r="AZ706" s="860"/>
      <c r="BA706" s="860"/>
      <c r="BB706" s="860"/>
      <c r="BC706" s="860"/>
      <c r="BD706" s="860"/>
      <c r="BE706" s="860"/>
      <c r="BF706" s="860"/>
      <c r="BG706" s="860"/>
      <c r="BH706" s="860"/>
      <c r="BI706" s="860"/>
      <c r="BJ706" s="860"/>
      <c r="BK706" s="860"/>
      <c r="BL706" s="860"/>
      <c r="BM706" s="860"/>
      <c r="BN706" s="872"/>
      <c r="BO706" s="872"/>
      <c r="BP706" s="872"/>
      <c r="BQ706" s="872"/>
      <c r="BR706" s="872"/>
      <c r="BS706" s="872"/>
      <c r="BT706" s="860"/>
      <c r="BU706" s="860"/>
      <c r="BV706" s="860"/>
      <c r="BW706" s="860"/>
      <c r="BX706" s="872"/>
      <c r="BY706" s="872"/>
      <c r="BZ706" s="872"/>
      <c r="CA706" s="872"/>
      <c r="CB706" s="872"/>
      <c r="CC706" s="872"/>
    </row>
    <row r="707" s="860" customFormat="1" ht="13.5" spans="1:81">
      <c r="A707" s="861"/>
      <c r="B707" s="860"/>
      <c r="C707" s="860"/>
      <c r="D707" s="860"/>
      <c r="E707" s="862"/>
      <c r="F707" s="860"/>
      <c r="G707" s="860"/>
      <c r="H707" s="860"/>
      <c r="I707" s="860"/>
      <c r="J707" s="860"/>
      <c r="K707" s="860"/>
      <c r="L707" s="860"/>
      <c r="M707" s="860"/>
      <c r="N707" s="860"/>
      <c r="O707" s="860"/>
      <c r="P707" s="860"/>
      <c r="Q707" s="860"/>
      <c r="R707" s="860"/>
      <c r="S707" s="860"/>
      <c r="T707" s="860"/>
      <c r="U707" s="860"/>
      <c r="V707" s="860"/>
      <c r="W707" s="860"/>
      <c r="X707" s="864"/>
      <c r="Y707" s="865"/>
      <c r="Z707" s="865"/>
      <c r="AA707" s="866"/>
      <c r="AB707" s="867"/>
      <c r="AC707" s="868"/>
      <c r="AD707" s="866"/>
      <c r="AE707" s="860"/>
      <c r="AF707" s="869"/>
      <c r="AG707" s="869"/>
      <c r="AH707" s="870"/>
      <c r="AI707" s="871"/>
      <c r="AJ707" s="870"/>
      <c r="AK707" s="870"/>
      <c r="AL707" s="860"/>
      <c r="AM707" s="860"/>
      <c r="AN707" s="860"/>
      <c r="AO707" s="860"/>
      <c r="AP707" s="860"/>
      <c r="AQ707" s="860"/>
      <c r="AR707" s="860"/>
      <c r="AS707" s="860"/>
      <c r="AT707" s="860"/>
      <c r="AU707" s="860"/>
      <c r="AV707" s="860"/>
      <c r="AW707" s="860"/>
      <c r="AX707" s="860"/>
      <c r="AY707" s="860"/>
      <c r="AZ707" s="860"/>
      <c r="BA707" s="860"/>
      <c r="BB707" s="860"/>
      <c r="BC707" s="860"/>
      <c r="BD707" s="860"/>
      <c r="BE707" s="860"/>
      <c r="BF707" s="860"/>
      <c r="BG707" s="860"/>
      <c r="BH707" s="860"/>
      <c r="BI707" s="860"/>
      <c r="BJ707" s="860"/>
      <c r="BK707" s="860"/>
      <c r="BL707" s="860"/>
      <c r="BM707" s="860"/>
      <c r="BN707" s="872"/>
      <c r="BO707" s="872"/>
      <c r="BP707" s="872"/>
      <c r="BQ707" s="872"/>
      <c r="BR707" s="872"/>
      <c r="BS707" s="872"/>
      <c r="BT707" s="860"/>
      <c r="BU707" s="860"/>
      <c r="BV707" s="860"/>
      <c r="BW707" s="860"/>
      <c r="BX707" s="872"/>
      <c r="BY707" s="872"/>
      <c r="BZ707" s="872"/>
      <c r="CA707" s="872"/>
      <c r="CB707" s="872"/>
      <c r="CC707" s="872"/>
    </row>
    <row r="708" s="860" customFormat="1" ht="13.5" spans="1:81">
      <c r="A708" s="861"/>
      <c r="B708" s="860"/>
      <c r="C708" s="860"/>
      <c r="D708" s="860"/>
      <c r="E708" s="862"/>
      <c r="F708" s="860"/>
      <c r="G708" s="860"/>
      <c r="H708" s="860"/>
      <c r="I708" s="860"/>
      <c r="J708" s="860"/>
      <c r="K708" s="860"/>
      <c r="L708" s="860"/>
      <c r="M708" s="860"/>
      <c r="N708" s="860"/>
      <c r="O708" s="860"/>
      <c r="P708" s="860"/>
      <c r="Q708" s="860"/>
      <c r="R708" s="860"/>
      <c r="S708" s="860"/>
      <c r="T708" s="860"/>
      <c r="U708" s="860"/>
      <c r="V708" s="860"/>
      <c r="W708" s="860"/>
      <c r="X708" s="864"/>
      <c r="Y708" s="865"/>
      <c r="Z708" s="865"/>
      <c r="AA708" s="866"/>
      <c r="AB708" s="867"/>
      <c r="AC708" s="868"/>
      <c r="AD708" s="866"/>
      <c r="AE708" s="860"/>
      <c r="AF708" s="869"/>
      <c r="AG708" s="869"/>
      <c r="AH708" s="870"/>
      <c r="AI708" s="871"/>
      <c r="AJ708" s="870"/>
      <c r="AK708" s="870"/>
      <c r="AL708" s="860"/>
      <c r="AM708" s="860"/>
      <c r="AN708" s="860"/>
      <c r="AO708" s="860"/>
      <c r="AP708" s="860"/>
      <c r="AQ708" s="860"/>
      <c r="AR708" s="860"/>
      <c r="AS708" s="860"/>
      <c r="AT708" s="860"/>
      <c r="AU708" s="860"/>
      <c r="AV708" s="860"/>
      <c r="AW708" s="860"/>
      <c r="AX708" s="860"/>
      <c r="AY708" s="860"/>
      <c r="AZ708" s="860"/>
      <c r="BA708" s="860"/>
      <c r="BB708" s="860"/>
      <c r="BC708" s="860"/>
      <c r="BD708" s="860"/>
      <c r="BE708" s="860"/>
      <c r="BF708" s="860"/>
      <c r="BG708" s="860"/>
      <c r="BH708" s="860"/>
      <c r="BI708" s="860"/>
      <c r="BJ708" s="860"/>
      <c r="BK708" s="860"/>
      <c r="BL708" s="860"/>
      <c r="BM708" s="860"/>
      <c r="BN708" s="872"/>
      <c r="BO708" s="872"/>
      <c r="BP708" s="872"/>
      <c r="BQ708" s="872"/>
      <c r="BR708" s="872"/>
      <c r="BS708" s="872"/>
      <c r="BT708" s="860"/>
      <c r="BU708" s="860"/>
      <c r="BV708" s="860"/>
      <c r="BW708" s="860"/>
      <c r="BX708" s="872"/>
      <c r="BY708" s="872"/>
      <c r="BZ708" s="872"/>
      <c r="CA708" s="872"/>
      <c r="CB708" s="872"/>
      <c r="CC708" s="872"/>
    </row>
    <row r="709" s="860" customFormat="1" ht="13.5" spans="1:81">
      <c r="A709" s="861"/>
      <c r="B709" s="860"/>
      <c r="C709" s="860"/>
      <c r="D709" s="860"/>
      <c r="E709" s="862"/>
      <c r="F709" s="860"/>
      <c r="G709" s="860"/>
      <c r="H709" s="860"/>
      <c r="I709" s="860"/>
      <c r="J709" s="860"/>
      <c r="K709" s="860"/>
      <c r="L709" s="860"/>
      <c r="M709" s="860"/>
      <c r="N709" s="860"/>
      <c r="O709" s="860"/>
      <c r="P709" s="860"/>
      <c r="Q709" s="860"/>
      <c r="R709" s="860"/>
      <c r="S709" s="860"/>
      <c r="T709" s="860"/>
      <c r="U709" s="860"/>
      <c r="V709" s="860"/>
      <c r="W709" s="860"/>
      <c r="X709" s="864"/>
      <c r="Y709" s="865"/>
      <c r="Z709" s="865"/>
      <c r="AA709" s="866"/>
      <c r="AB709" s="867"/>
      <c r="AC709" s="868"/>
      <c r="AD709" s="866"/>
      <c r="AE709" s="860"/>
      <c r="AF709" s="869"/>
      <c r="AG709" s="869"/>
      <c r="AH709" s="870"/>
      <c r="AI709" s="871"/>
      <c r="AJ709" s="870"/>
      <c r="AK709" s="870"/>
      <c r="AL709" s="860"/>
      <c r="AM709" s="860"/>
      <c r="AN709" s="860"/>
      <c r="AO709" s="860"/>
      <c r="AP709" s="860"/>
      <c r="AQ709" s="860"/>
      <c r="AR709" s="860"/>
      <c r="AS709" s="860"/>
      <c r="AT709" s="860"/>
      <c r="AU709" s="860"/>
      <c r="AV709" s="860"/>
      <c r="AW709" s="860"/>
      <c r="AX709" s="860"/>
      <c r="AY709" s="860"/>
      <c r="AZ709" s="860"/>
      <c r="BA709" s="860"/>
      <c r="BB709" s="860"/>
      <c r="BC709" s="860"/>
      <c r="BD709" s="860"/>
      <c r="BE709" s="860"/>
      <c r="BF709" s="860"/>
      <c r="BG709" s="860"/>
      <c r="BH709" s="860"/>
      <c r="BI709" s="860"/>
      <c r="BJ709" s="860"/>
      <c r="BK709" s="860"/>
      <c r="BL709" s="860"/>
      <c r="BM709" s="860"/>
      <c r="BN709" s="872"/>
      <c r="BO709" s="872"/>
      <c r="BP709" s="872"/>
      <c r="BQ709" s="872"/>
      <c r="BR709" s="872"/>
      <c r="BS709" s="872"/>
      <c r="BT709" s="860"/>
      <c r="BU709" s="860"/>
      <c r="BV709" s="860"/>
      <c r="BW709" s="860"/>
      <c r="BX709" s="872"/>
      <c r="BY709" s="872"/>
      <c r="BZ709" s="872"/>
      <c r="CA709" s="872"/>
      <c r="CB709" s="872"/>
      <c r="CC709" s="872"/>
    </row>
    <row r="710" s="860" customFormat="1" ht="13.5" spans="1:81">
      <c r="A710" s="861"/>
      <c r="B710" s="860"/>
      <c r="C710" s="860"/>
      <c r="D710" s="860"/>
      <c r="E710" s="862"/>
      <c r="F710" s="860"/>
      <c r="G710" s="860"/>
      <c r="H710" s="860"/>
      <c r="I710" s="860"/>
      <c r="J710" s="860"/>
      <c r="K710" s="860"/>
      <c r="L710" s="860"/>
      <c r="M710" s="860"/>
      <c r="N710" s="860"/>
      <c r="O710" s="860"/>
      <c r="P710" s="860"/>
      <c r="Q710" s="860"/>
      <c r="R710" s="860"/>
      <c r="S710" s="860"/>
      <c r="T710" s="860"/>
      <c r="U710" s="860"/>
      <c r="V710" s="860"/>
      <c r="W710" s="860"/>
      <c r="X710" s="864"/>
      <c r="Y710" s="865"/>
      <c r="Z710" s="865"/>
      <c r="AA710" s="866"/>
      <c r="AB710" s="867"/>
      <c r="AC710" s="868"/>
      <c r="AD710" s="866"/>
      <c r="AE710" s="860"/>
      <c r="AF710" s="869"/>
      <c r="AG710" s="869"/>
      <c r="AH710" s="870"/>
      <c r="AI710" s="871"/>
      <c r="AJ710" s="870"/>
      <c r="AK710" s="870"/>
      <c r="AL710" s="860"/>
      <c r="AM710" s="860"/>
      <c r="AN710" s="860"/>
      <c r="AO710" s="860"/>
      <c r="AP710" s="860"/>
      <c r="AQ710" s="860"/>
      <c r="AR710" s="860"/>
      <c r="AS710" s="860"/>
      <c r="AT710" s="860"/>
      <c r="AU710" s="860"/>
      <c r="AV710" s="860"/>
      <c r="AW710" s="860"/>
      <c r="AX710" s="860"/>
      <c r="AY710" s="860"/>
      <c r="AZ710" s="860"/>
      <c r="BA710" s="860"/>
      <c r="BB710" s="860"/>
      <c r="BC710" s="860"/>
      <c r="BD710" s="860"/>
      <c r="BE710" s="860"/>
      <c r="BF710" s="860"/>
      <c r="BG710" s="860"/>
      <c r="BH710" s="860"/>
      <c r="BI710" s="860"/>
      <c r="BJ710" s="860"/>
      <c r="BK710" s="860"/>
      <c r="BL710" s="860"/>
      <c r="BM710" s="860"/>
      <c r="BN710" s="872"/>
      <c r="BO710" s="872"/>
      <c r="BP710" s="872"/>
      <c r="BQ710" s="872"/>
      <c r="BR710" s="872"/>
      <c r="BS710" s="872"/>
      <c r="BT710" s="860"/>
      <c r="BU710" s="860"/>
      <c r="BV710" s="860"/>
      <c r="BW710" s="860"/>
      <c r="BX710" s="872"/>
      <c r="BY710" s="872"/>
      <c r="BZ710" s="872"/>
      <c r="CA710" s="872"/>
      <c r="CB710" s="872"/>
      <c r="CC710" s="872"/>
    </row>
    <row r="711" s="860" customFormat="1" ht="13.5" spans="1:81">
      <c r="A711" s="861"/>
      <c r="B711" s="860"/>
      <c r="C711" s="860"/>
      <c r="D711" s="860"/>
      <c r="E711" s="862"/>
      <c r="F711" s="860"/>
      <c r="G711" s="860"/>
      <c r="H711" s="860"/>
      <c r="I711" s="860"/>
      <c r="J711" s="860"/>
      <c r="K711" s="860"/>
      <c r="L711" s="860"/>
      <c r="M711" s="860"/>
      <c r="N711" s="860"/>
      <c r="O711" s="860"/>
      <c r="P711" s="860"/>
      <c r="Q711" s="860"/>
      <c r="R711" s="860"/>
      <c r="S711" s="860"/>
      <c r="T711" s="860"/>
      <c r="U711" s="860"/>
      <c r="V711" s="860"/>
      <c r="W711" s="860"/>
      <c r="X711" s="864"/>
      <c r="Y711" s="865"/>
      <c r="Z711" s="865"/>
      <c r="AA711" s="866"/>
      <c r="AB711" s="867"/>
      <c r="AC711" s="868"/>
      <c r="AD711" s="866"/>
      <c r="AE711" s="860"/>
      <c r="AF711" s="869"/>
      <c r="AG711" s="869"/>
      <c r="AH711" s="870"/>
      <c r="AI711" s="871"/>
      <c r="AJ711" s="870"/>
      <c r="AK711" s="870"/>
      <c r="AL711" s="860"/>
      <c r="AM711" s="860"/>
      <c r="AN711" s="860"/>
      <c r="AO711" s="860"/>
      <c r="AP711" s="860"/>
      <c r="AQ711" s="860"/>
      <c r="AR711" s="860"/>
      <c r="AS711" s="860"/>
      <c r="AT711" s="860"/>
      <c r="AU711" s="860"/>
      <c r="AV711" s="860"/>
      <c r="AW711" s="860"/>
      <c r="AX711" s="860"/>
      <c r="AY711" s="860"/>
      <c r="AZ711" s="860"/>
      <c r="BA711" s="860"/>
      <c r="BB711" s="860"/>
      <c r="BC711" s="860"/>
      <c r="BD711" s="860"/>
      <c r="BE711" s="860"/>
      <c r="BF711" s="860"/>
      <c r="BG711" s="860"/>
      <c r="BH711" s="860"/>
      <c r="BI711" s="860"/>
      <c r="BJ711" s="860"/>
      <c r="BK711" s="860"/>
      <c r="BL711" s="860"/>
      <c r="BM711" s="860"/>
      <c r="BN711" s="872"/>
      <c r="BO711" s="872"/>
      <c r="BP711" s="872"/>
      <c r="BQ711" s="872"/>
      <c r="BR711" s="872"/>
      <c r="BS711" s="872"/>
      <c r="BT711" s="860"/>
      <c r="BU711" s="860"/>
      <c r="BV711" s="860"/>
      <c r="BW711" s="860"/>
      <c r="BX711" s="872"/>
      <c r="BY711" s="872"/>
      <c r="BZ711" s="872"/>
      <c r="CA711" s="872"/>
      <c r="CB711" s="872"/>
      <c r="CC711" s="872"/>
    </row>
    <row r="712" s="860" customFormat="1" ht="13.5" spans="1:81">
      <c r="A712" s="861"/>
      <c r="B712" s="860"/>
      <c r="C712" s="860"/>
      <c r="D712" s="860"/>
      <c r="E712" s="862"/>
      <c r="F712" s="860"/>
      <c r="G712" s="860"/>
      <c r="H712" s="860"/>
      <c r="I712" s="860"/>
      <c r="J712" s="860"/>
      <c r="K712" s="860"/>
      <c r="L712" s="860"/>
      <c r="M712" s="860"/>
      <c r="N712" s="860"/>
      <c r="O712" s="860"/>
      <c r="P712" s="860"/>
      <c r="Q712" s="860"/>
      <c r="R712" s="860"/>
      <c r="S712" s="860"/>
      <c r="T712" s="860"/>
      <c r="U712" s="860"/>
      <c r="V712" s="860"/>
      <c r="W712" s="860"/>
      <c r="X712" s="864"/>
      <c r="Y712" s="865"/>
      <c r="Z712" s="865"/>
      <c r="AA712" s="866"/>
      <c r="AB712" s="867"/>
      <c r="AC712" s="868"/>
      <c r="AD712" s="866"/>
      <c r="AE712" s="860"/>
      <c r="AF712" s="869"/>
      <c r="AG712" s="869"/>
      <c r="AH712" s="870"/>
      <c r="AI712" s="871"/>
      <c r="AJ712" s="870"/>
      <c r="AK712" s="870"/>
      <c r="AL712" s="860"/>
      <c r="AM712" s="860"/>
      <c r="AN712" s="860"/>
      <c r="AO712" s="860"/>
      <c r="AP712" s="860"/>
      <c r="AQ712" s="860"/>
      <c r="AR712" s="860"/>
      <c r="AS712" s="860"/>
      <c r="AT712" s="860"/>
      <c r="AU712" s="860"/>
      <c r="AV712" s="860"/>
      <c r="AW712" s="860"/>
      <c r="AX712" s="860"/>
      <c r="AY712" s="860"/>
      <c r="AZ712" s="860"/>
      <c r="BA712" s="860"/>
      <c r="BB712" s="860"/>
      <c r="BC712" s="860"/>
      <c r="BD712" s="860"/>
      <c r="BE712" s="860"/>
      <c r="BF712" s="860"/>
      <c r="BG712" s="860"/>
      <c r="BH712" s="860"/>
      <c r="BI712" s="860"/>
      <c r="BJ712" s="860"/>
      <c r="BK712" s="860"/>
      <c r="BL712" s="860"/>
      <c r="BM712" s="860"/>
      <c r="BN712" s="872"/>
      <c r="BO712" s="872"/>
      <c r="BP712" s="872"/>
      <c r="BQ712" s="872"/>
      <c r="BR712" s="872"/>
      <c r="BS712" s="872"/>
      <c r="BT712" s="860"/>
      <c r="BU712" s="860"/>
      <c r="BV712" s="860"/>
      <c r="BW712" s="860"/>
      <c r="BX712" s="872"/>
      <c r="BY712" s="872"/>
      <c r="BZ712" s="872"/>
      <c r="CA712" s="872"/>
      <c r="CB712" s="872"/>
      <c r="CC712" s="872"/>
    </row>
    <row r="713" s="860" customFormat="1" ht="13.5" spans="1:81">
      <c r="A713" s="861"/>
      <c r="B713" s="860"/>
      <c r="C713" s="860"/>
      <c r="D713" s="860"/>
      <c r="E713" s="862"/>
      <c r="F713" s="860"/>
      <c r="G713" s="860"/>
      <c r="H713" s="860"/>
      <c r="I713" s="860"/>
      <c r="J713" s="860"/>
      <c r="K713" s="860"/>
      <c r="L713" s="860"/>
      <c r="M713" s="860"/>
      <c r="N713" s="860"/>
      <c r="O713" s="860"/>
      <c r="P713" s="860"/>
      <c r="Q713" s="860"/>
      <c r="R713" s="860"/>
      <c r="S713" s="860"/>
      <c r="T713" s="860"/>
      <c r="U713" s="860"/>
      <c r="V713" s="860"/>
      <c r="W713" s="860"/>
      <c r="X713" s="864"/>
      <c r="Y713" s="865"/>
      <c r="Z713" s="865"/>
      <c r="AA713" s="866"/>
      <c r="AB713" s="867"/>
      <c r="AC713" s="868"/>
      <c r="AD713" s="866"/>
      <c r="AE713" s="860"/>
      <c r="AF713" s="869"/>
      <c r="AG713" s="869"/>
      <c r="AH713" s="870"/>
      <c r="AI713" s="871"/>
      <c r="AJ713" s="870"/>
      <c r="AK713" s="870"/>
      <c r="AL713" s="860"/>
      <c r="AM713" s="860"/>
      <c r="AN713" s="860"/>
      <c r="AO713" s="860"/>
      <c r="AP713" s="860"/>
      <c r="AQ713" s="860"/>
      <c r="AR713" s="860"/>
      <c r="AS713" s="860"/>
      <c r="AT713" s="860"/>
      <c r="AU713" s="860"/>
      <c r="AV713" s="860"/>
      <c r="AW713" s="860"/>
      <c r="AX713" s="860"/>
      <c r="AY713" s="860"/>
      <c r="AZ713" s="860"/>
      <c r="BA713" s="860"/>
      <c r="BB713" s="860"/>
      <c r="BC713" s="860"/>
      <c r="BD713" s="860"/>
      <c r="BE713" s="860"/>
      <c r="BF713" s="860"/>
      <c r="BG713" s="860"/>
      <c r="BH713" s="860"/>
      <c r="BI713" s="860"/>
      <c r="BJ713" s="860"/>
      <c r="BK713" s="860"/>
      <c r="BL713" s="860"/>
      <c r="BM713" s="860"/>
      <c r="BN713" s="872"/>
      <c r="BO713" s="872"/>
      <c r="BP713" s="872"/>
      <c r="BQ713" s="872"/>
      <c r="BR713" s="872"/>
      <c r="BS713" s="872"/>
      <c r="BT713" s="860"/>
      <c r="BU713" s="860"/>
      <c r="BV713" s="860"/>
      <c r="BW713" s="860"/>
      <c r="BX713" s="872"/>
      <c r="BY713" s="872"/>
      <c r="BZ713" s="872"/>
      <c r="CA713" s="872"/>
      <c r="CB713" s="872"/>
      <c r="CC713" s="872"/>
    </row>
    <row r="714" s="860" customFormat="1" ht="13.5" spans="1:81">
      <c r="A714" s="861"/>
      <c r="B714" s="860"/>
      <c r="C714" s="860"/>
      <c r="D714" s="860"/>
      <c r="E714" s="862"/>
      <c r="F714" s="860"/>
      <c r="G714" s="860"/>
      <c r="H714" s="860"/>
      <c r="I714" s="860"/>
      <c r="J714" s="860"/>
      <c r="K714" s="860"/>
      <c r="L714" s="860"/>
      <c r="M714" s="860"/>
      <c r="N714" s="860"/>
      <c r="O714" s="860"/>
      <c r="P714" s="860"/>
      <c r="Q714" s="860"/>
      <c r="R714" s="860"/>
      <c r="S714" s="860"/>
      <c r="T714" s="860"/>
      <c r="U714" s="860"/>
      <c r="V714" s="860"/>
      <c r="W714" s="860"/>
      <c r="X714" s="864"/>
      <c r="Y714" s="865"/>
      <c r="Z714" s="865"/>
      <c r="AA714" s="866"/>
      <c r="AB714" s="867"/>
      <c r="AC714" s="868"/>
      <c r="AD714" s="866"/>
      <c r="AE714" s="860"/>
      <c r="AF714" s="869"/>
      <c r="AG714" s="869"/>
      <c r="AH714" s="870"/>
      <c r="AI714" s="871"/>
      <c r="AJ714" s="870"/>
      <c r="AK714" s="870"/>
      <c r="AL714" s="860"/>
      <c r="AM714" s="860"/>
      <c r="AN714" s="860"/>
      <c r="AO714" s="860"/>
      <c r="AP714" s="860"/>
      <c r="AQ714" s="860"/>
      <c r="AR714" s="860"/>
      <c r="AS714" s="860"/>
      <c r="AT714" s="860"/>
      <c r="AU714" s="860"/>
      <c r="AV714" s="860"/>
      <c r="AW714" s="860"/>
      <c r="AX714" s="860"/>
      <c r="AY714" s="860"/>
      <c r="AZ714" s="860"/>
      <c r="BA714" s="860"/>
      <c r="BB714" s="860"/>
      <c r="BC714" s="860"/>
      <c r="BD714" s="860"/>
      <c r="BE714" s="860"/>
      <c r="BF714" s="860"/>
      <c r="BG714" s="860"/>
      <c r="BH714" s="860"/>
      <c r="BI714" s="860"/>
      <c r="BJ714" s="860"/>
      <c r="BK714" s="860"/>
      <c r="BL714" s="860"/>
      <c r="BM714" s="860"/>
      <c r="BN714" s="872"/>
      <c r="BO714" s="872"/>
      <c r="BP714" s="872"/>
      <c r="BQ714" s="872"/>
      <c r="BR714" s="872"/>
      <c r="BS714" s="872"/>
      <c r="BT714" s="860"/>
      <c r="BU714" s="860"/>
      <c r="BV714" s="860"/>
      <c r="BW714" s="860"/>
      <c r="BX714" s="872"/>
      <c r="BY714" s="872"/>
      <c r="BZ714" s="872"/>
      <c r="CA714" s="872"/>
      <c r="CB714" s="872"/>
      <c r="CC714" s="872"/>
    </row>
    <row r="715" s="860" customFormat="1" ht="13.5" spans="1:81">
      <c r="A715" s="861"/>
      <c r="B715" s="860"/>
      <c r="C715" s="860"/>
      <c r="D715" s="860"/>
      <c r="E715" s="862"/>
      <c r="F715" s="860"/>
      <c r="G715" s="860"/>
      <c r="H715" s="860"/>
      <c r="I715" s="860"/>
      <c r="J715" s="860"/>
      <c r="K715" s="860"/>
      <c r="L715" s="860"/>
      <c r="M715" s="860"/>
      <c r="N715" s="860"/>
      <c r="O715" s="860"/>
      <c r="P715" s="860"/>
      <c r="Q715" s="860"/>
      <c r="R715" s="860"/>
      <c r="S715" s="860"/>
      <c r="T715" s="860"/>
      <c r="U715" s="860"/>
      <c r="V715" s="860"/>
      <c r="W715" s="860"/>
      <c r="X715" s="864"/>
      <c r="Y715" s="865"/>
      <c r="Z715" s="865"/>
      <c r="AA715" s="866"/>
      <c r="AB715" s="867"/>
      <c r="AC715" s="868"/>
      <c r="AD715" s="866"/>
      <c r="AE715" s="860"/>
      <c r="AF715" s="869"/>
      <c r="AG715" s="869"/>
      <c r="AH715" s="870"/>
      <c r="AI715" s="871"/>
      <c r="AJ715" s="870"/>
      <c r="AK715" s="870"/>
      <c r="AL715" s="860"/>
      <c r="AM715" s="860"/>
      <c r="AN715" s="860"/>
      <c r="AO715" s="860"/>
      <c r="AP715" s="860"/>
      <c r="AQ715" s="860"/>
      <c r="AR715" s="860"/>
      <c r="AS715" s="860"/>
      <c r="AT715" s="860"/>
      <c r="AU715" s="860"/>
      <c r="AV715" s="860"/>
      <c r="AW715" s="860"/>
      <c r="AX715" s="860"/>
      <c r="AY715" s="860"/>
      <c r="AZ715" s="860"/>
      <c r="BA715" s="860"/>
      <c r="BB715" s="860"/>
      <c r="BC715" s="860"/>
      <c r="BD715" s="860"/>
      <c r="BE715" s="860"/>
      <c r="BF715" s="860"/>
      <c r="BG715" s="860"/>
      <c r="BH715" s="860"/>
      <c r="BI715" s="860"/>
      <c r="BJ715" s="860"/>
      <c r="BK715" s="860"/>
      <c r="BL715" s="860"/>
      <c r="BM715" s="860"/>
      <c r="BN715" s="872"/>
      <c r="BO715" s="872"/>
      <c r="BP715" s="872"/>
      <c r="BQ715" s="872"/>
      <c r="BR715" s="872"/>
      <c r="BS715" s="872"/>
      <c r="BT715" s="860"/>
      <c r="BU715" s="860"/>
      <c r="BV715" s="860"/>
      <c r="BW715" s="860"/>
      <c r="BX715" s="872"/>
      <c r="BY715" s="872"/>
      <c r="BZ715" s="872"/>
      <c r="CA715" s="872"/>
      <c r="CB715" s="872"/>
      <c r="CC715" s="872"/>
    </row>
    <row r="716" s="860" customFormat="1" ht="13.5" spans="1:81">
      <c r="A716" s="861"/>
      <c r="B716" s="860"/>
      <c r="C716" s="860"/>
      <c r="D716" s="860"/>
      <c r="E716" s="862"/>
      <c r="F716" s="860"/>
      <c r="G716" s="860"/>
      <c r="H716" s="860"/>
      <c r="I716" s="860"/>
      <c r="J716" s="860"/>
      <c r="K716" s="860"/>
      <c r="L716" s="860"/>
      <c r="M716" s="860"/>
      <c r="N716" s="860"/>
      <c r="O716" s="860"/>
      <c r="P716" s="860"/>
      <c r="Q716" s="860"/>
      <c r="R716" s="860"/>
      <c r="S716" s="860"/>
      <c r="T716" s="860"/>
      <c r="U716" s="860"/>
      <c r="V716" s="860"/>
      <c r="W716" s="860"/>
      <c r="X716" s="864"/>
      <c r="Y716" s="865"/>
      <c r="Z716" s="865"/>
      <c r="AA716" s="866"/>
      <c r="AB716" s="867"/>
      <c r="AC716" s="868"/>
      <c r="AD716" s="866"/>
      <c r="AE716" s="860"/>
      <c r="AF716" s="869"/>
      <c r="AG716" s="869"/>
      <c r="AH716" s="870"/>
      <c r="AI716" s="871"/>
      <c r="AJ716" s="870"/>
      <c r="AK716" s="870"/>
      <c r="AL716" s="860"/>
      <c r="AM716" s="860"/>
      <c r="AN716" s="860"/>
      <c r="AO716" s="860"/>
      <c r="AP716" s="860"/>
      <c r="AQ716" s="860"/>
      <c r="AR716" s="860"/>
      <c r="AS716" s="860"/>
      <c r="AT716" s="860"/>
      <c r="AU716" s="860"/>
      <c r="AV716" s="860"/>
      <c r="AW716" s="860"/>
      <c r="AX716" s="860"/>
      <c r="AY716" s="860"/>
      <c r="AZ716" s="860"/>
      <c r="BA716" s="860"/>
      <c r="BB716" s="860"/>
      <c r="BC716" s="860"/>
      <c r="BD716" s="860"/>
      <c r="BE716" s="860"/>
      <c r="BF716" s="860"/>
      <c r="BG716" s="860"/>
      <c r="BH716" s="860"/>
      <c r="BI716" s="860"/>
      <c r="BJ716" s="860"/>
      <c r="BK716" s="860"/>
      <c r="BL716" s="860"/>
      <c r="BM716" s="860"/>
      <c r="BN716" s="872"/>
      <c r="BO716" s="872"/>
      <c r="BP716" s="872"/>
      <c r="BQ716" s="872"/>
      <c r="BR716" s="872"/>
      <c r="BS716" s="872"/>
      <c r="BT716" s="860"/>
      <c r="BU716" s="860"/>
      <c r="BV716" s="860"/>
      <c r="BW716" s="860"/>
      <c r="BX716" s="872"/>
      <c r="BY716" s="872"/>
      <c r="BZ716" s="872"/>
      <c r="CA716" s="872"/>
      <c r="CB716" s="872"/>
      <c r="CC716" s="872"/>
    </row>
    <row r="717" s="860" customFormat="1" ht="13.5" spans="1:81">
      <c r="A717" s="861"/>
      <c r="B717" s="860"/>
      <c r="C717" s="860"/>
      <c r="D717" s="860"/>
      <c r="E717" s="862"/>
      <c r="F717" s="860"/>
      <c r="G717" s="860"/>
      <c r="H717" s="860"/>
      <c r="I717" s="860"/>
      <c r="J717" s="860"/>
      <c r="K717" s="860"/>
      <c r="L717" s="860"/>
      <c r="M717" s="860"/>
      <c r="N717" s="860"/>
      <c r="O717" s="860"/>
      <c r="P717" s="860"/>
      <c r="Q717" s="860"/>
      <c r="R717" s="860"/>
      <c r="S717" s="860"/>
      <c r="T717" s="860"/>
      <c r="U717" s="860"/>
      <c r="V717" s="860"/>
      <c r="W717" s="860"/>
      <c r="X717" s="864"/>
      <c r="Y717" s="865"/>
      <c r="Z717" s="865"/>
      <c r="AA717" s="866"/>
      <c r="AB717" s="867"/>
      <c r="AC717" s="868"/>
      <c r="AD717" s="866"/>
      <c r="AE717" s="860"/>
      <c r="AF717" s="869"/>
      <c r="AG717" s="869"/>
      <c r="AH717" s="870"/>
      <c r="AI717" s="871"/>
      <c r="AJ717" s="870"/>
      <c r="AK717" s="870"/>
      <c r="AL717" s="860"/>
      <c r="AM717" s="860"/>
      <c r="AN717" s="860"/>
      <c r="AO717" s="860"/>
      <c r="AP717" s="860"/>
      <c r="AQ717" s="860"/>
      <c r="AR717" s="860"/>
      <c r="AS717" s="860"/>
      <c r="AT717" s="860"/>
      <c r="AU717" s="860"/>
      <c r="AV717" s="860"/>
      <c r="AW717" s="860"/>
      <c r="AX717" s="860"/>
      <c r="AY717" s="860"/>
      <c r="AZ717" s="860"/>
      <c r="BA717" s="860"/>
      <c r="BB717" s="860"/>
      <c r="BC717" s="860"/>
      <c r="BD717" s="860"/>
      <c r="BE717" s="860"/>
      <c r="BF717" s="860"/>
      <c r="BG717" s="860"/>
      <c r="BH717" s="860"/>
      <c r="BI717" s="860"/>
      <c r="BJ717" s="860"/>
      <c r="BK717" s="860"/>
      <c r="BL717" s="860"/>
      <c r="BM717" s="860"/>
      <c r="BN717" s="872"/>
      <c r="BO717" s="872"/>
      <c r="BP717" s="872"/>
      <c r="BQ717" s="872"/>
      <c r="BR717" s="872"/>
      <c r="BS717" s="872"/>
      <c r="BT717" s="860"/>
      <c r="BU717" s="860"/>
      <c r="BV717" s="860"/>
      <c r="BW717" s="860"/>
      <c r="BX717" s="872"/>
      <c r="BY717" s="872"/>
      <c r="BZ717" s="872"/>
      <c r="CA717" s="872"/>
      <c r="CB717" s="872"/>
      <c r="CC717" s="872"/>
    </row>
    <row r="718" s="860" customFormat="1" ht="13.5" spans="1:81">
      <c r="A718" s="861"/>
      <c r="B718" s="860"/>
      <c r="C718" s="860"/>
      <c r="D718" s="860"/>
      <c r="E718" s="862"/>
      <c r="F718" s="860"/>
      <c r="G718" s="860"/>
      <c r="H718" s="860"/>
      <c r="I718" s="860"/>
      <c r="J718" s="860"/>
      <c r="K718" s="860"/>
      <c r="L718" s="860"/>
      <c r="M718" s="860"/>
      <c r="N718" s="860"/>
      <c r="O718" s="860"/>
      <c r="P718" s="860"/>
      <c r="Q718" s="860"/>
      <c r="R718" s="860"/>
      <c r="S718" s="860"/>
      <c r="T718" s="860"/>
      <c r="U718" s="860"/>
      <c r="V718" s="860"/>
      <c r="W718" s="860"/>
      <c r="X718" s="864"/>
      <c r="Y718" s="865"/>
      <c r="Z718" s="865"/>
      <c r="AA718" s="866"/>
      <c r="AB718" s="867"/>
      <c r="AC718" s="868"/>
      <c r="AD718" s="866"/>
      <c r="AE718" s="860"/>
      <c r="AF718" s="869"/>
      <c r="AG718" s="869"/>
      <c r="AH718" s="870"/>
      <c r="AI718" s="871"/>
      <c r="AJ718" s="870"/>
      <c r="AK718" s="870"/>
      <c r="AL718" s="860"/>
      <c r="AM718" s="860"/>
      <c r="AN718" s="860"/>
      <c r="AO718" s="860"/>
      <c r="AP718" s="860"/>
      <c r="AQ718" s="860"/>
      <c r="AR718" s="860"/>
      <c r="AS718" s="860"/>
      <c r="AT718" s="860"/>
      <c r="AU718" s="860"/>
      <c r="AV718" s="860"/>
      <c r="AW718" s="860"/>
      <c r="AX718" s="860"/>
      <c r="AY718" s="860"/>
      <c r="AZ718" s="860"/>
      <c r="BA718" s="860"/>
      <c r="BB718" s="860"/>
      <c r="BC718" s="860"/>
      <c r="BD718" s="860"/>
      <c r="BE718" s="860"/>
      <c r="BF718" s="860"/>
      <c r="BG718" s="860"/>
      <c r="BH718" s="860"/>
      <c r="BI718" s="860"/>
      <c r="BJ718" s="860"/>
      <c r="BK718" s="860"/>
      <c r="BL718" s="860"/>
      <c r="BM718" s="860"/>
      <c r="BN718" s="872"/>
      <c r="BO718" s="872"/>
      <c r="BP718" s="872"/>
      <c r="BQ718" s="872"/>
      <c r="BR718" s="872"/>
      <c r="BS718" s="872"/>
      <c r="BT718" s="860"/>
      <c r="BU718" s="860"/>
      <c r="BV718" s="860"/>
      <c r="BW718" s="860"/>
      <c r="BX718" s="872"/>
      <c r="BY718" s="872"/>
      <c r="BZ718" s="872"/>
      <c r="CA718" s="872"/>
      <c r="CB718" s="872"/>
      <c r="CC718" s="872"/>
    </row>
    <row r="719" s="860" customFormat="1" ht="13.5" spans="1:81">
      <c r="A719" s="861"/>
      <c r="B719" s="860"/>
      <c r="C719" s="860"/>
      <c r="D719" s="860"/>
      <c r="E719" s="862"/>
      <c r="F719" s="860"/>
      <c r="G719" s="860"/>
      <c r="H719" s="860"/>
      <c r="I719" s="860"/>
      <c r="J719" s="860"/>
      <c r="K719" s="860"/>
      <c r="L719" s="860"/>
      <c r="M719" s="860"/>
      <c r="N719" s="860"/>
      <c r="O719" s="860"/>
      <c r="P719" s="860"/>
      <c r="Q719" s="860"/>
      <c r="R719" s="860"/>
      <c r="S719" s="860"/>
      <c r="T719" s="860"/>
      <c r="U719" s="860"/>
      <c r="V719" s="860"/>
      <c r="W719" s="860"/>
      <c r="X719" s="864"/>
      <c r="Y719" s="865"/>
      <c r="Z719" s="865"/>
      <c r="AA719" s="866"/>
      <c r="AB719" s="867"/>
      <c r="AC719" s="868"/>
      <c r="AD719" s="866"/>
      <c r="AE719" s="860"/>
      <c r="AF719" s="869"/>
      <c r="AG719" s="869"/>
      <c r="AH719" s="870"/>
      <c r="AI719" s="871"/>
      <c r="AJ719" s="870"/>
      <c r="AK719" s="870"/>
      <c r="AL719" s="860"/>
      <c r="AM719" s="860"/>
      <c r="AN719" s="860"/>
      <c r="AO719" s="860"/>
      <c r="AP719" s="860"/>
      <c r="AQ719" s="860"/>
      <c r="AR719" s="860"/>
      <c r="AS719" s="860"/>
      <c r="AT719" s="860"/>
      <c r="AU719" s="860"/>
      <c r="AV719" s="860"/>
      <c r="AW719" s="860"/>
      <c r="AX719" s="860"/>
      <c r="AY719" s="860"/>
      <c r="AZ719" s="860"/>
      <c r="BA719" s="860"/>
      <c r="BB719" s="860"/>
      <c r="BC719" s="860"/>
      <c r="BD719" s="860"/>
      <c r="BE719" s="860"/>
      <c r="BF719" s="860"/>
      <c r="BG719" s="860"/>
      <c r="BH719" s="860"/>
      <c r="BI719" s="860"/>
      <c r="BJ719" s="860"/>
      <c r="BK719" s="860"/>
      <c r="BL719" s="860"/>
      <c r="BM719" s="860"/>
      <c r="BN719" s="872"/>
      <c r="BO719" s="872"/>
      <c r="BP719" s="872"/>
      <c r="BQ719" s="872"/>
      <c r="BR719" s="872"/>
      <c r="BS719" s="872"/>
      <c r="BT719" s="860"/>
      <c r="BU719" s="860"/>
      <c r="BV719" s="860"/>
      <c r="BW719" s="860"/>
      <c r="BX719" s="872"/>
      <c r="BY719" s="872"/>
      <c r="BZ719" s="872"/>
      <c r="CA719" s="872"/>
      <c r="CB719" s="872"/>
      <c r="CC719" s="872"/>
    </row>
    <row r="720" s="860" customFormat="1" ht="13.5" spans="1:81">
      <c r="A720" s="861"/>
      <c r="B720" s="860"/>
      <c r="C720" s="860"/>
      <c r="D720" s="860"/>
      <c r="E720" s="862"/>
      <c r="F720" s="860"/>
      <c r="G720" s="860"/>
      <c r="H720" s="860"/>
      <c r="I720" s="860"/>
      <c r="J720" s="860"/>
      <c r="K720" s="860"/>
      <c r="L720" s="860"/>
      <c r="M720" s="860"/>
      <c r="N720" s="860"/>
      <c r="O720" s="860"/>
      <c r="P720" s="860"/>
      <c r="Q720" s="860"/>
      <c r="R720" s="860"/>
      <c r="S720" s="860"/>
      <c r="T720" s="860"/>
      <c r="U720" s="860"/>
      <c r="V720" s="860"/>
      <c r="W720" s="860"/>
      <c r="X720" s="864"/>
      <c r="Y720" s="865"/>
      <c r="Z720" s="865"/>
      <c r="AA720" s="866"/>
      <c r="AB720" s="867"/>
      <c r="AC720" s="868"/>
      <c r="AD720" s="866"/>
      <c r="AE720" s="860"/>
      <c r="AF720" s="869"/>
      <c r="AG720" s="869"/>
      <c r="AH720" s="870"/>
      <c r="AI720" s="871"/>
      <c r="AJ720" s="870"/>
      <c r="AK720" s="870"/>
      <c r="AL720" s="860"/>
      <c r="AM720" s="860"/>
      <c r="AN720" s="860"/>
      <c r="AO720" s="860"/>
      <c r="AP720" s="860"/>
      <c r="AQ720" s="860"/>
      <c r="AR720" s="860"/>
      <c r="AS720" s="860"/>
      <c r="AT720" s="860"/>
      <c r="AU720" s="860"/>
      <c r="AV720" s="860"/>
      <c r="AW720" s="860"/>
      <c r="AX720" s="860"/>
      <c r="AY720" s="860"/>
      <c r="AZ720" s="860"/>
      <c r="BA720" s="860"/>
      <c r="BB720" s="860"/>
      <c r="BC720" s="860"/>
      <c r="BD720" s="860"/>
      <c r="BE720" s="860"/>
      <c r="BF720" s="860"/>
      <c r="BG720" s="860"/>
      <c r="BH720" s="860"/>
      <c r="BI720" s="860"/>
      <c r="BJ720" s="860"/>
      <c r="BK720" s="860"/>
      <c r="BL720" s="860"/>
      <c r="BM720" s="860"/>
      <c r="BN720" s="872"/>
      <c r="BO720" s="872"/>
      <c r="BP720" s="872"/>
      <c r="BQ720" s="872"/>
      <c r="BR720" s="872"/>
      <c r="BS720" s="872"/>
      <c r="BT720" s="860"/>
      <c r="BU720" s="860"/>
      <c r="BV720" s="860"/>
      <c r="BW720" s="860"/>
      <c r="BX720" s="872"/>
      <c r="BY720" s="872"/>
      <c r="BZ720" s="872"/>
      <c r="CA720" s="872"/>
      <c r="CB720" s="872"/>
      <c r="CC720" s="872"/>
    </row>
    <row r="721" s="860" customFormat="1" ht="13.5" spans="1:81">
      <c r="A721" s="861"/>
      <c r="B721" s="860"/>
      <c r="C721" s="860"/>
      <c r="D721" s="860"/>
      <c r="E721" s="862"/>
      <c r="F721" s="860"/>
      <c r="G721" s="860"/>
      <c r="H721" s="860"/>
      <c r="I721" s="860"/>
      <c r="J721" s="860"/>
      <c r="K721" s="860"/>
      <c r="L721" s="860"/>
      <c r="M721" s="860"/>
      <c r="N721" s="860"/>
      <c r="O721" s="860"/>
      <c r="P721" s="860"/>
      <c r="Q721" s="860"/>
      <c r="R721" s="860"/>
      <c r="S721" s="860"/>
      <c r="T721" s="860"/>
      <c r="U721" s="860"/>
      <c r="V721" s="860"/>
      <c r="W721" s="860"/>
      <c r="X721" s="864"/>
      <c r="Y721" s="865"/>
      <c r="Z721" s="865"/>
      <c r="AA721" s="866"/>
      <c r="AB721" s="867"/>
      <c r="AC721" s="868"/>
      <c r="AD721" s="866"/>
      <c r="AE721" s="860"/>
      <c r="AF721" s="869"/>
      <c r="AG721" s="869"/>
      <c r="AH721" s="870"/>
      <c r="AI721" s="871"/>
      <c r="AJ721" s="870"/>
      <c r="AK721" s="870"/>
      <c r="AL721" s="860"/>
      <c r="AM721" s="860"/>
      <c r="AN721" s="860"/>
      <c r="AO721" s="860"/>
      <c r="AP721" s="860"/>
      <c r="AQ721" s="860"/>
      <c r="AR721" s="860"/>
      <c r="AS721" s="860"/>
      <c r="AT721" s="860"/>
      <c r="AU721" s="860"/>
      <c r="AV721" s="860"/>
      <c r="AW721" s="860"/>
      <c r="AX721" s="860"/>
      <c r="AY721" s="860"/>
      <c r="AZ721" s="860"/>
      <c r="BA721" s="860"/>
      <c r="BB721" s="860"/>
      <c r="BC721" s="860"/>
      <c r="BD721" s="860"/>
      <c r="BE721" s="860"/>
      <c r="BF721" s="860"/>
      <c r="BG721" s="860"/>
      <c r="BH721" s="860"/>
      <c r="BI721" s="860"/>
      <c r="BJ721" s="860"/>
      <c r="BK721" s="860"/>
      <c r="BL721" s="860"/>
      <c r="BM721" s="860"/>
      <c r="BN721" s="872"/>
      <c r="BO721" s="872"/>
      <c r="BP721" s="872"/>
      <c r="BQ721" s="872"/>
      <c r="BR721" s="872"/>
      <c r="BS721" s="872"/>
      <c r="BT721" s="860"/>
      <c r="BU721" s="860"/>
      <c r="BV721" s="860"/>
      <c r="BW721" s="860"/>
      <c r="BX721" s="872"/>
      <c r="BY721" s="872"/>
      <c r="BZ721" s="872"/>
      <c r="CA721" s="872"/>
      <c r="CB721" s="872"/>
      <c r="CC721" s="872"/>
    </row>
    <row r="722" s="860" customFormat="1" ht="13.5" spans="1:81">
      <c r="A722" s="861"/>
      <c r="B722" s="860"/>
      <c r="C722" s="860"/>
      <c r="D722" s="860"/>
      <c r="E722" s="862"/>
      <c r="F722" s="860"/>
      <c r="G722" s="860"/>
      <c r="H722" s="860"/>
      <c r="I722" s="860"/>
      <c r="J722" s="860"/>
      <c r="K722" s="860"/>
      <c r="L722" s="860"/>
      <c r="M722" s="860"/>
      <c r="N722" s="860"/>
      <c r="O722" s="860"/>
      <c r="P722" s="860"/>
      <c r="Q722" s="860"/>
      <c r="R722" s="860"/>
      <c r="S722" s="860"/>
      <c r="T722" s="860"/>
      <c r="U722" s="860"/>
      <c r="V722" s="860"/>
      <c r="W722" s="860"/>
      <c r="X722" s="864"/>
      <c r="Y722" s="865"/>
      <c r="Z722" s="865"/>
      <c r="AA722" s="866"/>
      <c r="AB722" s="867"/>
      <c r="AC722" s="868"/>
      <c r="AD722" s="866"/>
      <c r="AE722" s="860"/>
      <c r="AF722" s="869"/>
      <c r="AG722" s="869"/>
      <c r="AH722" s="870"/>
      <c r="AI722" s="871"/>
      <c r="AJ722" s="870"/>
      <c r="AK722" s="870"/>
      <c r="AL722" s="860"/>
      <c r="AM722" s="860"/>
      <c r="AN722" s="860"/>
      <c r="AO722" s="860"/>
      <c r="AP722" s="860"/>
      <c r="AQ722" s="860"/>
      <c r="AR722" s="860"/>
      <c r="AS722" s="860"/>
      <c r="AT722" s="860"/>
      <c r="AU722" s="860"/>
      <c r="AV722" s="860"/>
      <c r="AW722" s="860"/>
      <c r="AX722" s="860"/>
      <c r="AY722" s="860"/>
      <c r="AZ722" s="860"/>
      <c r="BA722" s="860"/>
      <c r="BB722" s="860"/>
      <c r="BC722" s="860"/>
      <c r="BD722" s="860"/>
      <c r="BE722" s="860"/>
      <c r="BF722" s="860"/>
      <c r="BG722" s="860"/>
      <c r="BH722" s="860"/>
      <c r="BI722" s="860"/>
      <c r="BJ722" s="860"/>
      <c r="BK722" s="860"/>
      <c r="BL722" s="860"/>
      <c r="BM722" s="860"/>
      <c r="BN722" s="872"/>
      <c r="BO722" s="872"/>
      <c r="BP722" s="872"/>
      <c r="BQ722" s="872"/>
      <c r="BR722" s="872"/>
      <c r="BS722" s="872"/>
      <c r="BT722" s="860"/>
      <c r="BU722" s="860"/>
      <c r="BV722" s="860"/>
      <c r="BW722" s="860"/>
      <c r="BX722" s="872"/>
      <c r="BY722" s="872"/>
      <c r="BZ722" s="872"/>
      <c r="CA722" s="872"/>
      <c r="CB722" s="872"/>
      <c r="CC722" s="872"/>
    </row>
    <row r="723" s="860" customFormat="1" ht="13.5" spans="1:81">
      <c r="A723" s="861"/>
      <c r="B723" s="860"/>
      <c r="C723" s="860"/>
      <c r="D723" s="860"/>
      <c r="E723" s="862"/>
      <c r="F723" s="860"/>
      <c r="G723" s="860"/>
      <c r="H723" s="860"/>
      <c r="I723" s="860"/>
      <c r="J723" s="860"/>
      <c r="K723" s="860"/>
      <c r="L723" s="860"/>
      <c r="M723" s="860"/>
      <c r="N723" s="860"/>
      <c r="O723" s="860"/>
      <c r="P723" s="860"/>
      <c r="Q723" s="860"/>
      <c r="R723" s="860"/>
      <c r="S723" s="860"/>
      <c r="T723" s="860"/>
      <c r="U723" s="860"/>
      <c r="V723" s="860"/>
      <c r="W723" s="860"/>
      <c r="X723" s="864"/>
      <c r="Y723" s="865"/>
      <c r="Z723" s="865"/>
      <c r="AA723" s="866"/>
      <c r="AB723" s="867"/>
      <c r="AC723" s="868"/>
      <c r="AD723" s="866"/>
      <c r="AE723" s="860"/>
      <c r="AF723" s="869"/>
      <c r="AG723" s="869"/>
      <c r="AH723" s="870"/>
      <c r="AI723" s="871"/>
      <c r="AJ723" s="870"/>
      <c r="AK723" s="870"/>
      <c r="AL723" s="860"/>
      <c r="AM723" s="860"/>
      <c r="AN723" s="860"/>
      <c r="AO723" s="860"/>
      <c r="AP723" s="860"/>
      <c r="AQ723" s="860"/>
      <c r="AR723" s="860"/>
      <c r="AS723" s="860"/>
      <c r="AT723" s="860"/>
      <c r="AU723" s="860"/>
      <c r="AV723" s="860"/>
      <c r="AW723" s="860"/>
      <c r="AX723" s="860"/>
      <c r="AY723" s="860"/>
      <c r="AZ723" s="860"/>
      <c r="BA723" s="860"/>
      <c r="BB723" s="860"/>
      <c r="BC723" s="860"/>
      <c r="BD723" s="860"/>
      <c r="BE723" s="860"/>
      <c r="BF723" s="860"/>
      <c r="BG723" s="860"/>
      <c r="BH723" s="860"/>
      <c r="BI723" s="860"/>
      <c r="BJ723" s="860"/>
      <c r="BK723" s="860"/>
      <c r="BL723" s="860"/>
      <c r="BM723" s="860"/>
      <c r="BN723" s="872"/>
      <c r="BO723" s="872"/>
      <c r="BP723" s="872"/>
      <c r="BQ723" s="872"/>
      <c r="BR723" s="872"/>
      <c r="BS723" s="872"/>
      <c r="BT723" s="860"/>
      <c r="BU723" s="860"/>
      <c r="BV723" s="860"/>
      <c r="BW723" s="860"/>
      <c r="BX723" s="872"/>
      <c r="BY723" s="872"/>
      <c r="BZ723" s="872"/>
      <c r="CA723" s="872"/>
      <c r="CB723" s="872"/>
      <c r="CC723" s="872"/>
    </row>
    <row r="724" s="860" customFormat="1" ht="13.5" spans="1:81">
      <c r="A724" s="861"/>
      <c r="B724" s="860"/>
      <c r="C724" s="860"/>
      <c r="D724" s="860"/>
      <c r="E724" s="862"/>
      <c r="F724" s="860"/>
      <c r="G724" s="860"/>
      <c r="H724" s="860"/>
      <c r="I724" s="860"/>
      <c r="J724" s="860"/>
      <c r="K724" s="860"/>
      <c r="L724" s="860"/>
      <c r="M724" s="860"/>
      <c r="N724" s="860"/>
      <c r="O724" s="860"/>
      <c r="P724" s="860"/>
      <c r="Q724" s="860"/>
      <c r="R724" s="860"/>
      <c r="S724" s="860"/>
      <c r="T724" s="860"/>
      <c r="U724" s="860"/>
      <c r="V724" s="860"/>
      <c r="W724" s="860"/>
      <c r="X724" s="864"/>
      <c r="Y724" s="865"/>
      <c r="Z724" s="865"/>
      <c r="AA724" s="866"/>
      <c r="AB724" s="867"/>
      <c r="AC724" s="868"/>
      <c r="AD724" s="866"/>
      <c r="AE724" s="860"/>
      <c r="AF724" s="869"/>
      <c r="AG724" s="869"/>
      <c r="AH724" s="870"/>
      <c r="AI724" s="871"/>
      <c r="AJ724" s="870"/>
      <c r="AK724" s="870"/>
      <c r="AL724" s="860"/>
      <c r="AM724" s="860"/>
      <c r="AN724" s="860"/>
      <c r="AO724" s="860"/>
      <c r="AP724" s="860"/>
      <c r="AQ724" s="860"/>
      <c r="AR724" s="860"/>
      <c r="AS724" s="860"/>
      <c r="AT724" s="860"/>
      <c r="AU724" s="860"/>
      <c r="AV724" s="860"/>
      <c r="AW724" s="860"/>
      <c r="AX724" s="860"/>
      <c r="AY724" s="860"/>
      <c r="AZ724" s="860"/>
      <c r="BA724" s="860"/>
      <c r="BB724" s="860"/>
      <c r="BC724" s="860"/>
      <c r="BD724" s="860"/>
      <c r="BE724" s="860"/>
      <c r="BF724" s="860"/>
      <c r="BG724" s="860"/>
      <c r="BH724" s="860"/>
      <c r="BI724" s="860"/>
      <c r="BJ724" s="860"/>
      <c r="BK724" s="860"/>
      <c r="BL724" s="860"/>
      <c r="BM724" s="860"/>
      <c r="BN724" s="872"/>
      <c r="BO724" s="872"/>
      <c r="BP724" s="872"/>
      <c r="BQ724" s="872"/>
      <c r="BR724" s="872"/>
      <c r="BS724" s="872"/>
      <c r="BT724" s="860"/>
      <c r="BU724" s="860"/>
      <c r="BV724" s="860"/>
      <c r="BW724" s="860"/>
      <c r="BX724" s="872"/>
      <c r="BY724" s="872"/>
      <c r="BZ724" s="872"/>
      <c r="CA724" s="872"/>
      <c r="CB724" s="872"/>
      <c r="CC724" s="872"/>
    </row>
    <row r="725" s="860" customFormat="1" ht="13.5" spans="1:81">
      <c r="A725" s="861"/>
      <c r="B725" s="860"/>
      <c r="C725" s="860"/>
      <c r="D725" s="860"/>
      <c r="E725" s="862"/>
      <c r="F725" s="860"/>
      <c r="G725" s="860"/>
      <c r="H725" s="860"/>
      <c r="I725" s="860"/>
      <c r="J725" s="860"/>
      <c r="K725" s="860"/>
      <c r="L725" s="860"/>
      <c r="M725" s="860"/>
      <c r="N725" s="860"/>
      <c r="O725" s="860"/>
      <c r="P725" s="860"/>
      <c r="Q725" s="860"/>
      <c r="R725" s="860"/>
      <c r="S725" s="860"/>
      <c r="T725" s="860"/>
      <c r="U725" s="860"/>
      <c r="V725" s="860"/>
      <c r="W725" s="860"/>
      <c r="X725" s="864"/>
      <c r="Y725" s="865"/>
      <c r="Z725" s="865"/>
      <c r="AA725" s="866"/>
      <c r="AB725" s="867"/>
      <c r="AC725" s="868"/>
      <c r="AD725" s="866"/>
      <c r="AE725" s="860"/>
      <c r="AF725" s="869"/>
      <c r="AG725" s="869"/>
      <c r="AH725" s="870"/>
      <c r="AI725" s="871"/>
      <c r="AJ725" s="870"/>
      <c r="AK725" s="870"/>
      <c r="AL725" s="860"/>
      <c r="AM725" s="860"/>
      <c r="AN725" s="860"/>
      <c r="AO725" s="860"/>
      <c r="AP725" s="860"/>
      <c r="AQ725" s="860"/>
      <c r="AR725" s="860"/>
      <c r="AS725" s="860"/>
      <c r="AT725" s="860"/>
      <c r="AU725" s="860"/>
      <c r="AV725" s="860"/>
      <c r="AW725" s="860"/>
      <c r="AX725" s="860"/>
      <c r="AY725" s="860"/>
      <c r="AZ725" s="860"/>
      <c r="BA725" s="860"/>
      <c r="BB725" s="860"/>
      <c r="BC725" s="860"/>
      <c r="BD725" s="860"/>
      <c r="BE725" s="860"/>
      <c r="BF725" s="860"/>
      <c r="BG725" s="860"/>
      <c r="BH725" s="860"/>
      <c r="BI725" s="860"/>
      <c r="BJ725" s="860"/>
      <c r="BK725" s="860"/>
      <c r="BL725" s="860"/>
      <c r="BM725" s="860"/>
      <c r="BN725" s="872"/>
      <c r="BO725" s="872"/>
      <c r="BP725" s="872"/>
      <c r="BQ725" s="872"/>
      <c r="BR725" s="872"/>
      <c r="BS725" s="872"/>
      <c r="BT725" s="860"/>
      <c r="BU725" s="860"/>
      <c r="BV725" s="860"/>
      <c r="BW725" s="860"/>
      <c r="BX725" s="872"/>
      <c r="BY725" s="872"/>
      <c r="BZ725" s="872"/>
      <c r="CA725" s="872"/>
      <c r="CB725" s="872"/>
      <c r="CC725" s="872"/>
    </row>
    <row r="726" s="860" customFormat="1" ht="13.5" spans="1:81">
      <c r="A726" s="861"/>
      <c r="B726" s="860"/>
      <c r="C726" s="860"/>
      <c r="D726" s="860"/>
      <c r="E726" s="862"/>
      <c r="F726" s="860"/>
      <c r="G726" s="860"/>
      <c r="H726" s="860"/>
      <c r="I726" s="860"/>
      <c r="J726" s="860"/>
      <c r="K726" s="860"/>
      <c r="L726" s="860"/>
      <c r="M726" s="860"/>
      <c r="N726" s="860"/>
      <c r="O726" s="860"/>
      <c r="P726" s="860"/>
      <c r="Q726" s="860"/>
      <c r="R726" s="860"/>
      <c r="S726" s="860"/>
      <c r="T726" s="860"/>
      <c r="U726" s="860"/>
      <c r="V726" s="860"/>
      <c r="W726" s="860"/>
      <c r="X726" s="864"/>
      <c r="Y726" s="865"/>
      <c r="Z726" s="865"/>
      <c r="AA726" s="866"/>
      <c r="AB726" s="867"/>
      <c r="AC726" s="868"/>
      <c r="AD726" s="866"/>
      <c r="AE726" s="860"/>
      <c r="AF726" s="869"/>
      <c r="AG726" s="869"/>
      <c r="AH726" s="870"/>
      <c r="AI726" s="871"/>
      <c r="AJ726" s="870"/>
      <c r="AK726" s="870"/>
      <c r="AL726" s="860"/>
      <c r="AM726" s="860"/>
      <c r="AN726" s="860"/>
      <c r="AO726" s="860"/>
      <c r="AP726" s="860"/>
      <c r="AQ726" s="860"/>
      <c r="AR726" s="860"/>
      <c r="AS726" s="860"/>
      <c r="AT726" s="860"/>
      <c r="AU726" s="860"/>
      <c r="AV726" s="860"/>
      <c r="AW726" s="860"/>
      <c r="AX726" s="860"/>
      <c r="AY726" s="860"/>
      <c r="AZ726" s="860"/>
      <c r="BA726" s="860"/>
      <c r="BB726" s="860"/>
      <c r="BC726" s="860"/>
      <c r="BD726" s="860"/>
      <c r="BE726" s="860"/>
      <c r="BF726" s="860"/>
      <c r="BG726" s="860"/>
      <c r="BH726" s="860"/>
      <c r="BI726" s="860"/>
      <c r="BJ726" s="860"/>
      <c r="BK726" s="860"/>
      <c r="BL726" s="860"/>
      <c r="BM726" s="860"/>
      <c r="BN726" s="872"/>
      <c r="BO726" s="872"/>
      <c r="BP726" s="872"/>
      <c r="BQ726" s="872"/>
      <c r="BR726" s="872"/>
      <c r="BS726" s="872"/>
      <c r="BT726" s="860"/>
      <c r="BU726" s="860"/>
      <c r="BV726" s="860"/>
      <c r="BW726" s="860"/>
      <c r="BX726" s="872"/>
      <c r="BY726" s="872"/>
      <c r="BZ726" s="872"/>
      <c r="CA726" s="872"/>
      <c r="CB726" s="872"/>
      <c r="CC726" s="872"/>
    </row>
    <row r="727" s="860" customFormat="1" ht="13.5" spans="1:81">
      <c r="A727" s="861"/>
      <c r="B727" s="860"/>
      <c r="C727" s="860"/>
      <c r="D727" s="860"/>
      <c r="E727" s="862"/>
      <c r="F727" s="860"/>
      <c r="G727" s="860"/>
      <c r="H727" s="860"/>
      <c r="I727" s="860"/>
      <c r="J727" s="860"/>
      <c r="K727" s="860"/>
      <c r="L727" s="860"/>
      <c r="M727" s="860"/>
      <c r="N727" s="860"/>
      <c r="O727" s="860"/>
      <c r="P727" s="860"/>
      <c r="Q727" s="860"/>
      <c r="R727" s="860"/>
      <c r="S727" s="860"/>
      <c r="T727" s="860"/>
      <c r="U727" s="860"/>
      <c r="V727" s="860"/>
      <c r="W727" s="860"/>
      <c r="X727" s="864"/>
      <c r="Y727" s="865"/>
      <c r="Z727" s="865"/>
      <c r="AA727" s="866"/>
      <c r="AB727" s="867"/>
      <c r="AC727" s="868"/>
      <c r="AD727" s="866"/>
      <c r="AE727" s="860"/>
      <c r="AF727" s="869"/>
      <c r="AG727" s="869"/>
      <c r="AH727" s="870"/>
      <c r="AI727" s="871"/>
      <c r="AJ727" s="870"/>
      <c r="AK727" s="870"/>
      <c r="AL727" s="860"/>
      <c r="AM727" s="860"/>
      <c r="AN727" s="860"/>
      <c r="AO727" s="860"/>
      <c r="AP727" s="860"/>
      <c r="AQ727" s="860"/>
      <c r="AR727" s="860"/>
      <c r="AS727" s="860"/>
      <c r="AT727" s="860"/>
      <c r="AU727" s="860"/>
      <c r="AV727" s="860"/>
      <c r="AW727" s="860"/>
      <c r="AX727" s="860"/>
      <c r="AY727" s="860"/>
      <c r="AZ727" s="860"/>
      <c r="BA727" s="860"/>
      <c r="BB727" s="860"/>
      <c r="BC727" s="860"/>
      <c r="BD727" s="860"/>
      <c r="BE727" s="860"/>
      <c r="BF727" s="860"/>
      <c r="BG727" s="860"/>
      <c r="BH727" s="860"/>
      <c r="BI727" s="860"/>
      <c r="BJ727" s="860"/>
      <c r="BK727" s="860"/>
      <c r="BL727" s="860"/>
      <c r="BM727" s="860"/>
      <c r="BN727" s="872"/>
      <c r="BO727" s="872"/>
      <c r="BP727" s="872"/>
      <c r="BQ727" s="872"/>
      <c r="BR727" s="872"/>
      <c r="BS727" s="872"/>
      <c r="BT727" s="860"/>
      <c r="BU727" s="860"/>
      <c r="BV727" s="860"/>
      <c r="BW727" s="860"/>
      <c r="BX727" s="872"/>
      <c r="BY727" s="872"/>
      <c r="BZ727" s="872"/>
      <c r="CA727" s="872"/>
      <c r="CB727" s="872"/>
      <c r="CC727" s="872"/>
    </row>
    <row r="728" s="860" customFormat="1" ht="13.5" spans="1:81">
      <c r="A728" s="861"/>
      <c r="B728" s="860"/>
      <c r="C728" s="860"/>
      <c r="D728" s="860"/>
      <c r="E728" s="862"/>
      <c r="F728" s="860"/>
      <c r="G728" s="860"/>
      <c r="H728" s="860"/>
      <c r="I728" s="860"/>
      <c r="J728" s="860"/>
      <c r="K728" s="860"/>
      <c r="L728" s="860"/>
      <c r="M728" s="860"/>
      <c r="N728" s="860"/>
      <c r="O728" s="860"/>
      <c r="P728" s="860"/>
      <c r="Q728" s="860"/>
      <c r="R728" s="860"/>
      <c r="S728" s="860"/>
      <c r="T728" s="860"/>
      <c r="U728" s="860"/>
      <c r="V728" s="860"/>
      <c r="W728" s="860"/>
      <c r="X728" s="864"/>
      <c r="Y728" s="865"/>
      <c r="Z728" s="865"/>
      <c r="AA728" s="866"/>
      <c r="AB728" s="867"/>
      <c r="AC728" s="868"/>
      <c r="AD728" s="866"/>
      <c r="AE728" s="860"/>
      <c r="AF728" s="869"/>
      <c r="AG728" s="869"/>
      <c r="AH728" s="870"/>
      <c r="AI728" s="871"/>
      <c r="AJ728" s="870"/>
      <c r="AK728" s="870"/>
      <c r="AL728" s="860"/>
      <c r="AM728" s="860"/>
      <c r="AN728" s="860"/>
      <c r="AO728" s="860"/>
      <c r="AP728" s="860"/>
      <c r="AQ728" s="860"/>
      <c r="AR728" s="860"/>
      <c r="AS728" s="860"/>
      <c r="AT728" s="860"/>
      <c r="AU728" s="860"/>
      <c r="AV728" s="860"/>
      <c r="AW728" s="860"/>
      <c r="AX728" s="860"/>
      <c r="AY728" s="860"/>
      <c r="AZ728" s="860"/>
      <c r="BA728" s="860"/>
      <c r="BB728" s="860"/>
      <c r="BC728" s="860"/>
      <c r="BD728" s="860"/>
      <c r="BE728" s="860"/>
      <c r="BF728" s="860"/>
      <c r="BG728" s="860"/>
      <c r="BH728" s="860"/>
      <c r="BI728" s="860"/>
      <c r="BJ728" s="860"/>
      <c r="BK728" s="860"/>
      <c r="BL728" s="860"/>
      <c r="BM728" s="860"/>
      <c r="BN728" s="872"/>
      <c r="BO728" s="872"/>
      <c r="BP728" s="872"/>
      <c r="BQ728" s="872"/>
      <c r="BR728" s="872"/>
      <c r="BS728" s="872"/>
      <c r="BT728" s="860"/>
      <c r="BU728" s="860"/>
      <c r="BV728" s="860"/>
      <c r="BW728" s="860"/>
      <c r="BX728" s="872"/>
      <c r="BY728" s="872"/>
      <c r="BZ728" s="872"/>
      <c r="CA728" s="872"/>
      <c r="CB728" s="872"/>
      <c r="CC728" s="872"/>
    </row>
    <row r="729" s="860" customFormat="1" ht="13.5" spans="1:81">
      <c r="A729" s="861"/>
      <c r="B729" s="860"/>
      <c r="C729" s="860"/>
      <c r="D729" s="860"/>
      <c r="E729" s="862"/>
      <c r="F729" s="860"/>
      <c r="G729" s="860"/>
      <c r="H729" s="860"/>
      <c r="I729" s="860"/>
      <c r="J729" s="860"/>
      <c r="K729" s="860"/>
      <c r="L729" s="860"/>
      <c r="M729" s="860"/>
      <c r="N729" s="860"/>
      <c r="O729" s="860"/>
      <c r="P729" s="860"/>
      <c r="Q729" s="860"/>
      <c r="R729" s="860"/>
      <c r="S729" s="860"/>
      <c r="T729" s="860"/>
      <c r="U729" s="860"/>
      <c r="V729" s="860"/>
      <c r="W729" s="860"/>
      <c r="X729" s="864"/>
      <c r="Y729" s="865"/>
      <c r="Z729" s="865"/>
      <c r="AA729" s="866"/>
      <c r="AB729" s="867"/>
      <c r="AC729" s="868"/>
      <c r="AD729" s="866"/>
      <c r="AE729" s="860"/>
      <c r="AF729" s="869"/>
      <c r="AG729" s="869"/>
      <c r="AH729" s="870"/>
      <c r="AI729" s="871"/>
      <c r="AJ729" s="870"/>
      <c r="AK729" s="870"/>
      <c r="AL729" s="860"/>
      <c r="AM729" s="860"/>
      <c r="AN729" s="860"/>
      <c r="AO729" s="860"/>
      <c r="AP729" s="860"/>
      <c r="AQ729" s="860"/>
      <c r="AR729" s="860"/>
      <c r="AS729" s="860"/>
      <c r="AT729" s="860"/>
      <c r="AU729" s="860"/>
      <c r="AV729" s="860"/>
      <c r="AW729" s="860"/>
      <c r="AX729" s="860"/>
      <c r="AY729" s="860"/>
      <c r="AZ729" s="860"/>
      <c r="BA729" s="860"/>
      <c r="BB729" s="860"/>
      <c r="BC729" s="860"/>
      <c r="BD729" s="860"/>
      <c r="BE729" s="860"/>
      <c r="BF729" s="860"/>
      <c r="BG729" s="860"/>
      <c r="BH729" s="860"/>
      <c r="BI729" s="860"/>
      <c r="BJ729" s="860"/>
      <c r="BK729" s="860"/>
      <c r="BL729" s="860"/>
      <c r="BM729" s="860"/>
      <c r="BN729" s="872"/>
      <c r="BO729" s="872"/>
      <c r="BP729" s="872"/>
      <c r="BQ729" s="872"/>
      <c r="BR729" s="872"/>
      <c r="BS729" s="872"/>
      <c r="BT729" s="860"/>
      <c r="BU729" s="860"/>
      <c r="BV729" s="860"/>
      <c r="BW729" s="860"/>
      <c r="BX729" s="872"/>
      <c r="BY729" s="872"/>
      <c r="BZ729" s="872"/>
      <c r="CA729" s="872"/>
      <c r="CB729" s="872"/>
      <c r="CC729" s="872"/>
    </row>
    <row r="730" s="860" customFormat="1" ht="13.5" spans="1:81">
      <c r="A730" s="861"/>
      <c r="B730" s="860"/>
      <c r="C730" s="860"/>
      <c r="D730" s="860"/>
      <c r="E730" s="862"/>
      <c r="F730" s="860"/>
      <c r="G730" s="860"/>
      <c r="H730" s="860"/>
      <c r="I730" s="860"/>
      <c r="J730" s="860"/>
      <c r="K730" s="860"/>
      <c r="L730" s="860"/>
      <c r="M730" s="860"/>
      <c r="N730" s="860"/>
      <c r="O730" s="860"/>
      <c r="P730" s="860"/>
      <c r="Q730" s="860"/>
      <c r="R730" s="860"/>
      <c r="S730" s="860"/>
      <c r="T730" s="860"/>
      <c r="U730" s="860"/>
      <c r="V730" s="860"/>
      <c r="W730" s="860"/>
      <c r="X730" s="864"/>
      <c r="Y730" s="865"/>
      <c r="Z730" s="865"/>
      <c r="AA730" s="866"/>
      <c r="AB730" s="867"/>
      <c r="AC730" s="868"/>
      <c r="AD730" s="866"/>
      <c r="AE730" s="860"/>
      <c r="AF730" s="869"/>
      <c r="AG730" s="869"/>
      <c r="AH730" s="870"/>
      <c r="AI730" s="871"/>
      <c r="AJ730" s="870"/>
      <c r="AK730" s="870"/>
      <c r="AL730" s="860"/>
      <c r="AM730" s="860"/>
      <c r="AN730" s="860"/>
      <c r="AO730" s="860"/>
      <c r="AP730" s="860"/>
      <c r="AQ730" s="860"/>
      <c r="AR730" s="860"/>
      <c r="AS730" s="860"/>
      <c r="AT730" s="860"/>
      <c r="AU730" s="860"/>
      <c r="AV730" s="860"/>
      <c r="AW730" s="860"/>
      <c r="AX730" s="860"/>
      <c r="AY730" s="860"/>
      <c r="AZ730" s="860"/>
      <c r="BA730" s="860"/>
      <c r="BB730" s="860"/>
      <c r="BC730" s="860"/>
      <c r="BD730" s="860"/>
      <c r="BE730" s="860"/>
      <c r="BF730" s="860"/>
      <c r="BG730" s="860"/>
      <c r="BH730" s="860"/>
      <c r="BI730" s="860"/>
      <c r="BJ730" s="860"/>
      <c r="BK730" s="860"/>
      <c r="BL730" s="860"/>
      <c r="BM730" s="860"/>
      <c r="BN730" s="872"/>
      <c r="BO730" s="872"/>
      <c r="BP730" s="872"/>
      <c r="BQ730" s="872"/>
      <c r="BR730" s="872"/>
      <c r="BS730" s="872"/>
      <c r="BT730" s="860"/>
      <c r="BU730" s="860"/>
      <c r="BV730" s="860"/>
      <c r="BW730" s="860"/>
      <c r="BX730" s="872"/>
      <c r="BY730" s="872"/>
      <c r="BZ730" s="872"/>
      <c r="CA730" s="872"/>
      <c r="CB730" s="872"/>
      <c r="CC730" s="872"/>
    </row>
    <row r="731" s="860" customFormat="1" ht="13.5" spans="1:81">
      <c r="A731" s="861"/>
      <c r="B731" s="860"/>
      <c r="C731" s="860"/>
      <c r="D731" s="860"/>
      <c r="E731" s="862"/>
      <c r="F731" s="860"/>
      <c r="G731" s="860"/>
      <c r="H731" s="860"/>
      <c r="I731" s="860"/>
      <c r="J731" s="860"/>
      <c r="K731" s="860"/>
      <c r="L731" s="860"/>
      <c r="M731" s="860"/>
      <c r="N731" s="860"/>
      <c r="O731" s="860"/>
      <c r="P731" s="860"/>
      <c r="Q731" s="860"/>
      <c r="R731" s="860"/>
      <c r="S731" s="860"/>
      <c r="T731" s="860"/>
      <c r="U731" s="860"/>
      <c r="V731" s="860"/>
      <c r="W731" s="860"/>
      <c r="X731" s="864"/>
      <c r="Y731" s="865"/>
      <c r="Z731" s="865"/>
      <c r="AA731" s="866"/>
      <c r="AB731" s="867"/>
      <c r="AC731" s="868"/>
      <c r="AD731" s="866"/>
      <c r="AE731" s="860"/>
      <c r="AF731" s="869"/>
      <c r="AG731" s="869"/>
      <c r="AH731" s="870"/>
      <c r="AI731" s="871"/>
      <c r="AJ731" s="870"/>
      <c r="AK731" s="870"/>
      <c r="AL731" s="860"/>
      <c r="AM731" s="860"/>
      <c r="AN731" s="860"/>
      <c r="AO731" s="860"/>
      <c r="AP731" s="860"/>
      <c r="AQ731" s="860"/>
      <c r="AR731" s="860"/>
      <c r="AS731" s="860"/>
      <c r="AT731" s="860"/>
      <c r="AU731" s="860"/>
      <c r="AV731" s="860"/>
      <c r="AW731" s="860"/>
      <c r="AX731" s="860"/>
      <c r="AY731" s="860"/>
      <c r="AZ731" s="860"/>
      <c r="BA731" s="860"/>
      <c r="BB731" s="860"/>
      <c r="BC731" s="860"/>
      <c r="BD731" s="860"/>
      <c r="BE731" s="860"/>
      <c r="BF731" s="860"/>
      <c r="BG731" s="860"/>
      <c r="BH731" s="860"/>
      <c r="BI731" s="860"/>
      <c r="BJ731" s="860"/>
      <c r="BK731" s="860"/>
      <c r="BL731" s="860"/>
      <c r="BM731" s="860"/>
      <c r="BN731" s="872"/>
      <c r="BO731" s="872"/>
      <c r="BP731" s="872"/>
      <c r="BQ731" s="872"/>
      <c r="BR731" s="872"/>
      <c r="BS731" s="872"/>
      <c r="BT731" s="860"/>
      <c r="BU731" s="860"/>
      <c r="BV731" s="860"/>
      <c r="BW731" s="860"/>
      <c r="BX731" s="872"/>
      <c r="BY731" s="872"/>
      <c r="BZ731" s="872"/>
      <c r="CA731" s="872"/>
      <c r="CB731" s="872"/>
      <c r="CC731" s="872"/>
    </row>
    <row r="732" s="860" customFormat="1" ht="13.5" spans="1:81">
      <c r="A732" s="861"/>
      <c r="B732" s="860"/>
      <c r="C732" s="860"/>
      <c r="D732" s="860"/>
      <c r="E732" s="862"/>
      <c r="F732" s="860"/>
      <c r="G732" s="860"/>
      <c r="H732" s="860"/>
      <c r="I732" s="860"/>
      <c r="J732" s="860"/>
      <c r="K732" s="860"/>
      <c r="L732" s="860"/>
      <c r="M732" s="860"/>
      <c r="N732" s="860"/>
      <c r="O732" s="860"/>
      <c r="P732" s="860"/>
      <c r="Q732" s="860"/>
      <c r="R732" s="860"/>
      <c r="S732" s="860"/>
      <c r="T732" s="860"/>
      <c r="U732" s="860"/>
      <c r="V732" s="860"/>
      <c r="W732" s="860"/>
      <c r="X732" s="864"/>
      <c r="Y732" s="865"/>
      <c r="Z732" s="865"/>
      <c r="AA732" s="866"/>
      <c r="AB732" s="867"/>
      <c r="AC732" s="868"/>
      <c r="AD732" s="866"/>
      <c r="AE732" s="860"/>
      <c r="AF732" s="869"/>
      <c r="AG732" s="869"/>
      <c r="AH732" s="870"/>
      <c r="AI732" s="871"/>
      <c r="AJ732" s="870"/>
      <c r="AK732" s="870"/>
      <c r="AL732" s="860"/>
      <c r="AM732" s="860"/>
      <c r="AN732" s="860"/>
      <c r="AO732" s="860"/>
      <c r="AP732" s="860"/>
      <c r="AQ732" s="860"/>
      <c r="AR732" s="860"/>
      <c r="AS732" s="860"/>
      <c r="AT732" s="860"/>
      <c r="AU732" s="860"/>
      <c r="AV732" s="860"/>
      <c r="AW732" s="860"/>
      <c r="AX732" s="860"/>
      <c r="AY732" s="860"/>
      <c r="AZ732" s="860"/>
      <c r="BA732" s="860"/>
      <c r="BB732" s="860"/>
      <c r="BC732" s="860"/>
      <c r="BD732" s="860"/>
      <c r="BE732" s="860"/>
      <c r="BF732" s="860"/>
      <c r="BG732" s="860"/>
      <c r="BH732" s="860"/>
      <c r="BI732" s="860"/>
      <c r="BJ732" s="860"/>
      <c r="BK732" s="860"/>
      <c r="BL732" s="860"/>
      <c r="BM732" s="860"/>
      <c r="BN732" s="872"/>
      <c r="BO732" s="872"/>
      <c r="BP732" s="872"/>
      <c r="BQ732" s="872"/>
      <c r="BR732" s="872"/>
      <c r="BS732" s="872"/>
      <c r="BT732" s="860"/>
      <c r="BU732" s="860"/>
      <c r="BV732" s="860"/>
      <c r="BW732" s="860"/>
      <c r="BX732" s="872"/>
      <c r="BY732" s="872"/>
      <c r="BZ732" s="872"/>
      <c r="CA732" s="872"/>
      <c r="CB732" s="872"/>
      <c r="CC732" s="872"/>
    </row>
    <row r="733" s="860" customFormat="1" ht="13.5" spans="1:81">
      <c r="A733" s="861"/>
      <c r="B733" s="860"/>
      <c r="C733" s="860"/>
      <c r="D733" s="860"/>
      <c r="E733" s="862"/>
      <c r="F733" s="860"/>
      <c r="G733" s="860"/>
      <c r="H733" s="860"/>
      <c r="I733" s="860"/>
      <c r="J733" s="860"/>
      <c r="K733" s="860"/>
      <c r="L733" s="860"/>
      <c r="M733" s="860"/>
      <c r="N733" s="860"/>
      <c r="O733" s="860"/>
      <c r="P733" s="860"/>
      <c r="Q733" s="860"/>
      <c r="R733" s="860"/>
      <c r="S733" s="860"/>
      <c r="T733" s="860"/>
      <c r="U733" s="860"/>
      <c r="V733" s="860"/>
      <c r="W733" s="860"/>
      <c r="X733" s="864"/>
      <c r="Y733" s="865"/>
      <c r="Z733" s="865"/>
      <c r="AA733" s="866"/>
      <c r="AB733" s="867"/>
      <c r="AC733" s="868"/>
      <c r="AD733" s="866"/>
      <c r="AE733" s="860"/>
      <c r="AF733" s="869"/>
      <c r="AG733" s="869"/>
      <c r="AH733" s="870"/>
      <c r="AI733" s="871"/>
      <c r="AJ733" s="870"/>
      <c r="AK733" s="870"/>
      <c r="AL733" s="860"/>
      <c r="AM733" s="860"/>
      <c r="AN733" s="860"/>
      <c r="AO733" s="860"/>
      <c r="AP733" s="860"/>
      <c r="AQ733" s="860"/>
      <c r="AR733" s="860"/>
      <c r="AS733" s="860"/>
      <c r="AT733" s="860"/>
      <c r="AU733" s="860"/>
      <c r="AV733" s="860"/>
      <c r="AW733" s="860"/>
      <c r="AX733" s="860"/>
      <c r="AY733" s="860"/>
      <c r="AZ733" s="860"/>
      <c r="BA733" s="860"/>
      <c r="BB733" s="860"/>
      <c r="BC733" s="860"/>
      <c r="BD733" s="860"/>
      <c r="BE733" s="860"/>
      <c r="BF733" s="860"/>
      <c r="BG733" s="860"/>
      <c r="BH733" s="860"/>
      <c r="BI733" s="860"/>
      <c r="BJ733" s="860"/>
      <c r="BK733" s="860"/>
      <c r="BL733" s="860"/>
      <c r="BM733" s="860"/>
      <c r="BN733" s="872"/>
      <c r="BO733" s="872"/>
      <c r="BP733" s="872"/>
      <c r="BQ733" s="872"/>
      <c r="BR733" s="872"/>
      <c r="BS733" s="872"/>
      <c r="BT733" s="860"/>
      <c r="BU733" s="860"/>
      <c r="BV733" s="860"/>
      <c r="BW733" s="860"/>
      <c r="BX733" s="872"/>
      <c r="BY733" s="872"/>
      <c r="BZ733" s="872"/>
      <c r="CA733" s="872"/>
      <c r="CB733" s="872"/>
      <c r="CC733" s="872"/>
    </row>
    <row r="734" s="860" customFormat="1" ht="13.5" spans="1:81">
      <c r="A734" s="861"/>
      <c r="B734" s="860"/>
      <c r="C734" s="860"/>
      <c r="D734" s="860"/>
      <c r="E734" s="862"/>
      <c r="F734" s="860"/>
      <c r="G734" s="860"/>
      <c r="H734" s="860"/>
      <c r="I734" s="860"/>
      <c r="J734" s="860"/>
      <c r="K734" s="860"/>
      <c r="L734" s="860"/>
      <c r="M734" s="860"/>
      <c r="N734" s="860"/>
      <c r="O734" s="860"/>
      <c r="P734" s="860"/>
      <c r="Q734" s="860"/>
      <c r="R734" s="860"/>
      <c r="S734" s="860"/>
      <c r="T734" s="860"/>
      <c r="U734" s="860"/>
      <c r="V734" s="860"/>
      <c r="W734" s="860"/>
      <c r="X734" s="864"/>
      <c r="Y734" s="865"/>
      <c r="Z734" s="865"/>
      <c r="AA734" s="866"/>
      <c r="AB734" s="867"/>
      <c r="AC734" s="868"/>
      <c r="AD734" s="866"/>
      <c r="AE734" s="860"/>
      <c r="AF734" s="869"/>
      <c r="AG734" s="869"/>
      <c r="AH734" s="870"/>
      <c r="AI734" s="871"/>
      <c r="AJ734" s="870"/>
      <c r="AK734" s="870"/>
      <c r="AL734" s="860"/>
      <c r="AM734" s="860"/>
      <c r="AN734" s="860"/>
      <c r="AO734" s="860"/>
      <c r="AP734" s="860"/>
      <c r="AQ734" s="860"/>
      <c r="AR734" s="860"/>
      <c r="AS734" s="860"/>
      <c r="AT734" s="860"/>
      <c r="AU734" s="860"/>
      <c r="AV734" s="860"/>
      <c r="AW734" s="860"/>
      <c r="AX734" s="860"/>
      <c r="AY734" s="860"/>
      <c r="AZ734" s="860"/>
      <c r="BA734" s="860"/>
      <c r="BB734" s="860"/>
      <c r="BC734" s="860"/>
      <c r="BD734" s="860"/>
      <c r="BE734" s="860"/>
      <c r="BF734" s="860"/>
      <c r="BG734" s="860"/>
      <c r="BH734" s="860"/>
      <c r="BI734" s="860"/>
      <c r="BJ734" s="860"/>
      <c r="BK734" s="860"/>
      <c r="BL734" s="860"/>
      <c r="BM734" s="860"/>
      <c r="BN734" s="872"/>
      <c r="BO734" s="872"/>
      <c r="BP734" s="872"/>
      <c r="BQ734" s="872"/>
      <c r="BR734" s="872"/>
      <c r="BS734" s="872"/>
      <c r="BT734" s="860"/>
      <c r="BU734" s="860"/>
      <c r="BV734" s="860"/>
      <c r="BW734" s="860"/>
      <c r="BX734" s="872"/>
      <c r="BY734" s="872"/>
      <c r="BZ734" s="872"/>
      <c r="CA734" s="872"/>
      <c r="CB734" s="872"/>
      <c r="CC734" s="872"/>
    </row>
    <row r="735" s="860" customFormat="1" ht="13.5" spans="1:81">
      <c r="A735" s="861"/>
      <c r="B735" s="860"/>
      <c r="C735" s="860"/>
      <c r="D735" s="860"/>
      <c r="E735" s="862"/>
      <c r="F735" s="860"/>
      <c r="G735" s="860"/>
      <c r="H735" s="860"/>
      <c r="I735" s="860"/>
      <c r="J735" s="860"/>
      <c r="K735" s="860"/>
      <c r="L735" s="860"/>
      <c r="M735" s="860"/>
      <c r="N735" s="860"/>
      <c r="O735" s="860"/>
      <c r="P735" s="860"/>
      <c r="Q735" s="860"/>
      <c r="R735" s="860"/>
      <c r="S735" s="860"/>
      <c r="T735" s="860"/>
      <c r="U735" s="860"/>
      <c r="V735" s="860"/>
      <c r="W735" s="860"/>
      <c r="X735" s="864"/>
      <c r="Y735" s="865"/>
      <c r="Z735" s="865"/>
      <c r="AA735" s="866"/>
      <c r="AB735" s="867"/>
      <c r="AC735" s="868"/>
      <c r="AD735" s="866"/>
      <c r="AE735" s="860"/>
      <c r="AF735" s="869"/>
      <c r="AG735" s="869"/>
      <c r="AH735" s="870"/>
      <c r="AI735" s="871"/>
      <c r="AJ735" s="870"/>
      <c r="AK735" s="870"/>
      <c r="AL735" s="860"/>
      <c r="AM735" s="860"/>
      <c r="AN735" s="860"/>
      <c r="AO735" s="860"/>
      <c r="AP735" s="860"/>
      <c r="AQ735" s="860"/>
      <c r="AR735" s="860"/>
      <c r="AS735" s="860"/>
      <c r="AT735" s="860"/>
      <c r="AU735" s="860"/>
      <c r="AV735" s="860"/>
      <c r="AW735" s="860"/>
      <c r="AX735" s="860"/>
      <c r="AY735" s="860"/>
      <c r="AZ735" s="860"/>
      <c r="BA735" s="860"/>
      <c r="BB735" s="860"/>
      <c r="BC735" s="860"/>
      <c r="BD735" s="860"/>
      <c r="BE735" s="860"/>
      <c r="BF735" s="860"/>
      <c r="BG735" s="860"/>
      <c r="BH735" s="860"/>
      <c r="BI735" s="860"/>
      <c r="BJ735" s="860"/>
      <c r="BK735" s="860"/>
      <c r="BL735" s="860"/>
      <c r="BM735" s="860"/>
      <c r="BN735" s="872"/>
      <c r="BO735" s="872"/>
      <c r="BP735" s="872"/>
      <c r="BQ735" s="872"/>
      <c r="BR735" s="872"/>
      <c r="BS735" s="872"/>
      <c r="BT735" s="860"/>
      <c r="BU735" s="860"/>
      <c r="BV735" s="860"/>
      <c r="BW735" s="860"/>
      <c r="BX735" s="872"/>
      <c r="BY735" s="872"/>
      <c r="BZ735" s="872"/>
      <c r="CA735" s="872"/>
      <c r="CB735" s="872"/>
      <c r="CC735" s="872"/>
    </row>
    <row r="736" s="860" customFormat="1" ht="13.5" spans="1:81">
      <c r="A736" s="861"/>
      <c r="B736" s="860"/>
      <c r="C736" s="860"/>
      <c r="D736" s="860"/>
      <c r="E736" s="862"/>
      <c r="F736" s="860"/>
      <c r="G736" s="860"/>
      <c r="H736" s="860"/>
      <c r="I736" s="860"/>
      <c r="J736" s="860"/>
      <c r="K736" s="860"/>
      <c r="L736" s="860"/>
      <c r="M736" s="860"/>
      <c r="N736" s="860"/>
      <c r="O736" s="860"/>
      <c r="P736" s="860"/>
      <c r="Q736" s="860"/>
      <c r="R736" s="860"/>
      <c r="S736" s="860"/>
      <c r="T736" s="860"/>
      <c r="U736" s="860"/>
      <c r="V736" s="860"/>
      <c r="W736" s="860"/>
      <c r="X736" s="864"/>
      <c r="Y736" s="865"/>
      <c r="Z736" s="865"/>
      <c r="AA736" s="866"/>
      <c r="AB736" s="867"/>
      <c r="AC736" s="868"/>
      <c r="AD736" s="866"/>
      <c r="AE736" s="860"/>
      <c r="AF736" s="869"/>
      <c r="AG736" s="869"/>
      <c r="AH736" s="870"/>
      <c r="AI736" s="871"/>
      <c r="AJ736" s="870"/>
      <c r="AK736" s="870"/>
      <c r="AL736" s="860"/>
      <c r="AM736" s="860"/>
      <c r="AN736" s="860"/>
      <c r="AO736" s="860"/>
      <c r="AP736" s="860"/>
      <c r="AQ736" s="860"/>
      <c r="AR736" s="860"/>
      <c r="AS736" s="860"/>
      <c r="AT736" s="860"/>
      <c r="AU736" s="860"/>
      <c r="AV736" s="860"/>
      <c r="AW736" s="860"/>
      <c r="AX736" s="860"/>
      <c r="AY736" s="860"/>
      <c r="AZ736" s="860"/>
      <c r="BA736" s="860"/>
      <c r="BB736" s="860"/>
      <c r="BC736" s="860"/>
      <c r="BD736" s="860"/>
      <c r="BE736" s="860"/>
      <c r="BF736" s="860"/>
      <c r="BG736" s="860"/>
      <c r="BH736" s="860"/>
      <c r="BI736" s="860"/>
      <c r="BJ736" s="860"/>
      <c r="BK736" s="860"/>
      <c r="BL736" s="860"/>
      <c r="BM736" s="860"/>
      <c r="BN736" s="872"/>
      <c r="BO736" s="872"/>
      <c r="BP736" s="872"/>
      <c r="BQ736" s="872"/>
      <c r="BR736" s="872"/>
      <c r="BS736" s="872"/>
      <c r="BT736" s="860"/>
      <c r="BU736" s="860"/>
      <c r="BV736" s="860"/>
      <c r="BW736" s="860"/>
      <c r="BX736" s="872"/>
      <c r="BY736" s="872"/>
      <c r="BZ736" s="872"/>
      <c r="CA736" s="872"/>
      <c r="CB736" s="872"/>
      <c r="CC736" s="872"/>
    </row>
    <row r="737" s="860" customFormat="1" ht="13.5" spans="1:81">
      <c r="A737" s="861"/>
      <c r="B737" s="860"/>
      <c r="C737" s="860"/>
      <c r="D737" s="860"/>
      <c r="E737" s="862"/>
      <c r="F737" s="860"/>
      <c r="G737" s="860"/>
      <c r="H737" s="860"/>
      <c r="I737" s="860"/>
      <c r="J737" s="860"/>
      <c r="K737" s="860"/>
      <c r="L737" s="860"/>
      <c r="M737" s="860"/>
      <c r="N737" s="860"/>
      <c r="O737" s="860"/>
      <c r="P737" s="860"/>
      <c r="Q737" s="860"/>
      <c r="R737" s="860"/>
      <c r="S737" s="860"/>
      <c r="T737" s="860"/>
      <c r="U737" s="860"/>
      <c r="V737" s="860"/>
      <c r="W737" s="860"/>
      <c r="X737" s="864"/>
      <c r="Y737" s="865"/>
      <c r="Z737" s="865"/>
      <c r="AA737" s="866"/>
      <c r="AB737" s="867"/>
      <c r="AC737" s="868"/>
      <c r="AD737" s="866"/>
      <c r="AE737" s="860"/>
      <c r="AF737" s="869"/>
      <c r="AG737" s="869"/>
      <c r="AH737" s="870"/>
      <c r="AI737" s="871"/>
      <c r="AJ737" s="870"/>
      <c r="AK737" s="870"/>
      <c r="AL737" s="860"/>
      <c r="AM737" s="860"/>
      <c r="AN737" s="860"/>
      <c r="AO737" s="860"/>
      <c r="AP737" s="860"/>
      <c r="AQ737" s="860"/>
      <c r="AR737" s="860"/>
      <c r="AS737" s="860"/>
      <c r="AT737" s="860"/>
      <c r="AU737" s="860"/>
      <c r="AV737" s="860"/>
      <c r="AW737" s="860"/>
      <c r="AX737" s="860"/>
      <c r="AY737" s="860"/>
      <c r="AZ737" s="860"/>
      <c r="BA737" s="860"/>
      <c r="BB737" s="860"/>
      <c r="BC737" s="860"/>
      <c r="BD737" s="860"/>
      <c r="BE737" s="860"/>
      <c r="BF737" s="860"/>
      <c r="BG737" s="860"/>
      <c r="BH737" s="860"/>
      <c r="BI737" s="860"/>
      <c r="BJ737" s="860"/>
      <c r="BK737" s="860"/>
      <c r="BL737" s="860"/>
      <c r="BM737" s="860"/>
      <c r="BN737" s="872"/>
      <c r="BO737" s="872"/>
      <c r="BP737" s="872"/>
      <c r="BQ737" s="872"/>
      <c r="BR737" s="872"/>
      <c r="BS737" s="872"/>
      <c r="BT737" s="860"/>
      <c r="BU737" s="860"/>
      <c r="BV737" s="860"/>
      <c r="BW737" s="860"/>
      <c r="BX737" s="872"/>
      <c r="BY737" s="872"/>
      <c r="BZ737" s="872"/>
      <c r="CA737" s="872"/>
      <c r="CB737" s="872"/>
      <c r="CC737" s="872"/>
    </row>
    <row r="738" s="860" customFormat="1" ht="13.5" spans="1:81">
      <c r="A738" s="861"/>
      <c r="B738" s="860"/>
      <c r="C738" s="860"/>
      <c r="D738" s="860"/>
      <c r="E738" s="862"/>
      <c r="F738" s="860"/>
      <c r="G738" s="860"/>
      <c r="H738" s="860"/>
      <c r="I738" s="860"/>
      <c r="J738" s="860"/>
      <c r="K738" s="860"/>
      <c r="L738" s="860"/>
      <c r="M738" s="860"/>
      <c r="N738" s="860"/>
      <c r="O738" s="860"/>
      <c r="P738" s="860"/>
      <c r="Q738" s="860"/>
      <c r="R738" s="860"/>
      <c r="S738" s="860"/>
      <c r="T738" s="860"/>
      <c r="U738" s="860"/>
      <c r="V738" s="860"/>
      <c r="W738" s="860"/>
      <c r="X738" s="864"/>
      <c r="Y738" s="865"/>
      <c r="Z738" s="865"/>
      <c r="AA738" s="866"/>
      <c r="AB738" s="867"/>
      <c r="AC738" s="868"/>
      <c r="AD738" s="866"/>
      <c r="AE738" s="860"/>
      <c r="AF738" s="869"/>
      <c r="AG738" s="869"/>
      <c r="AH738" s="870"/>
      <c r="AI738" s="871"/>
      <c r="AJ738" s="870"/>
      <c r="AK738" s="870"/>
      <c r="AL738" s="860"/>
      <c r="AM738" s="860"/>
      <c r="AN738" s="860"/>
      <c r="AO738" s="860"/>
      <c r="AP738" s="860"/>
      <c r="AQ738" s="860"/>
      <c r="AR738" s="860"/>
      <c r="AS738" s="860"/>
      <c r="AT738" s="860"/>
      <c r="AU738" s="860"/>
      <c r="AV738" s="860"/>
      <c r="AW738" s="860"/>
      <c r="AX738" s="860"/>
      <c r="AY738" s="860"/>
      <c r="AZ738" s="860"/>
      <c r="BA738" s="860"/>
      <c r="BB738" s="860"/>
      <c r="BC738" s="860"/>
      <c r="BD738" s="860"/>
      <c r="BE738" s="860"/>
      <c r="BF738" s="860"/>
      <c r="BG738" s="860"/>
      <c r="BH738" s="860"/>
      <c r="BI738" s="860"/>
      <c r="BJ738" s="860"/>
      <c r="BK738" s="860"/>
      <c r="BL738" s="860"/>
      <c r="BM738" s="860"/>
      <c r="BN738" s="872"/>
      <c r="BO738" s="872"/>
      <c r="BP738" s="872"/>
      <c r="BQ738" s="872"/>
      <c r="BR738" s="872"/>
      <c r="BS738" s="872"/>
      <c r="BT738" s="860"/>
      <c r="BU738" s="860"/>
      <c r="BV738" s="860"/>
      <c r="BW738" s="860"/>
      <c r="BX738" s="872"/>
      <c r="BY738" s="872"/>
      <c r="BZ738" s="872"/>
      <c r="CA738" s="872"/>
      <c r="CB738" s="872"/>
      <c r="CC738" s="872"/>
    </row>
    <row r="739" s="860" customFormat="1" ht="13.5" spans="1:81">
      <c r="A739" s="861"/>
      <c r="B739" s="860"/>
      <c r="C739" s="860"/>
      <c r="D739" s="860"/>
      <c r="E739" s="862"/>
      <c r="F739" s="860"/>
      <c r="G739" s="860"/>
      <c r="H739" s="860"/>
      <c r="I739" s="860"/>
      <c r="J739" s="860"/>
      <c r="K739" s="860"/>
      <c r="L739" s="860"/>
      <c r="M739" s="860"/>
      <c r="N739" s="860"/>
      <c r="O739" s="860"/>
      <c r="P739" s="860"/>
      <c r="Q739" s="860"/>
      <c r="R739" s="860"/>
      <c r="S739" s="860"/>
      <c r="T739" s="860"/>
      <c r="U739" s="860"/>
      <c r="V739" s="860"/>
      <c r="W739" s="860"/>
      <c r="X739" s="864"/>
      <c r="Y739" s="865"/>
      <c r="Z739" s="865"/>
      <c r="AA739" s="866"/>
      <c r="AB739" s="867"/>
      <c r="AC739" s="868"/>
      <c r="AD739" s="866"/>
      <c r="AE739" s="860"/>
      <c r="AF739" s="869"/>
      <c r="AG739" s="869"/>
      <c r="AH739" s="870"/>
      <c r="AI739" s="871"/>
      <c r="AJ739" s="870"/>
      <c r="AK739" s="870"/>
      <c r="AL739" s="860"/>
      <c r="AM739" s="860"/>
      <c r="AN739" s="860"/>
      <c r="AO739" s="860"/>
      <c r="AP739" s="860"/>
      <c r="AQ739" s="860"/>
      <c r="AR739" s="860"/>
      <c r="AS739" s="860"/>
      <c r="AT739" s="860"/>
      <c r="AU739" s="860"/>
      <c r="AV739" s="860"/>
      <c r="AW739" s="860"/>
      <c r="AX739" s="860"/>
      <c r="AY739" s="860"/>
      <c r="AZ739" s="860"/>
      <c r="BA739" s="860"/>
      <c r="BB739" s="860"/>
      <c r="BC739" s="860"/>
      <c r="BD739" s="860"/>
      <c r="BE739" s="860"/>
      <c r="BF739" s="860"/>
      <c r="BG739" s="860"/>
      <c r="BH739" s="860"/>
      <c r="BI739" s="860"/>
      <c r="BJ739" s="860"/>
      <c r="BK739" s="860"/>
      <c r="BL739" s="860"/>
      <c r="BM739" s="860"/>
      <c r="BN739" s="872"/>
      <c r="BO739" s="872"/>
      <c r="BP739" s="872"/>
      <c r="BQ739" s="872"/>
      <c r="BR739" s="872"/>
      <c r="BS739" s="872"/>
      <c r="BT739" s="860"/>
      <c r="BU739" s="860"/>
      <c r="BV739" s="860"/>
      <c r="BW739" s="860"/>
      <c r="BX739" s="872"/>
      <c r="BY739" s="872"/>
      <c r="BZ739" s="872"/>
      <c r="CA739" s="872"/>
      <c r="CB739" s="872"/>
      <c r="CC739" s="872"/>
    </row>
    <row r="740" s="860" customFormat="1" ht="13.5" spans="1:81">
      <c r="A740" s="861"/>
      <c r="B740" s="860"/>
      <c r="C740" s="860"/>
      <c r="D740" s="860"/>
      <c r="E740" s="862"/>
      <c r="F740" s="860"/>
      <c r="G740" s="860"/>
      <c r="H740" s="860"/>
      <c r="I740" s="860"/>
      <c r="J740" s="860"/>
      <c r="K740" s="860"/>
      <c r="L740" s="860"/>
      <c r="M740" s="860"/>
      <c r="N740" s="860"/>
      <c r="O740" s="860"/>
      <c r="P740" s="860"/>
      <c r="Q740" s="860"/>
      <c r="R740" s="860"/>
      <c r="S740" s="860"/>
      <c r="T740" s="860"/>
      <c r="U740" s="860"/>
      <c r="V740" s="860"/>
      <c r="W740" s="860"/>
      <c r="X740" s="864"/>
      <c r="Y740" s="865"/>
      <c r="Z740" s="865"/>
      <c r="AA740" s="866"/>
      <c r="AB740" s="867"/>
      <c r="AC740" s="868"/>
      <c r="AD740" s="866"/>
      <c r="AE740" s="860"/>
      <c r="AF740" s="869"/>
      <c r="AG740" s="869"/>
      <c r="AH740" s="870"/>
      <c r="AI740" s="871"/>
      <c r="AJ740" s="870"/>
      <c r="AK740" s="870"/>
      <c r="AL740" s="860"/>
      <c r="AM740" s="860"/>
      <c r="AN740" s="860"/>
      <c r="AO740" s="860"/>
      <c r="AP740" s="860"/>
      <c r="AQ740" s="860"/>
      <c r="AR740" s="860"/>
      <c r="AS740" s="860"/>
      <c r="AT740" s="860"/>
      <c r="AU740" s="860"/>
      <c r="AV740" s="860"/>
      <c r="AW740" s="860"/>
      <c r="AX740" s="860"/>
      <c r="AY740" s="860"/>
      <c r="AZ740" s="860"/>
      <c r="BA740" s="860"/>
      <c r="BB740" s="860"/>
      <c r="BC740" s="860"/>
      <c r="BD740" s="860"/>
      <c r="BE740" s="860"/>
      <c r="BF740" s="860"/>
      <c r="BG740" s="860"/>
      <c r="BH740" s="860"/>
      <c r="BI740" s="860"/>
      <c r="BJ740" s="860"/>
      <c r="BK740" s="860"/>
      <c r="BL740" s="860"/>
      <c r="BM740" s="860"/>
      <c r="BN740" s="872"/>
      <c r="BO740" s="872"/>
      <c r="BP740" s="872"/>
      <c r="BQ740" s="872"/>
      <c r="BR740" s="872"/>
      <c r="BS740" s="872"/>
      <c r="BT740" s="860"/>
      <c r="BU740" s="860"/>
      <c r="BV740" s="860"/>
      <c r="BW740" s="860"/>
      <c r="BX740" s="872"/>
      <c r="BY740" s="872"/>
      <c r="BZ740" s="872"/>
      <c r="CA740" s="872"/>
      <c r="CB740" s="872"/>
      <c r="CC740" s="872"/>
    </row>
    <row r="741" s="860" customFormat="1" ht="13.5" spans="1:81">
      <c r="A741" s="861"/>
      <c r="B741" s="860"/>
      <c r="C741" s="860"/>
      <c r="D741" s="860"/>
      <c r="E741" s="862"/>
      <c r="F741" s="860"/>
      <c r="G741" s="860"/>
      <c r="H741" s="860"/>
      <c r="I741" s="860"/>
      <c r="J741" s="860"/>
      <c r="K741" s="860"/>
      <c r="L741" s="860"/>
      <c r="M741" s="860"/>
      <c r="N741" s="860"/>
      <c r="O741" s="860"/>
      <c r="P741" s="860"/>
      <c r="Q741" s="860"/>
      <c r="R741" s="860"/>
      <c r="S741" s="860"/>
      <c r="T741" s="860"/>
      <c r="U741" s="860"/>
      <c r="V741" s="860"/>
      <c r="W741" s="860"/>
      <c r="X741" s="864"/>
      <c r="Y741" s="865"/>
      <c r="Z741" s="865"/>
      <c r="AA741" s="866"/>
      <c r="AB741" s="867"/>
      <c r="AC741" s="868"/>
      <c r="AD741" s="866"/>
      <c r="AE741" s="860"/>
      <c r="AF741" s="869"/>
      <c r="AG741" s="869"/>
      <c r="AH741" s="870"/>
      <c r="AI741" s="871"/>
      <c r="AJ741" s="870"/>
      <c r="AK741" s="870"/>
      <c r="AL741" s="860"/>
      <c r="AM741" s="860"/>
      <c r="AN741" s="860"/>
      <c r="AO741" s="860"/>
      <c r="AP741" s="860"/>
      <c r="AQ741" s="860"/>
      <c r="AR741" s="860"/>
      <c r="AS741" s="860"/>
      <c r="AT741" s="860"/>
      <c r="AU741" s="860"/>
      <c r="AV741" s="860"/>
      <c r="AW741" s="860"/>
      <c r="AX741" s="860"/>
      <c r="AY741" s="860"/>
      <c r="AZ741" s="860"/>
      <c r="BA741" s="860"/>
      <c r="BB741" s="860"/>
      <c r="BC741" s="860"/>
      <c r="BD741" s="860"/>
      <c r="BE741" s="860"/>
      <c r="BF741" s="860"/>
      <c r="BG741" s="860"/>
      <c r="BH741" s="860"/>
      <c r="BI741" s="860"/>
      <c r="BJ741" s="860"/>
      <c r="BK741" s="860"/>
      <c r="BL741" s="860"/>
      <c r="BM741" s="860"/>
      <c r="BN741" s="872"/>
      <c r="BO741" s="872"/>
      <c r="BP741" s="872"/>
      <c r="BQ741" s="872"/>
      <c r="BR741" s="872"/>
      <c r="BS741" s="872"/>
      <c r="BT741" s="860"/>
      <c r="BU741" s="860"/>
      <c r="BV741" s="860"/>
      <c r="BW741" s="860"/>
      <c r="BX741" s="872"/>
      <c r="BY741" s="872"/>
      <c r="BZ741" s="872"/>
      <c r="CA741" s="872"/>
      <c r="CB741" s="872"/>
      <c r="CC741" s="872"/>
    </row>
    <row r="742" s="860" customFormat="1" ht="13.5" spans="1:81">
      <c r="A742" s="861"/>
      <c r="B742" s="860"/>
      <c r="C742" s="860"/>
      <c r="D742" s="860"/>
      <c r="E742" s="862"/>
      <c r="F742" s="860"/>
      <c r="G742" s="860"/>
      <c r="H742" s="860"/>
      <c r="I742" s="860"/>
      <c r="J742" s="860"/>
      <c r="K742" s="860"/>
      <c r="L742" s="860"/>
      <c r="M742" s="860"/>
      <c r="N742" s="860"/>
      <c r="O742" s="860"/>
      <c r="P742" s="860"/>
      <c r="Q742" s="860"/>
      <c r="R742" s="860"/>
      <c r="S742" s="860"/>
      <c r="T742" s="860"/>
      <c r="U742" s="860"/>
      <c r="V742" s="860"/>
      <c r="W742" s="860"/>
      <c r="X742" s="864"/>
      <c r="Y742" s="865"/>
      <c r="Z742" s="865"/>
      <c r="AA742" s="866"/>
      <c r="AB742" s="867"/>
      <c r="AC742" s="868"/>
      <c r="AD742" s="866"/>
      <c r="AE742" s="860"/>
      <c r="AF742" s="869"/>
      <c r="AG742" s="869"/>
      <c r="AH742" s="870"/>
      <c r="AI742" s="871"/>
      <c r="AJ742" s="870"/>
      <c r="AK742" s="870"/>
      <c r="AL742" s="860"/>
      <c r="AM742" s="860"/>
      <c r="AN742" s="860"/>
      <c r="AO742" s="860"/>
      <c r="AP742" s="860"/>
      <c r="AQ742" s="860"/>
      <c r="AR742" s="860"/>
      <c r="AS742" s="860"/>
      <c r="AT742" s="860"/>
      <c r="AU742" s="860"/>
      <c r="AV742" s="860"/>
      <c r="AW742" s="860"/>
      <c r="AX742" s="860"/>
      <c r="AY742" s="860"/>
      <c r="AZ742" s="860"/>
      <c r="BA742" s="860"/>
      <c r="BB742" s="860"/>
      <c r="BC742" s="860"/>
      <c r="BD742" s="860"/>
      <c r="BE742" s="860"/>
      <c r="BF742" s="860"/>
      <c r="BG742" s="860"/>
      <c r="BH742" s="860"/>
      <c r="BI742" s="860"/>
      <c r="BJ742" s="860"/>
      <c r="BK742" s="860"/>
      <c r="BL742" s="860"/>
      <c r="BM742" s="860"/>
      <c r="BN742" s="872"/>
      <c r="BO742" s="872"/>
      <c r="BP742" s="872"/>
      <c r="BQ742" s="872"/>
      <c r="BR742" s="872"/>
      <c r="BS742" s="872"/>
      <c r="BT742" s="860"/>
      <c r="BU742" s="860"/>
      <c r="BV742" s="860"/>
      <c r="BW742" s="860"/>
      <c r="BX742" s="872"/>
      <c r="BY742" s="872"/>
      <c r="BZ742" s="872"/>
      <c r="CA742" s="872"/>
      <c r="CB742" s="872"/>
      <c r="CC742" s="872"/>
    </row>
    <row r="743" s="860" customFormat="1" ht="13.5" spans="1:81">
      <c r="A743" s="861"/>
      <c r="B743" s="860"/>
      <c r="C743" s="860"/>
      <c r="D743" s="860"/>
      <c r="E743" s="862"/>
      <c r="F743" s="860"/>
      <c r="G743" s="860"/>
      <c r="H743" s="860"/>
      <c r="I743" s="860"/>
      <c r="J743" s="860"/>
      <c r="K743" s="860"/>
      <c r="L743" s="860"/>
      <c r="M743" s="860"/>
      <c r="N743" s="860"/>
      <c r="O743" s="860"/>
      <c r="P743" s="860"/>
      <c r="Q743" s="860"/>
      <c r="R743" s="860"/>
      <c r="S743" s="860"/>
      <c r="T743" s="860"/>
      <c r="U743" s="860"/>
      <c r="V743" s="860"/>
      <c r="W743" s="860"/>
      <c r="X743" s="864"/>
      <c r="Y743" s="865"/>
      <c r="Z743" s="865"/>
      <c r="AA743" s="866"/>
      <c r="AB743" s="867"/>
      <c r="AC743" s="868"/>
      <c r="AD743" s="866"/>
      <c r="AE743" s="860"/>
      <c r="AF743" s="869"/>
      <c r="AG743" s="869"/>
      <c r="AH743" s="870"/>
      <c r="AI743" s="871"/>
      <c r="AJ743" s="870"/>
      <c r="AK743" s="870"/>
      <c r="AL743" s="860"/>
      <c r="AM743" s="860"/>
      <c r="AN743" s="860"/>
      <c r="AO743" s="860"/>
      <c r="AP743" s="860"/>
      <c r="AQ743" s="860"/>
      <c r="AR743" s="860"/>
      <c r="AS743" s="860"/>
      <c r="AT743" s="860"/>
      <c r="AU743" s="860"/>
      <c r="AV743" s="860"/>
      <c r="AW743" s="860"/>
      <c r="AX743" s="860"/>
      <c r="AY743" s="860"/>
      <c r="AZ743" s="860"/>
      <c r="BA743" s="860"/>
      <c r="BB743" s="860"/>
      <c r="BC743" s="860"/>
      <c r="BD743" s="860"/>
      <c r="BE743" s="860"/>
      <c r="BF743" s="860"/>
      <c r="BG743" s="860"/>
      <c r="BH743" s="860"/>
      <c r="BI743" s="860"/>
      <c r="BJ743" s="860"/>
      <c r="BK743" s="860"/>
      <c r="BL743" s="860"/>
      <c r="BM743" s="860"/>
      <c r="BN743" s="872"/>
      <c r="BO743" s="872"/>
      <c r="BP743" s="872"/>
      <c r="BQ743" s="872"/>
      <c r="BR743" s="872"/>
      <c r="BS743" s="872"/>
      <c r="BT743" s="860"/>
      <c r="BU743" s="860"/>
      <c r="BV743" s="860"/>
      <c r="BW743" s="860"/>
      <c r="BX743" s="872"/>
      <c r="BY743" s="872"/>
      <c r="BZ743" s="872"/>
      <c r="CA743" s="872"/>
      <c r="CB743" s="872"/>
      <c r="CC743" s="872"/>
    </row>
    <row r="744" s="860" customFormat="1" ht="13.5" spans="1:81">
      <c r="A744" s="861"/>
      <c r="B744" s="860"/>
      <c r="C744" s="860"/>
      <c r="D744" s="860"/>
      <c r="E744" s="862"/>
      <c r="F744" s="860"/>
      <c r="G744" s="860"/>
      <c r="H744" s="860"/>
      <c r="I744" s="860"/>
      <c r="J744" s="860"/>
      <c r="K744" s="860"/>
      <c r="L744" s="860"/>
      <c r="M744" s="860"/>
      <c r="N744" s="860"/>
      <c r="O744" s="860"/>
      <c r="P744" s="860"/>
      <c r="Q744" s="860"/>
      <c r="R744" s="860"/>
      <c r="S744" s="860"/>
      <c r="T744" s="860"/>
      <c r="U744" s="860"/>
      <c r="V744" s="860"/>
      <c r="W744" s="860"/>
      <c r="X744" s="864"/>
      <c r="Y744" s="865"/>
      <c r="Z744" s="865"/>
      <c r="AA744" s="866"/>
      <c r="AB744" s="867"/>
      <c r="AC744" s="868"/>
      <c r="AD744" s="866"/>
      <c r="AE744" s="860"/>
      <c r="AF744" s="869"/>
      <c r="AG744" s="869"/>
      <c r="AH744" s="870"/>
      <c r="AI744" s="871"/>
      <c r="AJ744" s="870"/>
      <c r="AK744" s="870"/>
      <c r="AL744" s="860"/>
      <c r="AM744" s="860"/>
      <c r="AN744" s="860"/>
      <c r="AO744" s="860"/>
      <c r="AP744" s="860"/>
      <c r="AQ744" s="860"/>
      <c r="AR744" s="860"/>
      <c r="AS744" s="860"/>
      <c r="AT744" s="860"/>
      <c r="AU744" s="860"/>
      <c r="AV744" s="860"/>
      <c r="AW744" s="860"/>
      <c r="AX744" s="860"/>
      <c r="AY744" s="860"/>
      <c r="AZ744" s="860"/>
      <c r="BA744" s="860"/>
      <c r="BB744" s="860"/>
      <c r="BC744" s="860"/>
      <c r="BD744" s="860"/>
      <c r="BE744" s="860"/>
      <c r="BF744" s="860"/>
      <c r="BG744" s="860"/>
      <c r="BH744" s="860"/>
      <c r="BI744" s="860"/>
      <c r="BJ744" s="860"/>
      <c r="BK744" s="860"/>
      <c r="BL744" s="860"/>
      <c r="BM744" s="860"/>
      <c r="BN744" s="872"/>
      <c r="BO744" s="872"/>
      <c r="BP744" s="872"/>
      <c r="BQ744" s="872"/>
      <c r="BR744" s="872"/>
      <c r="BS744" s="872"/>
      <c r="BT744" s="860"/>
      <c r="BU744" s="860"/>
      <c r="BV744" s="860"/>
      <c r="BW744" s="860"/>
      <c r="BX744" s="872"/>
      <c r="BY744" s="872"/>
      <c r="BZ744" s="872"/>
      <c r="CA744" s="872"/>
      <c r="CB744" s="872"/>
      <c r="CC744" s="872"/>
    </row>
    <row r="745" s="860" customFormat="1" ht="13.5" spans="1:81">
      <c r="A745" s="861"/>
      <c r="B745" s="860"/>
      <c r="C745" s="860"/>
      <c r="D745" s="860"/>
      <c r="E745" s="862"/>
      <c r="F745" s="860"/>
      <c r="G745" s="860"/>
      <c r="H745" s="860"/>
      <c r="I745" s="860"/>
      <c r="J745" s="860"/>
      <c r="K745" s="860"/>
      <c r="L745" s="860"/>
      <c r="M745" s="860"/>
      <c r="N745" s="860"/>
      <c r="O745" s="860"/>
      <c r="P745" s="860"/>
      <c r="Q745" s="860"/>
      <c r="R745" s="860"/>
      <c r="S745" s="860"/>
      <c r="T745" s="860"/>
      <c r="U745" s="860"/>
      <c r="V745" s="860"/>
      <c r="W745" s="860"/>
      <c r="X745" s="864"/>
      <c r="Y745" s="865"/>
      <c r="Z745" s="865"/>
      <c r="AA745" s="866"/>
      <c r="AB745" s="867"/>
      <c r="AC745" s="868"/>
      <c r="AD745" s="866"/>
      <c r="AE745" s="860"/>
      <c r="AF745" s="869"/>
      <c r="AG745" s="869"/>
      <c r="AH745" s="870"/>
      <c r="AI745" s="871"/>
      <c r="AJ745" s="870"/>
      <c r="AK745" s="870"/>
      <c r="AL745" s="860"/>
      <c r="AM745" s="860"/>
      <c r="AN745" s="860"/>
      <c r="AO745" s="860"/>
      <c r="AP745" s="860"/>
      <c r="AQ745" s="860"/>
      <c r="AR745" s="860"/>
      <c r="AS745" s="860"/>
      <c r="AT745" s="860"/>
      <c r="AU745" s="860"/>
      <c r="AV745" s="860"/>
      <c r="AW745" s="860"/>
      <c r="AX745" s="860"/>
      <c r="AY745" s="860"/>
      <c r="AZ745" s="860"/>
      <c r="BA745" s="860"/>
      <c r="BB745" s="860"/>
      <c r="BC745" s="860"/>
      <c r="BD745" s="860"/>
      <c r="BE745" s="860"/>
      <c r="BF745" s="860"/>
      <c r="BG745" s="860"/>
      <c r="BH745" s="860"/>
      <c r="BI745" s="860"/>
      <c r="BJ745" s="860"/>
      <c r="BK745" s="860"/>
      <c r="BL745" s="860"/>
      <c r="BM745" s="860"/>
      <c r="BN745" s="872"/>
      <c r="BO745" s="872"/>
      <c r="BP745" s="872"/>
      <c r="BQ745" s="872"/>
      <c r="BR745" s="872"/>
      <c r="BS745" s="872"/>
      <c r="BT745" s="860"/>
      <c r="BU745" s="860"/>
      <c r="BV745" s="860"/>
      <c r="BW745" s="860"/>
      <c r="BX745" s="872"/>
      <c r="BY745" s="872"/>
      <c r="BZ745" s="872"/>
      <c r="CA745" s="872"/>
      <c r="CB745" s="872"/>
      <c r="CC745" s="872"/>
    </row>
    <row r="746" s="860" customFormat="1" ht="13.5" spans="1:81">
      <c r="A746" s="861"/>
      <c r="B746" s="860"/>
      <c r="C746" s="860"/>
      <c r="D746" s="860"/>
      <c r="E746" s="862"/>
      <c r="F746" s="860"/>
      <c r="G746" s="860"/>
      <c r="H746" s="860"/>
      <c r="I746" s="860"/>
      <c r="J746" s="860"/>
      <c r="K746" s="860"/>
      <c r="L746" s="860"/>
      <c r="M746" s="860"/>
      <c r="N746" s="860"/>
      <c r="O746" s="860"/>
      <c r="P746" s="860"/>
      <c r="Q746" s="860"/>
      <c r="R746" s="860"/>
      <c r="S746" s="860"/>
      <c r="T746" s="860"/>
      <c r="U746" s="860"/>
      <c r="V746" s="860"/>
      <c r="W746" s="860"/>
      <c r="X746" s="864"/>
      <c r="Y746" s="865"/>
      <c r="Z746" s="865"/>
      <c r="AA746" s="866"/>
      <c r="AB746" s="867"/>
      <c r="AC746" s="868"/>
      <c r="AD746" s="866"/>
      <c r="AE746" s="860"/>
      <c r="AF746" s="869"/>
      <c r="AG746" s="869"/>
      <c r="AH746" s="870"/>
      <c r="AI746" s="871"/>
      <c r="AJ746" s="870"/>
      <c r="AK746" s="870"/>
      <c r="AL746" s="860"/>
      <c r="AM746" s="860"/>
      <c r="AN746" s="860"/>
      <c r="AO746" s="860"/>
      <c r="AP746" s="860"/>
      <c r="AQ746" s="860"/>
      <c r="AR746" s="860"/>
      <c r="AS746" s="860"/>
      <c r="AT746" s="860"/>
      <c r="AU746" s="860"/>
      <c r="AV746" s="860"/>
      <c r="AW746" s="860"/>
      <c r="AX746" s="860"/>
      <c r="AY746" s="860"/>
      <c r="AZ746" s="860"/>
      <c r="BA746" s="860"/>
      <c r="BB746" s="860"/>
      <c r="BC746" s="860"/>
      <c r="BD746" s="860"/>
      <c r="BE746" s="860"/>
      <c r="BF746" s="860"/>
      <c r="BG746" s="860"/>
      <c r="BH746" s="860"/>
      <c r="BI746" s="860"/>
      <c r="BJ746" s="860"/>
      <c r="BK746" s="860"/>
      <c r="BL746" s="860"/>
      <c r="BM746" s="860"/>
      <c r="BN746" s="872"/>
      <c r="BO746" s="872"/>
      <c r="BP746" s="872"/>
      <c r="BQ746" s="872"/>
      <c r="BR746" s="872"/>
      <c r="BS746" s="872"/>
      <c r="BT746" s="860"/>
      <c r="BU746" s="860"/>
      <c r="BV746" s="860"/>
      <c r="BW746" s="860"/>
      <c r="BX746" s="872"/>
      <c r="BY746" s="872"/>
      <c r="BZ746" s="872"/>
      <c r="CA746" s="872"/>
      <c r="CB746" s="872"/>
      <c r="CC746" s="872"/>
    </row>
    <row r="747" s="860" customFormat="1" ht="13.5" spans="1:81">
      <c r="A747" s="861"/>
      <c r="B747" s="860"/>
      <c r="C747" s="860"/>
      <c r="D747" s="860"/>
      <c r="E747" s="862"/>
      <c r="F747" s="860"/>
      <c r="G747" s="860"/>
      <c r="H747" s="860"/>
      <c r="I747" s="860"/>
      <c r="J747" s="860"/>
      <c r="K747" s="860"/>
      <c r="L747" s="860"/>
      <c r="M747" s="860"/>
      <c r="N747" s="860"/>
      <c r="O747" s="860"/>
      <c r="P747" s="860"/>
      <c r="Q747" s="860"/>
      <c r="R747" s="860"/>
      <c r="S747" s="860"/>
      <c r="T747" s="860"/>
      <c r="U747" s="860"/>
      <c r="V747" s="860"/>
      <c r="W747" s="860"/>
      <c r="X747" s="864"/>
      <c r="Y747" s="865"/>
      <c r="Z747" s="865"/>
      <c r="AA747" s="866"/>
      <c r="AB747" s="867"/>
      <c r="AC747" s="868"/>
      <c r="AD747" s="866"/>
      <c r="AE747" s="860"/>
      <c r="AF747" s="869"/>
      <c r="AG747" s="869"/>
      <c r="AH747" s="870"/>
      <c r="AI747" s="871"/>
      <c r="AJ747" s="870"/>
      <c r="AK747" s="870"/>
      <c r="AL747" s="860"/>
      <c r="AM747" s="860"/>
      <c r="AN747" s="860"/>
      <c r="AO747" s="860"/>
      <c r="AP747" s="860"/>
      <c r="AQ747" s="860"/>
      <c r="AR747" s="860"/>
      <c r="AS747" s="860"/>
      <c r="AT747" s="860"/>
      <c r="AU747" s="860"/>
      <c r="AV747" s="860"/>
      <c r="AW747" s="860"/>
      <c r="AX747" s="860"/>
      <c r="AY747" s="860"/>
      <c r="AZ747" s="860"/>
      <c r="BA747" s="860"/>
      <c r="BB747" s="860"/>
      <c r="BC747" s="860"/>
      <c r="BD747" s="860"/>
      <c r="BE747" s="860"/>
      <c r="BF747" s="860"/>
      <c r="BG747" s="860"/>
      <c r="BH747" s="860"/>
      <c r="BI747" s="860"/>
      <c r="BJ747" s="860"/>
      <c r="BK747" s="860"/>
      <c r="BL747" s="860"/>
      <c r="BM747" s="860"/>
      <c r="BN747" s="872"/>
      <c r="BO747" s="872"/>
      <c r="BP747" s="872"/>
      <c r="BQ747" s="872"/>
      <c r="BR747" s="872"/>
      <c r="BS747" s="872"/>
      <c r="BT747" s="860"/>
      <c r="BU747" s="860"/>
      <c r="BV747" s="860"/>
      <c r="BW747" s="860"/>
      <c r="BX747" s="872"/>
      <c r="BY747" s="872"/>
      <c r="BZ747" s="872"/>
      <c r="CA747" s="872"/>
      <c r="CB747" s="872"/>
      <c r="CC747" s="872"/>
    </row>
    <row r="748" s="860" customFormat="1" ht="13.5" spans="1:81">
      <c r="A748" s="861"/>
      <c r="B748" s="860"/>
      <c r="C748" s="860"/>
      <c r="D748" s="860"/>
      <c r="E748" s="862"/>
      <c r="F748" s="860"/>
      <c r="G748" s="860"/>
      <c r="H748" s="860"/>
      <c r="I748" s="860"/>
      <c r="J748" s="860"/>
      <c r="K748" s="860"/>
      <c r="L748" s="860"/>
      <c r="M748" s="860"/>
      <c r="N748" s="860"/>
      <c r="O748" s="860"/>
      <c r="P748" s="860"/>
      <c r="Q748" s="860"/>
      <c r="R748" s="860"/>
      <c r="S748" s="860"/>
      <c r="T748" s="860"/>
      <c r="U748" s="860"/>
      <c r="V748" s="860"/>
      <c r="W748" s="860"/>
      <c r="X748" s="864"/>
      <c r="Y748" s="865"/>
      <c r="Z748" s="865"/>
      <c r="AA748" s="866"/>
      <c r="AB748" s="867"/>
      <c r="AC748" s="868"/>
      <c r="AD748" s="866"/>
      <c r="AE748" s="860"/>
      <c r="AF748" s="869"/>
      <c r="AG748" s="869"/>
      <c r="AH748" s="870"/>
      <c r="AI748" s="871"/>
      <c r="AJ748" s="870"/>
      <c r="AK748" s="870"/>
      <c r="AL748" s="860"/>
      <c r="AM748" s="860"/>
      <c r="AN748" s="860"/>
      <c r="AO748" s="860"/>
      <c r="AP748" s="860"/>
      <c r="AQ748" s="860"/>
      <c r="AR748" s="860"/>
      <c r="AS748" s="860"/>
      <c r="AT748" s="860"/>
      <c r="AU748" s="860"/>
      <c r="AV748" s="860"/>
      <c r="AW748" s="860"/>
      <c r="AX748" s="860"/>
      <c r="AY748" s="860"/>
      <c r="AZ748" s="860"/>
      <c r="BA748" s="860"/>
      <c r="BB748" s="860"/>
      <c r="BC748" s="860"/>
      <c r="BD748" s="860"/>
      <c r="BE748" s="860"/>
      <c r="BF748" s="860"/>
      <c r="BG748" s="860"/>
      <c r="BH748" s="860"/>
      <c r="BI748" s="860"/>
      <c r="BJ748" s="860"/>
      <c r="BK748" s="860"/>
      <c r="BL748" s="860"/>
      <c r="BM748" s="860"/>
      <c r="BN748" s="872"/>
      <c r="BO748" s="872"/>
      <c r="BP748" s="872"/>
      <c r="BQ748" s="872"/>
      <c r="BR748" s="872"/>
      <c r="BS748" s="872"/>
      <c r="BT748" s="860"/>
      <c r="BU748" s="860"/>
      <c r="BV748" s="860"/>
      <c r="BW748" s="860"/>
      <c r="BX748" s="872"/>
      <c r="BY748" s="872"/>
      <c r="BZ748" s="872"/>
      <c r="CA748" s="872"/>
      <c r="CB748" s="872"/>
      <c r="CC748" s="872"/>
    </row>
    <row r="749" s="860" customFormat="1" ht="13.5" spans="1:81">
      <c r="A749" s="861"/>
      <c r="B749" s="860"/>
      <c r="C749" s="860"/>
      <c r="D749" s="860"/>
      <c r="E749" s="862"/>
      <c r="F749" s="860"/>
      <c r="G749" s="860"/>
      <c r="H749" s="860"/>
      <c r="I749" s="860"/>
      <c r="J749" s="860"/>
      <c r="K749" s="860"/>
      <c r="L749" s="860"/>
      <c r="M749" s="860"/>
      <c r="N749" s="860"/>
      <c r="O749" s="860"/>
      <c r="P749" s="860"/>
      <c r="Q749" s="860"/>
      <c r="R749" s="860"/>
      <c r="S749" s="860"/>
      <c r="T749" s="860"/>
      <c r="U749" s="860"/>
      <c r="V749" s="860"/>
      <c r="W749" s="860"/>
      <c r="X749" s="864"/>
      <c r="Y749" s="865"/>
      <c r="Z749" s="865"/>
      <c r="AA749" s="866"/>
      <c r="AB749" s="867"/>
      <c r="AC749" s="868"/>
      <c r="AD749" s="866"/>
      <c r="AE749" s="860"/>
      <c r="AF749" s="869"/>
      <c r="AG749" s="869"/>
      <c r="AH749" s="870"/>
      <c r="AI749" s="871"/>
      <c r="AJ749" s="870"/>
      <c r="AK749" s="870"/>
      <c r="AL749" s="860"/>
      <c r="AM749" s="860"/>
      <c r="AN749" s="860"/>
      <c r="AO749" s="860"/>
      <c r="AP749" s="860"/>
      <c r="AQ749" s="860"/>
      <c r="AR749" s="860"/>
      <c r="AS749" s="860"/>
      <c r="AT749" s="860"/>
      <c r="AU749" s="860"/>
      <c r="AV749" s="860"/>
      <c r="AW749" s="860"/>
      <c r="AX749" s="860"/>
      <c r="AY749" s="860"/>
      <c r="AZ749" s="860"/>
      <c r="BA749" s="860"/>
      <c r="BB749" s="860"/>
      <c r="BC749" s="860"/>
      <c r="BD749" s="860"/>
      <c r="BE749" s="860"/>
      <c r="BF749" s="860"/>
      <c r="BG749" s="860"/>
      <c r="BH749" s="860"/>
      <c r="BI749" s="860"/>
      <c r="BJ749" s="860"/>
      <c r="BK749" s="860"/>
      <c r="BL749" s="860"/>
      <c r="BM749" s="860"/>
      <c r="BN749" s="872"/>
      <c r="BO749" s="872"/>
      <c r="BP749" s="872"/>
      <c r="BQ749" s="872"/>
      <c r="BR749" s="872"/>
      <c r="BS749" s="872"/>
      <c r="BT749" s="860"/>
      <c r="BU749" s="860"/>
      <c r="BV749" s="860"/>
      <c r="BW749" s="860"/>
      <c r="BX749" s="872"/>
      <c r="BY749" s="872"/>
      <c r="BZ749" s="872"/>
      <c r="CA749" s="872"/>
      <c r="CB749" s="872"/>
      <c r="CC749" s="872"/>
    </row>
    <row r="750" s="860" customFormat="1" ht="13.5" spans="1:81">
      <c r="A750" s="861"/>
      <c r="B750" s="860"/>
      <c r="C750" s="860"/>
      <c r="D750" s="860"/>
      <c r="E750" s="862"/>
      <c r="F750" s="860"/>
      <c r="G750" s="860"/>
      <c r="H750" s="860"/>
      <c r="I750" s="860"/>
      <c r="J750" s="860"/>
      <c r="K750" s="860"/>
      <c r="L750" s="860"/>
      <c r="M750" s="860"/>
      <c r="N750" s="860"/>
      <c r="O750" s="860"/>
      <c r="P750" s="860"/>
      <c r="Q750" s="860"/>
      <c r="R750" s="860"/>
      <c r="S750" s="860"/>
      <c r="T750" s="860"/>
      <c r="U750" s="860"/>
      <c r="V750" s="860"/>
      <c r="W750" s="860"/>
      <c r="X750" s="864"/>
      <c r="Y750" s="865"/>
      <c r="Z750" s="865"/>
      <c r="AA750" s="866"/>
      <c r="AB750" s="867"/>
      <c r="AC750" s="868"/>
      <c r="AD750" s="866"/>
      <c r="AE750" s="860"/>
      <c r="AF750" s="869"/>
      <c r="AG750" s="869"/>
      <c r="AH750" s="870"/>
      <c r="AI750" s="871"/>
      <c r="AJ750" s="870"/>
      <c r="AK750" s="870"/>
      <c r="AL750" s="860"/>
      <c r="AM750" s="860"/>
      <c r="AN750" s="860"/>
      <c r="AO750" s="860"/>
      <c r="AP750" s="860"/>
      <c r="AQ750" s="860"/>
      <c r="AR750" s="860"/>
      <c r="AS750" s="860"/>
      <c r="AT750" s="860"/>
      <c r="AU750" s="860"/>
      <c r="AV750" s="860"/>
      <c r="AW750" s="860"/>
      <c r="AX750" s="860"/>
      <c r="AY750" s="860"/>
      <c r="AZ750" s="860"/>
      <c r="BA750" s="860"/>
      <c r="BB750" s="860"/>
      <c r="BC750" s="860"/>
      <c r="BD750" s="860"/>
      <c r="BE750" s="860"/>
      <c r="BF750" s="860"/>
      <c r="BG750" s="860"/>
      <c r="BH750" s="860"/>
      <c r="BI750" s="860"/>
      <c r="BJ750" s="860"/>
      <c r="BK750" s="860"/>
      <c r="BL750" s="860"/>
      <c r="BM750" s="860"/>
      <c r="BN750" s="872"/>
      <c r="BO750" s="872"/>
      <c r="BP750" s="872"/>
      <c r="BQ750" s="872"/>
      <c r="BR750" s="872"/>
      <c r="BS750" s="872"/>
      <c r="BT750" s="860"/>
      <c r="BU750" s="860"/>
      <c r="BV750" s="860"/>
      <c r="BW750" s="860"/>
      <c r="BX750" s="872"/>
      <c r="BY750" s="872"/>
      <c r="BZ750" s="872"/>
      <c r="CA750" s="872"/>
      <c r="CB750" s="872"/>
      <c r="CC750" s="872"/>
    </row>
    <row r="751" s="860" customFormat="1" ht="13.5" spans="1:81">
      <c r="A751" s="861"/>
      <c r="B751" s="860"/>
      <c r="C751" s="860"/>
      <c r="D751" s="860"/>
      <c r="E751" s="862"/>
      <c r="F751" s="860"/>
      <c r="G751" s="860"/>
      <c r="H751" s="860"/>
      <c r="I751" s="860"/>
      <c r="J751" s="860"/>
      <c r="K751" s="860"/>
      <c r="L751" s="860"/>
      <c r="M751" s="860"/>
      <c r="N751" s="860"/>
      <c r="O751" s="860"/>
      <c r="P751" s="860"/>
      <c r="Q751" s="860"/>
      <c r="R751" s="860"/>
      <c r="S751" s="860"/>
      <c r="T751" s="860"/>
      <c r="U751" s="860"/>
      <c r="V751" s="860"/>
      <c r="W751" s="860"/>
      <c r="X751" s="864"/>
      <c r="Y751" s="865"/>
      <c r="Z751" s="865"/>
      <c r="AA751" s="866"/>
      <c r="AB751" s="867"/>
      <c r="AC751" s="868"/>
      <c r="AD751" s="866"/>
      <c r="AE751" s="860"/>
      <c r="AF751" s="869"/>
      <c r="AG751" s="869"/>
      <c r="AH751" s="870"/>
      <c r="AI751" s="871"/>
      <c r="AJ751" s="870"/>
      <c r="AK751" s="870"/>
      <c r="AL751" s="860"/>
      <c r="AM751" s="860"/>
      <c r="AN751" s="860"/>
      <c r="AO751" s="860"/>
      <c r="AP751" s="860"/>
      <c r="AQ751" s="860"/>
      <c r="AR751" s="860"/>
      <c r="AS751" s="860"/>
      <c r="AT751" s="860"/>
      <c r="AU751" s="860"/>
      <c r="AV751" s="860"/>
      <c r="AW751" s="860"/>
      <c r="AX751" s="860"/>
      <c r="AY751" s="860"/>
      <c r="AZ751" s="860"/>
      <c r="BA751" s="860"/>
      <c r="BB751" s="860"/>
      <c r="BC751" s="860"/>
      <c r="BD751" s="860"/>
      <c r="BE751" s="860"/>
      <c r="BF751" s="860"/>
      <c r="BG751" s="860"/>
      <c r="BH751" s="860"/>
      <c r="BI751" s="860"/>
      <c r="BJ751" s="860"/>
      <c r="BK751" s="860"/>
      <c r="BL751" s="860"/>
      <c r="BM751" s="860"/>
      <c r="BN751" s="872"/>
      <c r="BO751" s="872"/>
      <c r="BP751" s="872"/>
      <c r="BQ751" s="872"/>
      <c r="BR751" s="872"/>
      <c r="BS751" s="872"/>
      <c r="BT751" s="860"/>
      <c r="BU751" s="860"/>
      <c r="BV751" s="860"/>
      <c r="BW751" s="860"/>
      <c r="BX751" s="872"/>
      <c r="BY751" s="872"/>
      <c r="BZ751" s="872"/>
      <c r="CA751" s="872"/>
      <c r="CB751" s="872"/>
      <c r="CC751" s="872"/>
    </row>
    <row r="752" s="860" customFormat="1" ht="13.5" spans="1:81">
      <c r="A752" s="861"/>
      <c r="B752" s="860"/>
      <c r="C752" s="860"/>
      <c r="D752" s="860"/>
      <c r="E752" s="862"/>
      <c r="F752" s="860"/>
      <c r="G752" s="860"/>
      <c r="H752" s="860"/>
      <c r="I752" s="860"/>
      <c r="J752" s="860"/>
      <c r="K752" s="860"/>
      <c r="L752" s="860"/>
      <c r="M752" s="860"/>
      <c r="N752" s="860"/>
      <c r="O752" s="860"/>
      <c r="P752" s="860"/>
      <c r="Q752" s="860"/>
      <c r="R752" s="860"/>
      <c r="S752" s="860"/>
      <c r="T752" s="860"/>
      <c r="U752" s="860"/>
      <c r="V752" s="860"/>
      <c r="W752" s="860"/>
      <c r="X752" s="864"/>
      <c r="Y752" s="865"/>
      <c r="Z752" s="865"/>
      <c r="AA752" s="866"/>
      <c r="AB752" s="867"/>
      <c r="AC752" s="868"/>
      <c r="AD752" s="866"/>
      <c r="AE752" s="860"/>
      <c r="AF752" s="869"/>
      <c r="AG752" s="869"/>
      <c r="AH752" s="870"/>
      <c r="AI752" s="871"/>
      <c r="AJ752" s="870"/>
      <c r="AK752" s="870"/>
      <c r="AL752" s="860"/>
      <c r="AM752" s="860"/>
      <c r="AN752" s="860"/>
      <c r="AO752" s="860"/>
      <c r="AP752" s="860"/>
      <c r="AQ752" s="860"/>
      <c r="AR752" s="860"/>
      <c r="AS752" s="860"/>
      <c r="AT752" s="860"/>
      <c r="AU752" s="860"/>
      <c r="AV752" s="860"/>
      <c r="AW752" s="860"/>
      <c r="AX752" s="860"/>
      <c r="AY752" s="860"/>
      <c r="AZ752" s="860"/>
      <c r="BA752" s="860"/>
      <c r="BB752" s="860"/>
      <c r="BC752" s="860"/>
      <c r="BD752" s="860"/>
      <c r="BE752" s="860"/>
      <c r="BF752" s="860"/>
      <c r="BG752" s="860"/>
      <c r="BH752" s="860"/>
      <c r="BI752" s="860"/>
      <c r="BJ752" s="860"/>
      <c r="BK752" s="860"/>
      <c r="BL752" s="860"/>
      <c r="BM752" s="860"/>
      <c r="BN752" s="872"/>
      <c r="BO752" s="872"/>
      <c r="BP752" s="872"/>
      <c r="BQ752" s="872"/>
      <c r="BR752" s="872"/>
      <c r="BS752" s="872"/>
      <c r="BT752" s="860"/>
      <c r="BU752" s="860"/>
      <c r="BV752" s="860"/>
      <c r="BW752" s="860"/>
      <c r="BX752" s="872"/>
      <c r="BY752" s="872"/>
      <c r="BZ752" s="872"/>
      <c r="CA752" s="872"/>
      <c r="CB752" s="872"/>
      <c r="CC752" s="872"/>
    </row>
    <row r="753" s="860" customFormat="1" ht="13.5" spans="1:81">
      <c r="A753" s="861"/>
      <c r="B753" s="860"/>
      <c r="C753" s="860"/>
      <c r="D753" s="860"/>
      <c r="E753" s="862"/>
      <c r="F753" s="860"/>
      <c r="G753" s="860"/>
      <c r="H753" s="860"/>
      <c r="I753" s="860"/>
      <c r="J753" s="860"/>
      <c r="K753" s="860"/>
      <c r="L753" s="860"/>
      <c r="M753" s="860"/>
      <c r="N753" s="860"/>
      <c r="O753" s="860"/>
      <c r="P753" s="860"/>
      <c r="Q753" s="860"/>
      <c r="R753" s="860"/>
      <c r="S753" s="860"/>
      <c r="T753" s="860"/>
      <c r="U753" s="860"/>
      <c r="V753" s="860"/>
      <c r="W753" s="860"/>
      <c r="X753" s="864"/>
      <c r="Y753" s="865"/>
      <c r="Z753" s="865"/>
      <c r="AA753" s="866"/>
      <c r="AB753" s="867"/>
      <c r="AC753" s="868"/>
      <c r="AD753" s="866"/>
      <c r="AE753" s="860"/>
      <c r="AF753" s="869"/>
      <c r="AG753" s="869"/>
      <c r="AH753" s="870"/>
      <c r="AI753" s="871"/>
      <c r="AJ753" s="870"/>
      <c r="AK753" s="870"/>
      <c r="AL753" s="860"/>
      <c r="AM753" s="860"/>
      <c r="AN753" s="860"/>
      <c r="AO753" s="860"/>
      <c r="AP753" s="860"/>
      <c r="AQ753" s="860"/>
      <c r="AR753" s="860"/>
      <c r="AS753" s="860"/>
      <c r="AT753" s="860"/>
      <c r="AU753" s="860"/>
      <c r="AV753" s="860"/>
      <c r="AW753" s="860"/>
      <c r="AX753" s="860"/>
      <c r="AY753" s="860"/>
      <c r="AZ753" s="860"/>
      <c r="BA753" s="860"/>
      <c r="BB753" s="860"/>
      <c r="BC753" s="860"/>
      <c r="BD753" s="860"/>
      <c r="BE753" s="860"/>
      <c r="BF753" s="860"/>
      <c r="BG753" s="860"/>
      <c r="BH753" s="860"/>
      <c r="BI753" s="860"/>
      <c r="BJ753" s="860"/>
      <c r="BK753" s="860"/>
      <c r="BL753" s="860"/>
      <c r="BM753" s="860"/>
      <c r="BN753" s="872"/>
      <c r="BO753" s="872"/>
      <c r="BP753" s="872"/>
      <c r="BQ753" s="872"/>
      <c r="BR753" s="872"/>
      <c r="BS753" s="872"/>
      <c r="BT753" s="860"/>
      <c r="BU753" s="860"/>
      <c r="BV753" s="860"/>
      <c r="BW753" s="860"/>
      <c r="BX753" s="872"/>
      <c r="BY753" s="872"/>
      <c r="BZ753" s="872"/>
      <c r="CA753" s="872"/>
      <c r="CB753" s="872"/>
      <c r="CC753" s="872"/>
    </row>
    <row r="754" s="860" customFormat="1" ht="13.5" spans="1:81">
      <c r="A754" s="861"/>
      <c r="B754" s="860"/>
      <c r="C754" s="860"/>
      <c r="D754" s="860"/>
      <c r="E754" s="862"/>
      <c r="F754" s="860"/>
      <c r="G754" s="860"/>
      <c r="H754" s="860"/>
      <c r="I754" s="860"/>
      <c r="J754" s="860"/>
      <c r="K754" s="860"/>
      <c r="L754" s="860"/>
      <c r="M754" s="860"/>
      <c r="N754" s="860"/>
      <c r="O754" s="860"/>
      <c r="P754" s="860"/>
      <c r="Q754" s="860"/>
      <c r="R754" s="860"/>
      <c r="S754" s="860"/>
      <c r="T754" s="860"/>
      <c r="U754" s="860"/>
      <c r="V754" s="860"/>
      <c r="W754" s="860"/>
      <c r="X754" s="864"/>
      <c r="Y754" s="865"/>
      <c r="Z754" s="865"/>
      <c r="AA754" s="866"/>
      <c r="AB754" s="867"/>
      <c r="AC754" s="868"/>
      <c r="AD754" s="866"/>
      <c r="AE754" s="860"/>
      <c r="AF754" s="869"/>
      <c r="AG754" s="869"/>
      <c r="AH754" s="870"/>
      <c r="AI754" s="871"/>
      <c r="AJ754" s="870"/>
      <c r="AK754" s="870"/>
      <c r="AL754" s="860"/>
      <c r="AM754" s="860"/>
      <c r="AN754" s="860"/>
      <c r="AO754" s="860"/>
      <c r="AP754" s="860"/>
      <c r="AQ754" s="860"/>
      <c r="AR754" s="860"/>
      <c r="AS754" s="860"/>
      <c r="AT754" s="860"/>
      <c r="AU754" s="860"/>
      <c r="AV754" s="860"/>
      <c r="AW754" s="860"/>
      <c r="AX754" s="860"/>
      <c r="AY754" s="860"/>
      <c r="AZ754" s="860"/>
      <c r="BA754" s="860"/>
      <c r="BB754" s="860"/>
      <c r="BC754" s="860"/>
      <c r="BD754" s="860"/>
      <c r="BE754" s="860"/>
      <c r="BF754" s="860"/>
      <c r="BG754" s="860"/>
      <c r="BH754" s="860"/>
      <c r="BI754" s="860"/>
      <c r="BJ754" s="860"/>
      <c r="BK754" s="860"/>
      <c r="BL754" s="860"/>
      <c r="BM754" s="860"/>
      <c r="BN754" s="872"/>
      <c r="BO754" s="872"/>
      <c r="BP754" s="872"/>
      <c r="BQ754" s="872"/>
      <c r="BR754" s="872"/>
      <c r="BS754" s="872"/>
      <c r="BT754" s="860"/>
      <c r="BU754" s="860"/>
      <c r="BV754" s="860"/>
      <c r="BW754" s="860"/>
      <c r="BX754" s="872"/>
      <c r="BY754" s="872"/>
      <c r="BZ754" s="872"/>
      <c r="CA754" s="872"/>
      <c r="CB754" s="872"/>
      <c r="CC754" s="872"/>
    </row>
    <row r="755" s="860" customFormat="1" ht="13.5" spans="1:81">
      <c r="A755" s="861"/>
      <c r="B755" s="860"/>
      <c r="C755" s="860"/>
      <c r="D755" s="860"/>
      <c r="E755" s="862"/>
      <c r="F755" s="860"/>
      <c r="G755" s="860"/>
      <c r="H755" s="860"/>
      <c r="I755" s="860"/>
      <c r="J755" s="860"/>
      <c r="K755" s="860"/>
      <c r="L755" s="860"/>
      <c r="M755" s="860"/>
      <c r="N755" s="860"/>
      <c r="O755" s="860"/>
      <c r="P755" s="860"/>
      <c r="Q755" s="860"/>
      <c r="R755" s="860"/>
      <c r="S755" s="860"/>
      <c r="T755" s="860"/>
      <c r="U755" s="860"/>
      <c r="V755" s="860"/>
      <c r="W755" s="860"/>
      <c r="X755" s="864"/>
      <c r="Y755" s="865"/>
      <c r="Z755" s="865"/>
      <c r="AA755" s="866"/>
      <c r="AB755" s="867"/>
      <c r="AC755" s="868"/>
      <c r="AD755" s="866"/>
      <c r="AE755" s="860"/>
      <c r="AF755" s="869"/>
      <c r="AG755" s="869"/>
      <c r="AH755" s="870"/>
      <c r="AI755" s="871"/>
      <c r="AJ755" s="870"/>
      <c r="AK755" s="870"/>
      <c r="AL755" s="860"/>
      <c r="AM755" s="860"/>
      <c r="AN755" s="860"/>
      <c r="AO755" s="860"/>
      <c r="AP755" s="860"/>
      <c r="AQ755" s="860"/>
      <c r="AR755" s="860"/>
      <c r="AS755" s="860"/>
      <c r="AT755" s="860"/>
      <c r="AU755" s="860"/>
      <c r="AV755" s="860"/>
      <c r="AW755" s="860"/>
      <c r="AX755" s="860"/>
      <c r="AY755" s="860"/>
      <c r="AZ755" s="860"/>
      <c r="BA755" s="860"/>
      <c r="BB755" s="860"/>
      <c r="BC755" s="860"/>
      <c r="BD755" s="860"/>
      <c r="BE755" s="860"/>
      <c r="BF755" s="860"/>
      <c r="BG755" s="860"/>
      <c r="BH755" s="860"/>
      <c r="BI755" s="860"/>
      <c r="BJ755" s="860"/>
      <c r="BK755" s="860"/>
      <c r="BL755" s="860"/>
      <c r="BM755" s="860"/>
      <c r="BN755" s="872"/>
      <c r="BO755" s="872"/>
      <c r="BP755" s="872"/>
      <c r="BQ755" s="872"/>
      <c r="BR755" s="872"/>
      <c r="BS755" s="872"/>
      <c r="BT755" s="860"/>
      <c r="BU755" s="860"/>
      <c r="BV755" s="860"/>
      <c r="BW755" s="860"/>
      <c r="BX755" s="872"/>
      <c r="BY755" s="872"/>
      <c r="BZ755" s="872"/>
      <c r="CA755" s="872"/>
      <c r="CB755" s="872"/>
      <c r="CC755" s="872"/>
    </row>
    <row r="756" s="860" customFormat="1" ht="13.5" spans="1:81">
      <c r="A756" s="861"/>
      <c r="B756" s="860"/>
      <c r="C756" s="860"/>
      <c r="D756" s="860"/>
      <c r="E756" s="862"/>
      <c r="F756" s="860"/>
      <c r="G756" s="860"/>
      <c r="H756" s="860"/>
      <c r="I756" s="860"/>
      <c r="J756" s="860"/>
      <c r="K756" s="860"/>
      <c r="L756" s="860"/>
      <c r="M756" s="860"/>
      <c r="N756" s="860"/>
      <c r="O756" s="860"/>
      <c r="P756" s="860"/>
      <c r="Q756" s="860"/>
      <c r="R756" s="860"/>
      <c r="S756" s="860"/>
      <c r="T756" s="860"/>
      <c r="U756" s="860"/>
      <c r="V756" s="860"/>
      <c r="W756" s="860"/>
      <c r="X756" s="864"/>
      <c r="Y756" s="865"/>
      <c r="Z756" s="865"/>
      <c r="AA756" s="866"/>
      <c r="AB756" s="867"/>
      <c r="AC756" s="868"/>
      <c r="AD756" s="866"/>
      <c r="AE756" s="860"/>
      <c r="AF756" s="869"/>
      <c r="AG756" s="869"/>
      <c r="AH756" s="870"/>
      <c r="AI756" s="871"/>
      <c r="AJ756" s="870"/>
      <c r="AK756" s="870"/>
      <c r="AL756" s="860"/>
      <c r="AM756" s="860"/>
      <c r="AN756" s="860"/>
      <c r="AO756" s="860"/>
      <c r="AP756" s="860"/>
      <c r="AQ756" s="860"/>
      <c r="AR756" s="860"/>
      <c r="AS756" s="860"/>
      <c r="AT756" s="860"/>
      <c r="AU756" s="860"/>
      <c r="AV756" s="860"/>
      <c r="AW756" s="860"/>
      <c r="AX756" s="860"/>
      <c r="AY756" s="860"/>
      <c r="AZ756" s="860"/>
      <c r="BA756" s="860"/>
      <c r="BB756" s="860"/>
      <c r="BC756" s="860"/>
      <c r="BD756" s="860"/>
      <c r="BE756" s="860"/>
      <c r="BF756" s="860"/>
      <c r="BG756" s="860"/>
      <c r="BH756" s="860"/>
      <c r="BI756" s="860"/>
      <c r="BJ756" s="860"/>
      <c r="BK756" s="860"/>
      <c r="BL756" s="860"/>
      <c r="BM756" s="860"/>
      <c r="BN756" s="872"/>
      <c r="BO756" s="872"/>
      <c r="BP756" s="872"/>
      <c r="BQ756" s="872"/>
      <c r="BR756" s="872"/>
      <c r="BS756" s="872"/>
      <c r="BT756" s="860"/>
      <c r="BU756" s="860"/>
      <c r="BV756" s="860"/>
      <c r="BW756" s="860"/>
      <c r="BX756" s="872"/>
      <c r="BY756" s="872"/>
      <c r="BZ756" s="872"/>
      <c r="CA756" s="872"/>
      <c r="CB756" s="872"/>
      <c r="CC756" s="872"/>
    </row>
    <row r="757" s="860" customFormat="1" ht="13.5" spans="1:81">
      <c r="A757" s="861"/>
      <c r="B757" s="860"/>
      <c r="C757" s="860"/>
      <c r="D757" s="860"/>
      <c r="E757" s="862"/>
      <c r="F757" s="860"/>
      <c r="G757" s="860"/>
      <c r="H757" s="860"/>
      <c r="I757" s="860"/>
      <c r="J757" s="860"/>
      <c r="K757" s="860"/>
      <c r="L757" s="860"/>
      <c r="M757" s="860"/>
      <c r="N757" s="860"/>
      <c r="O757" s="860"/>
      <c r="P757" s="860"/>
      <c r="Q757" s="860"/>
      <c r="R757" s="860"/>
      <c r="S757" s="860"/>
      <c r="T757" s="860"/>
      <c r="U757" s="860"/>
      <c r="V757" s="860"/>
      <c r="W757" s="860"/>
      <c r="X757" s="864"/>
      <c r="Y757" s="865"/>
      <c r="Z757" s="865"/>
      <c r="AA757" s="866"/>
      <c r="AB757" s="867"/>
      <c r="AC757" s="868"/>
      <c r="AD757" s="866"/>
      <c r="AE757" s="860"/>
      <c r="AF757" s="869"/>
      <c r="AG757" s="869"/>
      <c r="AH757" s="870"/>
      <c r="AI757" s="871"/>
      <c r="AJ757" s="870"/>
      <c r="AK757" s="870"/>
      <c r="AL757" s="860"/>
      <c r="AM757" s="860"/>
      <c r="AN757" s="860"/>
      <c r="AO757" s="860"/>
      <c r="AP757" s="860"/>
      <c r="AQ757" s="860"/>
      <c r="AR757" s="860"/>
      <c r="AS757" s="860"/>
      <c r="AT757" s="860"/>
      <c r="AU757" s="860"/>
      <c r="AV757" s="860"/>
      <c r="AW757" s="860"/>
      <c r="AX757" s="860"/>
      <c r="AY757" s="860"/>
      <c r="AZ757" s="860"/>
      <c r="BA757" s="860"/>
      <c r="BB757" s="860"/>
      <c r="BC757" s="860"/>
      <c r="BD757" s="860"/>
      <c r="BE757" s="860"/>
      <c r="BF757" s="860"/>
      <c r="BG757" s="860"/>
      <c r="BH757" s="860"/>
      <c r="BI757" s="860"/>
      <c r="BJ757" s="860"/>
      <c r="BK757" s="860"/>
      <c r="BL757" s="860"/>
      <c r="BM757" s="860"/>
      <c r="BN757" s="872"/>
      <c r="BO757" s="872"/>
      <c r="BP757" s="872"/>
      <c r="BQ757" s="872"/>
      <c r="BR757" s="872"/>
      <c r="BS757" s="872"/>
      <c r="BT757" s="860"/>
      <c r="BU757" s="860"/>
      <c r="BV757" s="860"/>
      <c r="BW757" s="860"/>
      <c r="BX757" s="872"/>
      <c r="BY757" s="872"/>
      <c r="BZ757" s="872"/>
      <c r="CA757" s="872"/>
      <c r="CB757" s="872"/>
      <c r="CC757" s="872"/>
    </row>
    <row r="758" s="860" customFormat="1" ht="13.5" spans="1:81">
      <c r="A758" s="861"/>
      <c r="B758" s="860"/>
      <c r="C758" s="860"/>
      <c r="D758" s="860"/>
      <c r="E758" s="862"/>
      <c r="F758" s="860"/>
      <c r="G758" s="860"/>
      <c r="H758" s="860"/>
      <c r="I758" s="860"/>
      <c r="J758" s="860"/>
      <c r="K758" s="860"/>
      <c r="L758" s="860"/>
      <c r="M758" s="860"/>
      <c r="N758" s="860"/>
      <c r="O758" s="860"/>
      <c r="P758" s="860"/>
      <c r="Q758" s="860"/>
      <c r="R758" s="860"/>
      <c r="S758" s="860"/>
      <c r="T758" s="860"/>
      <c r="U758" s="860"/>
      <c r="V758" s="860"/>
      <c r="W758" s="860"/>
      <c r="X758" s="864"/>
      <c r="Y758" s="865"/>
      <c r="Z758" s="865"/>
      <c r="AA758" s="866"/>
      <c r="AB758" s="867"/>
      <c r="AC758" s="868"/>
      <c r="AD758" s="866"/>
      <c r="AE758" s="860"/>
      <c r="AF758" s="869"/>
      <c r="AG758" s="869"/>
      <c r="AH758" s="870"/>
      <c r="AI758" s="871"/>
      <c r="AJ758" s="870"/>
      <c r="AK758" s="870"/>
      <c r="AL758" s="860"/>
      <c r="AM758" s="860"/>
      <c r="AN758" s="860"/>
      <c r="AO758" s="860"/>
      <c r="AP758" s="860"/>
      <c r="AQ758" s="860"/>
      <c r="AR758" s="860"/>
      <c r="AS758" s="860"/>
      <c r="AT758" s="860"/>
      <c r="AU758" s="860"/>
      <c r="AV758" s="860"/>
      <c r="AW758" s="860"/>
      <c r="AX758" s="860"/>
      <c r="AY758" s="860"/>
      <c r="AZ758" s="860"/>
      <c r="BA758" s="860"/>
      <c r="BB758" s="860"/>
      <c r="BC758" s="860"/>
      <c r="BD758" s="860"/>
      <c r="BE758" s="860"/>
      <c r="BF758" s="860"/>
      <c r="BG758" s="860"/>
      <c r="BH758" s="860"/>
      <c r="BI758" s="860"/>
      <c r="BJ758" s="860"/>
      <c r="BK758" s="860"/>
      <c r="BL758" s="860"/>
      <c r="BM758" s="860"/>
      <c r="BN758" s="872"/>
      <c r="BO758" s="872"/>
      <c r="BP758" s="872"/>
      <c r="BQ758" s="872"/>
      <c r="BR758" s="872"/>
      <c r="BS758" s="872"/>
      <c r="BT758" s="860"/>
      <c r="BU758" s="860"/>
      <c r="BV758" s="860"/>
      <c r="BW758" s="860"/>
      <c r="BX758" s="872"/>
      <c r="BY758" s="872"/>
      <c r="BZ758" s="872"/>
      <c r="CA758" s="872"/>
      <c r="CB758" s="872"/>
      <c r="CC758" s="872"/>
    </row>
    <row r="759" s="860" customFormat="1" ht="13.5" spans="1:81">
      <c r="A759" s="861"/>
      <c r="B759" s="860"/>
      <c r="C759" s="860"/>
      <c r="D759" s="860"/>
      <c r="E759" s="862"/>
      <c r="F759" s="860"/>
      <c r="G759" s="860"/>
      <c r="H759" s="860"/>
      <c r="I759" s="860"/>
      <c r="J759" s="860"/>
      <c r="K759" s="860"/>
      <c r="L759" s="860"/>
      <c r="M759" s="860"/>
      <c r="N759" s="860"/>
      <c r="O759" s="860"/>
      <c r="P759" s="860"/>
      <c r="Q759" s="860"/>
      <c r="R759" s="860"/>
      <c r="S759" s="860"/>
      <c r="T759" s="860"/>
      <c r="U759" s="860"/>
      <c r="V759" s="860"/>
      <c r="W759" s="860"/>
      <c r="X759" s="864"/>
      <c r="Y759" s="865"/>
      <c r="Z759" s="865"/>
      <c r="AA759" s="866"/>
      <c r="AB759" s="867"/>
      <c r="AC759" s="868"/>
      <c r="AD759" s="866"/>
      <c r="AE759" s="860"/>
      <c r="AF759" s="869"/>
      <c r="AG759" s="869"/>
      <c r="AH759" s="870"/>
      <c r="AI759" s="871"/>
      <c r="AJ759" s="870"/>
      <c r="AK759" s="870"/>
      <c r="AL759" s="860"/>
      <c r="AM759" s="860"/>
      <c r="AN759" s="860"/>
      <c r="AO759" s="860"/>
      <c r="AP759" s="860"/>
      <c r="AQ759" s="860"/>
      <c r="AR759" s="860"/>
      <c r="AS759" s="860"/>
      <c r="AT759" s="860"/>
      <c r="AU759" s="860"/>
      <c r="AV759" s="860"/>
      <c r="AW759" s="860"/>
      <c r="AX759" s="860"/>
      <c r="AY759" s="860"/>
      <c r="AZ759" s="860"/>
      <c r="BA759" s="860"/>
      <c r="BB759" s="860"/>
      <c r="BC759" s="860"/>
      <c r="BD759" s="860"/>
      <c r="BE759" s="860"/>
      <c r="BF759" s="860"/>
      <c r="BG759" s="860"/>
      <c r="BH759" s="860"/>
      <c r="BI759" s="860"/>
      <c r="BJ759" s="860"/>
      <c r="BK759" s="860"/>
      <c r="BL759" s="860"/>
      <c r="BM759" s="860"/>
      <c r="BN759" s="872"/>
      <c r="BO759" s="872"/>
      <c r="BP759" s="872"/>
      <c r="BQ759" s="872"/>
      <c r="BR759" s="872"/>
      <c r="BS759" s="872"/>
      <c r="BT759" s="860"/>
      <c r="BU759" s="860"/>
      <c r="BV759" s="860"/>
      <c r="BW759" s="860"/>
      <c r="BX759" s="872"/>
      <c r="BY759" s="872"/>
      <c r="BZ759" s="872"/>
      <c r="CA759" s="872"/>
      <c r="CB759" s="872"/>
      <c r="CC759" s="872"/>
    </row>
    <row r="760" s="860" customFormat="1" ht="13.5" spans="1:81">
      <c r="A760" s="861"/>
      <c r="B760" s="860"/>
      <c r="C760" s="860"/>
      <c r="D760" s="860"/>
      <c r="E760" s="862"/>
      <c r="F760" s="860"/>
      <c r="G760" s="860"/>
      <c r="H760" s="860"/>
      <c r="I760" s="860"/>
      <c r="J760" s="860"/>
      <c r="K760" s="860"/>
      <c r="L760" s="860"/>
      <c r="M760" s="860"/>
      <c r="N760" s="860"/>
      <c r="O760" s="860"/>
      <c r="P760" s="860"/>
      <c r="Q760" s="860"/>
      <c r="R760" s="860"/>
      <c r="S760" s="860"/>
      <c r="T760" s="860"/>
      <c r="U760" s="860"/>
      <c r="V760" s="860"/>
      <c r="W760" s="860"/>
      <c r="X760" s="864"/>
      <c r="Y760" s="865"/>
      <c r="Z760" s="865"/>
      <c r="AA760" s="866"/>
      <c r="AB760" s="867"/>
      <c r="AC760" s="868"/>
      <c r="AD760" s="866"/>
      <c r="AE760" s="860"/>
      <c r="AF760" s="869"/>
      <c r="AG760" s="869"/>
      <c r="AH760" s="870"/>
      <c r="AI760" s="871"/>
      <c r="AJ760" s="870"/>
      <c r="AK760" s="870"/>
      <c r="AL760" s="860"/>
      <c r="AM760" s="860"/>
      <c r="AN760" s="860"/>
      <c r="AO760" s="860"/>
      <c r="AP760" s="860"/>
      <c r="AQ760" s="860"/>
      <c r="AR760" s="860"/>
      <c r="AS760" s="860"/>
      <c r="AT760" s="860"/>
      <c r="AU760" s="860"/>
      <c r="AV760" s="860"/>
      <c r="AW760" s="860"/>
      <c r="AX760" s="860"/>
      <c r="AY760" s="860"/>
      <c r="AZ760" s="860"/>
      <c r="BA760" s="860"/>
      <c r="BB760" s="860"/>
      <c r="BC760" s="860"/>
      <c r="BD760" s="860"/>
      <c r="BE760" s="860"/>
      <c r="BF760" s="860"/>
      <c r="BG760" s="860"/>
      <c r="BH760" s="860"/>
      <c r="BI760" s="860"/>
      <c r="BJ760" s="860"/>
      <c r="BK760" s="860"/>
      <c r="BL760" s="860"/>
      <c r="BM760" s="860"/>
      <c r="BN760" s="872"/>
      <c r="BO760" s="872"/>
      <c r="BP760" s="872"/>
      <c r="BQ760" s="872"/>
      <c r="BR760" s="872"/>
      <c r="BS760" s="872"/>
      <c r="BT760" s="860"/>
      <c r="BU760" s="860"/>
      <c r="BV760" s="860"/>
      <c r="BW760" s="860"/>
      <c r="BX760" s="872"/>
      <c r="BY760" s="872"/>
      <c r="BZ760" s="872"/>
      <c r="CA760" s="872"/>
      <c r="CB760" s="872"/>
      <c r="CC760" s="872"/>
    </row>
    <row r="761" s="860" customFormat="1" ht="13.5" spans="1:81">
      <c r="A761" s="861"/>
      <c r="B761" s="860"/>
      <c r="C761" s="860"/>
      <c r="D761" s="860"/>
      <c r="E761" s="862"/>
      <c r="F761" s="860"/>
      <c r="G761" s="860"/>
      <c r="H761" s="860"/>
      <c r="I761" s="860"/>
      <c r="J761" s="860"/>
      <c r="K761" s="860"/>
      <c r="L761" s="860"/>
      <c r="M761" s="860"/>
      <c r="N761" s="860"/>
      <c r="O761" s="860"/>
      <c r="P761" s="860"/>
      <c r="Q761" s="860"/>
      <c r="R761" s="860"/>
      <c r="S761" s="860"/>
      <c r="T761" s="860"/>
      <c r="U761" s="860"/>
      <c r="V761" s="860"/>
      <c r="W761" s="860"/>
      <c r="X761" s="864"/>
      <c r="Y761" s="865"/>
      <c r="Z761" s="865"/>
      <c r="AA761" s="866"/>
      <c r="AB761" s="867"/>
      <c r="AC761" s="868"/>
      <c r="AD761" s="866"/>
      <c r="AE761" s="860"/>
      <c r="AF761" s="869"/>
      <c r="AG761" s="869"/>
      <c r="AH761" s="870"/>
      <c r="AI761" s="871"/>
      <c r="AJ761" s="870"/>
      <c r="AK761" s="870"/>
      <c r="AL761" s="860"/>
      <c r="AM761" s="860"/>
      <c r="AN761" s="860"/>
      <c r="AO761" s="860"/>
      <c r="AP761" s="860"/>
      <c r="AQ761" s="860"/>
      <c r="AR761" s="860"/>
      <c r="AS761" s="860"/>
      <c r="AT761" s="860"/>
      <c r="AU761" s="860"/>
      <c r="AV761" s="860"/>
      <c r="AW761" s="860"/>
      <c r="AX761" s="860"/>
      <c r="AY761" s="860"/>
      <c r="AZ761" s="860"/>
      <c r="BA761" s="860"/>
      <c r="BB761" s="860"/>
      <c r="BC761" s="860"/>
      <c r="BD761" s="860"/>
      <c r="BE761" s="860"/>
      <c r="BF761" s="860"/>
      <c r="BG761" s="860"/>
      <c r="BH761" s="860"/>
      <c r="BI761" s="860"/>
      <c r="BJ761" s="860"/>
      <c r="BK761" s="860"/>
      <c r="BL761" s="860"/>
      <c r="BM761" s="860"/>
      <c r="BN761" s="872"/>
      <c r="BO761" s="872"/>
      <c r="BP761" s="872"/>
      <c r="BQ761" s="872"/>
      <c r="BR761" s="872"/>
      <c r="BS761" s="872"/>
      <c r="BT761" s="860"/>
      <c r="BU761" s="860"/>
      <c r="BV761" s="860"/>
      <c r="BW761" s="860"/>
      <c r="BX761" s="872"/>
      <c r="BY761" s="872"/>
      <c r="BZ761" s="872"/>
      <c r="CA761" s="872"/>
      <c r="CB761" s="872"/>
      <c r="CC761" s="872"/>
    </row>
    <row r="762" s="860" customFormat="1" ht="13.5" spans="1:81">
      <c r="A762" s="861"/>
      <c r="B762" s="860"/>
      <c r="C762" s="860"/>
      <c r="D762" s="860"/>
      <c r="E762" s="862"/>
      <c r="F762" s="860"/>
      <c r="G762" s="860"/>
      <c r="H762" s="860"/>
      <c r="I762" s="860"/>
      <c r="J762" s="860"/>
      <c r="K762" s="860"/>
      <c r="L762" s="860"/>
      <c r="M762" s="860"/>
      <c r="N762" s="860"/>
      <c r="O762" s="860"/>
      <c r="P762" s="860"/>
      <c r="Q762" s="860"/>
      <c r="R762" s="860"/>
      <c r="S762" s="860"/>
      <c r="T762" s="860"/>
      <c r="U762" s="860"/>
      <c r="V762" s="860"/>
      <c r="W762" s="860"/>
      <c r="X762" s="864"/>
      <c r="Y762" s="865"/>
      <c r="Z762" s="865"/>
      <c r="AA762" s="866"/>
      <c r="AB762" s="867"/>
      <c r="AC762" s="868"/>
      <c r="AD762" s="866"/>
      <c r="AE762" s="860"/>
      <c r="AF762" s="869"/>
      <c r="AG762" s="869"/>
      <c r="AH762" s="870"/>
      <c r="AI762" s="871"/>
      <c r="AJ762" s="870"/>
      <c r="AK762" s="870"/>
      <c r="AL762" s="860"/>
      <c r="AM762" s="860"/>
      <c r="AN762" s="860"/>
      <c r="AO762" s="860"/>
      <c r="AP762" s="860"/>
      <c r="AQ762" s="860"/>
      <c r="AR762" s="860"/>
      <c r="AS762" s="860"/>
      <c r="AT762" s="860"/>
      <c r="AU762" s="860"/>
      <c r="AV762" s="860"/>
      <c r="AW762" s="860"/>
      <c r="AX762" s="860"/>
      <c r="AY762" s="860"/>
      <c r="AZ762" s="860"/>
      <c r="BA762" s="860"/>
      <c r="BB762" s="860"/>
      <c r="BC762" s="860"/>
      <c r="BD762" s="860"/>
      <c r="BE762" s="860"/>
      <c r="BF762" s="860"/>
      <c r="BG762" s="860"/>
      <c r="BH762" s="860"/>
      <c r="BI762" s="860"/>
      <c r="BJ762" s="860"/>
      <c r="BK762" s="860"/>
      <c r="BL762" s="860"/>
      <c r="BM762" s="860"/>
      <c r="BN762" s="872"/>
      <c r="BO762" s="872"/>
      <c r="BP762" s="872"/>
      <c r="BQ762" s="872"/>
      <c r="BR762" s="872"/>
      <c r="BS762" s="872"/>
      <c r="BT762" s="860"/>
      <c r="BU762" s="860"/>
      <c r="BV762" s="860"/>
      <c r="BW762" s="860"/>
      <c r="BX762" s="872"/>
      <c r="BY762" s="872"/>
      <c r="BZ762" s="872"/>
      <c r="CA762" s="872"/>
      <c r="CB762" s="872"/>
      <c r="CC762" s="872"/>
    </row>
    <row r="763" s="860" customFormat="1" ht="13.5" spans="1:81">
      <c r="A763" s="861"/>
      <c r="B763" s="860"/>
      <c r="C763" s="860"/>
      <c r="D763" s="860"/>
      <c r="E763" s="862"/>
      <c r="F763" s="860"/>
      <c r="G763" s="860"/>
      <c r="H763" s="860"/>
      <c r="I763" s="860"/>
      <c r="J763" s="860"/>
      <c r="K763" s="860"/>
      <c r="L763" s="860"/>
      <c r="M763" s="860"/>
      <c r="N763" s="860"/>
      <c r="O763" s="860"/>
      <c r="P763" s="860"/>
      <c r="Q763" s="860"/>
      <c r="R763" s="860"/>
      <c r="S763" s="860"/>
      <c r="T763" s="860"/>
      <c r="U763" s="860"/>
      <c r="V763" s="860"/>
      <c r="W763" s="860"/>
      <c r="X763" s="864"/>
      <c r="Y763" s="865"/>
      <c r="Z763" s="865"/>
      <c r="AA763" s="866"/>
      <c r="AB763" s="867"/>
      <c r="AC763" s="868"/>
      <c r="AD763" s="866"/>
      <c r="AE763" s="860"/>
      <c r="AF763" s="869"/>
      <c r="AG763" s="869"/>
      <c r="AH763" s="870"/>
      <c r="AI763" s="871"/>
      <c r="AJ763" s="870"/>
      <c r="AK763" s="870"/>
      <c r="AL763" s="860"/>
      <c r="AM763" s="860"/>
      <c r="AN763" s="860"/>
      <c r="AO763" s="860"/>
      <c r="AP763" s="860"/>
      <c r="AQ763" s="860"/>
      <c r="AR763" s="860"/>
      <c r="AS763" s="860"/>
      <c r="AT763" s="860"/>
      <c r="AU763" s="860"/>
      <c r="AV763" s="860"/>
      <c r="AW763" s="860"/>
      <c r="AX763" s="860"/>
      <c r="AY763" s="860"/>
      <c r="AZ763" s="860"/>
      <c r="BA763" s="860"/>
      <c r="BB763" s="860"/>
      <c r="BC763" s="860"/>
      <c r="BD763" s="860"/>
      <c r="BE763" s="860"/>
      <c r="BF763" s="860"/>
      <c r="BG763" s="860"/>
      <c r="BH763" s="860"/>
      <c r="BI763" s="860"/>
      <c r="BJ763" s="860"/>
      <c r="BK763" s="860"/>
      <c r="BL763" s="860"/>
      <c r="BM763" s="860"/>
      <c r="BN763" s="872"/>
      <c r="BO763" s="872"/>
      <c r="BP763" s="872"/>
      <c r="BQ763" s="872"/>
      <c r="BR763" s="872"/>
      <c r="BS763" s="872"/>
      <c r="BT763" s="860"/>
      <c r="BU763" s="860"/>
      <c r="BV763" s="860"/>
      <c r="BW763" s="860"/>
      <c r="BX763" s="872"/>
      <c r="BY763" s="872"/>
      <c r="BZ763" s="872"/>
      <c r="CA763" s="872"/>
      <c r="CB763" s="872"/>
      <c r="CC763" s="872"/>
    </row>
    <row r="764" s="860" customFormat="1" ht="13.5" spans="1:81">
      <c r="A764" s="861"/>
      <c r="B764" s="860"/>
      <c r="C764" s="860"/>
      <c r="D764" s="860"/>
      <c r="E764" s="862"/>
      <c r="F764" s="860"/>
      <c r="G764" s="860"/>
      <c r="H764" s="860"/>
      <c r="I764" s="860"/>
      <c r="J764" s="860"/>
      <c r="K764" s="860"/>
      <c r="L764" s="860"/>
      <c r="M764" s="860"/>
      <c r="N764" s="860"/>
      <c r="O764" s="860"/>
      <c r="P764" s="860"/>
      <c r="Q764" s="860"/>
      <c r="R764" s="860"/>
      <c r="S764" s="860"/>
      <c r="T764" s="860"/>
      <c r="U764" s="860"/>
      <c r="V764" s="860"/>
      <c r="W764" s="860"/>
      <c r="X764" s="864"/>
      <c r="Y764" s="865"/>
      <c r="Z764" s="865"/>
      <c r="AA764" s="866"/>
      <c r="AB764" s="867"/>
      <c r="AC764" s="868"/>
      <c r="AD764" s="866"/>
      <c r="AE764" s="860"/>
      <c r="AF764" s="869"/>
      <c r="AG764" s="869"/>
      <c r="AH764" s="870"/>
      <c r="AI764" s="871"/>
      <c r="AJ764" s="870"/>
      <c r="AK764" s="870"/>
      <c r="AL764" s="860"/>
      <c r="AM764" s="860"/>
      <c r="AN764" s="860"/>
      <c r="AO764" s="860"/>
      <c r="AP764" s="860"/>
      <c r="AQ764" s="860"/>
      <c r="AR764" s="860"/>
      <c r="AS764" s="860"/>
      <c r="AT764" s="860"/>
      <c r="AU764" s="860"/>
      <c r="AV764" s="860"/>
      <c r="AW764" s="860"/>
      <c r="AX764" s="860"/>
      <c r="AY764" s="860"/>
      <c r="AZ764" s="860"/>
      <c r="BA764" s="860"/>
      <c r="BB764" s="860"/>
      <c r="BC764" s="860"/>
      <c r="BD764" s="860"/>
      <c r="BE764" s="860"/>
      <c r="BF764" s="860"/>
      <c r="BG764" s="860"/>
      <c r="BH764" s="860"/>
      <c r="BI764" s="860"/>
      <c r="BJ764" s="860"/>
      <c r="BK764" s="860"/>
      <c r="BL764" s="860"/>
      <c r="BM764" s="860"/>
      <c r="BN764" s="872"/>
      <c r="BO764" s="872"/>
      <c r="BP764" s="872"/>
      <c r="BQ764" s="872"/>
      <c r="BR764" s="872"/>
      <c r="BS764" s="872"/>
      <c r="BT764" s="860"/>
      <c r="BU764" s="860"/>
      <c r="BV764" s="860"/>
      <c r="BW764" s="860"/>
      <c r="BX764" s="872"/>
      <c r="BY764" s="872"/>
      <c r="BZ764" s="872"/>
      <c r="CA764" s="872"/>
      <c r="CB764" s="872"/>
      <c r="CC764" s="872"/>
    </row>
    <row r="765" s="860" customFormat="1" ht="13.5" spans="1:81">
      <c r="A765" s="861"/>
      <c r="B765" s="860"/>
      <c r="C765" s="860"/>
      <c r="D765" s="860"/>
      <c r="E765" s="862"/>
      <c r="F765" s="860"/>
      <c r="G765" s="860"/>
      <c r="H765" s="860"/>
      <c r="I765" s="860"/>
      <c r="J765" s="860"/>
      <c r="K765" s="860"/>
      <c r="L765" s="860"/>
      <c r="M765" s="860"/>
      <c r="N765" s="860"/>
      <c r="O765" s="860"/>
      <c r="P765" s="860"/>
      <c r="Q765" s="860"/>
      <c r="R765" s="860"/>
      <c r="S765" s="860"/>
      <c r="T765" s="860"/>
      <c r="U765" s="860"/>
      <c r="V765" s="860"/>
      <c r="W765" s="860"/>
      <c r="X765" s="864"/>
      <c r="Y765" s="865"/>
      <c r="Z765" s="865"/>
      <c r="AA765" s="866"/>
      <c r="AB765" s="867"/>
      <c r="AC765" s="868"/>
      <c r="AD765" s="866"/>
      <c r="AE765" s="860"/>
      <c r="AF765" s="869"/>
      <c r="AG765" s="869"/>
      <c r="AH765" s="870"/>
      <c r="AI765" s="871"/>
      <c r="AJ765" s="870"/>
      <c r="AK765" s="870"/>
      <c r="AL765" s="860"/>
      <c r="AM765" s="860"/>
      <c r="AN765" s="860"/>
      <c r="AO765" s="860"/>
      <c r="AP765" s="860"/>
      <c r="AQ765" s="860"/>
      <c r="AR765" s="860"/>
      <c r="AS765" s="860"/>
      <c r="AT765" s="860"/>
      <c r="AU765" s="860"/>
      <c r="AV765" s="860"/>
      <c r="AW765" s="860"/>
      <c r="AX765" s="860"/>
      <c r="AY765" s="860"/>
      <c r="AZ765" s="860"/>
      <c r="BA765" s="860"/>
      <c r="BB765" s="860"/>
      <c r="BC765" s="860"/>
      <c r="BD765" s="860"/>
      <c r="BE765" s="860"/>
      <c r="BF765" s="860"/>
      <c r="BG765" s="860"/>
      <c r="BH765" s="860"/>
      <c r="BI765" s="860"/>
      <c r="BJ765" s="860"/>
      <c r="BK765" s="860"/>
      <c r="BL765" s="860"/>
      <c r="BM765" s="860"/>
      <c r="BN765" s="872"/>
      <c r="BO765" s="872"/>
      <c r="BP765" s="872"/>
      <c r="BQ765" s="872"/>
      <c r="BR765" s="872"/>
      <c r="BS765" s="872"/>
      <c r="BT765" s="860"/>
      <c r="BU765" s="860"/>
      <c r="BV765" s="860"/>
      <c r="BW765" s="860"/>
      <c r="BX765" s="872"/>
      <c r="BY765" s="872"/>
      <c r="BZ765" s="872"/>
      <c r="CA765" s="872"/>
      <c r="CB765" s="872"/>
      <c r="CC765" s="872"/>
    </row>
    <row r="766" s="860" customFormat="1" ht="13.5" spans="1:81">
      <c r="A766" s="861"/>
      <c r="B766" s="860"/>
      <c r="C766" s="860"/>
      <c r="D766" s="860"/>
      <c r="E766" s="862"/>
      <c r="F766" s="860"/>
      <c r="G766" s="860"/>
      <c r="H766" s="860"/>
      <c r="I766" s="860"/>
      <c r="J766" s="860"/>
      <c r="K766" s="860"/>
      <c r="L766" s="860"/>
      <c r="M766" s="860"/>
      <c r="N766" s="860"/>
      <c r="O766" s="860"/>
      <c r="P766" s="860"/>
      <c r="Q766" s="860"/>
      <c r="R766" s="860"/>
      <c r="S766" s="860"/>
      <c r="T766" s="860"/>
      <c r="U766" s="860"/>
      <c r="V766" s="860"/>
      <c r="W766" s="860"/>
      <c r="X766" s="864"/>
      <c r="Y766" s="865"/>
      <c r="Z766" s="865"/>
      <c r="AA766" s="866"/>
      <c r="AB766" s="867"/>
      <c r="AC766" s="868"/>
      <c r="AD766" s="866"/>
      <c r="AE766" s="860"/>
      <c r="AF766" s="869"/>
      <c r="AG766" s="869"/>
      <c r="AH766" s="870"/>
      <c r="AI766" s="871"/>
      <c r="AJ766" s="870"/>
      <c r="AK766" s="870"/>
      <c r="AL766" s="860"/>
      <c r="AM766" s="860"/>
      <c r="AN766" s="860"/>
      <c r="AO766" s="860"/>
      <c r="AP766" s="860"/>
      <c r="AQ766" s="860"/>
      <c r="AR766" s="860"/>
      <c r="AS766" s="860"/>
      <c r="AT766" s="860"/>
      <c r="AU766" s="860"/>
      <c r="AV766" s="860"/>
      <c r="AW766" s="860"/>
      <c r="AX766" s="860"/>
      <c r="AY766" s="860"/>
      <c r="AZ766" s="860"/>
      <c r="BA766" s="860"/>
      <c r="BB766" s="860"/>
      <c r="BC766" s="860"/>
      <c r="BD766" s="860"/>
      <c r="BE766" s="860"/>
      <c r="BF766" s="860"/>
      <c r="BG766" s="860"/>
      <c r="BH766" s="860"/>
      <c r="BI766" s="860"/>
      <c r="BJ766" s="860"/>
      <c r="BK766" s="860"/>
      <c r="BL766" s="860"/>
      <c r="BM766" s="860"/>
      <c r="BN766" s="872"/>
      <c r="BO766" s="872"/>
      <c r="BP766" s="872"/>
      <c r="BQ766" s="872"/>
      <c r="BR766" s="872"/>
      <c r="BS766" s="872"/>
      <c r="BT766" s="860"/>
      <c r="BU766" s="860"/>
      <c r="BV766" s="860"/>
      <c r="BW766" s="860"/>
      <c r="BX766" s="872"/>
      <c r="BY766" s="872"/>
      <c r="BZ766" s="872"/>
      <c r="CA766" s="872"/>
      <c r="CB766" s="872"/>
      <c r="CC766" s="872"/>
    </row>
    <row r="767" s="860" customFormat="1" ht="13.5" spans="1:81">
      <c r="A767" s="861"/>
      <c r="B767" s="860"/>
      <c r="C767" s="860"/>
      <c r="D767" s="860"/>
      <c r="E767" s="862"/>
      <c r="F767" s="860"/>
      <c r="G767" s="860"/>
      <c r="H767" s="860"/>
      <c r="I767" s="860"/>
      <c r="J767" s="860"/>
      <c r="K767" s="860"/>
      <c r="L767" s="860"/>
      <c r="M767" s="860"/>
      <c r="N767" s="860"/>
      <c r="O767" s="860"/>
      <c r="P767" s="860"/>
      <c r="Q767" s="860"/>
      <c r="R767" s="860"/>
      <c r="S767" s="860"/>
      <c r="T767" s="860"/>
      <c r="U767" s="860"/>
      <c r="V767" s="860"/>
      <c r="W767" s="860"/>
      <c r="X767" s="864"/>
      <c r="Y767" s="865"/>
      <c r="Z767" s="865"/>
      <c r="AA767" s="866"/>
      <c r="AB767" s="867"/>
      <c r="AC767" s="868"/>
      <c r="AD767" s="866"/>
      <c r="AE767" s="860"/>
      <c r="AF767" s="869"/>
      <c r="AG767" s="869"/>
      <c r="AH767" s="870"/>
      <c r="AI767" s="871"/>
      <c r="AJ767" s="870"/>
      <c r="AK767" s="870"/>
      <c r="AL767" s="860"/>
      <c r="AM767" s="860"/>
      <c r="AN767" s="860"/>
      <c r="AO767" s="860"/>
      <c r="AP767" s="860"/>
      <c r="AQ767" s="860"/>
      <c r="AR767" s="860"/>
      <c r="AS767" s="860"/>
      <c r="AT767" s="860"/>
      <c r="AU767" s="860"/>
      <c r="AV767" s="860"/>
      <c r="AW767" s="860"/>
      <c r="AX767" s="860"/>
      <c r="AY767" s="860"/>
      <c r="AZ767" s="860"/>
      <c r="BA767" s="860"/>
      <c r="BB767" s="860"/>
      <c r="BC767" s="860"/>
      <c r="BD767" s="860"/>
      <c r="BE767" s="860"/>
      <c r="BF767" s="860"/>
      <c r="BG767" s="860"/>
      <c r="BH767" s="860"/>
      <c r="BI767" s="860"/>
      <c r="BJ767" s="860"/>
      <c r="BK767" s="860"/>
      <c r="BL767" s="860"/>
      <c r="BM767" s="860"/>
      <c r="BN767" s="872"/>
      <c r="BO767" s="872"/>
      <c r="BP767" s="872"/>
      <c r="BQ767" s="872"/>
      <c r="BR767" s="872"/>
      <c r="BS767" s="872"/>
      <c r="BT767" s="860"/>
      <c r="BU767" s="860"/>
      <c r="BV767" s="860"/>
      <c r="BW767" s="860"/>
      <c r="BX767" s="872"/>
      <c r="BY767" s="872"/>
      <c r="BZ767" s="872"/>
      <c r="CA767" s="872"/>
      <c r="CB767" s="872"/>
      <c r="CC767" s="872"/>
    </row>
    <row r="768" s="860" customFormat="1" ht="13.5" spans="1:81">
      <c r="A768" s="861"/>
      <c r="B768" s="860"/>
      <c r="C768" s="860"/>
      <c r="D768" s="860"/>
      <c r="E768" s="862"/>
      <c r="F768" s="860"/>
      <c r="G768" s="860"/>
      <c r="H768" s="860"/>
      <c r="I768" s="860"/>
      <c r="J768" s="860"/>
      <c r="K768" s="860"/>
      <c r="L768" s="860"/>
      <c r="M768" s="860"/>
      <c r="N768" s="860"/>
      <c r="O768" s="860"/>
      <c r="P768" s="860"/>
      <c r="Q768" s="860"/>
      <c r="R768" s="860"/>
      <c r="S768" s="860"/>
      <c r="T768" s="860"/>
      <c r="U768" s="860"/>
      <c r="V768" s="860"/>
      <c r="W768" s="860"/>
      <c r="X768" s="864"/>
      <c r="Y768" s="865"/>
      <c r="Z768" s="865"/>
      <c r="AA768" s="866"/>
      <c r="AB768" s="867"/>
      <c r="AC768" s="868"/>
      <c r="AD768" s="866"/>
      <c r="AE768" s="860"/>
      <c r="AF768" s="869"/>
      <c r="AG768" s="869"/>
      <c r="AH768" s="870"/>
      <c r="AI768" s="871"/>
      <c r="AJ768" s="870"/>
      <c r="AK768" s="870"/>
      <c r="AL768" s="860"/>
      <c r="AM768" s="860"/>
      <c r="AN768" s="860"/>
      <c r="AO768" s="860"/>
      <c r="AP768" s="860"/>
      <c r="AQ768" s="860"/>
      <c r="AR768" s="860"/>
      <c r="AS768" s="860"/>
      <c r="AT768" s="860"/>
      <c r="AU768" s="860"/>
      <c r="AV768" s="860"/>
      <c r="AW768" s="860"/>
      <c r="AX768" s="860"/>
      <c r="AY768" s="860"/>
      <c r="AZ768" s="860"/>
      <c r="BA768" s="860"/>
      <c r="BB768" s="860"/>
      <c r="BC768" s="860"/>
      <c r="BD768" s="860"/>
      <c r="BE768" s="860"/>
      <c r="BF768" s="860"/>
      <c r="BG768" s="860"/>
      <c r="BH768" s="860"/>
      <c r="BI768" s="860"/>
      <c r="BJ768" s="860"/>
      <c r="BK768" s="860"/>
      <c r="BL768" s="860"/>
      <c r="BM768" s="860"/>
      <c r="BN768" s="872"/>
      <c r="BO768" s="872"/>
      <c r="BP768" s="872"/>
      <c r="BQ768" s="872"/>
      <c r="BR768" s="872"/>
      <c r="BS768" s="872"/>
      <c r="BT768" s="860"/>
      <c r="BU768" s="860"/>
      <c r="BV768" s="860"/>
      <c r="BW768" s="860"/>
      <c r="BX768" s="872"/>
      <c r="BY768" s="872"/>
      <c r="BZ768" s="872"/>
      <c r="CA768" s="872"/>
      <c r="CB768" s="872"/>
      <c r="CC768" s="872"/>
    </row>
    <row r="769" s="860" customFormat="1" ht="13.5" spans="1:81">
      <c r="A769" s="861"/>
      <c r="B769" s="860"/>
      <c r="C769" s="860"/>
      <c r="D769" s="860"/>
      <c r="E769" s="862"/>
      <c r="F769" s="860"/>
      <c r="G769" s="860"/>
      <c r="H769" s="860"/>
      <c r="I769" s="860"/>
      <c r="J769" s="860"/>
      <c r="K769" s="860"/>
      <c r="L769" s="860"/>
      <c r="M769" s="860"/>
      <c r="N769" s="860"/>
      <c r="O769" s="860"/>
      <c r="P769" s="860"/>
      <c r="Q769" s="860"/>
      <c r="R769" s="860"/>
      <c r="S769" s="860"/>
      <c r="T769" s="860"/>
      <c r="U769" s="860"/>
      <c r="V769" s="860"/>
      <c r="W769" s="860"/>
      <c r="X769" s="864"/>
      <c r="Y769" s="865"/>
      <c r="Z769" s="865"/>
      <c r="AA769" s="866"/>
      <c r="AB769" s="867"/>
      <c r="AC769" s="868"/>
      <c r="AD769" s="866"/>
      <c r="AE769" s="860"/>
      <c r="AF769" s="869"/>
      <c r="AG769" s="869"/>
      <c r="AH769" s="870"/>
      <c r="AI769" s="871"/>
      <c r="AJ769" s="870"/>
      <c r="AK769" s="870"/>
      <c r="AL769" s="860"/>
      <c r="AM769" s="860"/>
      <c r="AN769" s="860"/>
      <c r="AO769" s="860"/>
      <c r="AP769" s="860"/>
      <c r="AQ769" s="860"/>
      <c r="AR769" s="860"/>
      <c r="AS769" s="860"/>
      <c r="AT769" s="860"/>
      <c r="AU769" s="860"/>
      <c r="AV769" s="860"/>
      <c r="AW769" s="860"/>
      <c r="AX769" s="860"/>
      <c r="AY769" s="860"/>
      <c r="AZ769" s="860"/>
      <c r="BA769" s="860"/>
      <c r="BB769" s="860"/>
      <c r="BC769" s="860"/>
      <c r="BD769" s="860"/>
      <c r="BE769" s="860"/>
      <c r="BF769" s="860"/>
      <c r="BG769" s="860"/>
      <c r="BH769" s="860"/>
      <c r="BI769" s="860"/>
      <c r="BJ769" s="860"/>
      <c r="BK769" s="860"/>
      <c r="BL769" s="860"/>
      <c r="BM769" s="860"/>
      <c r="BN769" s="872"/>
      <c r="BO769" s="872"/>
      <c r="BP769" s="872"/>
      <c r="BQ769" s="872"/>
      <c r="BR769" s="872"/>
      <c r="BS769" s="872"/>
      <c r="BT769" s="860"/>
      <c r="BU769" s="860"/>
      <c r="BV769" s="860"/>
      <c r="BW769" s="860"/>
      <c r="BX769" s="872"/>
      <c r="BY769" s="872"/>
      <c r="BZ769" s="872"/>
      <c r="CA769" s="872"/>
      <c r="CB769" s="872"/>
      <c r="CC769" s="872"/>
    </row>
    <row r="770" s="860" customFormat="1" ht="13.5" spans="1:81">
      <c r="A770" s="861"/>
      <c r="B770" s="860"/>
      <c r="C770" s="860"/>
      <c r="D770" s="860"/>
      <c r="E770" s="862"/>
      <c r="F770" s="860"/>
      <c r="G770" s="860"/>
      <c r="H770" s="860"/>
      <c r="I770" s="860"/>
      <c r="J770" s="860"/>
      <c r="K770" s="860"/>
      <c r="L770" s="860"/>
      <c r="M770" s="860"/>
      <c r="N770" s="860"/>
      <c r="O770" s="860"/>
      <c r="P770" s="860"/>
      <c r="Q770" s="860"/>
      <c r="R770" s="860"/>
      <c r="S770" s="860"/>
      <c r="T770" s="860"/>
      <c r="U770" s="860"/>
      <c r="V770" s="860"/>
      <c r="W770" s="860"/>
      <c r="X770" s="864"/>
      <c r="Y770" s="865"/>
      <c r="Z770" s="865"/>
      <c r="AA770" s="866"/>
      <c r="AB770" s="867"/>
      <c r="AC770" s="868"/>
      <c r="AD770" s="866"/>
      <c r="AE770" s="860"/>
      <c r="AF770" s="869"/>
      <c r="AG770" s="869"/>
      <c r="AH770" s="870"/>
      <c r="AI770" s="871"/>
      <c r="AJ770" s="870"/>
      <c r="AK770" s="870"/>
      <c r="AL770" s="860"/>
      <c r="AM770" s="860"/>
      <c r="AN770" s="860"/>
      <c r="AO770" s="860"/>
      <c r="AP770" s="860"/>
      <c r="AQ770" s="860"/>
      <c r="AR770" s="860"/>
      <c r="AS770" s="860"/>
      <c r="AT770" s="860"/>
      <c r="AU770" s="860"/>
      <c r="AV770" s="860"/>
      <c r="AW770" s="860"/>
      <c r="AX770" s="860"/>
      <c r="AY770" s="860"/>
      <c r="AZ770" s="860"/>
      <c r="BA770" s="860"/>
      <c r="BB770" s="860"/>
      <c r="BC770" s="860"/>
      <c r="BD770" s="860"/>
      <c r="BE770" s="860"/>
      <c r="BF770" s="860"/>
      <c r="BG770" s="860"/>
      <c r="BH770" s="860"/>
      <c r="BI770" s="860"/>
      <c r="BJ770" s="860"/>
      <c r="BK770" s="860"/>
      <c r="BL770" s="860"/>
      <c r="BM770" s="860"/>
      <c r="BN770" s="872"/>
      <c r="BO770" s="872"/>
      <c r="BP770" s="872"/>
      <c r="BQ770" s="872"/>
      <c r="BR770" s="872"/>
      <c r="BS770" s="872"/>
      <c r="BT770" s="860"/>
      <c r="BU770" s="860"/>
      <c r="BV770" s="860"/>
      <c r="BW770" s="860"/>
      <c r="BX770" s="872"/>
      <c r="BY770" s="872"/>
      <c r="BZ770" s="872"/>
      <c r="CA770" s="872"/>
      <c r="CB770" s="872"/>
      <c r="CC770" s="872"/>
    </row>
    <row r="771" s="860" customFormat="1" ht="13.5" spans="1:81">
      <c r="A771" s="861"/>
      <c r="B771" s="860"/>
      <c r="C771" s="860"/>
      <c r="D771" s="860"/>
      <c r="E771" s="862"/>
      <c r="F771" s="860"/>
      <c r="G771" s="860"/>
      <c r="H771" s="860"/>
      <c r="I771" s="860"/>
      <c r="J771" s="860"/>
      <c r="K771" s="860"/>
      <c r="L771" s="860"/>
      <c r="M771" s="860"/>
      <c r="N771" s="860"/>
      <c r="O771" s="860"/>
      <c r="P771" s="860"/>
      <c r="Q771" s="860"/>
      <c r="R771" s="860"/>
      <c r="S771" s="860"/>
      <c r="T771" s="860"/>
      <c r="U771" s="860"/>
      <c r="V771" s="860"/>
      <c r="W771" s="860"/>
      <c r="X771" s="864"/>
      <c r="Y771" s="865"/>
      <c r="Z771" s="865"/>
      <c r="AA771" s="866"/>
      <c r="AB771" s="867"/>
      <c r="AC771" s="868"/>
      <c r="AD771" s="866"/>
      <c r="AE771" s="860"/>
      <c r="AF771" s="869"/>
      <c r="AG771" s="869"/>
      <c r="AH771" s="870"/>
      <c r="AI771" s="871"/>
      <c r="AJ771" s="870"/>
      <c r="AK771" s="870"/>
      <c r="AL771" s="860"/>
      <c r="AM771" s="860"/>
      <c r="AN771" s="860"/>
      <c r="AO771" s="860"/>
      <c r="AP771" s="860"/>
      <c r="AQ771" s="860"/>
      <c r="AR771" s="860"/>
      <c r="AS771" s="860"/>
      <c r="AT771" s="860"/>
      <c r="AU771" s="860"/>
      <c r="AV771" s="860"/>
      <c r="AW771" s="860"/>
      <c r="AX771" s="860"/>
      <c r="AY771" s="860"/>
      <c r="AZ771" s="860"/>
      <c r="BA771" s="860"/>
      <c r="BB771" s="860"/>
      <c r="BC771" s="860"/>
      <c r="BD771" s="860"/>
      <c r="BE771" s="860"/>
      <c r="BF771" s="860"/>
      <c r="BG771" s="860"/>
      <c r="BH771" s="860"/>
      <c r="BI771" s="860"/>
      <c r="BJ771" s="860"/>
      <c r="BK771" s="860"/>
      <c r="BL771" s="860"/>
      <c r="BM771" s="860"/>
      <c r="BN771" s="872"/>
      <c r="BO771" s="872"/>
      <c r="BP771" s="872"/>
      <c r="BQ771" s="872"/>
      <c r="BR771" s="872"/>
      <c r="BS771" s="872"/>
      <c r="BT771" s="860"/>
      <c r="BU771" s="860"/>
      <c r="BV771" s="860"/>
      <c r="BW771" s="860"/>
      <c r="BX771" s="872"/>
      <c r="BY771" s="872"/>
      <c r="BZ771" s="872"/>
      <c r="CA771" s="872"/>
      <c r="CB771" s="872"/>
      <c r="CC771" s="872"/>
    </row>
    <row r="772" s="860" customFormat="1" ht="13.5" spans="1:81">
      <c r="A772" s="861"/>
      <c r="B772" s="860"/>
      <c r="C772" s="860"/>
      <c r="D772" s="860"/>
      <c r="E772" s="862"/>
      <c r="F772" s="860"/>
      <c r="G772" s="860"/>
      <c r="H772" s="860"/>
      <c r="I772" s="860"/>
      <c r="J772" s="860"/>
      <c r="K772" s="860"/>
      <c r="L772" s="860"/>
      <c r="M772" s="860"/>
      <c r="N772" s="860"/>
      <c r="O772" s="860"/>
      <c r="P772" s="860"/>
      <c r="Q772" s="860"/>
      <c r="R772" s="860"/>
      <c r="S772" s="860"/>
      <c r="T772" s="860"/>
      <c r="U772" s="860"/>
      <c r="V772" s="860"/>
      <c r="W772" s="860"/>
      <c r="X772" s="864"/>
      <c r="Y772" s="865"/>
      <c r="Z772" s="865"/>
      <c r="AA772" s="866"/>
      <c r="AB772" s="867"/>
      <c r="AC772" s="868"/>
      <c r="AD772" s="866"/>
      <c r="AE772" s="860"/>
      <c r="AF772" s="869"/>
      <c r="AG772" s="869"/>
      <c r="AH772" s="870"/>
      <c r="AI772" s="871"/>
      <c r="AJ772" s="870"/>
      <c r="AK772" s="870"/>
      <c r="AL772" s="860"/>
      <c r="AM772" s="860"/>
      <c r="AN772" s="860"/>
      <c r="AO772" s="860"/>
      <c r="AP772" s="860"/>
      <c r="AQ772" s="860"/>
      <c r="AR772" s="860"/>
      <c r="AS772" s="860"/>
      <c r="AT772" s="860"/>
      <c r="AU772" s="860"/>
      <c r="AV772" s="860"/>
      <c r="AW772" s="860"/>
      <c r="AX772" s="860"/>
      <c r="AY772" s="860"/>
      <c r="AZ772" s="860"/>
      <c r="BA772" s="860"/>
      <c r="BB772" s="860"/>
      <c r="BC772" s="860"/>
      <c r="BD772" s="860"/>
      <c r="BE772" s="860"/>
      <c r="BF772" s="860"/>
      <c r="BG772" s="860"/>
      <c r="BH772" s="860"/>
      <c r="BI772" s="860"/>
      <c r="BJ772" s="860"/>
      <c r="BK772" s="860"/>
      <c r="BL772" s="860"/>
      <c r="BM772" s="860"/>
      <c r="BN772" s="872"/>
      <c r="BO772" s="872"/>
      <c r="BP772" s="872"/>
      <c r="BQ772" s="872"/>
      <c r="BR772" s="872"/>
      <c r="BS772" s="872"/>
      <c r="BT772" s="860"/>
      <c r="BU772" s="860"/>
      <c r="BV772" s="860"/>
      <c r="BW772" s="860"/>
      <c r="BX772" s="872"/>
      <c r="BY772" s="872"/>
      <c r="BZ772" s="872"/>
      <c r="CA772" s="872"/>
      <c r="CB772" s="872"/>
      <c r="CC772" s="872"/>
    </row>
    <row r="773" s="860" customFormat="1" ht="13.5" spans="1:81">
      <c r="A773" s="861"/>
      <c r="B773" s="860"/>
      <c r="C773" s="860"/>
      <c r="D773" s="860"/>
      <c r="E773" s="862"/>
      <c r="F773" s="860"/>
      <c r="G773" s="860"/>
      <c r="H773" s="860"/>
      <c r="I773" s="860"/>
      <c r="J773" s="860"/>
      <c r="K773" s="860"/>
      <c r="L773" s="860"/>
      <c r="M773" s="860"/>
      <c r="N773" s="860"/>
      <c r="O773" s="860"/>
      <c r="P773" s="860"/>
      <c r="Q773" s="860"/>
      <c r="R773" s="860"/>
      <c r="S773" s="860"/>
      <c r="T773" s="860"/>
      <c r="U773" s="860"/>
      <c r="V773" s="860"/>
      <c r="W773" s="860"/>
      <c r="X773" s="864"/>
      <c r="Y773" s="865"/>
      <c r="Z773" s="865"/>
      <c r="AA773" s="866"/>
      <c r="AB773" s="867"/>
      <c r="AC773" s="868"/>
      <c r="AD773" s="866"/>
      <c r="AE773" s="860"/>
      <c r="AF773" s="869"/>
      <c r="AG773" s="869"/>
      <c r="AH773" s="870"/>
      <c r="AI773" s="871"/>
      <c r="AJ773" s="870"/>
      <c r="AK773" s="870"/>
      <c r="AL773" s="860"/>
      <c r="AM773" s="860"/>
      <c r="AN773" s="860"/>
      <c r="AO773" s="860"/>
      <c r="AP773" s="860"/>
      <c r="AQ773" s="860"/>
      <c r="AR773" s="860"/>
      <c r="AS773" s="860"/>
      <c r="AT773" s="860"/>
      <c r="AU773" s="860"/>
      <c r="AV773" s="860"/>
      <c r="AW773" s="860"/>
      <c r="AX773" s="860"/>
      <c r="AY773" s="860"/>
      <c r="AZ773" s="860"/>
      <c r="BA773" s="860"/>
      <c r="BB773" s="860"/>
      <c r="BC773" s="860"/>
      <c r="BD773" s="860"/>
      <c r="BE773" s="860"/>
      <c r="BF773" s="860"/>
      <c r="BG773" s="860"/>
      <c r="BH773" s="860"/>
      <c r="BI773" s="860"/>
      <c r="BJ773" s="860"/>
      <c r="BK773" s="860"/>
      <c r="BL773" s="860"/>
      <c r="BM773" s="860"/>
      <c r="BN773" s="872"/>
      <c r="BO773" s="872"/>
      <c r="BP773" s="872"/>
      <c r="BQ773" s="872"/>
      <c r="BR773" s="872"/>
      <c r="BS773" s="872"/>
      <c r="BT773" s="860"/>
      <c r="BU773" s="860"/>
      <c r="BV773" s="860"/>
      <c r="BW773" s="860"/>
      <c r="BX773" s="872"/>
      <c r="BY773" s="872"/>
      <c r="BZ773" s="872"/>
      <c r="CA773" s="872"/>
      <c r="CB773" s="872"/>
      <c r="CC773" s="872"/>
    </row>
    <row r="774" s="860" customFormat="1" ht="13.5" spans="1:81">
      <c r="A774" s="861"/>
      <c r="B774" s="860"/>
      <c r="C774" s="860"/>
      <c r="D774" s="860"/>
      <c r="E774" s="862"/>
      <c r="F774" s="860"/>
      <c r="G774" s="860"/>
      <c r="H774" s="860"/>
      <c r="I774" s="860"/>
      <c r="J774" s="860"/>
      <c r="K774" s="860"/>
      <c r="L774" s="860"/>
      <c r="M774" s="860"/>
      <c r="N774" s="860"/>
      <c r="O774" s="860"/>
      <c r="P774" s="860"/>
      <c r="Q774" s="860"/>
      <c r="R774" s="860"/>
      <c r="S774" s="860"/>
      <c r="T774" s="860"/>
      <c r="U774" s="860"/>
      <c r="V774" s="860"/>
      <c r="W774" s="860"/>
      <c r="X774" s="864"/>
      <c r="Y774" s="865"/>
      <c r="Z774" s="865"/>
      <c r="AA774" s="866"/>
      <c r="AB774" s="867"/>
      <c r="AC774" s="868"/>
      <c r="AD774" s="866"/>
      <c r="AE774" s="860"/>
      <c r="AF774" s="869"/>
      <c r="AG774" s="869"/>
      <c r="AH774" s="870"/>
      <c r="AI774" s="871"/>
      <c r="AJ774" s="870"/>
      <c r="AK774" s="870"/>
      <c r="AL774" s="860"/>
      <c r="AM774" s="860"/>
      <c r="AN774" s="860"/>
      <c r="AO774" s="860"/>
      <c r="AP774" s="860"/>
      <c r="AQ774" s="860"/>
      <c r="AR774" s="860"/>
      <c r="AS774" s="860"/>
      <c r="AT774" s="860"/>
      <c r="AU774" s="860"/>
      <c r="AV774" s="860"/>
      <c r="AW774" s="860"/>
      <c r="AX774" s="860"/>
      <c r="AY774" s="860"/>
      <c r="AZ774" s="860"/>
      <c r="BA774" s="860"/>
      <c r="BB774" s="860"/>
      <c r="BC774" s="860"/>
      <c r="BD774" s="860"/>
      <c r="BE774" s="860"/>
      <c r="BF774" s="860"/>
      <c r="BG774" s="860"/>
      <c r="BH774" s="860"/>
      <c r="BI774" s="860"/>
      <c r="BJ774" s="860"/>
      <c r="BK774" s="860"/>
      <c r="BL774" s="860"/>
      <c r="BM774" s="860"/>
      <c r="BN774" s="872"/>
      <c r="BO774" s="872"/>
      <c r="BP774" s="872"/>
      <c r="BQ774" s="872"/>
      <c r="BR774" s="872"/>
      <c r="BS774" s="872"/>
      <c r="BT774" s="860"/>
      <c r="BU774" s="860"/>
      <c r="BV774" s="860"/>
      <c r="BW774" s="860"/>
      <c r="BX774" s="872"/>
      <c r="BY774" s="872"/>
      <c r="BZ774" s="872"/>
      <c r="CA774" s="872"/>
      <c r="CB774" s="872"/>
      <c r="CC774" s="872"/>
    </row>
    <row r="775" s="860" customFormat="1" ht="13.5" spans="1:81">
      <c r="A775" s="861"/>
      <c r="B775" s="860"/>
      <c r="C775" s="860"/>
      <c r="D775" s="860"/>
      <c r="E775" s="862"/>
      <c r="F775" s="860"/>
      <c r="G775" s="860"/>
      <c r="H775" s="860"/>
      <c r="I775" s="860"/>
      <c r="J775" s="860"/>
      <c r="K775" s="860"/>
      <c r="L775" s="860"/>
      <c r="M775" s="860"/>
      <c r="N775" s="860"/>
      <c r="O775" s="860"/>
      <c r="P775" s="860"/>
      <c r="Q775" s="860"/>
      <c r="R775" s="860"/>
      <c r="S775" s="860"/>
      <c r="T775" s="860"/>
      <c r="U775" s="860"/>
      <c r="V775" s="860"/>
      <c r="W775" s="860"/>
      <c r="X775" s="864"/>
      <c r="Y775" s="865"/>
      <c r="Z775" s="865"/>
      <c r="AA775" s="866"/>
      <c r="AB775" s="867"/>
      <c r="AC775" s="868"/>
      <c r="AD775" s="866"/>
      <c r="AE775" s="860"/>
      <c r="AF775" s="869"/>
      <c r="AG775" s="869"/>
      <c r="AH775" s="870"/>
      <c r="AI775" s="871"/>
      <c r="AJ775" s="870"/>
      <c r="AK775" s="870"/>
      <c r="AL775" s="860"/>
      <c r="AM775" s="860"/>
      <c r="AN775" s="860"/>
      <c r="AO775" s="860"/>
      <c r="AP775" s="860"/>
      <c r="AQ775" s="860"/>
      <c r="AR775" s="860"/>
      <c r="AS775" s="860"/>
      <c r="AT775" s="860"/>
      <c r="AU775" s="860"/>
      <c r="AV775" s="860"/>
      <c r="AW775" s="860"/>
      <c r="AX775" s="860"/>
      <c r="AY775" s="860"/>
      <c r="AZ775" s="860"/>
      <c r="BA775" s="860"/>
      <c r="BB775" s="860"/>
      <c r="BC775" s="860"/>
      <c r="BD775" s="860"/>
      <c r="BE775" s="860"/>
      <c r="BF775" s="860"/>
      <c r="BG775" s="860"/>
      <c r="BH775" s="860"/>
      <c r="BI775" s="860"/>
      <c r="BJ775" s="860"/>
      <c r="BK775" s="860"/>
      <c r="BL775" s="860"/>
      <c r="BM775" s="860"/>
      <c r="BN775" s="872"/>
      <c r="BO775" s="872"/>
      <c r="BP775" s="872"/>
      <c r="BQ775" s="872"/>
      <c r="BR775" s="872"/>
      <c r="BS775" s="872"/>
      <c r="BT775" s="860"/>
      <c r="BU775" s="860"/>
      <c r="BV775" s="860"/>
      <c r="BW775" s="860"/>
      <c r="BX775" s="872"/>
      <c r="BY775" s="872"/>
      <c r="BZ775" s="872"/>
      <c r="CA775" s="872"/>
      <c r="CB775" s="872"/>
      <c r="CC775" s="872"/>
    </row>
    <row r="776" s="860" customFormat="1" ht="13.5" spans="1:81">
      <c r="A776" s="861"/>
      <c r="B776" s="860"/>
      <c r="C776" s="860"/>
      <c r="D776" s="860"/>
      <c r="E776" s="862"/>
      <c r="F776" s="860"/>
      <c r="G776" s="860"/>
      <c r="H776" s="860"/>
      <c r="I776" s="860"/>
      <c r="J776" s="860"/>
      <c r="K776" s="860"/>
      <c r="L776" s="860"/>
      <c r="M776" s="860"/>
      <c r="N776" s="860"/>
      <c r="O776" s="860"/>
      <c r="P776" s="860"/>
      <c r="Q776" s="860"/>
      <c r="R776" s="860"/>
      <c r="S776" s="860"/>
      <c r="T776" s="860"/>
      <c r="U776" s="860"/>
      <c r="V776" s="860"/>
      <c r="W776" s="860"/>
      <c r="X776" s="864"/>
      <c r="Y776" s="865"/>
      <c r="Z776" s="865"/>
      <c r="AA776" s="866"/>
      <c r="AB776" s="867"/>
      <c r="AC776" s="868"/>
      <c r="AD776" s="866"/>
      <c r="AE776" s="860"/>
      <c r="AF776" s="869"/>
      <c r="AG776" s="869"/>
      <c r="AH776" s="870"/>
      <c r="AI776" s="871"/>
      <c r="AJ776" s="870"/>
      <c r="AK776" s="870"/>
      <c r="AL776" s="860"/>
      <c r="AM776" s="860"/>
      <c r="AN776" s="860"/>
      <c r="AO776" s="860"/>
      <c r="AP776" s="860"/>
      <c r="AQ776" s="860"/>
      <c r="AR776" s="860"/>
      <c r="AS776" s="860"/>
      <c r="AT776" s="860"/>
      <c r="AU776" s="860"/>
      <c r="AV776" s="860"/>
      <c r="AW776" s="860"/>
      <c r="AX776" s="860"/>
      <c r="AY776" s="860"/>
      <c r="AZ776" s="860"/>
      <c r="BA776" s="860"/>
      <c r="BB776" s="860"/>
      <c r="BC776" s="860"/>
      <c r="BD776" s="860"/>
      <c r="BE776" s="860"/>
      <c r="BF776" s="860"/>
      <c r="BG776" s="860"/>
      <c r="BH776" s="860"/>
      <c r="BI776" s="860"/>
      <c r="BJ776" s="860"/>
      <c r="BK776" s="860"/>
      <c r="BL776" s="860"/>
      <c r="BM776" s="860"/>
      <c r="BN776" s="872"/>
      <c r="BO776" s="872"/>
      <c r="BP776" s="872"/>
      <c r="BQ776" s="872"/>
      <c r="BR776" s="872"/>
      <c r="BS776" s="872"/>
      <c r="BT776" s="860"/>
      <c r="BU776" s="860"/>
      <c r="BV776" s="860"/>
      <c r="BW776" s="860"/>
      <c r="BX776" s="872"/>
      <c r="BY776" s="872"/>
      <c r="BZ776" s="872"/>
      <c r="CA776" s="872"/>
      <c r="CB776" s="872"/>
      <c r="CC776" s="872"/>
    </row>
    <row r="777" s="860" customFormat="1" ht="13.5" spans="1:81">
      <c r="A777" s="861"/>
      <c r="B777" s="860"/>
      <c r="C777" s="860"/>
      <c r="D777" s="860"/>
      <c r="E777" s="862"/>
      <c r="F777" s="860"/>
      <c r="G777" s="860"/>
      <c r="H777" s="860"/>
      <c r="I777" s="860"/>
      <c r="J777" s="860"/>
      <c r="K777" s="860"/>
      <c r="L777" s="860"/>
      <c r="M777" s="860"/>
      <c r="N777" s="860"/>
      <c r="O777" s="860"/>
      <c r="P777" s="860"/>
      <c r="Q777" s="860"/>
      <c r="R777" s="860"/>
      <c r="S777" s="860"/>
      <c r="T777" s="860"/>
      <c r="U777" s="860"/>
      <c r="V777" s="860"/>
      <c r="W777" s="860"/>
      <c r="X777" s="864"/>
      <c r="Y777" s="865"/>
      <c r="Z777" s="865"/>
      <c r="AA777" s="866"/>
      <c r="AB777" s="867"/>
      <c r="AC777" s="868"/>
      <c r="AD777" s="866"/>
      <c r="AE777" s="860"/>
      <c r="AF777" s="869"/>
      <c r="AG777" s="869"/>
      <c r="AH777" s="870"/>
      <c r="AI777" s="871"/>
      <c r="AJ777" s="870"/>
      <c r="AK777" s="870"/>
      <c r="AL777" s="860"/>
      <c r="AM777" s="860"/>
      <c r="AN777" s="860"/>
      <c r="AO777" s="860"/>
      <c r="AP777" s="860"/>
      <c r="AQ777" s="860"/>
      <c r="AR777" s="860"/>
      <c r="AS777" s="860"/>
      <c r="AT777" s="860"/>
      <c r="AU777" s="860"/>
      <c r="AV777" s="860"/>
      <c r="AW777" s="860"/>
      <c r="AX777" s="860"/>
      <c r="AY777" s="860"/>
      <c r="AZ777" s="860"/>
      <c r="BA777" s="860"/>
      <c r="BB777" s="860"/>
      <c r="BC777" s="860"/>
      <c r="BD777" s="860"/>
      <c r="BE777" s="860"/>
      <c r="BF777" s="860"/>
      <c r="BG777" s="860"/>
      <c r="BH777" s="860"/>
      <c r="BI777" s="860"/>
      <c r="BJ777" s="860"/>
      <c r="BK777" s="860"/>
      <c r="BL777" s="860"/>
      <c r="BM777" s="860"/>
      <c r="BN777" s="872"/>
      <c r="BO777" s="872"/>
      <c r="BP777" s="872"/>
      <c r="BQ777" s="872"/>
      <c r="BR777" s="872"/>
      <c r="BS777" s="872"/>
      <c r="BT777" s="860"/>
      <c r="BU777" s="860"/>
      <c r="BV777" s="860"/>
      <c r="BW777" s="860"/>
      <c r="BX777" s="872"/>
      <c r="BY777" s="872"/>
      <c r="BZ777" s="872"/>
      <c r="CA777" s="872"/>
      <c r="CB777" s="872"/>
      <c r="CC777" s="872"/>
    </row>
    <row r="778" s="860" customFormat="1" ht="13.5" spans="1:81">
      <c r="A778" s="861"/>
      <c r="B778" s="860"/>
      <c r="C778" s="860"/>
      <c r="D778" s="860"/>
      <c r="E778" s="862"/>
      <c r="F778" s="860"/>
      <c r="G778" s="860"/>
      <c r="H778" s="860"/>
      <c r="I778" s="860"/>
      <c r="J778" s="860"/>
      <c r="K778" s="860"/>
      <c r="L778" s="860"/>
      <c r="M778" s="860"/>
      <c r="N778" s="860"/>
      <c r="O778" s="860"/>
      <c r="P778" s="860"/>
      <c r="Q778" s="860"/>
      <c r="R778" s="860"/>
      <c r="S778" s="860"/>
      <c r="T778" s="860"/>
      <c r="U778" s="860"/>
      <c r="V778" s="860"/>
      <c r="W778" s="860"/>
      <c r="X778" s="864"/>
      <c r="Y778" s="865"/>
      <c r="Z778" s="865"/>
      <c r="AA778" s="866"/>
      <c r="AB778" s="867"/>
      <c r="AC778" s="868"/>
      <c r="AD778" s="866"/>
      <c r="AE778" s="860"/>
      <c r="AF778" s="869"/>
      <c r="AG778" s="869"/>
      <c r="AH778" s="870"/>
      <c r="AI778" s="871"/>
      <c r="AJ778" s="870"/>
      <c r="AK778" s="870"/>
      <c r="AL778" s="860"/>
      <c r="AM778" s="860"/>
      <c r="AN778" s="860"/>
      <c r="AO778" s="860"/>
      <c r="AP778" s="860"/>
      <c r="AQ778" s="860"/>
      <c r="AR778" s="860"/>
      <c r="AS778" s="860"/>
      <c r="AT778" s="860"/>
      <c r="AU778" s="860"/>
      <c r="AV778" s="860"/>
      <c r="AW778" s="860"/>
      <c r="AX778" s="860"/>
      <c r="AY778" s="860"/>
      <c r="AZ778" s="860"/>
      <c r="BA778" s="860"/>
      <c r="BB778" s="860"/>
      <c r="BC778" s="860"/>
      <c r="BD778" s="860"/>
      <c r="BE778" s="860"/>
      <c r="BF778" s="860"/>
      <c r="BG778" s="860"/>
      <c r="BH778" s="860"/>
      <c r="BI778" s="860"/>
      <c r="BJ778" s="860"/>
      <c r="BK778" s="860"/>
      <c r="BL778" s="860"/>
      <c r="BM778" s="860"/>
      <c r="BN778" s="872"/>
      <c r="BO778" s="872"/>
      <c r="BP778" s="872"/>
      <c r="BQ778" s="872"/>
      <c r="BR778" s="872"/>
      <c r="BS778" s="872"/>
      <c r="BT778" s="860"/>
      <c r="BU778" s="860"/>
      <c r="BV778" s="860"/>
      <c r="BW778" s="860"/>
      <c r="BX778" s="872"/>
      <c r="BY778" s="872"/>
      <c r="BZ778" s="872"/>
      <c r="CA778" s="872"/>
      <c r="CB778" s="872"/>
      <c r="CC778" s="872"/>
    </row>
    <row r="779" s="860" customFormat="1" ht="13.5" spans="1:81">
      <c r="A779" s="861"/>
      <c r="B779" s="860"/>
      <c r="C779" s="860"/>
      <c r="D779" s="860"/>
      <c r="E779" s="862"/>
      <c r="F779" s="860"/>
      <c r="G779" s="860"/>
      <c r="H779" s="860"/>
      <c r="I779" s="860"/>
      <c r="J779" s="860"/>
      <c r="K779" s="860"/>
      <c r="L779" s="860"/>
      <c r="M779" s="860"/>
      <c r="N779" s="860"/>
      <c r="O779" s="860"/>
      <c r="P779" s="860"/>
      <c r="Q779" s="860"/>
      <c r="R779" s="860"/>
      <c r="S779" s="860"/>
      <c r="T779" s="860"/>
      <c r="U779" s="860"/>
      <c r="V779" s="860"/>
      <c r="W779" s="860"/>
      <c r="X779" s="864"/>
      <c r="Y779" s="865"/>
      <c r="Z779" s="865"/>
      <c r="AA779" s="866"/>
      <c r="AB779" s="867"/>
      <c r="AC779" s="868"/>
      <c r="AD779" s="866"/>
      <c r="AE779" s="860"/>
      <c r="AF779" s="869"/>
      <c r="AG779" s="869"/>
      <c r="AH779" s="870"/>
      <c r="AI779" s="871"/>
      <c r="AJ779" s="870"/>
      <c r="AK779" s="870"/>
      <c r="AL779" s="860"/>
      <c r="AM779" s="860"/>
      <c r="AN779" s="860"/>
      <c r="AO779" s="860"/>
      <c r="AP779" s="860"/>
      <c r="AQ779" s="860"/>
      <c r="AR779" s="860"/>
      <c r="AS779" s="860"/>
      <c r="AT779" s="860"/>
      <c r="AU779" s="860"/>
      <c r="AV779" s="860"/>
      <c r="AW779" s="860"/>
      <c r="AX779" s="860"/>
      <c r="AY779" s="860"/>
      <c r="AZ779" s="860"/>
      <c r="BA779" s="860"/>
      <c r="BB779" s="860"/>
      <c r="BC779" s="860"/>
      <c r="BD779" s="860"/>
      <c r="BE779" s="860"/>
      <c r="BF779" s="860"/>
      <c r="BG779" s="860"/>
      <c r="BH779" s="860"/>
      <c r="BI779" s="860"/>
      <c r="BJ779" s="860"/>
      <c r="BK779" s="860"/>
      <c r="BL779" s="860"/>
      <c r="BM779" s="860"/>
      <c r="BN779" s="872"/>
      <c r="BO779" s="872"/>
      <c r="BP779" s="872"/>
      <c r="BQ779" s="872"/>
      <c r="BR779" s="872"/>
      <c r="BS779" s="872"/>
      <c r="BT779" s="860"/>
      <c r="BU779" s="860"/>
      <c r="BV779" s="860"/>
      <c r="BW779" s="860"/>
      <c r="BX779" s="872"/>
      <c r="BY779" s="872"/>
      <c r="BZ779" s="872"/>
      <c r="CA779" s="872"/>
      <c r="CB779" s="872"/>
      <c r="CC779" s="872"/>
    </row>
    <row r="780" s="860" customFormat="1" ht="13.5" spans="1:81">
      <c r="A780" s="861"/>
      <c r="B780" s="860"/>
      <c r="C780" s="860"/>
      <c r="D780" s="860"/>
      <c r="E780" s="862"/>
      <c r="F780" s="860"/>
      <c r="G780" s="860"/>
      <c r="H780" s="860"/>
      <c r="I780" s="860"/>
      <c r="J780" s="860"/>
      <c r="K780" s="860"/>
      <c r="L780" s="860"/>
      <c r="M780" s="860"/>
      <c r="N780" s="860"/>
      <c r="O780" s="860"/>
      <c r="P780" s="860"/>
      <c r="Q780" s="860"/>
      <c r="R780" s="860"/>
      <c r="S780" s="860"/>
      <c r="T780" s="860"/>
      <c r="U780" s="860"/>
      <c r="V780" s="860"/>
      <c r="W780" s="860"/>
      <c r="X780" s="864"/>
      <c r="Y780" s="865"/>
      <c r="Z780" s="865"/>
      <c r="AA780" s="866"/>
      <c r="AB780" s="867"/>
      <c r="AC780" s="868"/>
      <c r="AD780" s="866"/>
      <c r="AE780" s="860"/>
      <c r="AF780" s="869"/>
      <c r="AG780" s="869"/>
      <c r="AH780" s="870"/>
      <c r="AI780" s="871"/>
      <c r="AJ780" s="870"/>
      <c r="AK780" s="870"/>
      <c r="AL780" s="860"/>
      <c r="AM780" s="860"/>
      <c r="AN780" s="860"/>
      <c r="AO780" s="860"/>
      <c r="AP780" s="860"/>
      <c r="AQ780" s="860"/>
      <c r="AR780" s="860"/>
      <c r="AS780" s="860"/>
      <c r="AT780" s="860"/>
      <c r="AU780" s="860"/>
      <c r="AV780" s="860"/>
      <c r="AW780" s="860"/>
      <c r="AX780" s="860"/>
      <c r="AY780" s="860"/>
      <c r="AZ780" s="860"/>
      <c r="BA780" s="860"/>
      <c r="BB780" s="860"/>
      <c r="BC780" s="860"/>
      <c r="BD780" s="860"/>
      <c r="BE780" s="860"/>
      <c r="BF780" s="860"/>
      <c r="BG780" s="860"/>
      <c r="BH780" s="860"/>
      <c r="BI780" s="860"/>
      <c r="BJ780" s="860"/>
      <c r="BK780" s="860"/>
      <c r="BL780" s="860"/>
      <c r="BM780" s="860"/>
      <c r="BN780" s="872"/>
      <c r="BO780" s="872"/>
      <c r="BP780" s="872"/>
      <c r="BQ780" s="872"/>
      <c r="BR780" s="872"/>
      <c r="BS780" s="872"/>
      <c r="BT780" s="860"/>
      <c r="BU780" s="860"/>
      <c r="BV780" s="860"/>
      <c r="BW780" s="860"/>
      <c r="BX780" s="872"/>
      <c r="BY780" s="872"/>
      <c r="BZ780" s="872"/>
      <c r="CA780" s="872"/>
      <c r="CB780" s="872"/>
      <c r="CC780" s="872"/>
    </row>
    <row r="781" s="860" customFormat="1" ht="13.5" spans="1:81">
      <c r="A781" s="861"/>
      <c r="B781" s="860"/>
      <c r="C781" s="860"/>
      <c r="D781" s="860"/>
      <c r="E781" s="862"/>
      <c r="F781" s="860"/>
      <c r="G781" s="860"/>
      <c r="H781" s="860"/>
      <c r="I781" s="860"/>
      <c r="J781" s="860"/>
      <c r="K781" s="860"/>
      <c r="L781" s="860"/>
      <c r="M781" s="860"/>
      <c r="N781" s="860"/>
      <c r="O781" s="860"/>
      <c r="P781" s="860"/>
      <c r="Q781" s="860"/>
      <c r="R781" s="860"/>
      <c r="S781" s="860"/>
      <c r="T781" s="860"/>
      <c r="U781" s="860"/>
      <c r="V781" s="860"/>
      <c r="W781" s="860"/>
      <c r="X781" s="864"/>
      <c r="Y781" s="865"/>
      <c r="Z781" s="865"/>
      <c r="AA781" s="866"/>
      <c r="AB781" s="867"/>
      <c r="AC781" s="868"/>
      <c r="AD781" s="866"/>
      <c r="AE781" s="860"/>
      <c r="AF781" s="869"/>
      <c r="AG781" s="869"/>
      <c r="AH781" s="870"/>
      <c r="AI781" s="871"/>
      <c r="AJ781" s="870"/>
      <c r="AK781" s="870"/>
      <c r="AL781" s="860"/>
      <c r="AM781" s="860"/>
      <c r="AN781" s="860"/>
      <c r="AO781" s="860"/>
      <c r="AP781" s="860"/>
      <c r="AQ781" s="860"/>
      <c r="AR781" s="860"/>
      <c r="AS781" s="860"/>
      <c r="AT781" s="860"/>
      <c r="AU781" s="860"/>
      <c r="AV781" s="860"/>
      <c r="AW781" s="860"/>
      <c r="AX781" s="860"/>
      <c r="AY781" s="860"/>
      <c r="AZ781" s="860"/>
      <c r="BA781" s="860"/>
      <c r="BB781" s="860"/>
      <c r="BC781" s="860"/>
      <c r="BD781" s="860"/>
      <c r="BE781" s="860"/>
      <c r="BF781" s="860"/>
      <c r="BG781" s="860"/>
      <c r="BH781" s="860"/>
      <c r="BI781" s="860"/>
      <c r="BJ781" s="860"/>
      <c r="BK781" s="860"/>
      <c r="BL781" s="860"/>
      <c r="BM781" s="860"/>
      <c r="BN781" s="872"/>
      <c r="BO781" s="872"/>
      <c r="BP781" s="872"/>
      <c r="BQ781" s="872"/>
      <c r="BR781" s="872"/>
      <c r="BS781" s="872"/>
      <c r="BT781" s="860"/>
      <c r="BU781" s="860"/>
      <c r="BV781" s="860"/>
      <c r="BW781" s="860"/>
      <c r="BX781" s="872"/>
      <c r="BY781" s="872"/>
      <c r="BZ781" s="872"/>
      <c r="CA781" s="872"/>
      <c r="CB781" s="872"/>
      <c r="CC781" s="872"/>
    </row>
    <row r="782" s="860" customFormat="1" ht="13.5" spans="1:81">
      <c r="A782" s="861"/>
      <c r="B782" s="860"/>
      <c r="C782" s="860"/>
      <c r="D782" s="860"/>
      <c r="E782" s="862"/>
      <c r="F782" s="860"/>
      <c r="G782" s="860"/>
      <c r="H782" s="860"/>
      <c r="I782" s="860"/>
      <c r="J782" s="860"/>
      <c r="K782" s="860"/>
      <c r="L782" s="860"/>
      <c r="M782" s="860"/>
      <c r="N782" s="860"/>
      <c r="O782" s="860"/>
      <c r="P782" s="860"/>
      <c r="Q782" s="860"/>
      <c r="R782" s="860"/>
      <c r="S782" s="860"/>
      <c r="T782" s="860"/>
      <c r="U782" s="860"/>
      <c r="V782" s="860"/>
      <c r="W782" s="860"/>
      <c r="X782" s="864"/>
      <c r="Y782" s="865"/>
      <c r="Z782" s="865"/>
      <c r="AA782" s="866"/>
      <c r="AB782" s="867"/>
      <c r="AC782" s="868"/>
      <c r="AD782" s="866"/>
      <c r="AE782" s="860"/>
      <c r="AF782" s="869"/>
      <c r="AG782" s="869"/>
      <c r="AH782" s="870"/>
      <c r="AI782" s="871"/>
      <c r="AJ782" s="870"/>
      <c r="AK782" s="870"/>
      <c r="AL782" s="860"/>
      <c r="AM782" s="860"/>
      <c r="AN782" s="860"/>
      <c r="AO782" s="860"/>
      <c r="AP782" s="860"/>
      <c r="AQ782" s="860"/>
      <c r="AR782" s="860"/>
      <c r="AS782" s="860"/>
      <c r="AT782" s="860"/>
      <c r="AU782" s="860"/>
      <c r="AV782" s="860"/>
      <c r="AW782" s="860"/>
      <c r="AX782" s="860"/>
      <c r="AY782" s="860"/>
      <c r="AZ782" s="860"/>
      <c r="BA782" s="860"/>
      <c r="BB782" s="860"/>
      <c r="BC782" s="860"/>
      <c r="BD782" s="860"/>
      <c r="BE782" s="860"/>
      <c r="BF782" s="860"/>
      <c r="BG782" s="860"/>
      <c r="BH782" s="860"/>
      <c r="BI782" s="860"/>
      <c r="BJ782" s="860"/>
      <c r="BK782" s="860"/>
      <c r="BL782" s="860"/>
      <c r="BM782" s="860"/>
      <c r="BN782" s="872"/>
      <c r="BO782" s="872"/>
      <c r="BP782" s="872"/>
      <c r="BQ782" s="872"/>
      <c r="BR782" s="872"/>
      <c r="BS782" s="872"/>
      <c r="BT782" s="860"/>
      <c r="BU782" s="860"/>
      <c r="BV782" s="860"/>
      <c r="BW782" s="860"/>
      <c r="BX782" s="872"/>
      <c r="BY782" s="872"/>
      <c r="BZ782" s="872"/>
      <c r="CA782" s="872"/>
      <c r="CB782" s="872"/>
      <c r="CC782" s="872"/>
    </row>
    <row r="783" s="860" customFormat="1" ht="13.5" spans="1:81">
      <c r="A783" s="861"/>
      <c r="B783" s="860"/>
      <c r="C783" s="860"/>
      <c r="D783" s="860"/>
      <c r="E783" s="862"/>
      <c r="F783" s="860"/>
      <c r="G783" s="860"/>
      <c r="H783" s="860"/>
      <c r="I783" s="860"/>
      <c r="J783" s="860"/>
      <c r="K783" s="860"/>
      <c r="L783" s="860"/>
      <c r="M783" s="860"/>
      <c r="N783" s="860"/>
      <c r="O783" s="860"/>
      <c r="P783" s="860"/>
      <c r="Q783" s="860"/>
      <c r="R783" s="860"/>
      <c r="S783" s="860"/>
      <c r="T783" s="860"/>
      <c r="U783" s="860"/>
      <c r="V783" s="860"/>
      <c r="W783" s="860"/>
      <c r="X783" s="864"/>
      <c r="Y783" s="865"/>
      <c r="Z783" s="865"/>
      <c r="AA783" s="866"/>
      <c r="AB783" s="867"/>
      <c r="AC783" s="868"/>
      <c r="AD783" s="866"/>
      <c r="AE783" s="860"/>
      <c r="AF783" s="869"/>
      <c r="AG783" s="869"/>
      <c r="AH783" s="870"/>
      <c r="AI783" s="871"/>
      <c r="AJ783" s="870"/>
      <c r="AK783" s="870"/>
      <c r="AL783" s="860"/>
      <c r="AM783" s="860"/>
      <c r="AN783" s="860"/>
      <c r="AO783" s="860"/>
      <c r="AP783" s="860"/>
      <c r="AQ783" s="860"/>
      <c r="AR783" s="860"/>
      <c r="AS783" s="860"/>
      <c r="AT783" s="860"/>
      <c r="AU783" s="860"/>
      <c r="AV783" s="860"/>
      <c r="AW783" s="860"/>
      <c r="AX783" s="860"/>
      <c r="AY783" s="860"/>
      <c r="AZ783" s="860"/>
      <c r="BA783" s="860"/>
      <c r="BB783" s="860"/>
      <c r="BC783" s="860"/>
      <c r="BD783" s="860"/>
      <c r="BE783" s="860"/>
      <c r="BF783" s="860"/>
      <c r="BG783" s="860"/>
      <c r="BH783" s="860"/>
      <c r="BI783" s="860"/>
      <c r="BJ783" s="860"/>
      <c r="BK783" s="860"/>
      <c r="BL783" s="860"/>
      <c r="BM783" s="860"/>
      <c r="BN783" s="872"/>
      <c r="BO783" s="872"/>
      <c r="BP783" s="872"/>
      <c r="BQ783" s="872"/>
      <c r="BR783" s="872"/>
      <c r="BS783" s="872"/>
      <c r="BT783" s="860"/>
      <c r="BU783" s="860"/>
      <c r="BV783" s="860"/>
      <c r="BW783" s="860"/>
      <c r="BX783" s="872"/>
      <c r="BY783" s="872"/>
      <c r="BZ783" s="872"/>
      <c r="CA783" s="872"/>
      <c r="CB783" s="872"/>
      <c r="CC783" s="872"/>
    </row>
    <row r="784" s="860" customFormat="1" ht="13.5" spans="1:81">
      <c r="A784" s="861"/>
      <c r="B784" s="860"/>
      <c r="C784" s="860"/>
      <c r="D784" s="860"/>
      <c r="E784" s="862"/>
      <c r="F784" s="860"/>
      <c r="G784" s="860"/>
      <c r="H784" s="860"/>
      <c r="I784" s="860"/>
      <c r="J784" s="860"/>
      <c r="K784" s="860"/>
      <c r="L784" s="860"/>
      <c r="M784" s="860"/>
      <c r="N784" s="860"/>
      <c r="O784" s="860"/>
      <c r="P784" s="860"/>
      <c r="Q784" s="860"/>
      <c r="R784" s="860"/>
      <c r="S784" s="860"/>
      <c r="T784" s="860"/>
      <c r="U784" s="860"/>
      <c r="V784" s="860"/>
      <c r="W784" s="860"/>
      <c r="X784" s="864"/>
      <c r="Y784" s="865"/>
      <c r="Z784" s="865"/>
      <c r="AA784" s="866"/>
      <c r="AB784" s="867"/>
      <c r="AC784" s="868"/>
      <c r="AD784" s="866"/>
      <c r="AE784" s="860"/>
      <c r="AF784" s="869"/>
      <c r="AG784" s="869"/>
      <c r="AH784" s="870"/>
      <c r="AI784" s="871"/>
      <c r="AJ784" s="870"/>
      <c r="AK784" s="870"/>
      <c r="AL784" s="860"/>
      <c r="AM784" s="860"/>
      <c r="AN784" s="860"/>
      <c r="AO784" s="860"/>
      <c r="AP784" s="860"/>
      <c r="AQ784" s="860"/>
      <c r="AR784" s="860"/>
      <c r="AS784" s="860"/>
      <c r="AT784" s="860"/>
      <c r="AU784" s="860"/>
      <c r="AV784" s="860"/>
      <c r="AW784" s="860"/>
      <c r="AX784" s="860"/>
      <c r="AY784" s="860"/>
      <c r="AZ784" s="860"/>
      <c r="BA784" s="860"/>
      <c r="BB784" s="860"/>
      <c r="BC784" s="860"/>
      <c r="BD784" s="860"/>
      <c r="BE784" s="860"/>
      <c r="BF784" s="860"/>
      <c r="BG784" s="860"/>
      <c r="BH784" s="860"/>
      <c r="BI784" s="860"/>
      <c r="BJ784" s="860"/>
      <c r="BK784" s="860"/>
      <c r="BL784" s="860"/>
      <c r="BM784" s="860"/>
      <c r="BN784" s="872"/>
      <c r="BO784" s="872"/>
      <c r="BP784" s="872"/>
      <c r="BQ784" s="872"/>
      <c r="BR784" s="872"/>
      <c r="BS784" s="872"/>
      <c r="BT784" s="860"/>
      <c r="BU784" s="860"/>
      <c r="BV784" s="860"/>
      <c r="BW784" s="860"/>
      <c r="BX784" s="872"/>
      <c r="BY784" s="872"/>
      <c r="BZ784" s="872"/>
      <c r="CA784" s="872"/>
      <c r="CB784" s="872"/>
      <c r="CC784" s="872"/>
    </row>
    <row r="785" s="860" customFormat="1" ht="13.5" spans="1:81">
      <c r="A785" s="861"/>
      <c r="B785" s="860"/>
      <c r="C785" s="860"/>
      <c r="D785" s="860"/>
      <c r="E785" s="862"/>
      <c r="F785" s="860"/>
      <c r="G785" s="860"/>
      <c r="H785" s="860"/>
      <c r="I785" s="860"/>
      <c r="J785" s="860"/>
      <c r="K785" s="860"/>
      <c r="L785" s="860"/>
      <c r="M785" s="860"/>
      <c r="N785" s="860"/>
      <c r="O785" s="860"/>
      <c r="P785" s="860"/>
      <c r="Q785" s="860"/>
      <c r="R785" s="860"/>
      <c r="S785" s="860"/>
      <c r="T785" s="860"/>
      <c r="U785" s="860"/>
      <c r="V785" s="860"/>
      <c r="W785" s="860"/>
      <c r="X785" s="864"/>
      <c r="Y785" s="865"/>
      <c r="Z785" s="865"/>
      <c r="AA785" s="866"/>
      <c r="AB785" s="867"/>
      <c r="AC785" s="868"/>
      <c r="AD785" s="866"/>
      <c r="AE785" s="860"/>
      <c r="AF785" s="869"/>
      <c r="AG785" s="869"/>
      <c r="AH785" s="870"/>
      <c r="AI785" s="871"/>
      <c r="AJ785" s="870"/>
      <c r="AK785" s="870"/>
      <c r="AL785" s="860"/>
      <c r="AM785" s="860"/>
      <c r="AN785" s="860"/>
      <c r="AO785" s="860"/>
      <c r="AP785" s="860"/>
      <c r="AQ785" s="860"/>
      <c r="AR785" s="860"/>
      <c r="AS785" s="860"/>
      <c r="AT785" s="860"/>
      <c r="AU785" s="860"/>
      <c r="AV785" s="860"/>
      <c r="AW785" s="860"/>
      <c r="AX785" s="860"/>
      <c r="AY785" s="860"/>
      <c r="AZ785" s="860"/>
      <c r="BA785" s="860"/>
      <c r="BB785" s="860"/>
      <c r="BC785" s="860"/>
      <c r="BD785" s="860"/>
      <c r="BE785" s="860"/>
      <c r="BF785" s="860"/>
      <c r="BG785" s="860"/>
      <c r="BH785" s="860"/>
      <c r="BI785" s="860"/>
      <c r="BJ785" s="860"/>
      <c r="BK785" s="860"/>
      <c r="BL785" s="860"/>
      <c r="BM785" s="860"/>
      <c r="BN785" s="872"/>
      <c r="BO785" s="872"/>
      <c r="BP785" s="872"/>
      <c r="BQ785" s="872"/>
      <c r="BR785" s="872"/>
      <c r="BS785" s="872"/>
      <c r="BT785" s="860"/>
      <c r="BU785" s="860"/>
      <c r="BV785" s="860"/>
      <c r="BW785" s="860"/>
      <c r="BX785" s="872"/>
      <c r="BY785" s="872"/>
      <c r="BZ785" s="872"/>
      <c r="CA785" s="872"/>
      <c r="CB785" s="872"/>
      <c r="CC785" s="872"/>
    </row>
    <row r="786" s="860" customFormat="1" ht="13.5" spans="1:81">
      <c r="A786" s="861"/>
      <c r="B786" s="860"/>
      <c r="C786" s="860"/>
      <c r="D786" s="860"/>
      <c r="E786" s="862"/>
      <c r="F786" s="860"/>
      <c r="G786" s="860"/>
      <c r="H786" s="860"/>
      <c r="I786" s="860"/>
      <c r="J786" s="860"/>
      <c r="K786" s="860"/>
      <c r="L786" s="860"/>
      <c r="M786" s="860"/>
      <c r="N786" s="860"/>
      <c r="O786" s="860"/>
      <c r="P786" s="860"/>
      <c r="Q786" s="860"/>
      <c r="R786" s="860"/>
      <c r="S786" s="860"/>
      <c r="T786" s="860"/>
      <c r="U786" s="860"/>
      <c r="V786" s="860"/>
      <c r="W786" s="860"/>
      <c r="X786" s="864"/>
      <c r="Y786" s="865"/>
      <c r="Z786" s="865"/>
      <c r="AA786" s="866"/>
      <c r="AB786" s="867"/>
      <c r="AC786" s="868"/>
      <c r="AD786" s="866"/>
      <c r="AE786" s="860"/>
      <c r="AF786" s="869"/>
      <c r="AG786" s="869"/>
      <c r="AH786" s="870"/>
      <c r="AI786" s="871"/>
      <c r="AJ786" s="870"/>
      <c r="AK786" s="870"/>
      <c r="AL786" s="860"/>
      <c r="AM786" s="860"/>
      <c r="AN786" s="860"/>
      <c r="AO786" s="860"/>
      <c r="AP786" s="860"/>
      <c r="AQ786" s="860"/>
      <c r="AR786" s="860"/>
      <c r="AS786" s="860"/>
      <c r="AT786" s="860"/>
      <c r="AU786" s="860"/>
      <c r="AV786" s="860"/>
      <c r="AW786" s="860"/>
      <c r="AX786" s="860"/>
      <c r="AY786" s="860"/>
      <c r="AZ786" s="860"/>
      <c r="BA786" s="860"/>
      <c r="BB786" s="860"/>
      <c r="BC786" s="860"/>
      <c r="BD786" s="860"/>
      <c r="BE786" s="860"/>
      <c r="BF786" s="860"/>
      <c r="BG786" s="860"/>
      <c r="BH786" s="860"/>
      <c r="BI786" s="860"/>
      <c r="BJ786" s="860"/>
      <c r="BK786" s="860"/>
      <c r="BL786" s="860"/>
      <c r="BM786" s="860"/>
      <c r="BN786" s="872"/>
      <c r="BO786" s="872"/>
      <c r="BP786" s="872"/>
      <c r="BQ786" s="872"/>
      <c r="BR786" s="872"/>
      <c r="BS786" s="872"/>
      <c r="BT786" s="860"/>
      <c r="BU786" s="860"/>
      <c r="BV786" s="860"/>
      <c r="BW786" s="860"/>
      <c r="BX786" s="872"/>
      <c r="BY786" s="872"/>
      <c r="BZ786" s="872"/>
      <c r="CA786" s="872"/>
      <c r="CB786" s="872"/>
      <c r="CC786" s="872"/>
    </row>
    <row r="787" s="860" customFormat="1" ht="13.5" spans="1:81">
      <c r="A787" s="861"/>
      <c r="B787" s="860"/>
      <c r="C787" s="860"/>
      <c r="D787" s="860"/>
      <c r="E787" s="862"/>
      <c r="F787" s="860"/>
      <c r="G787" s="860"/>
      <c r="H787" s="860"/>
      <c r="I787" s="860"/>
      <c r="J787" s="860"/>
      <c r="K787" s="860"/>
      <c r="L787" s="860"/>
      <c r="M787" s="860"/>
      <c r="N787" s="860"/>
      <c r="O787" s="860"/>
      <c r="P787" s="860"/>
      <c r="Q787" s="860"/>
      <c r="R787" s="860"/>
      <c r="S787" s="860"/>
      <c r="T787" s="860"/>
      <c r="U787" s="860"/>
      <c r="V787" s="860"/>
      <c r="W787" s="860"/>
      <c r="X787" s="864"/>
      <c r="Y787" s="865"/>
      <c r="Z787" s="865"/>
      <c r="AA787" s="866"/>
      <c r="AB787" s="867"/>
      <c r="AC787" s="868"/>
      <c r="AD787" s="866"/>
      <c r="AE787" s="860"/>
      <c r="AF787" s="869"/>
      <c r="AG787" s="869"/>
      <c r="AH787" s="870"/>
      <c r="AI787" s="871"/>
      <c r="AJ787" s="870"/>
      <c r="AK787" s="870"/>
      <c r="AL787" s="860"/>
      <c r="AM787" s="860"/>
      <c r="AN787" s="860"/>
      <c r="AO787" s="860"/>
      <c r="AP787" s="860"/>
      <c r="AQ787" s="860"/>
      <c r="AR787" s="860"/>
      <c r="AS787" s="860"/>
      <c r="AT787" s="860"/>
      <c r="AU787" s="860"/>
      <c r="AV787" s="860"/>
      <c r="AW787" s="860"/>
      <c r="AX787" s="860"/>
      <c r="AY787" s="860"/>
      <c r="AZ787" s="860"/>
      <c r="BA787" s="860"/>
      <c r="BB787" s="860"/>
      <c r="BC787" s="860"/>
      <c r="BD787" s="860"/>
      <c r="BE787" s="860"/>
      <c r="BF787" s="860"/>
      <c r="BG787" s="860"/>
      <c r="BH787" s="860"/>
      <c r="BI787" s="860"/>
      <c r="BJ787" s="860"/>
      <c r="BK787" s="860"/>
      <c r="BL787" s="860"/>
      <c r="BM787" s="860"/>
      <c r="BN787" s="872"/>
      <c r="BO787" s="872"/>
      <c r="BP787" s="872"/>
      <c r="BQ787" s="872"/>
      <c r="BR787" s="872"/>
      <c r="BS787" s="872"/>
      <c r="BT787" s="860"/>
      <c r="BU787" s="860"/>
      <c r="BV787" s="860"/>
      <c r="BW787" s="860"/>
      <c r="BX787" s="872"/>
      <c r="BY787" s="872"/>
      <c r="BZ787" s="872"/>
      <c r="CA787" s="872"/>
      <c r="CB787" s="872"/>
      <c r="CC787" s="872"/>
    </row>
    <row r="788" s="860" customFormat="1" ht="13.5" spans="1:81">
      <c r="A788" s="861"/>
      <c r="B788" s="860"/>
      <c r="C788" s="860"/>
      <c r="D788" s="860"/>
      <c r="E788" s="862"/>
      <c r="F788" s="860"/>
      <c r="G788" s="860"/>
      <c r="H788" s="860"/>
      <c r="I788" s="860"/>
      <c r="J788" s="860"/>
      <c r="K788" s="860"/>
      <c r="L788" s="860"/>
      <c r="M788" s="860"/>
      <c r="N788" s="860"/>
      <c r="O788" s="860"/>
      <c r="P788" s="860"/>
      <c r="Q788" s="860"/>
      <c r="R788" s="860"/>
      <c r="S788" s="860"/>
      <c r="T788" s="860"/>
      <c r="U788" s="860"/>
      <c r="V788" s="860"/>
      <c r="W788" s="860"/>
      <c r="X788" s="864"/>
      <c r="Y788" s="865"/>
      <c r="Z788" s="865"/>
      <c r="AA788" s="866"/>
      <c r="AB788" s="867"/>
      <c r="AC788" s="868"/>
      <c r="AD788" s="866"/>
      <c r="AE788" s="860"/>
      <c r="AF788" s="869"/>
      <c r="AG788" s="869"/>
      <c r="AH788" s="870"/>
      <c r="AI788" s="871"/>
      <c r="AJ788" s="870"/>
      <c r="AK788" s="870"/>
      <c r="AL788" s="860"/>
      <c r="AM788" s="860"/>
      <c r="AN788" s="860"/>
      <c r="AO788" s="860"/>
      <c r="AP788" s="860"/>
      <c r="AQ788" s="860"/>
      <c r="AR788" s="860"/>
      <c r="AS788" s="860"/>
      <c r="AT788" s="860"/>
      <c r="AU788" s="860"/>
      <c r="AV788" s="860"/>
      <c r="AW788" s="860"/>
      <c r="AX788" s="860"/>
      <c r="AY788" s="860"/>
      <c r="AZ788" s="860"/>
      <c r="BA788" s="860"/>
      <c r="BB788" s="860"/>
      <c r="BC788" s="860"/>
      <c r="BD788" s="860"/>
      <c r="BE788" s="860"/>
      <c r="BF788" s="860"/>
      <c r="BG788" s="860"/>
      <c r="BH788" s="860"/>
      <c r="BI788" s="860"/>
      <c r="BJ788" s="860"/>
      <c r="BK788" s="860"/>
      <c r="BL788" s="860"/>
      <c r="BM788" s="860"/>
      <c r="BN788" s="872"/>
      <c r="BO788" s="872"/>
      <c r="BP788" s="872"/>
      <c r="BQ788" s="872"/>
      <c r="BR788" s="872"/>
      <c r="BS788" s="872"/>
      <c r="BT788" s="860"/>
      <c r="BU788" s="860"/>
      <c r="BV788" s="860"/>
      <c r="BW788" s="860"/>
      <c r="BX788" s="872"/>
      <c r="BY788" s="872"/>
      <c r="BZ788" s="872"/>
      <c r="CA788" s="872"/>
      <c r="CB788" s="872"/>
      <c r="CC788" s="872"/>
    </row>
    <row r="789" s="860" customFormat="1" ht="13.5" spans="1:81">
      <c r="A789" s="861"/>
      <c r="B789" s="860"/>
      <c r="C789" s="860"/>
      <c r="D789" s="860"/>
      <c r="E789" s="862"/>
      <c r="F789" s="860"/>
      <c r="G789" s="860"/>
      <c r="H789" s="860"/>
      <c r="I789" s="860"/>
      <c r="J789" s="860"/>
      <c r="K789" s="860"/>
      <c r="L789" s="860"/>
      <c r="M789" s="860"/>
      <c r="N789" s="860"/>
      <c r="O789" s="860"/>
      <c r="P789" s="860"/>
      <c r="Q789" s="860"/>
      <c r="R789" s="860"/>
      <c r="S789" s="860"/>
      <c r="T789" s="860"/>
      <c r="U789" s="860"/>
      <c r="V789" s="860"/>
      <c r="W789" s="860"/>
      <c r="X789" s="864"/>
      <c r="Y789" s="865"/>
      <c r="Z789" s="865"/>
      <c r="AA789" s="866"/>
      <c r="AB789" s="867"/>
      <c r="AC789" s="868"/>
      <c r="AD789" s="866"/>
      <c r="AE789" s="860"/>
      <c r="AF789" s="869"/>
      <c r="AG789" s="869"/>
      <c r="AH789" s="870"/>
      <c r="AI789" s="871"/>
      <c r="AJ789" s="870"/>
      <c r="AK789" s="870"/>
      <c r="AL789" s="860"/>
      <c r="AM789" s="860"/>
      <c r="AN789" s="860"/>
      <c r="AO789" s="860"/>
      <c r="AP789" s="860"/>
      <c r="AQ789" s="860"/>
      <c r="AR789" s="860"/>
      <c r="AS789" s="860"/>
      <c r="AT789" s="860"/>
      <c r="AU789" s="860"/>
      <c r="AV789" s="860"/>
      <c r="AW789" s="860"/>
      <c r="AX789" s="860"/>
      <c r="AY789" s="860"/>
      <c r="AZ789" s="860"/>
      <c r="BA789" s="860"/>
      <c r="BB789" s="860"/>
      <c r="BC789" s="860"/>
      <c r="BD789" s="860"/>
      <c r="BE789" s="860"/>
      <c r="BF789" s="860"/>
      <c r="BG789" s="860"/>
      <c r="BH789" s="860"/>
      <c r="BI789" s="860"/>
      <c r="BJ789" s="860"/>
      <c r="BK789" s="860"/>
      <c r="BL789" s="860"/>
      <c r="BM789" s="860"/>
      <c r="BN789" s="872"/>
      <c r="BO789" s="872"/>
      <c r="BP789" s="872"/>
      <c r="BQ789" s="872"/>
      <c r="BR789" s="872"/>
      <c r="BS789" s="872"/>
      <c r="BT789" s="860"/>
      <c r="BU789" s="860"/>
      <c r="BV789" s="860"/>
      <c r="BW789" s="860"/>
      <c r="BX789" s="872"/>
      <c r="BY789" s="872"/>
      <c r="BZ789" s="872"/>
      <c r="CA789" s="872"/>
      <c r="CB789" s="872"/>
      <c r="CC789" s="872"/>
    </row>
    <row r="790" s="860" customFormat="1" ht="13.5" spans="1:81">
      <c r="A790" s="861"/>
      <c r="B790" s="860"/>
      <c r="C790" s="860"/>
      <c r="D790" s="860"/>
      <c r="E790" s="862"/>
      <c r="F790" s="860"/>
      <c r="G790" s="860"/>
      <c r="H790" s="860"/>
      <c r="I790" s="860"/>
      <c r="J790" s="860"/>
      <c r="K790" s="860"/>
      <c r="L790" s="860"/>
      <c r="M790" s="860"/>
      <c r="N790" s="860"/>
      <c r="O790" s="860"/>
      <c r="P790" s="860"/>
      <c r="Q790" s="860"/>
      <c r="R790" s="860"/>
      <c r="S790" s="860"/>
      <c r="T790" s="860"/>
      <c r="U790" s="860"/>
      <c r="V790" s="860"/>
      <c r="W790" s="860"/>
      <c r="X790" s="864"/>
      <c r="Y790" s="865"/>
      <c r="Z790" s="865"/>
      <c r="AA790" s="866"/>
      <c r="AB790" s="867"/>
      <c r="AC790" s="868"/>
      <c r="AD790" s="866"/>
      <c r="AE790" s="860"/>
      <c r="AF790" s="869"/>
      <c r="AG790" s="869"/>
      <c r="AH790" s="870"/>
      <c r="AI790" s="871"/>
      <c r="AJ790" s="870"/>
      <c r="AK790" s="870"/>
      <c r="AL790" s="860"/>
      <c r="AM790" s="860"/>
      <c r="AN790" s="860"/>
      <c r="AO790" s="860"/>
      <c r="AP790" s="860"/>
      <c r="AQ790" s="860"/>
      <c r="AR790" s="860"/>
      <c r="AS790" s="860"/>
      <c r="AT790" s="860"/>
      <c r="AU790" s="860"/>
      <c r="AV790" s="860"/>
      <c r="AW790" s="860"/>
      <c r="AX790" s="860"/>
      <c r="AY790" s="860"/>
      <c r="AZ790" s="860"/>
      <c r="BA790" s="860"/>
      <c r="BB790" s="860"/>
      <c r="BC790" s="860"/>
      <c r="BD790" s="860"/>
      <c r="BE790" s="860"/>
      <c r="BF790" s="860"/>
      <c r="BG790" s="860"/>
      <c r="BH790" s="860"/>
      <c r="BI790" s="860"/>
      <c r="BJ790" s="860"/>
      <c r="BK790" s="860"/>
      <c r="BL790" s="860"/>
      <c r="BM790" s="860"/>
      <c r="BN790" s="872"/>
      <c r="BO790" s="872"/>
      <c r="BP790" s="872"/>
      <c r="BQ790" s="872"/>
      <c r="BR790" s="872"/>
      <c r="BS790" s="872"/>
      <c r="BT790" s="860"/>
      <c r="BU790" s="860"/>
      <c r="BV790" s="860"/>
      <c r="BW790" s="860"/>
      <c r="BX790" s="872"/>
      <c r="BY790" s="872"/>
      <c r="BZ790" s="872"/>
      <c r="CA790" s="872"/>
      <c r="CB790" s="872"/>
      <c r="CC790" s="872"/>
    </row>
    <row r="791" s="860" customFormat="1" ht="13.5" spans="1:81">
      <c r="A791" s="861"/>
      <c r="B791" s="860"/>
      <c r="C791" s="860"/>
      <c r="D791" s="860"/>
      <c r="E791" s="862"/>
      <c r="F791" s="860"/>
      <c r="G791" s="860"/>
      <c r="H791" s="860"/>
      <c r="I791" s="860"/>
      <c r="J791" s="860"/>
      <c r="K791" s="860"/>
      <c r="L791" s="860"/>
      <c r="M791" s="860"/>
      <c r="N791" s="860"/>
      <c r="O791" s="860"/>
      <c r="P791" s="860"/>
      <c r="Q791" s="860"/>
      <c r="R791" s="860"/>
      <c r="S791" s="860"/>
      <c r="T791" s="860"/>
      <c r="U791" s="860"/>
      <c r="V791" s="860"/>
      <c r="W791" s="860"/>
      <c r="X791" s="864"/>
      <c r="Y791" s="865"/>
      <c r="Z791" s="865"/>
      <c r="AA791" s="866"/>
      <c r="AB791" s="867"/>
      <c r="AC791" s="868"/>
      <c r="AD791" s="866"/>
      <c r="AE791" s="860"/>
      <c r="AF791" s="869"/>
      <c r="AG791" s="869"/>
      <c r="AH791" s="870"/>
      <c r="AI791" s="871"/>
      <c r="AJ791" s="870"/>
      <c r="AK791" s="870"/>
      <c r="AL791" s="860"/>
      <c r="AM791" s="860"/>
      <c r="AN791" s="860"/>
      <c r="AO791" s="860"/>
      <c r="AP791" s="860"/>
      <c r="AQ791" s="860"/>
      <c r="AR791" s="860"/>
      <c r="AS791" s="860"/>
      <c r="AT791" s="860"/>
      <c r="AU791" s="860"/>
      <c r="AV791" s="860"/>
      <c r="AW791" s="860"/>
      <c r="AX791" s="860"/>
      <c r="AY791" s="860"/>
      <c r="AZ791" s="860"/>
      <c r="BA791" s="860"/>
      <c r="BB791" s="860"/>
      <c r="BC791" s="860"/>
      <c r="BD791" s="860"/>
      <c r="BE791" s="860"/>
      <c r="BF791" s="860"/>
      <c r="BG791" s="860"/>
      <c r="BH791" s="860"/>
      <c r="BI791" s="860"/>
      <c r="BJ791" s="860"/>
      <c r="BK791" s="860"/>
      <c r="BL791" s="860"/>
      <c r="BM791" s="860"/>
      <c r="BN791" s="872"/>
      <c r="BO791" s="872"/>
      <c r="BP791" s="872"/>
      <c r="BQ791" s="872"/>
      <c r="BR791" s="872"/>
      <c r="BS791" s="872"/>
      <c r="BT791" s="860"/>
      <c r="BU791" s="860"/>
      <c r="BV791" s="860"/>
      <c r="BW791" s="860"/>
      <c r="BX791" s="872"/>
      <c r="BY791" s="872"/>
      <c r="BZ791" s="872"/>
      <c r="CA791" s="872"/>
      <c r="CB791" s="872"/>
      <c r="CC791" s="872"/>
    </row>
    <row r="792" s="860" customFormat="1" ht="13.5" spans="1:81">
      <c r="A792" s="861"/>
      <c r="B792" s="860"/>
      <c r="C792" s="860"/>
      <c r="D792" s="860"/>
      <c r="E792" s="862"/>
      <c r="F792" s="860"/>
      <c r="G792" s="860"/>
      <c r="H792" s="860"/>
      <c r="I792" s="860"/>
      <c r="J792" s="860"/>
      <c r="K792" s="860"/>
      <c r="L792" s="860"/>
      <c r="M792" s="860"/>
      <c r="N792" s="860"/>
      <c r="O792" s="860"/>
      <c r="P792" s="860"/>
      <c r="Q792" s="860"/>
      <c r="R792" s="860"/>
      <c r="S792" s="860"/>
      <c r="T792" s="860"/>
      <c r="U792" s="860"/>
      <c r="V792" s="860"/>
      <c r="W792" s="860"/>
      <c r="X792" s="864"/>
      <c r="Y792" s="865"/>
      <c r="Z792" s="865"/>
      <c r="AA792" s="866"/>
      <c r="AB792" s="867"/>
      <c r="AC792" s="868"/>
      <c r="AD792" s="866"/>
      <c r="AE792" s="860"/>
      <c r="AF792" s="869"/>
      <c r="AG792" s="869"/>
      <c r="AH792" s="870"/>
      <c r="AI792" s="871"/>
      <c r="AJ792" s="870"/>
      <c r="AK792" s="870"/>
      <c r="AL792" s="860"/>
      <c r="AM792" s="860"/>
      <c r="AN792" s="860"/>
      <c r="AO792" s="860"/>
      <c r="AP792" s="860"/>
      <c r="AQ792" s="860"/>
      <c r="AR792" s="860"/>
      <c r="AS792" s="860"/>
      <c r="AT792" s="860"/>
      <c r="AU792" s="860"/>
      <c r="AV792" s="860"/>
      <c r="AW792" s="860"/>
      <c r="AX792" s="860"/>
      <c r="AY792" s="860"/>
      <c r="AZ792" s="860"/>
      <c r="BA792" s="860"/>
      <c r="BB792" s="860"/>
      <c r="BC792" s="860"/>
      <c r="BD792" s="860"/>
      <c r="BE792" s="860"/>
      <c r="BF792" s="860"/>
      <c r="BG792" s="860"/>
      <c r="BH792" s="860"/>
      <c r="BI792" s="860"/>
      <c r="BJ792" s="860"/>
      <c r="BK792" s="860"/>
      <c r="BL792" s="860"/>
      <c r="BM792" s="860"/>
      <c r="BN792" s="872"/>
      <c r="BO792" s="872"/>
      <c r="BP792" s="872"/>
      <c r="BQ792" s="872"/>
      <c r="BR792" s="872"/>
      <c r="BS792" s="872"/>
      <c r="BT792" s="860"/>
      <c r="BU792" s="860"/>
      <c r="BV792" s="860"/>
      <c r="BW792" s="860"/>
      <c r="BX792" s="872"/>
      <c r="BY792" s="872"/>
      <c r="BZ792" s="872"/>
      <c r="CA792" s="872"/>
      <c r="CB792" s="872"/>
      <c r="CC792" s="872"/>
    </row>
    <row r="793" s="860" customFormat="1" ht="13.5" spans="1:81">
      <c r="A793" s="861"/>
      <c r="B793" s="860"/>
      <c r="C793" s="860"/>
      <c r="D793" s="860"/>
      <c r="E793" s="862"/>
      <c r="F793" s="860"/>
      <c r="G793" s="860"/>
      <c r="H793" s="860"/>
      <c r="I793" s="860"/>
      <c r="J793" s="860"/>
      <c r="K793" s="860"/>
      <c r="L793" s="860"/>
      <c r="M793" s="860"/>
      <c r="N793" s="860"/>
      <c r="O793" s="860"/>
      <c r="P793" s="860"/>
      <c r="Q793" s="860"/>
      <c r="R793" s="860"/>
      <c r="S793" s="860"/>
      <c r="T793" s="860"/>
      <c r="U793" s="860"/>
      <c r="V793" s="860"/>
      <c r="W793" s="860"/>
      <c r="X793" s="864"/>
      <c r="Y793" s="865"/>
      <c r="Z793" s="865"/>
      <c r="AA793" s="866"/>
      <c r="AB793" s="867"/>
      <c r="AC793" s="868"/>
      <c r="AD793" s="866"/>
      <c r="AE793" s="860"/>
      <c r="AF793" s="869"/>
      <c r="AG793" s="869"/>
      <c r="AH793" s="870"/>
      <c r="AI793" s="871"/>
      <c r="AJ793" s="870"/>
      <c r="AK793" s="870"/>
      <c r="AL793" s="860"/>
      <c r="AM793" s="860"/>
      <c r="AN793" s="860"/>
      <c r="AO793" s="860"/>
      <c r="AP793" s="860"/>
      <c r="AQ793" s="860"/>
      <c r="AR793" s="860"/>
      <c r="AS793" s="860"/>
      <c r="AT793" s="860"/>
      <c r="AU793" s="860"/>
      <c r="AV793" s="860"/>
      <c r="AW793" s="860"/>
      <c r="AX793" s="860"/>
      <c r="AY793" s="860"/>
      <c r="AZ793" s="860"/>
      <c r="BA793" s="860"/>
      <c r="BB793" s="860"/>
      <c r="BC793" s="860"/>
      <c r="BD793" s="860"/>
      <c r="BE793" s="860"/>
      <c r="BF793" s="860"/>
      <c r="BG793" s="860"/>
      <c r="BH793" s="860"/>
      <c r="BI793" s="860"/>
      <c r="BJ793" s="860"/>
      <c r="BK793" s="860"/>
      <c r="BL793" s="860"/>
      <c r="BM793" s="860"/>
      <c r="BN793" s="872"/>
      <c r="BO793" s="872"/>
      <c r="BP793" s="872"/>
      <c r="BQ793" s="872"/>
      <c r="BR793" s="872"/>
      <c r="BS793" s="872"/>
      <c r="BT793" s="860"/>
      <c r="BU793" s="860"/>
      <c r="BV793" s="860"/>
      <c r="BW793" s="860"/>
      <c r="BX793" s="872"/>
      <c r="BY793" s="872"/>
      <c r="BZ793" s="872"/>
      <c r="CA793" s="872"/>
      <c r="CB793" s="872"/>
      <c r="CC793" s="872"/>
    </row>
    <row r="794" s="860" customFormat="1" ht="13.5" spans="1:81">
      <c r="A794" s="861"/>
      <c r="B794" s="860"/>
      <c r="C794" s="860"/>
      <c r="D794" s="860"/>
      <c r="E794" s="862"/>
      <c r="F794" s="860"/>
      <c r="G794" s="860"/>
      <c r="H794" s="860"/>
      <c r="I794" s="860"/>
      <c r="J794" s="860"/>
      <c r="K794" s="860"/>
      <c r="L794" s="860"/>
      <c r="M794" s="860"/>
      <c r="N794" s="860"/>
      <c r="O794" s="860"/>
      <c r="P794" s="860"/>
      <c r="Q794" s="860"/>
      <c r="R794" s="860"/>
      <c r="S794" s="860"/>
      <c r="T794" s="860"/>
      <c r="U794" s="860"/>
      <c r="V794" s="860"/>
      <c r="W794" s="860"/>
      <c r="X794" s="864"/>
      <c r="Y794" s="865"/>
      <c r="Z794" s="865"/>
      <c r="AA794" s="866"/>
      <c r="AB794" s="867"/>
      <c r="AC794" s="868"/>
      <c r="AD794" s="866"/>
      <c r="AE794" s="860"/>
      <c r="AF794" s="869"/>
      <c r="AG794" s="869"/>
      <c r="AH794" s="870"/>
      <c r="AI794" s="871"/>
      <c r="AJ794" s="870"/>
      <c r="AK794" s="870"/>
      <c r="AL794" s="860"/>
      <c r="AM794" s="860"/>
      <c r="AN794" s="860"/>
      <c r="AO794" s="860"/>
      <c r="AP794" s="860"/>
      <c r="AQ794" s="860"/>
      <c r="AR794" s="860"/>
      <c r="AS794" s="860"/>
      <c r="AT794" s="860"/>
      <c r="AU794" s="860"/>
      <c r="AV794" s="860"/>
      <c r="AW794" s="860"/>
      <c r="AX794" s="860"/>
      <c r="AY794" s="860"/>
      <c r="AZ794" s="860"/>
      <c r="BA794" s="860"/>
      <c r="BB794" s="860"/>
      <c r="BC794" s="860"/>
      <c r="BD794" s="860"/>
      <c r="BE794" s="860"/>
      <c r="BF794" s="860"/>
      <c r="BG794" s="860"/>
      <c r="BH794" s="860"/>
      <c r="BI794" s="860"/>
      <c r="BJ794" s="860"/>
      <c r="BK794" s="860"/>
      <c r="BL794" s="860"/>
      <c r="BM794" s="860"/>
      <c r="BN794" s="872"/>
      <c r="BO794" s="872"/>
      <c r="BP794" s="872"/>
      <c r="BQ794" s="872"/>
      <c r="BR794" s="872"/>
      <c r="BS794" s="872"/>
      <c r="BT794" s="860"/>
      <c r="BU794" s="860"/>
      <c r="BV794" s="860"/>
      <c r="BW794" s="860"/>
      <c r="BX794" s="872"/>
      <c r="BY794" s="872"/>
      <c r="BZ794" s="872"/>
      <c r="CA794" s="872"/>
      <c r="CB794" s="872"/>
      <c r="CC794" s="872"/>
    </row>
    <row r="795" s="860" customFormat="1" ht="13.5" spans="1:81">
      <c r="A795" s="861"/>
      <c r="B795" s="860"/>
      <c r="C795" s="860"/>
      <c r="D795" s="860"/>
      <c r="E795" s="862"/>
      <c r="F795" s="860"/>
      <c r="G795" s="860"/>
      <c r="H795" s="860"/>
      <c r="I795" s="860"/>
      <c r="J795" s="860"/>
      <c r="K795" s="860"/>
      <c r="L795" s="860"/>
      <c r="M795" s="860"/>
      <c r="N795" s="860"/>
      <c r="O795" s="860"/>
      <c r="P795" s="860"/>
      <c r="Q795" s="860"/>
      <c r="R795" s="860"/>
      <c r="S795" s="860"/>
      <c r="T795" s="860"/>
      <c r="U795" s="860"/>
      <c r="V795" s="860"/>
      <c r="W795" s="860"/>
      <c r="X795" s="864"/>
      <c r="Y795" s="865"/>
      <c r="Z795" s="865"/>
      <c r="AA795" s="866"/>
      <c r="AB795" s="867"/>
      <c r="AC795" s="868"/>
      <c r="AD795" s="866"/>
      <c r="AE795" s="860"/>
      <c r="AF795" s="869"/>
      <c r="AG795" s="869"/>
      <c r="AH795" s="870"/>
      <c r="AI795" s="871"/>
      <c r="AJ795" s="870"/>
      <c r="AK795" s="870"/>
      <c r="AL795" s="860"/>
      <c r="AM795" s="860"/>
      <c r="AN795" s="860"/>
      <c r="AO795" s="860"/>
      <c r="AP795" s="860"/>
      <c r="AQ795" s="860"/>
      <c r="AR795" s="860"/>
      <c r="AS795" s="860"/>
      <c r="AT795" s="860"/>
      <c r="AU795" s="860"/>
      <c r="AV795" s="860"/>
      <c r="AW795" s="860"/>
      <c r="AX795" s="860"/>
      <c r="AY795" s="860"/>
      <c r="AZ795" s="860"/>
      <c r="BA795" s="860"/>
      <c r="BB795" s="860"/>
      <c r="BC795" s="860"/>
      <c r="BD795" s="860"/>
      <c r="BE795" s="860"/>
      <c r="BF795" s="860"/>
      <c r="BG795" s="860"/>
      <c r="BH795" s="860"/>
      <c r="BI795" s="860"/>
      <c r="BJ795" s="860"/>
      <c r="BK795" s="860"/>
      <c r="BL795" s="860"/>
      <c r="BM795" s="860"/>
      <c r="BN795" s="872"/>
      <c r="BO795" s="872"/>
      <c r="BP795" s="872"/>
      <c r="BQ795" s="872"/>
      <c r="BR795" s="872"/>
      <c r="BS795" s="872"/>
      <c r="BT795" s="860"/>
      <c r="BU795" s="860"/>
      <c r="BV795" s="860"/>
      <c r="BW795" s="860"/>
      <c r="BX795" s="872"/>
      <c r="BY795" s="872"/>
      <c r="BZ795" s="872"/>
      <c r="CA795" s="872"/>
      <c r="CB795" s="872"/>
      <c r="CC795" s="872"/>
    </row>
    <row r="796" s="860" customFormat="1" ht="13.5" spans="1:81">
      <c r="A796" s="861"/>
      <c r="B796" s="860"/>
      <c r="C796" s="860"/>
      <c r="D796" s="860"/>
      <c r="E796" s="862"/>
      <c r="F796" s="860"/>
      <c r="G796" s="860"/>
      <c r="H796" s="860"/>
      <c r="I796" s="860"/>
      <c r="J796" s="860"/>
      <c r="K796" s="860"/>
      <c r="L796" s="860"/>
      <c r="M796" s="860"/>
      <c r="N796" s="860"/>
      <c r="O796" s="860"/>
      <c r="P796" s="860"/>
      <c r="Q796" s="860"/>
      <c r="R796" s="860"/>
      <c r="S796" s="860"/>
      <c r="T796" s="860"/>
      <c r="U796" s="860"/>
      <c r="V796" s="860"/>
      <c r="W796" s="860"/>
      <c r="X796" s="864"/>
      <c r="Y796" s="865"/>
      <c r="Z796" s="865"/>
      <c r="AA796" s="866"/>
      <c r="AB796" s="867"/>
      <c r="AC796" s="868"/>
      <c r="AD796" s="866"/>
      <c r="AE796" s="860"/>
      <c r="AF796" s="869"/>
      <c r="AG796" s="869"/>
      <c r="AH796" s="870"/>
      <c r="AI796" s="871"/>
      <c r="AJ796" s="870"/>
      <c r="AK796" s="870"/>
      <c r="AL796" s="860"/>
      <c r="AM796" s="860"/>
      <c r="AN796" s="860"/>
      <c r="AO796" s="860"/>
      <c r="AP796" s="860"/>
      <c r="AQ796" s="860"/>
      <c r="AR796" s="860"/>
      <c r="AS796" s="860"/>
      <c r="AT796" s="860"/>
      <c r="AU796" s="860"/>
      <c r="AV796" s="860"/>
      <c r="AW796" s="860"/>
      <c r="AX796" s="860"/>
      <c r="AY796" s="860"/>
      <c r="AZ796" s="860"/>
      <c r="BA796" s="860"/>
      <c r="BB796" s="860"/>
      <c r="BC796" s="860"/>
      <c r="BD796" s="860"/>
      <c r="BE796" s="860"/>
      <c r="BF796" s="860"/>
      <c r="BG796" s="860"/>
      <c r="BH796" s="860"/>
      <c r="BI796" s="860"/>
      <c r="BJ796" s="860"/>
      <c r="BK796" s="860"/>
      <c r="BL796" s="860"/>
      <c r="BM796" s="860"/>
      <c r="BN796" s="872"/>
      <c r="BO796" s="872"/>
      <c r="BP796" s="872"/>
      <c r="BQ796" s="872"/>
      <c r="BR796" s="872"/>
      <c r="BS796" s="872"/>
      <c r="BT796" s="860"/>
      <c r="BU796" s="860"/>
      <c r="BV796" s="860"/>
      <c r="BW796" s="860"/>
      <c r="BX796" s="872"/>
      <c r="BY796" s="872"/>
      <c r="BZ796" s="872"/>
      <c r="CA796" s="872"/>
      <c r="CB796" s="872"/>
      <c r="CC796" s="872"/>
    </row>
    <row r="797" s="860" customFormat="1" ht="13.5" spans="1:81">
      <c r="A797" s="861"/>
      <c r="B797" s="860"/>
      <c r="C797" s="860"/>
      <c r="D797" s="860"/>
      <c r="E797" s="862"/>
      <c r="F797" s="860"/>
      <c r="G797" s="860"/>
      <c r="H797" s="860"/>
      <c r="I797" s="860"/>
      <c r="J797" s="860"/>
      <c r="K797" s="860"/>
      <c r="L797" s="860"/>
      <c r="M797" s="860"/>
      <c r="N797" s="860"/>
      <c r="O797" s="860"/>
      <c r="P797" s="860"/>
      <c r="Q797" s="860"/>
      <c r="R797" s="860"/>
      <c r="S797" s="860"/>
      <c r="T797" s="860"/>
      <c r="U797" s="860"/>
      <c r="V797" s="860"/>
      <c r="W797" s="860"/>
      <c r="X797" s="864"/>
      <c r="Y797" s="865"/>
      <c r="Z797" s="865"/>
      <c r="AA797" s="866"/>
      <c r="AB797" s="867"/>
      <c r="AC797" s="868"/>
      <c r="AD797" s="866"/>
      <c r="AE797" s="860"/>
      <c r="AF797" s="869"/>
      <c r="AG797" s="869"/>
      <c r="AH797" s="870"/>
      <c r="AI797" s="871"/>
      <c r="AJ797" s="870"/>
      <c r="AK797" s="870"/>
      <c r="AL797" s="860"/>
      <c r="AM797" s="860"/>
      <c r="AN797" s="860"/>
      <c r="AO797" s="860"/>
      <c r="AP797" s="860"/>
      <c r="AQ797" s="860"/>
      <c r="AR797" s="860"/>
      <c r="AS797" s="860"/>
      <c r="AT797" s="860"/>
      <c r="AU797" s="860"/>
      <c r="AV797" s="860"/>
      <c r="AW797" s="860"/>
      <c r="AX797" s="860"/>
      <c r="AY797" s="860"/>
      <c r="AZ797" s="860"/>
      <c r="BA797" s="860"/>
      <c r="BB797" s="860"/>
      <c r="BC797" s="860"/>
      <c r="BD797" s="860"/>
      <c r="BE797" s="860"/>
      <c r="BF797" s="860"/>
      <c r="BG797" s="860"/>
      <c r="BH797" s="860"/>
      <c r="BI797" s="860"/>
      <c r="BJ797" s="860"/>
      <c r="BK797" s="860"/>
      <c r="BL797" s="860"/>
      <c r="BM797" s="860"/>
      <c r="BN797" s="872"/>
      <c r="BO797" s="872"/>
      <c r="BP797" s="872"/>
      <c r="BQ797" s="872"/>
      <c r="BR797" s="872"/>
      <c r="BS797" s="872"/>
      <c r="BT797" s="860"/>
      <c r="BU797" s="860"/>
      <c r="BV797" s="860"/>
      <c r="BW797" s="860"/>
      <c r="BX797" s="872"/>
      <c r="BY797" s="872"/>
      <c r="BZ797" s="872"/>
      <c r="CA797" s="872"/>
      <c r="CB797" s="872"/>
      <c r="CC797" s="872"/>
    </row>
    <row r="798" s="860" customFormat="1" ht="13.5" spans="1:81">
      <c r="A798" s="861"/>
      <c r="B798" s="860"/>
      <c r="C798" s="860"/>
      <c r="D798" s="860"/>
      <c r="E798" s="862"/>
      <c r="F798" s="860"/>
      <c r="G798" s="860"/>
      <c r="H798" s="860"/>
      <c r="I798" s="860"/>
      <c r="J798" s="860"/>
      <c r="K798" s="860"/>
      <c r="L798" s="860"/>
      <c r="M798" s="860"/>
      <c r="N798" s="860"/>
      <c r="O798" s="860"/>
      <c r="P798" s="860"/>
      <c r="Q798" s="860"/>
      <c r="R798" s="860"/>
      <c r="S798" s="860"/>
      <c r="T798" s="860"/>
      <c r="U798" s="860"/>
      <c r="V798" s="860"/>
      <c r="W798" s="860"/>
      <c r="X798" s="864"/>
      <c r="Y798" s="865"/>
      <c r="Z798" s="865"/>
      <c r="AA798" s="866"/>
      <c r="AB798" s="867"/>
      <c r="AC798" s="868"/>
      <c r="AD798" s="866"/>
      <c r="AE798" s="860"/>
      <c r="AF798" s="869"/>
      <c r="AG798" s="869"/>
      <c r="AH798" s="870"/>
      <c r="AI798" s="871"/>
      <c r="AJ798" s="870"/>
      <c r="AK798" s="870"/>
      <c r="AL798" s="860"/>
      <c r="AM798" s="860"/>
      <c r="AN798" s="860"/>
      <c r="AO798" s="860"/>
      <c r="AP798" s="860"/>
      <c r="AQ798" s="860"/>
      <c r="AR798" s="860"/>
      <c r="AS798" s="860"/>
      <c r="AT798" s="860"/>
      <c r="AU798" s="860"/>
      <c r="AV798" s="860"/>
      <c r="AW798" s="860"/>
      <c r="AX798" s="860"/>
      <c r="AY798" s="860"/>
      <c r="AZ798" s="860"/>
      <c r="BA798" s="860"/>
      <c r="BB798" s="860"/>
      <c r="BC798" s="860"/>
      <c r="BD798" s="860"/>
      <c r="BE798" s="860"/>
      <c r="BF798" s="860"/>
      <c r="BG798" s="860"/>
      <c r="BH798" s="860"/>
      <c r="BI798" s="860"/>
      <c r="BJ798" s="860"/>
      <c r="BK798" s="860"/>
      <c r="BL798" s="860"/>
      <c r="BM798" s="860"/>
      <c r="BN798" s="872"/>
      <c r="BO798" s="872"/>
      <c r="BP798" s="872"/>
      <c r="BQ798" s="872"/>
      <c r="BR798" s="872"/>
      <c r="BS798" s="872"/>
      <c r="BT798" s="860"/>
      <c r="BU798" s="860"/>
      <c r="BV798" s="860"/>
      <c r="BW798" s="860"/>
      <c r="BX798" s="872"/>
      <c r="BY798" s="872"/>
      <c r="BZ798" s="872"/>
      <c r="CA798" s="872"/>
      <c r="CB798" s="872"/>
      <c r="CC798" s="872"/>
    </row>
    <row r="799" s="860" customFormat="1" ht="13.5" spans="1:81">
      <c r="A799" s="861"/>
      <c r="B799" s="860"/>
      <c r="C799" s="860"/>
      <c r="D799" s="860"/>
      <c r="E799" s="862"/>
      <c r="F799" s="860"/>
      <c r="G799" s="860"/>
      <c r="H799" s="860"/>
      <c r="I799" s="860"/>
      <c r="J799" s="860"/>
      <c r="K799" s="860"/>
      <c r="L799" s="860"/>
      <c r="M799" s="860"/>
      <c r="N799" s="860"/>
      <c r="O799" s="860"/>
      <c r="P799" s="860"/>
      <c r="Q799" s="860"/>
      <c r="R799" s="860"/>
      <c r="S799" s="860"/>
      <c r="T799" s="860"/>
      <c r="U799" s="860"/>
      <c r="V799" s="860"/>
      <c r="W799" s="860"/>
      <c r="X799" s="864"/>
      <c r="Y799" s="865"/>
      <c r="Z799" s="865"/>
      <c r="AA799" s="866"/>
      <c r="AB799" s="867"/>
      <c r="AC799" s="868"/>
      <c r="AD799" s="866"/>
      <c r="AE799" s="860"/>
      <c r="AF799" s="869"/>
      <c r="AG799" s="869"/>
      <c r="AH799" s="870"/>
      <c r="AI799" s="871"/>
      <c r="AJ799" s="870"/>
      <c r="AK799" s="870"/>
      <c r="AL799" s="860"/>
      <c r="AM799" s="860"/>
      <c r="AN799" s="860"/>
      <c r="AO799" s="860"/>
      <c r="AP799" s="860"/>
      <c r="AQ799" s="860"/>
      <c r="AR799" s="860"/>
      <c r="AS799" s="860"/>
      <c r="AT799" s="860"/>
      <c r="AU799" s="860"/>
      <c r="AV799" s="860"/>
      <c r="AW799" s="860"/>
      <c r="AX799" s="860"/>
      <c r="AY799" s="860"/>
      <c r="AZ799" s="860"/>
      <c r="BA799" s="860"/>
      <c r="BB799" s="860"/>
      <c r="BC799" s="860"/>
      <c r="BD799" s="860"/>
      <c r="BE799" s="860"/>
      <c r="BF799" s="860"/>
      <c r="BG799" s="860"/>
      <c r="BH799" s="860"/>
      <c r="BI799" s="860"/>
      <c r="BJ799" s="860"/>
      <c r="BK799" s="860"/>
      <c r="BL799" s="860"/>
      <c r="BM799" s="860"/>
      <c r="BN799" s="872"/>
      <c r="BO799" s="872"/>
      <c r="BP799" s="872"/>
      <c r="BQ799" s="872"/>
      <c r="BR799" s="872"/>
      <c r="BS799" s="872"/>
      <c r="BT799" s="860"/>
      <c r="BU799" s="860"/>
      <c r="BV799" s="860"/>
      <c r="BW799" s="860"/>
      <c r="BX799" s="872"/>
      <c r="BY799" s="872"/>
      <c r="BZ799" s="872"/>
      <c r="CA799" s="872"/>
      <c r="CB799" s="872"/>
      <c r="CC799" s="872"/>
    </row>
    <row r="800" s="860" customFormat="1" ht="13.5" spans="1:81">
      <c r="A800" s="861"/>
      <c r="B800" s="860"/>
      <c r="C800" s="860"/>
      <c r="D800" s="860"/>
      <c r="E800" s="862"/>
      <c r="F800" s="860"/>
      <c r="G800" s="860"/>
      <c r="H800" s="860"/>
      <c r="I800" s="860"/>
      <c r="J800" s="860"/>
      <c r="K800" s="860"/>
      <c r="L800" s="860"/>
      <c r="M800" s="860"/>
      <c r="N800" s="860"/>
      <c r="O800" s="860"/>
      <c r="P800" s="860"/>
      <c r="Q800" s="860"/>
      <c r="R800" s="860"/>
      <c r="S800" s="860"/>
      <c r="T800" s="860"/>
      <c r="U800" s="860"/>
      <c r="V800" s="860"/>
      <c r="W800" s="860"/>
      <c r="X800" s="864"/>
      <c r="Y800" s="865"/>
      <c r="Z800" s="865"/>
      <c r="AA800" s="866"/>
      <c r="AB800" s="867"/>
      <c r="AC800" s="868"/>
      <c r="AD800" s="866"/>
      <c r="AE800" s="860"/>
      <c r="AF800" s="869"/>
      <c r="AG800" s="869"/>
      <c r="AH800" s="870"/>
      <c r="AI800" s="871"/>
      <c r="AJ800" s="870"/>
      <c r="AK800" s="870"/>
      <c r="AL800" s="860"/>
      <c r="AM800" s="860"/>
      <c r="AN800" s="860"/>
      <c r="AO800" s="860"/>
      <c r="AP800" s="860"/>
      <c r="AQ800" s="860"/>
      <c r="AR800" s="860"/>
      <c r="AS800" s="860"/>
      <c r="AT800" s="860"/>
      <c r="AU800" s="860"/>
      <c r="AV800" s="860"/>
      <c r="AW800" s="860"/>
      <c r="AX800" s="860"/>
      <c r="AY800" s="860"/>
      <c r="AZ800" s="860"/>
      <c r="BA800" s="860"/>
      <c r="BB800" s="860"/>
      <c r="BC800" s="860"/>
      <c r="BD800" s="860"/>
      <c r="BE800" s="860"/>
      <c r="BF800" s="860"/>
      <c r="BG800" s="860"/>
      <c r="BH800" s="860"/>
      <c r="BI800" s="860"/>
      <c r="BJ800" s="860"/>
      <c r="BK800" s="860"/>
      <c r="BL800" s="860"/>
      <c r="BM800" s="860"/>
      <c r="BN800" s="872"/>
      <c r="BO800" s="872"/>
      <c r="BP800" s="872"/>
      <c r="BQ800" s="872"/>
      <c r="BR800" s="872"/>
      <c r="BS800" s="872"/>
      <c r="BT800" s="860"/>
      <c r="BU800" s="860"/>
      <c r="BV800" s="860"/>
      <c r="BW800" s="860"/>
      <c r="BX800" s="872"/>
      <c r="BY800" s="872"/>
      <c r="BZ800" s="872"/>
      <c r="CA800" s="872"/>
      <c r="CB800" s="872"/>
      <c r="CC800" s="872"/>
    </row>
    <row r="801" s="860" customFormat="1" ht="13.5" spans="1:81">
      <c r="A801" s="861"/>
      <c r="B801" s="860"/>
      <c r="C801" s="860"/>
      <c r="D801" s="860"/>
      <c r="E801" s="862"/>
      <c r="F801" s="860"/>
      <c r="G801" s="860"/>
      <c r="H801" s="860"/>
      <c r="I801" s="860"/>
      <c r="J801" s="860"/>
      <c r="K801" s="860"/>
      <c r="L801" s="860"/>
      <c r="M801" s="860"/>
      <c r="N801" s="860"/>
      <c r="O801" s="860"/>
      <c r="P801" s="860"/>
      <c r="Q801" s="860"/>
      <c r="R801" s="860"/>
      <c r="S801" s="860"/>
      <c r="T801" s="860"/>
      <c r="U801" s="860"/>
      <c r="V801" s="860"/>
      <c r="W801" s="860"/>
      <c r="X801" s="864"/>
      <c r="Y801" s="865"/>
      <c r="Z801" s="865"/>
      <c r="AA801" s="866"/>
      <c r="AB801" s="867"/>
      <c r="AC801" s="868"/>
      <c r="AD801" s="866"/>
      <c r="AE801" s="860"/>
      <c r="AF801" s="869"/>
      <c r="AG801" s="869"/>
      <c r="AH801" s="870"/>
      <c r="AI801" s="871"/>
      <c r="AJ801" s="870"/>
      <c r="AK801" s="870"/>
      <c r="AL801" s="860"/>
      <c r="AM801" s="860"/>
      <c r="AN801" s="860"/>
      <c r="AO801" s="860"/>
      <c r="AP801" s="860"/>
      <c r="AQ801" s="860"/>
      <c r="AR801" s="860"/>
      <c r="AS801" s="860"/>
      <c r="AT801" s="860"/>
      <c r="AU801" s="860"/>
      <c r="AV801" s="860"/>
      <c r="AW801" s="860"/>
      <c r="AX801" s="860"/>
      <c r="AY801" s="860"/>
      <c r="AZ801" s="860"/>
      <c r="BA801" s="860"/>
      <c r="BB801" s="860"/>
      <c r="BC801" s="860"/>
      <c r="BD801" s="860"/>
      <c r="BE801" s="860"/>
      <c r="BF801" s="860"/>
      <c r="BG801" s="860"/>
      <c r="BH801" s="860"/>
      <c r="BI801" s="860"/>
      <c r="BJ801" s="860"/>
      <c r="BK801" s="860"/>
      <c r="BL801" s="860"/>
      <c r="BM801" s="860"/>
      <c r="BN801" s="872"/>
      <c r="BO801" s="872"/>
      <c r="BP801" s="872"/>
      <c r="BQ801" s="872"/>
      <c r="BR801" s="872"/>
      <c r="BS801" s="872"/>
      <c r="BT801" s="860"/>
      <c r="BU801" s="860"/>
      <c r="BV801" s="860"/>
      <c r="BW801" s="860"/>
      <c r="BX801" s="872"/>
      <c r="BY801" s="872"/>
      <c r="BZ801" s="872"/>
      <c r="CA801" s="872"/>
      <c r="CB801" s="872"/>
      <c r="CC801" s="872"/>
    </row>
    <row r="802" s="860" customFormat="1" ht="13.5" spans="1:81">
      <c r="A802" s="861"/>
      <c r="B802" s="860"/>
      <c r="C802" s="860"/>
      <c r="D802" s="860"/>
      <c r="E802" s="862"/>
      <c r="F802" s="860"/>
      <c r="G802" s="860"/>
      <c r="H802" s="860"/>
      <c r="I802" s="860"/>
      <c r="J802" s="860"/>
      <c r="K802" s="860"/>
      <c r="L802" s="860"/>
      <c r="M802" s="860"/>
      <c r="N802" s="860"/>
      <c r="O802" s="860"/>
      <c r="P802" s="860"/>
      <c r="Q802" s="860"/>
      <c r="R802" s="860"/>
      <c r="S802" s="860"/>
      <c r="T802" s="860"/>
      <c r="U802" s="860"/>
      <c r="V802" s="860"/>
      <c r="W802" s="860"/>
      <c r="X802" s="864"/>
      <c r="Y802" s="865"/>
      <c r="Z802" s="865"/>
      <c r="AA802" s="866"/>
      <c r="AB802" s="867"/>
      <c r="AC802" s="868"/>
      <c r="AD802" s="866"/>
      <c r="AE802" s="860"/>
      <c r="AF802" s="869"/>
      <c r="AG802" s="869"/>
      <c r="AH802" s="870"/>
      <c r="AI802" s="871"/>
      <c r="AJ802" s="870"/>
      <c r="AK802" s="870"/>
      <c r="AL802" s="860"/>
      <c r="AM802" s="860"/>
      <c r="AN802" s="860"/>
      <c r="AO802" s="860"/>
      <c r="AP802" s="860"/>
      <c r="AQ802" s="860"/>
      <c r="AR802" s="860"/>
      <c r="AS802" s="860"/>
      <c r="AT802" s="860"/>
      <c r="AU802" s="860"/>
      <c r="AV802" s="860"/>
      <c r="AW802" s="860"/>
      <c r="AX802" s="860"/>
      <c r="AY802" s="860"/>
      <c r="AZ802" s="860"/>
      <c r="BA802" s="860"/>
      <c r="BB802" s="860"/>
      <c r="BC802" s="860"/>
      <c r="BD802" s="860"/>
      <c r="BE802" s="860"/>
      <c r="BF802" s="860"/>
      <c r="BG802" s="860"/>
      <c r="BH802" s="860"/>
      <c r="BI802" s="860"/>
      <c r="BJ802" s="860"/>
      <c r="BK802" s="860"/>
      <c r="BL802" s="860"/>
      <c r="BM802" s="860"/>
      <c r="BN802" s="872"/>
      <c r="BO802" s="872"/>
      <c r="BP802" s="872"/>
      <c r="BQ802" s="872"/>
      <c r="BR802" s="872"/>
      <c r="BS802" s="872"/>
      <c r="BT802" s="860"/>
      <c r="BU802" s="860"/>
      <c r="BV802" s="860"/>
      <c r="BW802" s="860"/>
      <c r="BX802" s="872"/>
      <c r="BY802" s="872"/>
      <c r="BZ802" s="872"/>
      <c r="CA802" s="872"/>
      <c r="CB802" s="872"/>
      <c r="CC802" s="872"/>
    </row>
    <row r="803" s="860" customFormat="1" ht="13.5" spans="1:81">
      <c r="A803" s="861"/>
      <c r="B803" s="860"/>
      <c r="C803" s="860"/>
      <c r="D803" s="860"/>
      <c r="E803" s="862"/>
      <c r="F803" s="860"/>
      <c r="G803" s="860"/>
      <c r="H803" s="860"/>
      <c r="I803" s="860"/>
      <c r="J803" s="860"/>
      <c r="K803" s="860"/>
      <c r="L803" s="860"/>
      <c r="M803" s="860"/>
      <c r="N803" s="860"/>
      <c r="O803" s="860"/>
      <c r="P803" s="860"/>
      <c r="Q803" s="860"/>
      <c r="R803" s="860"/>
      <c r="S803" s="860"/>
      <c r="T803" s="860"/>
      <c r="U803" s="860"/>
      <c r="V803" s="860"/>
      <c r="W803" s="860"/>
      <c r="X803" s="864"/>
      <c r="Y803" s="865"/>
      <c r="Z803" s="865"/>
      <c r="AA803" s="866"/>
      <c r="AB803" s="867"/>
      <c r="AC803" s="868"/>
      <c r="AD803" s="866"/>
      <c r="AE803" s="860"/>
      <c r="AF803" s="869"/>
      <c r="AG803" s="869"/>
      <c r="AH803" s="870"/>
      <c r="AI803" s="871"/>
      <c r="AJ803" s="870"/>
      <c r="AK803" s="870"/>
      <c r="AL803" s="860"/>
      <c r="AM803" s="860"/>
      <c r="AN803" s="860"/>
      <c r="AO803" s="860"/>
      <c r="AP803" s="860"/>
      <c r="AQ803" s="860"/>
      <c r="AR803" s="860"/>
      <c r="AS803" s="860"/>
      <c r="AT803" s="860"/>
      <c r="AU803" s="860"/>
      <c r="AV803" s="860"/>
      <c r="AW803" s="860"/>
      <c r="AX803" s="860"/>
      <c r="AY803" s="860"/>
      <c r="AZ803" s="860"/>
      <c r="BA803" s="860"/>
      <c r="BB803" s="860"/>
      <c r="BC803" s="860"/>
      <c r="BD803" s="860"/>
      <c r="BE803" s="860"/>
      <c r="BF803" s="860"/>
      <c r="BG803" s="860"/>
      <c r="BH803" s="860"/>
      <c r="BI803" s="860"/>
      <c r="BJ803" s="860"/>
      <c r="BK803" s="860"/>
      <c r="BL803" s="860"/>
      <c r="BM803" s="860"/>
      <c r="BN803" s="872"/>
      <c r="BO803" s="872"/>
      <c r="BP803" s="872"/>
      <c r="BQ803" s="872"/>
      <c r="BR803" s="872"/>
      <c r="BS803" s="872"/>
      <c r="BT803" s="860"/>
      <c r="BU803" s="860"/>
      <c r="BV803" s="860"/>
      <c r="BW803" s="860"/>
      <c r="BX803" s="872"/>
      <c r="BY803" s="872"/>
      <c r="BZ803" s="872"/>
      <c r="CA803" s="872"/>
      <c r="CB803" s="872"/>
      <c r="CC803" s="872"/>
    </row>
    <row r="804" s="860" customFormat="1" ht="13.5" spans="1:81">
      <c r="A804" s="861"/>
      <c r="B804" s="860"/>
      <c r="C804" s="860"/>
      <c r="D804" s="860"/>
      <c r="E804" s="862"/>
      <c r="F804" s="860"/>
      <c r="G804" s="860"/>
      <c r="H804" s="860"/>
      <c r="I804" s="860"/>
      <c r="J804" s="860"/>
      <c r="K804" s="860"/>
      <c r="L804" s="860"/>
      <c r="M804" s="860"/>
      <c r="N804" s="860"/>
      <c r="O804" s="860"/>
      <c r="P804" s="860"/>
      <c r="Q804" s="860"/>
      <c r="R804" s="860"/>
      <c r="S804" s="860"/>
      <c r="T804" s="860"/>
      <c r="U804" s="860"/>
      <c r="V804" s="860"/>
      <c r="W804" s="860"/>
      <c r="X804" s="864"/>
      <c r="Y804" s="865"/>
      <c r="Z804" s="865"/>
      <c r="AA804" s="866"/>
      <c r="AB804" s="867"/>
      <c r="AC804" s="868"/>
      <c r="AD804" s="866"/>
      <c r="AE804" s="860"/>
      <c r="AF804" s="869"/>
      <c r="AG804" s="869"/>
      <c r="AH804" s="870"/>
      <c r="AI804" s="871"/>
      <c r="AJ804" s="870"/>
      <c r="AK804" s="870"/>
      <c r="AL804" s="860"/>
      <c r="AM804" s="860"/>
      <c r="AN804" s="860"/>
      <c r="AO804" s="860"/>
      <c r="AP804" s="860"/>
      <c r="AQ804" s="860"/>
      <c r="AR804" s="860"/>
      <c r="AS804" s="860"/>
      <c r="AT804" s="860"/>
      <c r="AU804" s="860"/>
      <c r="AV804" s="860"/>
      <c r="AW804" s="860"/>
      <c r="AX804" s="860"/>
      <c r="AY804" s="860"/>
      <c r="AZ804" s="860"/>
      <c r="BA804" s="860"/>
      <c r="BB804" s="860"/>
      <c r="BC804" s="860"/>
      <c r="BD804" s="860"/>
      <c r="BE804" s="860"/>
      <c r="BF804" s="860"/>
      <c r="BG804" s="860"/>
      <c r="BH804" s="860"/>
      <c r="BI804" s="860"/>
      <c r="BJ804" s="860"/>
      <c r="BK804" s="860"/>
      <c r="BL804" s="860"/>
      <c r="BM804" s="860"/>
      <c r="BN804" s="872"/>
      <c r="BO804" s="872"/>
      <c r="BP804" s="872"/>
      <c r="BQ804" s="872"/>
      <c r="BR804" s="872"/>
      <c r="BS804" s="872"/>
      <c r="BT804" s="860"/>
      <c r="BU804" s="860"/>
      <c r="BV804" s="860"/>
      <c r="BW804" s="860"/>
      <c r="BX804" s="872"/>
      <c r="BY804" s="872"/>
      <c r="BZ804" s="872"/>
      <c r="CA804" s="872"/>
      <c r="CB804" s="872"/>
      <c r="CC804" s="872"/>
    </row>
    <row r="805" s="860" customFormat="1" ht="13.5" spans="1:81">
      <c r="A805" s="861"/>
      <c r="B805" s="860"/>
      <c r="C805" s="860"/>
      <c r="D805" s="860"/>
      <c r="E805" s="862"/>
      <c r="F805" s="860"/>
      <c r="G805" s="860"/>
      <c r="H805" s="860"/>
      <c r="I805" s="860"/>
      <c r="J805" s="860"/>
      <c r="K805" s="860"/>
      <c r="L805" s="860"/>
      <c r="M805" s="860"/>
      <c r="N805" s="860"/>
      <c r="O805" s="860"/>
      <c r="P805" s="860"/>
      <c r="Q805" s="860"/>
      <c r="R805" s="860"/>
      <c r="S805" s="860"/>
      <c r="T805" s="860"/>
      <c r="U805" s="860"/>
      <c r="V805" s="860"/>
      <c r="W805" s="860"/>
      <c r="X805" s="864"/>
      <c r="Y805" s="865"/>
      <c r="Z805" s="865"/>
      <c r="AA805" s="866"/>
      <c r="AB805" s="867"/>
      <c r="AC805" s="868"/>
      <c r="AD805" s="866"/>
      <c r="AE805" s="860"/>
      <c r="AF805" s="869"/>
      <c r="AG805" s="869"/>
      <c r="AH805" s="870"/>
      <c r="AI805" s="871"/>
      <c r="AJ805" s="870"/>
      <c r="AK805" s="870"/>
      <c r="AL805" s="860"/>
      <c r="AM805" s="860"/>
      <c r="AN805" s="860"/>
      <c r="AO805" s="860"/>
      <c r="AP805" s="860"/>
      <c r="AQ805" s="860"/>
      <c r="AR805" s="860"/>
      <c r="AS805" s="860"/>
      <c r="AT805" s="860"/>
      <c r="AU805" s="860"/>
      <c r="AV805" s="860"/>
      <c r="AW805" s="860"/>
      <c r="AX805" s="860"/>
      <c r="AY805" s="860"/>
      <c r="AZ805" s="860"/>
      <c r="BA805" s="860"/>
      <c r="BB805" s="860"/>
      <c r="BC805" s="860"/>
      <c r="BD805" s="860"/>
      <c r="BE805" s="860"/>
      <c r="BF805" s="860"/>
      <c r="BG805" s="860"/>
      <c r="BH805" s="860"/>
      <c r="BI805" s="860"/>
      <c r="BJ805" s="860"/>
      <c r="BK805" s="860"/>
      <c r="BL805" s="860"/>
      <c r="BM805" s="860"/>
      <c r="BN805" s="872"/>
      <c r="BO805" s="872"/>
      <c r="BP805" s="872"/>
      <c r="BQ805" s="872"/>
      <c r="BR805" s="872"/>
      <c r="BS805" s="872"/>
      <c r="BT805" s="860"/>
      <c r="BU805" s="860"/>
      <c r="BV805" s="860"/>
      <c r="BW805" s="860"/>
      <c r="BX805" s="872"/>
      <c r="BY805" s="872"/>
      <c r="BZ805" s="872"/>
      <c r="CA805" s="872"/>
      <c r="CB805" s="872"/>
      <c r="CC805" s="872"/>
    </row>
    <row r="806" s="860" customFormat="1" ht="13.5" spans="1:81">
      <c r="A806" s="861"/>
      <c r="B806" s="860"/>
      <c r="C806" s="860"/>
      <c r="D806" s="860"/>
      <c r="E806" s="862"/>
      <c r="F806" s="860"/>
      <c r="G806" s="860"/>
      <c r="H806" s="860"/>
      <c r="I806" s="860"/>
      <c r="J806" s="860"/>
      <c r="K806" s="860"/>
      <c r="L806" s="860"/>
      <c r="M806" s="860"/>
      <c r="N806" s="860"/>
      <c r="O806" s="860"/>
      <c r="P806" s="860"/>
      <c r="Q806" s="860"/>
      <c r="R806" s="860"/>
      <c r="S806" s="860"/>
      <c r="T806" s="860"/>
      <c r="U806" s="860"/>
      <c r="V806" s="860"/>
      <c r="W806" s="860"/>
      <c r="X806" s="864"/>
      <c r="Y806" s="865"/>
      <c r="Z806" s="865"/>
      <c r="AA806" s="866"/>
      <c r="AB806" s="867"/>
      <c r="AC806" s="868"/>
      <c r="AD806" s="866"/>
      <c r="AE806" s="860"/>
      <c r="AF806" s="869"/>
      <c r="AG806" s="869"/>
      <c r="AH806" s="870"/>
      <c r="AI806" s="871"/>
      <c r="AJ806" s="870"/>
      <c r="AK806" s="870"/>
      <c r="AL806" s="860"/>
      <c r="AM806" s="860"/>
      <c r="AN806" s="860"/>
      <c r="AO806" s="860"/>
      <c r="AP806" s="860"/>
      <c r="AQ806" s="860"/>
      <c r="AR806" s="860"/>
      <c r="AS806" s="860"/>
      <c r="AT806" s="860"/>
      <c r="AU806" s="860"/>
      <c r="AV806" s="860"/>
      <c r="AW806" s="860"/>
      <c r="AX806" s="860"/>
      <c r="AY806" s="860"/>
      <c r="AZ806" s="860"/>
      <c r="BA806" s="860"/>
      <c r="BB806" s="860"/>
      <c r="BC806" s="860"/>
      <c r="BD806" s="860"/>
      <c r="BE806" s="860"/>
      <c r="BF806" s="860"/>
      <c r="BG806" s="860"/>
      <c r="BH806" s="860"/>
      <c r="BI806" s="860"/>
      <c r="BJ806" s="860"/>
      <c r="BK806" s="860"/>
      <c r="BL806" s="860"/>
      <c r="BM806" s="860"/>
      <c r="BN806" s="872"/>
      <c r="BO806" s="872"/>
      <c r="BP806" s="872"/>
      <c r="BQ806" s="872"/>
      <c r="BR806" s="872"/>
      <c r="BS806" s="872"/>
      <c r="BT806" s="860"/>
      <c r="BU806" s="860"/>
      <c r="BV806" s="860"/>
      <c r="BW806" s="860"/>
      <c r="BX806" s="872"/>
      <c r="BY806" s="872"/>
      <c r="BZ806" s="872"/>
      <c r="CA806" s="872"/>
      <c r="CB806" s="872"/>
      <c r="CC806" s="872"/>
    </row>
    <row r="807" s="860" customFormat="1" ht="13.5" spans="1:81">
      <c r="A807" s="861"/>
      <c r="B807" s="860"/>
      <c r="C807" s="860"/>
      <c r="D807" s="860"/>
      <c r="E807" s="862"/>
      <c r="F807" s="860"/>
      <c r="G807" s="860"/>
      <c r="H807" s="860"/>
      <c r="I807" s="860"/>
      <c r="J807" s="860"/>
      <c r="K807" s="860"/>
      <c r="L807" s="860"/>
      <c r="M807" s="860"/>
      <c r="N807" s="860"/>
      <c r="O807" s="860"/>
      <c r="P807" s="860"/>
      <c r="Q807" s="860"/>
      <c r="R807" s="860"/>
      <c r="S807" s="860"/>
      <c r="T807" s="860"/>
      <c r="U807" s="860"/>
      <c r="V807" s="860"/>
      <c r="W807" s="860"/>
      <c r="X807" s="864"/>
      <c r="Y807" s="865"/>
      <c r="Z807" s="865"/>
      <c r="AA807" s="866"/>
      <c r="AB807" s="867"/>
      <c r="AC807" s="868"/>
      <c r="AD807" s="866"/>
      <c r="AE807" s="860"/>
      <c r="AF807" s="869"/>
      <c r="AG807" s="869"/>
      <c r="AH807" s="870"/>
      <c r="AI807" s="871"/>
      <c r="AJ807" s="870"/>
      <c r="AK807" s="870"/>
      <c r="AL807" s="860"/>
      <c r="AM807" s="860"/>
      <c r="AN807" s="860"/>
      <c r="AO807" s="860"/>
      <c r="AP807" s="860"/>
      <c r="AQ807" s="860"/>
      <c r="AR807" s="860"/>
      <c r="AS807" s="860"/>
      <c r="AT807" s="860"/>
      <c r="AU807" s="860"/>
      <c r="AV807" s="860"/>
      <c r="AW807" s="860"/>
      <c r="AX807" s="860"/>
      <c r="AY807" s="860"/>
      <c r="AZ807" s="860"/>
      <c r="BA807" s="860"/>
      <c r="BB807" s="860"/>
      <c r="BC807" s="860"/>
      <c r="BD807" s="860"/>
      <c r="BE807" s="860"/>
      <c r="BF807" s="860"/>
      <c r="BG807" s="860"/>
      <c r="BH807" s="860"/>
      <c r="BI807" s="860"/>
      <c r="BJ807" s="860"/>
      <c r="BK807" s="860"/>
      <c r="BL807" s="860"/>
      <c r="BM807" s="860"/>
      <c r="BN807" s="872"/>
      <c r="BO807" s="872"/>
      <c r="BP807" s="872"/>
      <c r="BQ807" s="872"/>
      <c r="BR807" s="872"/>
      <c r="BS807" s="872"/>
      <c r="BT807" s="860"/>
      <c r="BU807" s="860"/>
      <c r="BV807" s="860"/>
      <c r="BW807" s="860"/>
      <c r="BX807" s="872"/>
      <c r="BY807" s="872"/>
      <c r="BZ807" s="872"/>
      <c r="CA807" s="872"/>
      <c r="CB807" s="872"/>
      <c r="CC807" s="872"/>
    </row>
    <row r="808" s="860" customFormat="1" ht="13.5" spans="1:81">
      <c r="A808" s="861"/>
      <c r="B808" s="860"/>
      <c r="C808" s="860"/>
      <c r="D808" s="860"/>
      <c r="E808" s="862"/>
      <c r="F808" s="860"/>
      <c r="G808" s="860"/>
      <c r="H808" s="860"/>
      <c r="I808" s="860"/>
      <c r="J808" s="860"/>
      <c r="K808" s="860"/>
      <c r="L808" s="860"/>
      <c r="M808" s="860"/>
      <c r="N808" s="860"/>
      <c r="O808" s="860"/>
      <c r="P808" s="860"/>
      <c r="Q808" s="860"/>
      <c r="R808" s="860"/>
      <c r="S808" s="860"/>
      <c r="T808" s="860"/>
      <c r="U808" s="860"/>
      <c r="V808" s="860"/>
      <c r="W808" s="860"/>
      <c r="X808" s="864"/>
      <c r="Y808" s="865"/>
      <c r="Z808" s="865"/>
      <c r="AA808" s="866"/>
      <c r="AB808" s="867"/>
      <c r="AC808" s="868"/>
      <c r="AD808" s="866"/>
      <c r="AE808" s="860"/>
      <c r="AF808" s="869"/>
      <c r="AG808" s="869"/>
      <c r="AH808" s="870"/>
      <c r="AI808" s="871"/>
      <c r="AJ808" s="870"/>
      <c r="AK808" s="870"/>
      <c r="AL808" s="860"/>
      <c r="AM808" s="860"/>
      <c r="AN808" s="860"/>
      <c r="AO808" s="860"/>
      <c r="AP808" s="860"/>
      <c r="AQ808" s="860"/>
      <c r="AR808" s="860"/>
      <c r="AS808" s="860"/>
      <c r="AT808" s="860"/>
      <c r="AU808" s="860"/>
      <c r="AV808" s="860"/>
      <c r="AW808" s="860"/>
      <c r="AX808" s="860"/>
      <c r="AY808" s="860"/>
      <c r="AZ808" s="860"/>
      <c r="BA808" s="860"/>
      <c r="BB808" s="860"/>
      <c r="BC808" s="860"/>
      <c r="BD808" s="860"/>
      <c r="BE808" s="860"/>
      <c r="BF808" s="860"/>
      <c r="BG808" s="860"/>
      <c r="BH808" s="860"/>
      <c r="BI808" s="860"/>
      <c r="BJ808" s="860"/>
      <c r="BK808" s="860"/>
      <c r="BL808" s="860"/>
      <c r="BM808" s="860"/>
      <c r="BN808" s="872"/>
      <c r="BO808" s="872"/>
      <c r="BP808" s="872"/>
      <c r="BQ808" s="872"/>
      <c r="BR808" s="872"/>
      <c r="BS808" s="872"/>
      <c r="BT808" s="860"/>
      <c r="BU808" s="860"/>
      <c r="BV808" s="860"/>
      <c r="BW808" s="860"/>
      <c r="BX808" s="872"/>
      <c r="BY808" s="872"/>
      <c r="BZ808" s="872"/>
      <c r="CA808" s="872"/>
      <c r="CB808" s="872"/>
      <c r="CC808" s="872"/>
    </row>
    <row r="809" s="860" customFormat="1" ht="13.5" spans="1:81">
      <c r="A809" s="861"/>
      <c r="B809" s="860"/>
      <c r="C809" s="860"/>
      <c r="D809" s="860"/>
      <c r="E809" s="862"/>
      <c r="F809" s="860"/>
      <c r="G809" s="860"/>
      <c r="H809" s="860"/>
      <c r="I809" s="860"/>
      <c r="J809" s="860"/>
      <c r="K809" s="860"/>
      <c r="L809" s="860"/>
      <c r="M809" s="860"/>
      <c r="N809" s="860"/>
      <c r="O809" s="860"/>
      <c r="P809" s="860"/>
      <c r="Q809" s="860"/>
      <c r="R809" s="860"/>
      <c r="S809" s="860"/>
      <c r="T809" s="860"/>
      <c r="U809" s="860"/>
      <c r="V809" s="860"/>
      <c r="W809" s="860"/>
      <c r="X809" s="864"/>
      <c r="Y809" s="865"/>
      <c r="Z809" s="865"/>
      <c r="AA809" s="866"/>
      <c r="AB809" s="867"/>
      <c r="AC809" s="868"/>
      <c r="AD809" s="866"/>
      <c r="AE809" s="860"/>
      <c r="AF809" s="869"/>
      <c r="AG809" s="869"/>
      <c r="AH809" s="870"/>
      <c r="AI809" s="871"/>
      <c r="AJ809" s="870"/>
      <c r="AK809" s="870"/>
      <c r="AL809" s="860"/>
      <c r="AM809" s="860"/>
      <c r="AN809" s="860"/>
      <c r="AO809" s="860"/>
      <c r="AP809" s="860"/>
      <c r="AQ809" s="860"/>
      <c r="AR809" s="860"/>
      <c r="AS809" s="860"/>
      <c r="AT809" s="860"/>
      <c r="AU809" s="860"/>
      <c r="AV809" s="860"/>
      <c r="AW809" s="860"/>
      <c r="AX809" s="860"/>
      <c r="AY809" s="860"/>
      <c r="AZ809" s="860"/>
      <c r="BA809" s="860"/>
      <c r="BB809" s="860"/>
      <c r="BC809" s="860"/>
      <c r="BD809" s="860"/>
      <c r="BE809" s="860"/>
      <c r="BF809" s="860"/>
      <c r="BG809" s="860"/>
      <c r="BH809" s="860"/>
      <c r="BI809" s="860"/>
      <c r="BJ809" s="860"/>
      <c r="BK809" s="860"/>
      <c r="BL809" s="860"/>
      <c r="BM809" s="860"/>
      <c r="BN809" s="872"/>
      <c r="BO809" s="872"/>
      <c r="BP809" s="872"/>
      <c r="BQ809" s="872"/>
      <c r="BR809" s="872"/>
      <c r="BS809" s="872"/>
      <c r="BT809" s="860"/>
      <c r="BU809" s="860"/>
      <c r="BV809" s="860"/>
      <c r="BW809" s="860"/>
      <c r="BX809" s="872"/>
      <c r="BY809" s="872"/>
      <c r="BZ809" s="872"/>
      <c r="CA809" s="872"/>
      <c r="CB809" s="872"/>
      <c r="CC809" s="872"/>
    </row>
    <row r="810" s="860" customFormat="1" ht="13.5" spans="1:81">
      <c r="A810" s="861"/>
      <c r="B810" s="860"/>
      <c r="C810" s="860"/>
      <c r="D810" s="860"/>
      <c r="E810" s="862"/>
      <c r="F810" s="860"/>
      <c r="G810" s="860"/>
      <c r="H810" s="860"/>
      <c r="I810" s="860"/>
      <c r="J810" s="860"/>
      <c r="K810" s="860"/>
      <c r="L810" s="860"/>
      <c r="M810" s="860"/>
      <c r="N810" s="860"/>
      <c r="O810" s="860"/>
      <c r="P810" s="860"/>
      <c r="Q810" s="860"/>
      <c r="R810" s="860"/>
      <c r="S810" s="860"/>
      <c r="T810" s="860"/>
      <c r="U810" s="860"/>
      <c r="V810" s="860"/>
      <c r="W810" s="860"/>
      <c r="X810" s="864"/>
      <c r="Y810" s="865"/>
      <c r="Z810" s="865"/>
      <c r="AA810" s="866"/>
      <c r="AB810" s="867"/>
      <c r="AC810" s="868"/>
      <c r="AD810" s="866"/>
      <c r="AE810" s="860"/>
      <c r="AF810" s="869"/>
      <c r="AG810" s="869"/>
      <c r="AH810" s="870"/>
      <c r="AI810" s="871"/>
      <c r="AJ810" s="870"/>
      <c r="AK810" s="870"/>
      <c r="AL810" s="860"/>
      <c r="AM810" s="860"/>
      <c r="AN810" s="860"/>
      <c r="AO810" s="860"/>
      <c r="AP810" s="860"/>
      <c r="AQ810" s="860"/>
      <c r="AR810" s="860"/>
      <c r="AS810" s="860"/>
      <c r="AT810" s="860"/>
      <c r="AU810" s="860"/>
      <c r="AV810" s="860"/>
      <c r="AW810" s="860"/>
      <c r="AX810" s="860"/>
      <c r="AY810" s="860"/>
      <c r="AZ810" s="860"/>
      <c r="BA810" s="860"/>
      <c r="BB810" s="860"/>
      <c r="BC810" s="860"/>
      <c r="BD810" s="860"/>
      <c r="BE810" s="860"/>
      <c r="BF810" s="860"/>
      <c r="BG810" s="860"/>
      <c r="BH810" s="860"/>
      <c r="BI810" s="860"/>
      <c r="BJ810" s="860"/>
      <c r="BK810" s="860"/>
      <c r="BL810" s="860"/>
      <c r="BM810" s="860"/>
      <c r="BN810" s="872"/>
      <c r="BO810" s="872"/>
      <c r="BP810" s="872"/>
      <c r="BQ810" s="872"/>
      <c r="BR810" s="872"/>
      <c r="BS810" s="872"/>
      <c r="BT810" s="860"/>
      <c r="BU810" s="860"/>
      <c r="BV810" s="860"/>
      <c r="BW810" s="860"/>
      <c r="BX810" s="872"/>
      <c r="BY810" s="872"/>
      <c r="BZ810" s="872"/>
      <c r="CA810" s="872"/>
      <c r="CB810" s="872"/>
      <c r="CC810" s="872"/>
    </row>
    <row r="811" s="860" customFormat="1" ht="13.5" spans="1:81">
      <c r="A811" s="861"/>
      <c r="B811" s="860"/>
      <c r="C811" s="860"/>
      <c r="D811" s="860"/>
      <c r="E811" s="862"/>
      <c r="F811" s="860"/>
      <c r="G811" s="860"/>
      <c r="H811" s="860"/>
      <c r="I811" s="860"/>
      <c r="J811" s="860"/>
      <c r="K811" s="860"/>
      <c r="L811" s="860"/>
      <c r="M811" s="860"/>
      <c r="N811" s="860"/>
      <c r="O811" s="860"/>
      <c r="P811" s="860"/>
      <c r="Q811" s="860"/>
      <c r="R811" s="860"/>
      <c r="S811" s="860"/>
      <c r="T811" s="860"/>
      <c r="U811" s="860"/>
      <c r="V811" s="860"/>
      <c r="W811" s="860"/>
      <c r="X811" s="864"/>
      <c r="Y811" s="865"/>
      <c r="Z811" s="865"/>
      <c r="AA811" s="866"/>
      <c r="AB811" s="867"/>
      <c r="AC811" s="868"/>
      <c r="AD811" s="866"/>
      <c r="AE811" s="860"/>
      <c r="AF811" s="869"/>
      <c r="AG811" s="869"/>
      <c r="AH811" s="870"/>
      <c r="AI811" s="871"/>
      <c r="AJ811" s="870"/>
      <c r="AK811" s="870"/>
      <c r="AL811" s="860"/>
      <c r="AM811" s="860"/>
      <c r="AN811" s="860"/>
      <c r="AO811" s="860"/>
      <c r="AP811" s="860"/>
      <c r="AQ811" s="860"/>
      <c r="AR811" s="860"/>
      <c r="AS811" s="860"/>
      <c r="AT811" s="860"/>
      <c r="AU811" s="860"/>
      <c r="AV811" s="860"/>
      <c r="AW811" s="860"/>
      <c r="AX811" s="860"/>
      <c r="AY811" s="860"/>
      <c r="AZ811" s="860"/>
      <c r="BA811" s="860"/>
      <c r="BB811" s="860"/>
      <c r="BC811" s="860"/>
      <c r="BD811" s="860"/>
      <c r="BE811" s="860"/>
      <c r="BF811" s="860"/>
      <c r="BG811" s="860"/>
      <c r="BH811" s="860"/>
      <c r="BI811" s="860"/>
      <c r="BJ811" s="860"/>
      <c r="BK811" s="860"/>
      <c r="BL811" s="860"/>
      <c r="BM811" s="860"/>
      <c r="BN811" s="872"/>
      <c r="BO811" s="872"/>
      <c r="BP811" s="872"/>
      <c r="BQ811" s="872"/>
      <c r="BR811" s="872"/>
      <c r="BS811" s="872"/>
      <c r="BT811" s="860"/>
      <c r="BU811" s="860"/>
      <c r="BV811" s="860"/>
      <c r="BW811" s="860"/>
      <c r="BX811" s="872"/>
      <c r="BY811" s="872"/>
      <c r="BZ811" s="872"/>
      <c r="CA811" s="872"/>
      <c r="CB811" s="872"/>
      <c r="CC811" s="872"/>
    </row>
    <row r="812" s="860" customFormat="1" ht="13.5" spans="1:81">
      <c r="A812" s="861"/>
      <c r="B812" s="860"/>
      <c r="C812" s="860"/>
      <c r="D812" s="860"/>
      <c r="E812" s="862"/>
      <c r="F812" s="860"/>
      <c r="G812" s="860"/>
      <c r="H812" s="860"/>
      <c r="I812" s="860"/>
      <c r="J812" s="860"/>
      <c r="K812" s="860"/>
      <c r="L812" s="860"/>
      <c r="M812" s="860"/>
      <c r="N812" s="860"/>
      <c r="O812" s="860"/>
      <c r="P812" s="860"/>
      <c r="Q812" s="860"/>
      <c r="R812" s="860"/>
      <c r="S812" s="860"/>
      <c r="T812" s="860"/>
      <c r="U812" s="860"/>
      <c r="V812" s="860"/>
      <c r="W812" s="860"/>
      <c r="X812" s="864"/>
      <c r="Y812" s="865"/>
      <c r="Z812" s="865"/>
      <c r="AA812" s="866"/>
      <c r="AB812" s="867"/>
      <c r="AC812" s="868"/>
      <c r="AD812" s="866"/>
      <c r="AE812" s="860"/>
      <c r="AF812" s="869"/>
      <c r="AG812" s="869"/>
      <c r="AH812" s="870"/>
      <c r="AI812" s="871"/>
      <c r="AJ812" s="870"/>
      <c r="AK812" s="870"/>
      <c r="AL812" s="860"/>
      <c r="AM812" s="860"/>
      <c r="AN812" s="860"/>
      <c r="AO812" s="860"/>
      <c r="AP812" s="860"/>
      <c r="AQ812" s="860"/>
      <c r="AR812" s="860"/>
      <c r="AS812" s="860"/>
      <c r="AT812" s="860"/>
      <c r="AU812" s="860"/>
      <c r="AV812" s="860"/>
      <c r="AW812" s="860"/>
      <c r="AX812" s="860"/>
      <c r="AY812" s="860"/>
      <c r="AZ812" s="860"/>
      <c r="BA812" s="860"/>
      <c r="BB812" s="860"/>
      <c r="BC812" s="860"/>
      <c r="BD812" s="860"/>
      <c r="BE812" s="860"/>
      <c r="BF812" s="860"/>
      <c r="BG812" s="860"/>
      <c r="BH812" s="860"/>
      <c r="BI812" s="860"/>
      <c r="BJ812" s="860"/>
      <c r="BK812" s="860"/>
      <c r="BL812" s="860"/>
      <c r="BM812" s="860"/>
      <c r="BN812" s="872"/>
      <c r="BO812" s="872"/>
      <c r="BP812" s="872"/>
      <c r="BQ812" s="872"/>
      <c r="BR812" s="872"/>
      <c r="BS812" s="872"/>
      <c r="BT812" s="860"/>
      <c r="BU812" s="860"/>
      <c r="BV812" s="860"/>
      <c r="BW812" s="860"/>
      <c r="BX812" s="872"/>
      <c r="BY812" s="872"/>
      <c r="BZ812" s="872"/>
      <c r="CA812" s="872"/>
      <c r="CB812" s="872"/>
      <c r="CC812" s="872"/>
    </row>
    <row r="813" s="860" customFormat="1" ht="13.5" spans="1:81">
      <c r="A813" s="861"/>
      <c r="B813" s="860"/>
      <c r="C813" s="860"/>
      <c r="D813" s="860"/>
      <c r="E813" s="862"/>
      <c r="F813" s="860"/>
      <c r="G813" s="860"/>
      <c r="H813" s="860"/>
      <c r="I813" s="860"/>
      <c r="J813" s="860"/>
      <c r="K813" s="860"/>
      <c r="L813" s="860"/>
      <c r="M813" s="860"/>
      <c r="N813" s="860"/>
      <c r="O813" s="860"/>
      <c r="P813" s="860"/>
      <c r="Q813" s="860"/>
      <c r="R813" s="860"/>
      <c r="S813" s="860"/>
      <c r="T813" s="860"/>
      <c r="U813" s="860"/>
      <c r="V813" s="860"/>
      <c r="W813" s="860"/>
      <c r="X813" s="864"/>
      <c r="Y813" s="865"/>
      <c r="Z813" s="865"/>
      <c r="AA813" s="866"/>
      <c r="AB813" s="867"/>
      <c r="AC813" s="868"/>
      <c r="AD813" s="866"/>
      <c r="AE813" s="860"/>
      <c r="AF813" s="869"/>
      <c r="AG813" s="869"/>
      <c r="AH813" s="870"/>
      <c r="AI813" s="871"/>
      <c r="AJ813" s="870"/>
      <c r="AK813" s="870"/>
      <c r="AL813" s="860"/>
      <c r="AM813" s="860"/>
      <c r="AN813" s="860"/>
      <c r="AO813" s="860"/>
      <c r="AP813" s="860"/>
      <c r="AQ813" s="860"/>
      <c r="AR813" s="860"/>
      <c r="AS813" s="860"/>
      <c r="AT813" s="860"/>
      <c r="AU813" s="860"/>
      <c r="AV813" s="860"/>
      <c r="AW813" s="860"/>
      <c r="AX813" s="860"/>
      <c r="AY813" s="860"/>
      <c r="AZ813" s="860"/>
      <c r="BA813" s="860"/>
      <c r="BB813" s="860"/>
      <c r="BC813" s="860"/>
      <c r="BD813" s="860"/>
      <c r="BE813" s="860"/>
      <c r="BF813" s="860"/>
      <c r="BG813" s="860"/>
      <c r="BH813" s="860"/>
      <c r="BI813" s="860"/>
      <c r="BJ813" s="860"/>
      <c r="BK813" s="860"/>
      <c r="BL813" s="860"/>
      <c r="BM813" s="860"/>
      <c r="BN813" s="872"/>
      <c r="BO813" s="872"/>
      <c r="BP813" s="872"/>
      <c r="BQ813" s="872"/>
      <c r="BR813" s="872"/>
      <c r="BS813" s="872"/>
      <c r="BT813" s="860"/>
      <c r="BU813" s="860"/>
      <c r="BV813" s="860"/>
      <c r="BW813" s="860"/>
      <c r="BX813" s="872"/>
      <c r="BY813" s="872"/>
      <c r="BZ813" s="872"/>
      <c r="CA813" s="872"/>
      <c r="CB813" s="872"/>
      <c r="CC813" s="872"/>
    </row>
    <row r="814" s="860" customFormat="1" ht="13.5" spans="1:81">
      <c r="A814" s="861"/>
      <c r="B814" s="860"/>
      <c r="C814" s="860"/>
      <c r="D814" s="860"/>
      <c r="E814" s="862"/>
      <c r="F814" s="860"/>
      <c r="G814" s="860"/>
      <c r="H814" s="860"/>
      <c r="I814" s="860"/>
      <c r="J814" s="860"/>
      <c r="K814" s="860"/>
      <c r="L814" s="860"/>
      <c r="M814" s="860"/>
      <c r="N814" s="860"/>
      <c r="O814" s="860"/>
      <c r="P814" s="860"/>
      <c r="Q814" s="860"/>
      <c r="R814" s="860"/>
      <c r="S814" s="860"/>
      <c r="T814" s="860"/>
      <c r="U814" s="860"/>
      <c r="V814" s="860"/>
      <c r="W814" s="860"/>
      <c r="X814" s="864"/>
      <c r="Y814" s="865"/>
      <c r="Z814" s="865"/>
      <c r="AA814" s="866"/>
      <c r="AB814" s="867"/>
      <c r="AC814" s="868"/>
      <c r="AD814" s="866"/>
      <c r="AE814" s="860"/>
      <c r="AF814" s="869"/>
      <c r="AG814" s="869"/>
      <c r="AH814" s="870"/>
      <c r="AI814" s="871"/>
      <c r="AJ814" s="870"/>
      <c r="AK814" s="870"/>
      <c r="AL814" s="860"/>
      <c r="AM814" s="860"/>
      <c r="AN814" s="860"/>
      <c r="AO814" s="860"/>
      <c r="AP814" s="860"/>
      <c r="AQ814" s="860"/>
      <c r="AR814" s="860"/>
      <c r="AS814" s="860"/>
      <c r="AT814" s="860"/>
      <c r="AU814" s="860"/>
      <c r="AV814" s="860"/>
      <c r="AW814" s="860"/>
      <c r="AX814" s="860"/>
      <c r="AY814" s="860"/>
      <c r="AZ814" s="860"/>
      <c r="BA814" s="860"/>
      <c r="BB814" s="860"/>
      <c r="BC814" s="860"/>
      <c r="BD814" s="860"/>
      <c r="BE814" s="860"/>
      <c r="BF814" s="860"/>
      <c r="BG814" s="860"/>
      <c r="BH814" s="860"/>
      <c r="BI814" s="860"/>
      <c r="BJ814" s="860"/>
      <c r="BK814" s="860"/>
      <c r="BL814" s="860"/>
      <c r="BM814" s="860"/>
      <c r="BN814" s="872"/>
      <c r="BO814" s="872"/>
      <c r="BP814" s="872"/>
      <c r="BQ814" s="872"/>
      <c r="BR814" s="872"/>
      <c r="BS814" s="872"/>
      <c r="BT814" s="860"/>
      <c r="BU814" s="860"/>
      <c r="BV814" s="860"/>
      <c r="BW814" s="860"/>
      <c r="BX814" s="872"/>
      <c r="BY814" s="872"/>
      <c r="BZ814" s="872"/>
      <c r="CA814" s="872"/>
      <c r="CB814" s="872"/>
      <c r="CC814" s="872"/>
    </row>
    <row r="815" s="860" customFormat="1" ht="13.5" spans="1:81">
      <c r="A815" s="861"/>
      <c r="B815" s="860"/>
      <c r="C815" s="860"/>
      <c r="D815" s="860"/>
      <c r="E815" s="862"/>
      <c r="F815" s="860"/>
      <c r="G815" s="860"/>
      <c r="H815" s="860"/>
      <c r="I815" s="860"/>
      <c r="J815" s="860"/>
      <c r="K815" s="860"/>
      <c r="L815" s="860"/>
      <c r="M815" s="860"/>
      <c r="N815" s="860"/>
      <c r="O815" s="860"/>
      <c r="P815" s="860"/>
      <c r="Q815" s="860"/>
      <c r="R815" s="860"/>
      <c r="S815" s="860"/>
      <c r="T815" s="860"/>
      <c r="U815" s="860"/>
      <c r="V815" s="860"/>
      <c r="W815" s="860"/>
      <c r="X815" s="864"/>
      <c r="Y815" s="865"/>
      <c r="Z815" s="865"/>
      <c r="AA815" s="866"/>
      <c r="AB815" s="867"/>
      <c r="AC815" s="868"/>
      <c r="AD815" s="866"/>
      <c r="AE815" s="860"/>
      <c r="AF815" s="869"/>
      <c r="AG815" s="869"/>
      <c r="AH815" s="870"/>
      <c r="AI815" s="871"/>
      <c r="AJ815" s="870"/>
      <c r="AK815" s="870"/>
      <c r="AL815" s="860"/>
      <c r="AM815" s="860"/>
      <c r="AN815" s="860"/>
      <c r="AO815" s="860"/>
      <c r="AP815" s="860"/>
      <c r="AQ815" s="860"/>
      <c r="AR815" s="860"/>
      <c r="AS815" s="860"/>
      <c r="AT815" s="860"/>
      <c r="AU815" s="860"/>
      <c r="AV815" s="860"/>
      <c r="AW815" s="860"/>
      <c r="AX815" s="860"/>
      <c r="AY815" s="860"/>
      <c r="AZ815" s="860"/>
      <c r="BA815" s="860"/>
      <c r="BB815" s="860"/>
      <c r="BC815" s="860"/>
      <c r="BD815" s="860"/>
      <c r="BE815" s="860"/>
      <c r="BF815" s="860"/>
      <c r="BG815" s="860"/>
      <c r="BH815" s="860"/>
      <c r="BI815" s="860"/>
      <c r="BJ815" s="860"/>
      <c r="BK815" s="860"/>
      <c r="BL815" s="860"/>
      <c r="BM815" s="860"/>
      <c r="BN815" s="872"/>
      <c r="BO815" s="872"/>
      <c r="BP815" s="872"/>
      <c r="BQ815" s="872"/>
      <c r="BR815" s="872"/>
      <c r="BS815" s="872"/>
      <c r="BT815" s="860"/>
      <c r="BU815" s="860"/>
      <c r="BV815" s="860"/>
      <c r="BW815" s="860"/>
      <c r="BX815" s="872"/>
      <c r="BY815" s="872"/>
      <c r="BZ815" s="872"/>
      <c r="CA815" s="872"/>
      <c r="CB815" s="872"/>
      <c r="CC815" s="872"/>
    </row>
    <row r="816" s="860" customFormat="1" ht="13.5" spans="1:81">
      <c r="A816" s="861"/>
      <c r="B816" s="860"/>
      <c r="C816" s="860"/>
      <c r="D816" s="860"/>
      <c r="E816" s="862"/>
      <c r="F816" s="860"/>
      <c r="G816" s="860"/>
      <c r="H816" s="860"/>
      <c r="I816" s="860"/>
      <c r="J816" s="860"/>
      <c r="K816" s="860"/>
      <c r="L816" s="860"/>
      <c r="M816" s="860"/>
      <c r="N816" s="860"/>
      <c r="O816" s="860"/>
      <c r="P816" s="860"/>
      <c r="Q816" s="860"/>
      <c r="R816" s="860"/>
      <c r="S816" s="860"/>
      <c r="T816" s="860"/>
      <c r="U816" s="860"/>
      <c r="V816" s="860"/>
      <c r="W816" s="860"/>
      <c r="X816" s="864"/>
      <c r="Y816" s="865"/>
      <c r="Z816" s="865"/>
      <c r="AA816" s="866"/>
      <c r="AB816" s="867"/>
      <c r="AC816" s="868"/>
      <c r="AD816" s="866"/>
      <c r="AE816" s="860"/>
      <c r="AF816" s="869"/>
      <c r="AG816" s="869"/>
      <c r="AH816" s="870"/>
      <c r="AI816" s="871"/>
      <c r="AJ816" s="870"/>
      <c r="AK816" s="870"/>
      <c r="AL816" s="860"/>
      <c r="AM816" s="860"/>
      <c r="AN816" s="860"/>
      <c r="AO816" s="860"/>
      <c r="AP816" s="860"/>
      <c r="AQ816" s="860"/>
      <c r="AR816" s="860"/>
      <c r="AS816" s="860"/>
      <c r="AT816" s="860"/>
      <c r="AU816" s="860"/>
      <c r="AV816" s="860"/>
      <c r="AW816" s="860"/>
      <c r="AX816" s="860"/>
      <c r="AY816" s="860"/>
      <c r="AZ816" s="860"/>
      <c r="BA816" s="860"/>
      <c r="BB816" s="860"/>
      <c r="BC816" s="860"/>
      <c r="BD816" s="860"/>
      <c r="BE816" s="860"/>
      <c r="BF816" s="860"/>
      <c r="BG816" s="860"/>
      <c r="BH816" s="860"/>
      <c r="BI816" s="860"/>
      <c r="BJ816" s="860"/>
      <c r="BK816" s="860"/>
      <c r="BL816" s="860"/>
      <c r="BM816" s="860"/>
      <c r="BN816" s="872"/>
      <c r="BO816" s="872"/>
      <c r="BP816" s="872"/>
      <c r="BQ816" s="872"/>
      <c r="BR816" s="872"/>
      <c r="BS816" s="872"/>
      <c r="BT816" s="860"/>
      <c r="BU816" s="860"/>
      <c r="BV816" s="860"/>
      <c r="BW816" s="860"/>
      <c r="BX816" s="872"/>
      <c r="BY816" s="872"/>
      <c r="BZ816" s="872"/>
      <c r="CA816" s="872"/>
      <c r="CB816" s="872"/>
      <c r="CC816" s="872"/>
    </row>
    <row r="817" s="860" customFormat="1" ht="13.5" spans="1:81">
      <c r="A817" s="861"/>
      <c r="B817" s="860"/>
      <c r="C817" s="860"/>
      <c r="D817" s="860"/>
      <c r="E817" s="862"/>
      <c r="F817" s="860"/>
      <c r="G817" s="860"/>
      <c r="H817" s="860"/>
      <c r="I817" s="860"/>
      <c r="J817" s="860"/>
      <c r="K817" s="860"/>
      <c r="L817" s="860"/>
      <c r="M817" s="860"/>
      <c r="N817" s="860"/>
      <c r="O817" s="860"/>
      <c r="P817" s="860"/>
      <c r="Q817" s="860"/>
      <c r="R817" s="860"/>
      <c r="S817" s="860"/>
      <c r="T817" s="860"/>
      <c r="U817" s="860"/>
      <c r="V817" s="860"/>
      <c r="W817" s="860"/>
      <c r="X817" s="864"/>
      <c r="Y817" s="865"/>
      <c r="Z817" s="865"/>
      <c r="AA817" s="866"/>
      <c r="AB817" s="867"/>
      <c r="AC817" s="868"/>
      <c r="AD817" s="866"/>
      <c r="AE817" s="860"/>
      <c r="AF817" s="869"/>
      <c r="AG817" s="869"/>
      <c r="AH817" s="870"/>
      <c r="AI817" s="871"/>
      <c r="AJ817" s="870"/>
      <c r="AK817" s="870"/>
      <c r="AL817" s="860"/>
      <c r="AM817" s="860"/>
      <c r="AN817" s="860"/>
      <c r="AO817" s="860"/>
      <c r="AP817" s="860"/>
      <c r="AQ817" s="860"/>
      <c r="AR817" s="860"/>
      <c r="AS817" s="860"/>
      <c r="AT817" s="860"/>
      <c r="AU817" s="860"/>
      <c r="AV817" s="860"/>
      <c r="AW817" s="860"/>
      <c r="AX817" s="860"/>
      <c r="AY817" s="860"/>
      <c r="AZ817" s="860"/>
      <c r="BA817" s="860"/>
      <c r="BB817" s="860"/>
      <c r="BC817" s="860"/>
      <c r="BD817" s="860"/>
      <c r="BE817" s="860"/>
      <c r="BF817" s="860"/>
      <c r="BG817" s="860"/>
      <c r="BH817" s="860"/>
      <c r="BI817" s="860"/>
      <c r="BJ817" s="860"/>
      <c r="BK817" s="860"/>
      <c r="BL817" s="860"/>
      <c r="BM817" s="860"/>
      <c r="BN817" s="872"/>
      <c r="BO817" s="872"/>
      <c r="BP817" s="872"/>
      <c r="BQ817" s="872"/>
      <c r="BR817" s="872"/>
      <c r="BS817" s="872"/>
      <c r="BT817" s="860"/>
      <c r="BU817" s="860"/>
      <c r="BV817" s="860"/>
      <c r="BW817" s="860"/>
      <c r="BX817" s="872"/>
      <c r="BY817" s="872"/>
      <c r="BZ817" s="872"/>
      <c r="CA817" s="872"/>
      <c r="CB817" s="872"/>
      <c r="CC817" s="872"/>
    </row>
    <row r="818" s="860" customFormat="1" ht="13.5" spans="1:81">
      <c r="A818" s="861"/>
      <c r="B818" s="860"/>
      <c r="C818" s="860"/>
      <c r="D818" s="860"/>
      <c r="E818" s="862"/>
      <c r="F818" s="860"/>
      <c r="G818" s="860"/>
      <c r="H818" s="860"/>
      <c r="I818" s="860"/>
      <c r="J818" s="860"/>
      <c r="K818" s="860"/>
      <c r="L818" s="860"/>
      <c r="M818" s="860"/>
      <c r="N818" s="860"/>
      <c r="O818" s="860"/>
      <c r="P818" s="860"/>
      <c r="Q818" s="860"/>
      <c r="R818" s="860"/>
      <c r="S818" s="860"/>
      <c r="T818" s="860"/>
      <c r="U818" s="860"/>
      <c r="V818" s="860"/>
      <c r="W818" s="860"/>
      <c r="X818" s="864"/>
      <c r="Y818" s="865"/>
      <c r="Z818" s="865"/>
      <c r="AA818" s="866"/>
      <c r="AB818" s="867"/>
      <c r="AC818" s="868"/>
      <c r="AD818" s="866"/>
      <c r="AE818" s="860"/>
      <c r="AF818" s="869"/>
      <c r="AG818" s="869"/>
      <c r="AH818" s="870"/>
      <c r="AI818" s="871"/>
      <c r="AJ818" s="870"/>
      <c r="AK818" s="870"/>
      <c r="AL818" s="860"/>
      <c r="AM818" s="860"/>
      <c r="AN818" s="860"/>
      <c r="AO818" s="860"/>
      <c r="AP818" s="860"/>
      <c r="AQ818" s="860"/>
      <c r="AR818" s="860"/>
      <c r="AS818" s="860"/>
      <c r="AT818" s="860"/>
      <c r="AU818" s="860"/>
      <c r="AV818" s="860"/>
      <c r="AW818" s="860"/>
      <c r="AX818" s="860"/>
      <c r="AY818" s="860"/>
      <c r="AZ818" s="860"/>
      <c r="BA818" s="860"/>
      <c r="BB818" s="860"/>
      <c r="BC818" s="860"/>
      <c r="BD818" s="860"/>
      <c r="BE818" s="860"/>
      <c r="BF818" s="860"/>
      <c r="BG818" s="860"/>
      <c r="BH818" s="860"/>
      <c r="BI818" s="860"/>
      <c r="BJ818" s="860"/>
      <c r="BK818" s="860"/>
      <c r="BL818" s="860"/>
      <c r="BM818" s="860"/>
      <c r="BN818" s="872"/>
      <c r="BO818" s="872"/>
      <c r="BP818" s="872"/>
      <c r="BQ818" s="872"/>
      <c r="BR818" s="872"/>
      <c r="BS818" s="872"/>
      <c r="BT818" s="860"/>
      <c r="BU818" s="860"/>
      <c r="BV818" s="860"/>
      <c r="BW818" s="860"/>
      <c r="BX818" s="872"/>
      <c r="BY818" s="872"/>
      <c r="BZ818" s="872"/>
      <c r="CA818" s="872"/>
      <c r="CB818" s="872"/>
      <c r="CC818" s="872"/>
    </row>
    <row r="819" s="860" customFormat="1" ht="13.5" spans="1:81">
      <c r="A819" s="861"/>
      <c r="B819" s="860"/>
      <c r="C819" s="860"/>
      <c r="D819" s="860"/>
      <c r="E819" s="862"/>
      <c r="F819" s="860"/>
      <c r="G819" s="860"/>
      <c r="H819" s="860"/>
      <c r="I819" s="860"/>
      <c r="J819" s="860"/>
      <c r="K819" s="860"/>
      <c r="L819" s="860"/>
      <c r="M819" s="860"/>
      <c r="N819" s="860"/>
      <c r="O819" s="860"/>
      <c r="P819" s="860"/>
      <c r="Q819" s="860"/>
      <c r="R819" s="860"/>
      <c r="S819" s="860"/>
      <c r="T819" s="860"/>
      <c r="U819" s="860"/>
      <c r="V819" s="860"/>
      <c r="W819" s="860"/>
      <c r="X819" s="864"/>
      <c r="Y819" s="865"/>
      <c r="Z819" s="865"/>
      <c r="AA819" s="866"/>
      <c r="AB819" s="867"/>
      <c r="AC819" s="868"/>
      <c r="AD819" s="866"/>
      <c r="AE819" s="860"/>
      <c r="AF819" s="869"/>
      <c r="AG819" s="869"/>
      <c r="AH819" s="870"/>
      <c r="AI819" s="871"/>
      <c r="AJ819" s="870"/>
      <c r="AK819" s="870"/>
      <c r="AL819" s="860"/>
      <c r="AM819" s="860"/>
      <c r="AN819" s="860"/>
      <c r="AO819" s="860"/>
      <c r="AP819" s="860"/>
      <c r="AQ819" s="860"/>
      <c r="AR819" s="860"/>
      <c r="AS819" s="860"/>
      <c r="AT819" s="860"/>
      <c r="AU819" s="860"/>
      <c r="AV819" s="860"/>
      <c r="AW819" s="860"/>
      <c r="AX819" s="860"/>
      <c r="AY819" s="860"/>
      <c r="AZ819" s="860"/>
      <c r="BA819" s="860"/>
      <c r="BB819" s="860"/>
      <c r="BC819" s="860"/>
      <c r="BD819" s="860"/>
      <c r="BE819" s="860"/>
      <c r="BF819" s="860"/>
      <c r="BG819" s="860"/>
      <c r="BH819" s="860"/>
      <c r="BI819" s="860"/>
      <c r="BJ819" s="860"/>
      <c r="BK819" s="860"/>
      <c r="BL819" s="860"/>
      <c r="BM819" s="860"/>
      <c r="BN819" s="872"/>
      <c r="BO819" s="872"/>
      <c r="BP819" s="872"/>
      <c r="BQ819" s="872"/>
      <c r="BR819" s="872"/>
      <c r="BS819" s="872"/>
      <c r="BT819" s="860"/>
      <c r="BU819" s="860"/>
      <c r="BV819" s="860"/>
      <c r="BW819" s="860"/>
      <c r="BX819" s="872"/>
      <c r="BY819" s="872"/>
      <c r="BZ819" s="872"/>
      <c r="CA819" s="872"/>
      <c r="CB819" s="872"/>
      <c r="CC819" s="872"/>
    </row>
    <row r="820" s="860" customFormat="1" ht="13.5" spans="1:81">
      <c r="A820" s="861"/>
      <c r="B820" s="860"/>
      <c r="C820" s="860"/>
      <c r="D820" s="860"/>
      <c r="E820" s="862"/>
      <c r="F820" s="860"/>
      <c r="G820" s="860"/>
      <c r="H820" s="860"/>
      <c r="I820" s="860"/>
      <c r="J820" s="860"/>
      <c r="K820" s="860"/>
      <c r="L820" s="860"/>
      <c r="M820" s="860"/>
      <c r="N820" s="860"/>
      <c r="O820" s="860"/>
      <c r="P820" s="860"/>
      <c r="Q820" s="860"/>
      <c r="R820" s="860"/>
      <c r="S820" s="860"/>
      <c r="T820" s="860"/>
      <c r="U820" s="860"/>
      <c r="V820" s="860"/>
      <c r="W820" s="860"/>
      <c r="X820" s="864"/>
      <c r="Y820" s="865"/>
      <c r="Z820" s="865"/>
      <c r="AA820" s="866"/>
      <c r="AB820" s="867"/>
      <c r="AC820" s="868"/>
      <c r="AD820" s="866"/>
      <c r="AE820" s="860"/>
      <c r="AF820" s="869"/>
      <c r="AG820" s="869"/>
      <c r="AH820" s="870"/>
      <c r="AI820" s="871"/>
      <c r="AJ820" s="870"/>
      <c r="AK820" s="870"/>
      <c r="AL820" s="860"/>
      <c r="AM820" s="860"/>
      <c r="AN820" s="860"/>
      <c r="AO820" s="860"/>
      <c r="AP820" s="860"/>
      <c r="AQ820" s="860"/>
      <c r="AR820" s="860"/>
      <c r="AS820" s="860"/>
      <c r="AT820" s="860"/>
      <c r="AU820" s="860"/>
      <c r="AV820" s="860"/>
      <c r="AW820" s="860"/>
      <c r="AX820" s="860"/>
      <c r="AY820" s="860"/>
      <c r="AZ820" s="860"/>
      <c r="BA820" s="860"/>
      <c r="BB820" s="860"/>
      <c r="BC820" s="860"/>
      <c r="BD820" s="860"/>
      <c r="BE820" s="860"/>
      <c r="BF820" s="860"/>
      <c r="BG820" s="860"/>
      <c r="BH820" s="860"/>
      <c r="BI820" s="860"/>
      <c r="BJ820" s="860"/>
      <c r="BK820" s="860"/>
      <c r="BL820" s="860"/>
      <c r="BM820" s="860"/>
      <c r="BN820" s="872"/>
      <c r="BO820" s="872"/>
      <c r="BP820" s="872"/>
      <c r="BQ820" s="872"/>
      <c r="BR820" s="872"/>
      <c r="BS820" s="872"/>
      <c r="BT820" s="860"/>
      <c r="BU820" s="860"/>
      <c r="BV820" s="860"/>
      <c r="BW820" s="860"/>
      <c r="BX820" s="872"/>
      <c r="BY820" s="872"/>
      <c r="BZ820" s="872"/>
      <c r="CA820" s="872"/>
      <c r="CB820" s="872"/>
      <c r="CC820" s="872"/>
    </row>
    <row r="821" s="860" customFormat="1" ht="13.5" spans="1:81">
      <c r="A821" s="861"/>
      <c r="B821" s="860"/>
      <c r="C821" s="860"/>
      <c r="D821" s="860"/>
      <c r="E821" s="862"/>
      <c r="F821" s="860"/>
      <c r="G821" s="860"/>
      <c r="H821" s="860"/>
      <c r="I821" s="860"/>
      <c r="J821" s="860"/>
      <c r="K821" s="860"/>
      <c r="L821" s="860"/>
      <c r="M821" s="860"/>
      <c r="N821" s="860"/>
      <c r="O821" s="860"/>
      <c r="P821" s="860"/>
      <c r="Q821" s="860"/>
      <c r="R821" s="860"/>
      <c r="S821" s="860"/>
      <c r="T821" s="860"/>
      <c r="U821" s="860"/>
      <c r="V821" s="860"/>
      <c r="W821" s="860"/>
      <c r="X821" s="864"/>
      <c r="Y821" s="865"/>
      <c r="Z821" s="865"/>
      <c r="AA821" s="866"/>
      <c r="AB821" s="867"/>
      <c r="AC821" s="868"/>
      <c r="AD821" s="866"/>
      <c r="AE821" s="860"/>
      <c r="AF821" s="869"/>
      <c r="AG821" s="869"/>
      <c r="AH821" s="870"/>
      <c r="AI821" s="871"/>
      <c r="AJ821" s="870"/>
      <c r="AK821" s="870"/>
      <c r="AL821" s="860"/>
      <c r="AM821" s="860"/>
      <c r="AN821" s="860"/>
      <c r="AO821" s="860"/>
      <c r="AP821" s="860"/>
      <c r="AQ821" s="860"/>
      <c r="AR821" s="860"/>
      <c r="AS821" s="860"/>
      <c r="AT821" s="860"/>
      <c r="AU821" s="860"/>
      <c r="AV821" s="860"/>
      <c r="AW821" s="860"/>
      <c r="AX821" s="860"/>
      <c r="AY821" s="860"/>
      <c r="AZ821" s="860"/>
      <c r="BA821" s="860"/>
      <c r="BB821" s="860"/>
      <c r="BC821" s="860"/>
      <c r="BD821" s="860"/>
      <c r="BE821" s="860"/>
      <c r="BF821" s="860"/>
      <c r="BG821" s="860"/>
      <c r="BH821" s="860"/>
      <c r="BI821" s="860"/>
      <c r="BJ821" s="860"/>
      <c r="BK821" s="860"/>
      <c r="BL821" s="860"/>
      <c r="BM821" s="860"/>
      <c r="BN821" s="872"/>
      <c r="BO821" s="872"/>
      <c r="BP821" s="872"/>
      <c r="BQ821" s="872"/>
      <c r="BR821" s="872"/>
      <c r="BS821" s="872"/>
      <c r="BT821" s="860"/>
      <c r="BU821" s="860"/>
      <c r="BV821" s="860"/>
      <c r="BW821" s="860"/>
      <c r="BX821" s="872"/>
      <c r="BY821" s="872"/>
      <c r="BZ821" s="872"/>
      <c r="CA821" s="872"/>
      <c r="CB821" s="872"/>
      <c r="CC821" s="872"/>
    </row>
    <row r="822" s="860" customFormat="1" ht="13.5" spans="1:81">
      <c r="A822" s="861"/>
      <c r="B822" s="860"/>
      <c r="C822" s="860"/>
      <c r="D822" s="860"/>
      <c r="E822" s="862"/>
      <c r="F822" s="860"/>
      <c r="G822" s="860"/>
      <c r="H822" s="860"/>
      <c r="I822" s="860"/>
      <c r="J822" s="860"/>
      <c r="K822" s="860"/>
      <c r="L822" s="860"/>
      <c r="M822" s="860"/>
      <c r="N822" s="860"/>
      <c r="O822" s="860"/>
      <c r="P822" s="860"/>
      <c r="Q822" s="860"/>
      <c r="R822" s="860"/>
      <c r="S822" s="860"/>
      <c r="T822" s="860"/>
      <c r="U822" s="860"/>
      <c r="V822" s="860"/>
      <c r="W822" s="860"/>
      <c r="X822" s="864"/>
      <c r="Y822" s="865"/>
      <c r="Z822" s="865"/>
      <c r="AA822" s="866"/>
      <c r="AB822" s="867"/>
      <c r="AC822" s="868"/>
      <c r="AD822" s="866"/>
      <c r="AE822" s="860"/>
      <c r="AF822" s="869"/>
      <c r="AG822" s="869"/>
      <c r="AH822" s="870"/>
      <c r="AI822" s="871"/>
      <c r="AJ822" s="870"/>
      <c r="AK822" s="870"/>
      <c r="AL822" s="860"/>
      <c r="AM822" s="860"/>
      <c r="AN822" s="860"/>
      <c r="AO822" s="860"/>
      <c r="AP822" s="860"/>
      <c r="AQ822" s="860"/>
      <c r="AR822" s="860"/>
      <c r="AS822" s="860"/>
      <c r="AT822" s="860"/>
      <c r="AU822" s="860"/>
      <c r="AV822" s="860"/>
      <c r="AW822" s="860"/>
      <c r="AX822" s="860"/>
      <c r="AY822" s="860"/>
      <c r="AZ822" s="860"/>
      <c r="BA822" s="860"/>
      <c r="BB822" s="860"/>
      <c r="BC822" s="860"/>
      <c r="BD822" s="860"/>
      <c r="BE822" s="860"/>
      <c r="BF822" s="860"/>
      <c r="BG822" s="860"/>
      <c r="BH822" s="860"/>
      <c r="BI822" s="860"/>
      <c r="BJ822" s="860"/>
      <c r="BK822" s="860"/>
      <c r="BL822" s="860"/>
      <c r="BM822" s="860"/>
      <c r="BN822" s="872"/>
      <c r="BO822" s="872"/>
      <c r="BP822" s="872"/>
      <c r="BQ822" s="872"/>
      <c r="BR822" s="872"/>
      <c r="BS822" s="872"/>
      <c r="BT822" s="860"/>
      <c r="BU822" s="860"/>
      <c r="BV822" s="860"/>
      <c r="BW822" s="860"/>
      <c r="BX822" s="872"/>
      <c r="BY822" s="872"/>
      <c r="BZ822" s="872"/>
      <c r="CA822" s="872"/>
      <c r="CB822" s="872"/>
      <c r="CC822" s="872"/>
    </row>
    <row r="823" s="860" customFormat="1" ht="13.5" spans="1:81">
      <c r="A823" s="861"/>
      <c r="B823" s="860"/>
      <c r="C823" s="860"/>
      <c r="D823" s="860"/>
      <c r="E823" s="862"/>
      <c r="F823" s="860"/>
      <c r="G823" s="860"/>
      <c r="H823" s="860"/>
      <c r="I823" s="860"/>
      <c r="J823" s="860"/>
      <c r="K823" s="860"/>
      <c r="L823" s="860"/>
      <c r="M823" s="860"/>
      <c r="N823" s="860"/>
      <c r="O823" s="860"/>
      <c r="P823" s="860"/>
      <c r="Q823" s="860"/>
      <c r="R823" s="860"/>
      <c r="S823" s="860"/>
      <c r="T823" s="860"/>
      <c r="U823" s="860"/>
      <c r="V823" s="860"/>
      <c r="W823" s="860"/>
      <c r="X823" s="864"/>
      <c r="Y823" s="865"/>
      <c r="Z823" s="865"/>
      <c r="AA823" s="866"/>
      <c r="AB823" s="867"/>
      <c r="AC823" s="868"/>
      <c r="AD823" s="866"/>
      <c r="AE823" s="860"/>
      <c r="AF823" s="869"/>
      <c r="AG823" s="869"/>
      <c r="AH823" s="870"/>
      <c r="AI823" s="871"/>
      <c r="AJ823" s="870"/>
      <c r="AK823" s="870"/>
      <c r="AL823" s="860"/>
      <c r="AM823" s="860"/>
      <c r="AN823" s="860"/>
      <c r="AO823" s="860"/>
      <c r="AP823" s="860"/>
      <c r="AQ823" s="860"/>
      <c r="AR823" s="860"/>
      <c r="AS823" s="860"/>
      <c r="AT823" s="860"/>
      <c r="AU823" s="860"/>
      <c r="AV823" s="860"/>
      <c r="AW823" s="860"/>
      <c r="AX823" s="860"/>
      <c r="AY823" s="860"/>
      <c r="AZ823" s="860"/>
      <c r="BA823" s="860"/>
      <c r="BB823" s="860"/>
      <c r="BC823" s="860"/>
      <c r="BD823" s="860"/>
      <c r="BE823" s="860"/>
      <c r="BF823" s="860"/>
      <c r="BG823" s="860"/>
      <c r="BH823" s="860"/>
      <c r="BI823" s="860"/>
      <c r="BJ823" s="860"/>
      <c r="BK823" s="860"/>
      <c r="BL823" s="860"/>
      <c r="BM823" s="860"/>
      <c r="BN823" s="872"/>
      <c r="BO823" s="872"/>
      <c r="BP823" s="872"/>
      <c r="BQ823" s="872"/>
      <c r="BR823" s="872"/>
      <c r="BS823" s="872"/>
      <c r="BT823" s="860"/>
      <c r="BU823" s="860"/>
      <c r="BV823" s="860"/>
      <c r="BW823" s="860"/>
      <c r="BX823" s="872"/>
      <c r="BY823" s="872"/>
      <c r="BZ823" s="872"/>
      <c r="CA823" s="872"/>
      <c r="CB823" s="872"/>
      <c r="CC823" s="872"/>
    </row>
    <row r="824" s="860" customFormat="1" ht="13.5" spans="1:81">
      <c r="A824" s="861"/>
      <c r="B824" s="860"/>
      <c r="C824" s="860"/>
      <c r="D824" s="860"/>
      <c r="E824" s="862"/>
      <c r="F824" s="860"/>
      <c r="G824" s="860"/>
      <c r="H824" s="860"/>
      <c r="I824" s="860"/>
      <c r="J824" s="860"/>
      <c r="K824" s="860"/>
      <c r="L824" s="860"/>
      <c r="M824" s="860"/>
      <c r="N824" s="860"/>
      <c r="O824" s="860"/>
      <c r="P824" s="860"/>
      <c r="Q824" s="860"/>
      <c r="R824" s="860"/>
      <c r="S824" s="860"/>
      <c r="T824" s="860"/>
      <c r="U824" s="860"/>
      <c r="V824" s="860"/>
      <c r="W824" s="860"/>
      <c r="X824" s="864"/>
      <c r="Y824" s="865"/>
      <c r="Z824" s="865"/>
      <c r="AA824" s="866"/>
      <c r="AB824" s="867"/>
      <c r="AC824" s="868"/>
      <c r="AD824" s="866"/>
      <c r="AE824" s="860"/>
      <c r="AF824" s="869"/>
      <c r="AG824" s="869"/>
      <c r="AH824" s="870"/>
      <c r="AI824" s="871"/>
      <c r="AJ824" s="870"/>
      <c r="AK824" s="870"/>
      <c r="AL824" s="860"/>
      <c r="AM824" s="860"/>
      <c r="AN824" s="860"/>
      <c r="AO824" s="860"/>
      <c r="AP824" s="860"/>
      <c r="AQ824" s="860"/>
      <c r="AR824" s="860"/>
      <c r="AS824" s="860"/>
      <c r="AT824" s="860"/>
      <c r="AU824" s="860"/>
      <c r="AV824" s="860"/>
      <c r="AW824" s="860"/>
      <c r="AX824" s="860"/>
      <c r="AY824" s="860"/>
      <c r="AZ824" s="860"/>
      <c r="BA824" s="860"/>
      <c r="BB824" s="860"/>
      <c r="BC824" s="860"/>
      <c r="BD824" s="860"/>
      <c r="BE824" s="860"/>
      <c r="BF824" s="860"/>
      <c r="BG824" s="860"/>
      <c r="BH824" s="860"/>
      <c r="BI824" s="860"/>
      <c r="BJ824" s="860"/>
      <c r="BK824" s="860"/>
      <c r="BL824" s="860"/>
      <c r="BM824" s="860"/>
      <c r="BN824" s="872"/>
      <c r="BO824" s="872"/>
      <c r="BP824" s="872"/>
      <c r="BQ824" s="872"/>
      <c r="BR824" s="872"/>
      <c r="BS824" s="872"/>
      <c r="BT824" s="860"/>
      <c r="BU824" s="860"/>
      <c r="BV824" s="860"/>
      <c r="BW824" s="860"/>
      <c r="BX824" s="872"/>
      <c r="BY824" s="872"/>
      <c r="BZ824" s="872"/>
      <c r="CA824" s="872"/>
      <c r="CB824" s="872"/>
      <c r="CC824" s="872"/>
    </row>
    <row r="825" s="860" customFormat="1" ht="13.5" spans="1:81">
      <c r="A825" s="861"/>
      <c r="B825" s="860"/>
      <c r="C825" s="860"/>
      <c r="D825" s="860"/>
      <c r="E825" s="862"/>
      <c r="F825" s="860"/>
      <c r="G825" s="860"/>
      <c r="H825" s="860"/>
      <c r="I825" s="860"/>
      <c r="J825" s="860"/>
      <c r="K825" s="860"/>
      <c r="L825" s="860"/>
      <c r="M825" s="860"/>
      <c r="N825" s="860"/>
      <c r="O825" s="860"/>
      <c r="P825" s="860"/>
      <c r="Q825" s="860"/>
      <c r="R825" s="860"/>
      <c r="S825" s="860"/>
      <c r="T825" s="860"/>
      <c r="U825" s="860"/>
      <c r="V825" s="860"/>
      <c r="W825" s="860"/>
      <c r="X825" s="864"/>
      <c r="Y825" s="865"/>
      <c r="Z825" s="865"/>
      <c r="AA825" s="866"/>
      <c r="AB825" s="867"/>
      <c r="AC825" s="868"/>
      <c r="AD825" s="866"/>
      <c r="AE825" s="860"/>
      <c r="AF825" s="869"/>
      <c r="AG825" s="869"/>
      <c r="AH825" s="870"/>
      <c r="AI825" s="871"/>
      <c r="AJ825" s="870"/>
      <c r="AK825" s="870"/>
      <c r="AL825" s="860"/>
      <c r="AM825" s="860"/>
      <c r="AN825" s="860"/>
      <c r="AO825" s="860"/>
      <c r="AP825" s="860"/>
      <c r="AQ825" s="860"/>
      <c r="AR825" s="860"/>
      <c r="AS825" s="860"/>
      <c r="AT825" s="860"/>
      <c r="AU825" s="860"/>
      <c r="AV825" s="860"/>
      <c r="AW825" s="860"/>
      <c r="AX825" s="860"/>
      <c r="AY825" s="860"/>
      <c r="AZ825" s="860"/>
      <c r="BA825" s="860"/>
      <c r="BB825" s="860"/>
      <c r="BC825" s="860"/>
      <c r="BD825" s="860"/>
      <c r="BE825" s="860"/>
      <c r="BF825" s="860"/>
      <c r="BG825" s="860"/>
      <c r="BH825" s="860"/>
      <c r="BI825" s="860"/>
      <c r="BJ825" s="860"/>
      <c r="BK825" s="860"/>
      <c r="BL825" s="860"/>
      <c r="BM825" s="860"/>
      <c r="BN825" s="872"/>
      <c r="BO825" s="872"/>
      <c r="BP825" s="872"/>
      <c r="BQ825" s="872"/>
      <c r="BR825" s="872"/>
      <c r="BS825" s="872"/>
      <c r="BT825" s="860"/>
      <c r="BU825" s="860"/>
      <c r="BV825" s="860"/>
      <c r="BW825" s="860"/>
      <c r="BX825" s="872"/>
      <c r="BY825" s="872"/>
      <c r="BZ825" s="872"/>
      <c r="CA825" s="872"/>
      <c r="CB825" s="872"/>
      <c r="CC825" s="872"/>
    </row>
    <row r="826" s="860" customFormat="1" ht="13.5" spans="1:81">
      <c r="A826" s="861"/>
      <c r="B826" s="860"/>
      <c r="C826" s="860"/>
      <c r="D826" s="860"/>
      <c r="E826" s="862"/>
      <c r="F826" s="860"/>
      <c r="G826" s="860"/>
      <c r="H826" s="860"/>
      <c r="I826" s="860"/>
      <c r="J826" s="860"/>
      <c r="K826" s="860"/>
      <c r="L826" s="860"/>
      <c r="M826" s="860"/>
      <c r="N826" s="860"/>
      <c r="O826" s="860"/>
      <c r="P826" s="860"/>
      <c r="Q826" s="860"/>
      <c r="R826" s="860"/>
      <c r="S826" s="860"/>
      <c r="T826" s="860"/>
      <c r="U826" s="860"/>
      <c r="V826" s="860"/>
      <c r="W826" s="860"/>
      <c r="X826" s="864"/>
      <c r="Y826" s="865"/>
      <c r="Z826" s="865"/>
      <c r="AA826" s="866"/>
      <c r="AB826" s="867"/>
      <c r="AC826" s="868"/>
      <c r="AD826" s="866"/>
      <c r="AE826" s="860"/>
      <c r="AF826" s="869"/>
      <c r="AG826" s="869"/>
      <c r="AH826" s="870"/>
      <c r="AI826" s="871"/>
      <c r="AJ826" s="870"/>
      <c r="AK826" s="870"/>
      <c r="AL826" s="860"/>
      <c r="AM826" s="860"/>
      <c r="AN826" s="860"/>
      <c r="AO826" s="860"/>
      <c r="AP826" s="860"/>
      <c r="AQ826" s="860"/>
      <c r="AR826" s="860"/>
      <c r="AS826" s="860"/>
      <c r="AT826" s="860"/>
      <c r="AU826" s="860"/>
      <c r="AV826" s="860"/>
      <c r="AW826" s="860"/>
      <c r="AX826" s="860"/>
      <c r="AY826" s="860"/>
      <c r="AZ826" s="860"/>
      <c r="BA826" s="860"/>
      <c r="BB826" s="860"/>
      <c r="BC826" s="860"/>
      <c r="BD826" s="860"/>
      <c r="BE826" s="860"/>
      <c r="BF826" s="860"/>
      <c r="BG826" s="860"/>
      <c r="BH826" s="860"/>
      <c r="BI826" s="860"/>
      <c r="BJ826" s="860"/>
      <c r="BK826" s="860"/>
      <c r="BL826" s="860"/>
      <c r="BM826" s="860"/>
      <c r="BN826" s="872"/>
      <c r="BO826" s="872"/>
      <c r="BP826" s="872"/>
      <c r="BQ826" s="872"/>
      <c r="BR826" s="872"/>
      <c r="BS826" s="872"/>
      <c r="BT826" s="860"/>
      <c r="BU826" s="860"/>
      <c r="BV826" s="860"/>
      <c r="BW826" s="860"/>
      <c r="BX826" s="872"/>
      <c r="BY826" s="872"/>
      <c r="BZ826" s="872"/>
      <c r="CA826" s="872"/>
      <c r="CB826" s="872"/>
      <c r="CC826" s="872"/>
    </row>
    <row r="827" s="860" customFormat="1" ht="13.5" spans="1:81">
      <c r="A827" s="861"/>
      <c r="B827" s="860"/>
      <c r="C827" s="860"/>
      <c r="D827" s="860"/>
      <c r="E827" s="862"/>
      <c r="F827" s="860"/>
      <c r="G827" s="860"/>
      <c r="H827" s="860"/>
      <c r="I827" s="860"/>
      <c r="J827" s="860"/>
      <c r="K827" s="860"/>
      <c r="L827" s="860"/>
      <c r="M827" s="860"/>
      <c r="N827" s="860"/>
      <c r="O827" s="860"/>
      <c r="P827" s="860"/>
      <c r="Q827" s="860"/>
      <c r="R827" s="860"/>
      <c r="S827" s="860"/>
      <c r="T827" s="860"/>
      <c r="U827" s="860"/>
      <c r="V827" s="860"/>
      <c r="W827" s="860"/>
      <c r="X827" s="864"/>
      <c r="Y827" s="865"/>
      <c r="Z827" s="865"/>
      <c r="AA827" s="866"/>
      <c r="AB827" s="867"/>
      <c r="AC827" s="868"/>
      <c r="AD827" s="866"/>
      <c r="AE827" s="860"/>
      <c r="AF827" s="869"/>
      <c r="AG827" s="869"/>
      <c r="AH827" s="870"/>
      <c r="AI827" s="871"/>
      <c r="AJ827" s="870"/>
      <c r="AK827" s="870"/>
      <c r="AL827" s="860"/>
      <c r="AM827" s="860"/>
      <c r="AN827" s="860"/>
      <c r="AO827" s="860"/>
      <c r="AP827" s="860"/>
      <c r="AQ827" s="860"/>
      <c r="AR827" s="860"/>
      <c r="AS827" s="860"/>
      <c r="AT827" s="860"/>
      <c r="AU827" s="860"/>
      <c r="AV827" s="860"/>
      <c r="AW827" s="860"/>
      <c r="AX827" s="860"/>
      <c r="AY827" s="860"/>
      <c r="AZ827" s="860"/>
      <c r="BA827" s="860"/>
      <c r="BB827" s="860"/>
      <c r="BC827" s="860"/>
      <c r="BD827" s="860"/>
      <c r="BE827" s="860"/>
      <c r="BF827" s="860"/>
      <c r="BG827" s="860"/>
      <c r="BH827" s="860"/>
      <c r="BI827" s="860"/>
      <c r="BJ827" s="860"/>
      <c r="BK827" s="860"/>
      <c r="BL827" s="860"/>
      <c r="BM827" s="860"/>
      <c r="BN827" s="872"/>
      <c r="BO827" s="872"/>
      <c r="BP827" s="872"/>
      <c r="BQ827" s="872"/>
      <c r="BR827" s="872"/>
      <c r="BS827" s="872"/>
      <c r="BT827" s="860"/>
      <c r="BU827" s="860"/>
      <c r="BV827" s="860"/>
      <c r="BW827" s="860"/>
      <c r="BX827" s="872"/>
      <c r="BY827" s="872"/>
      <c r="BZ827" s="872"/>
      <c r="CA827" s="872"/>
      <c r="CB827" s="872"/>
      <c r="CC827" s="872"/>
    </row>
    <row r="828" s="860" customFormat="1" ht="13.5" spans="1:81">
      <c r="A828" s="861"/>
      <c r="B828" s="860"/>
      <c r="C828" s="860"/>
      <c r="D828" s="860"/>
      <c r="E828" s="862"/>
      <c r="F828" s="860"/>
      <c r="G828" s="860"/>
      <c r="H828" s="860"/>
      <c r="I828" s="860"/>
      <c r="J828" s="860"/>
      <c r="K828" s="860"/>
      <c r="L828" s="860"/>
      <c r="M828" s="860"/>
      <c r="N828" s="860"/>
      <c r="O828" s="860"/>
      <c r="P828" s="860"/>
      <c r="Q828" s="860"/>
      <c r="R828" s="860"/>
      <c r="S828" s="860"/>
      <c r="T828" s="860"/>
      <c r="U828" s="860"/>
      <c r="V828" s="860"/>
      <c r="W828" s="860"/>
      <c r="X828" s="864"/>
      <c r="Y828" s="865"/>
      <c r="Z828" s="865"/>
      <c r="AA828" s="866"/>
      <c r="AB828" s="867"/>
      <c r="AC828" s="868"/>
      <c r="AD828" s="866"/>
      <c r="AE828" s="860"/>
      <c r="AF828" s="869"/>
      <c r="AG828" s="869"/>
      <c r="AH828" s="870"/>
      <c r="AI828" s="871"/>
      <c r="AJ828" s="870"/>
      <c r="AK828" s="870"/>
      <c r="AL828" s="860"/>
      <c r="AM828" s="860"/>
      <c r="AN828" s="860"/>
      <c r="AO828" s="860"/>
      <c r="AP828" s="860"/>
      <c r="AQ828" s="860"/>
      <c r="AR828" s="860"/>
      <c r="AS828" s="860"/>
      <c r="AT828" s="860"/>
      <c r="AU828" s="860"/>
      <c r="AV828" s="860"/>
      <c r="AW828" s="860"/>
      <c r="AX828" s="860"/>
      <c r="AY828" s="860"/>
      <c r="AZ828" s="860"/>
      <c r="BA828" s="860"/>
      <c r="BB828" s="860"/>
      <c r="BC828" s="860"/>
      <c r="BD828" s="860"/>
      <c r="BE828" s="860"/>
      <c r="BF828" s="860"/>
      <c r="BG828" s="860"/>
      <c r="BH828" s="860"/>
      <c r="BI828" s="860"/>
      <c r="BJ828" s="860"/>
      <c r="BK828" s="860"/>
      <c r="BL828" s="860"/>
      <c r="BM828" s="860"/>
      <c r="BN828" s="872"/>
      <c r="BO828" s="872"/>
      <c r="BP828" s="872"/>
      <c r="BQ828" s="872"/>
      <c r="BR828" s="872"/>
      <c r="BS828" s="872"/>
      <c r="BT828" s="860"/>
      <c r="BU828" s="860"/>
      <c r="BV828" s="860"/>
      <c r="BW828" s="860"/>
      <c r="BX828" s="872"/>
      <c r="BY828" s="872"/>
      <c r="BZ828" s="872"/>
      <c r="CA828" s="872"/>
      <c r="CB828" s="872"/>
      <c r="CC828" s="872"/>
    </row>
    <row r="829" s="860" customFormat="1" ht="13.5" spans="1:81">
      <c r="A829" s="861"/>
      <c r="B829" s="860"/>
      <c r="C829" s="860"/>
      <c r="D829" s="860"/>
      <c r="E829" s="862"/>
      <c r="F829" s="860"/>
      <c r="G829" s="860"/>
      <c r="H829" s="860"/>
      <c r="I829" s="860"/>
      <c r="J829" s="860"/>
      <c r="K829" s="860"/>
      <c r="L829" s="860"/>
      <c r="M829" s="860"/>
      <c r="N829" s="860"/>
      <c r="O829" s="860"/>
      <c r="P829" s="860"/>
      <c r="Q829" s="860"/>
      <c r="R829" s="860"/>
      <c r="S829" s="860"/>
      <c r="T829" s="860"/>
      <c r="U829" s="860"/>
      <c r="V829" s="860"/>
      <c r="W829" s="860"/>
      <c r="X829" s="864"/>
      <c r="Y829" s="865"/>
      <c r="Z829" s="865"/>
      <c r="AA829" s="866"/>
      <c r="AB829" s="867"/>
      <c r="AC829" s="868"/>
      <c r="AD829" s="866"/>
      <c r="AE829" s="860"/>
      <c r="AF829" s="869"/>
      <c r="AG829" s="869"/>
      <c r="AH829" s="870"/>
      <c r="AI829" s="871"/>
      <c r="AJ829" s="870"/>
      <c r="AK829" s="870"/>
      <c r="AL829" s="860"/>
      <c r="AM829" s="860"/>
      <c r="AN829" s="860"/>
      <c r="AO829" s="860"/>
      <c r="AP829" s="860"/>
      <c r="AQ829" s="860"/>
      <c r="AR829" s="860"/>
      <c r="AS829" s="860"/>
      <c r="AT829" s="860"/>
      <c r="AU829" s="860"/>
      <c r="AV829" s="860"/>
      <c r="AW829" s="860"/>
      <c r="AX829" s="860"/>
      <c r="AY829" s="860"/>
      <c r="AZ829" s="860"/>
      <c r="BA829" s="860"/>
      <c r="BB829" s="860"/>
      <c r="BC829" s="860"/>
      <c r="BD829" s="860"/>
      <c r="BE829" s="860"/>
      <c r="BF829" s="860"/>
      <c r="BG829" s="860"/>
      <c r="BH829" s="860"/>
      <c r="BI829" s="860"/>
      <c r="BJ829" s="860"/>
      <c r="BK829" s="860"/>
      <c r="BL829" s="860"/>
      <c r="BM829" s="860"/>
      <c r="BN829" s="872"/>
      <c r="BO829" s="872"/>
      <c r="BP829" s="872"/>
      <c r="BQ829" s="872"/>
      <c r="BR829" s="872"/>
      <c r="BS829" s="872"/>
      <c r="BT829" s="860"/>
      <c r="BU829" s="860"/>
      <c r="BV829" s="860"/>
      <c r="BW829" s="860"/>
      <c r="BX829" s="872"/>
      <c r="BY829" s="872"/>
      <c r="BZ829" s="872"/>
      <c r="CA829" s="872"/>
      <c r="CB829" s="872"/>
      <c r="CC829" s="872"/>
    </row>
    <row r="830" s="860" customFormat="1" ht="13.5" spans="1:81">
      <c r="A830" s="861"/>
      <c r="B830" s="860"/>
      <c r="C830" s="860"/>
      <c r="D830" s="860"/>
      <c r="E830" s="862"/>
      <c r="F830" s="860"/>
      <c r="G830" s="860"/>
      <c r="H830" s="860"/>
      <c r="I830" s="860"/>
      <c r="J830" s="860"/>
      <c r="K830" s="860"/>
      <c r="L830" s="860"/>
      <c r="M830" s="860"/>
      <c r="N830" s="860"/>
      <c r="O830" s="860"/>
      <c r="P830" s="860"/>
      <c r="Q830" s="860"/>
      <c r="R830" s="860"/>
      <c r="S830" s="860"/>
      <c r="T830" s="860"/>
      <c r="U830" s="860"/>
      <c r="V830" s="860"/>
      <c r="W830" s="860"/>
      <c r="X830" s="864"/>
      <c r="Y830" s="865"/>
      <c r="Z830" s="865"/>
      <c r="AA830" s="866"/>
      <c r="AB830" s="867"/>
      <c r="AC830" s="868"/>
      <c r="AD830" s="866"/>
      <c r="AE830" s="860"/>
      <c r="AF830" s="869"/>
      <c r="AG830" s="869"/>
      <c r="AH830" s="870"/>
      <c r="AI830" s="871"/>
      <c r="AJ830" s="870"/>
      <c r="AK830" s="870"/>
      <c r="AL830" s="860"/>
      <c r="AM830" s="860"/>
      <c r="AN830" s="860"/>
      <c r="AO830" s="860"/>
      <c r="AP830" s="860"/>
      <c r="AQ830" s="860"/>
      <c r="AR830" s="860"/>
      <c r="AS830" s="860"/>
      <c r="AT830" s="860"/>
      <c r="AU830" s="860"/>
      <c r="AV830" s="860"/>
      <c r="AW830" s="860"/>
      <c r="AX830" s="860"/>
      <c r="AY830" s="860"/>
      <c r="AZ830" s="860"/>
      <c r="BA830" s="860"/>
      <c r="BB830" s="860"/>
      <c r="BC830" s="860"/>
      <c r="BD830" s="860"/>
      <c r="BE830" s="860"/>
      <c r="BF830" s="860"/>
      <c r="BG830" s="860"/>
      <c r="BH830" s="860"/>
      <c r="BI830" s="860"/>
      <c r="BJ830" s="860"/>
      <c r="BK830" s="860"/>
      <c r="BL830" s="860"/>
      <c r="BM830" s="860"/>
      <c r="BN830" s="872"/>
      <c r="BO830" s="872"/>
      <c r="BP830" s="872"/>
      <c r="BQ830" s="872"/>
      <c r="BR830" s="872"/>
      <c r="BS830" s="872"/>
      <c r="BT830" s="860"/>
      <c r="BU830" s="860"/>
      <c r="BV830" s="860"/>
      <c r="BW830" s="860"/>
      <c r="BX830" s="872"/>
      <c r="BY830" s="872"/>
      <c r="BZ830" s="872"/>
      <c r="CA830" s="872"/>
      <c r="CB830" s="872"/>
      <c r="CC830" s="872"/>
    </row>
    <row r="831" s="860" customFormat="1" ht="13.5" spans="1:81">
      <c r="A831" s="861"/>
      <c r="B831" s="860"/>
      <c r="C831" s="860"/>
      <c r="D831" s="860"/>
      <c r="E831" s="862"/>
      <c r="F831" s="860"/>
      <c r="G831" s="860"/>
      <c r="H831" s="860"/>
      <c r="I831" s="860"/>
      <c r="J831" s="860"/>
      <c r="K831" s="860"/>
      <c r="L831" s="860"/>
      <c r="M831" s="860"/>
      <c r="N831" s="860"/>
      <c r="O831" s="860"/>
      <c r="P831" s="860"/>
      <c r="Q831" s="860"/>
      <c r="R831" s="860"/>
      <c r="S831" s="860"/>
      <c r="T831" s="860"/>
      <c r="U831" s="860"/>
      <c r="V831" s="860"/>
      <c r="W831" s="860"/>
      <c r="X831" s="864"/>
      <c r="Y831" s="865"/>
      <c r="Z831" s="865"/>
      <c r="AA831" s="866"/>
      <c r="AB831" s="867"/>
      <c r="AC831" s="868"/>
      <c r="AD831" s="866"/>
      <c r="AE831" s="860"/>
      <c r="AF831" s="869"/>
      <c r="AG831" s="869"/>
      <c r="AH831" s="870"/>
      <c r="AI831" s="871"/>
      <c r="AJ831" s="870"/>
      <c r="AK831" s="870"/>
      <c r="AL831" s="860"/>
      <c r="AM831" s="860"/>
      <c r="AN831" s="860"/>
      <c r="AO831" s="860"/>
      <c r="AP831" s="860"/>
      <c r="AQ831" s="860"/>
      <c r="AR831" s="860"/>
      <c r="AS831" s="860"/>
      <c r="AT831" s="860"/>
      <c r="AU831" s="860"/>
      <c r="AV831" s="860"/>
      <c r="AW831" s="860"/>
      <c r="AX831" s="860"/>
      <c r="AY831" s="860"/>
      <c r="AZ831" s="860"/>
      <c r="BA831" s="860"/>
      <c r="BB831" s="860"/>
      <c r="BC831" s="860"/>
      <c r="BD831" s="860"/>
      <c r="BE831" s="860"/>
      <c r="BF831" s="860"/>
      <c r="BG831" s="860"/>
      <c r="BH831" s="860"/>
      <c r="BI831" s="860"/>
      <c r="BJ831" s="860"/>
      <c r="BK831" s="860"/>
      <c r="BL831" s="860"/>
      <c r="BM831" s="860"/>
      <c r="BN831" s="872"/>
      <c r="BO831" s="872"/>
      <c r="BP831" s="872"/>
      <c r="BQ831" s="872"/>
      <c r="BR831" s="872"/>
      <c r="BS831" s="872"/>
      <c r="BT831" s="860"/>
      <c r="BU831" s="860"/>
      <c r="BV831" s="860"/>
      <c r="BW831" s="860"/>
      <c r="BX831" s="872"/>
      <c r="BY831" s="872"/>
      <c r="BZ831" s="872"/>
      <c r="CA831" s="872"/>
      <c r="CB831" s="872"/>
      <c r="CC831" s="872"/>
    </row>
    <row r="832" s="860" customFormat="1" ht="13.5" spans="1:81">
      <c r="A832" s="861"/>
      <c r="B832" s="860"/>
      <c r="C832" s="860"/>
      <c r="D832" s="860"/>
      <c r="E832" s="862"/>
      <c r="F832" s="860"/>
      <c r="G832" s="860"/>
      <c r="H832" s="860"/>
      <c r="I832" s="860"/>
      <c r="J832" s="860"/>
      <c r="K832" s="860"/>
      <c r="L832" s="860"/>
      <c r="M832" s="860"/>
      <c r="N832" s="860"/>
      <c r="O832" s="860"/>
      <c r="P832" s="860"/>
      <c r="Q832" s="860"/>
      <c r="R832" s="860"/>
      <c r="S832" s="860"/>
      <c r="T832" s="860"/>
      <c r="U832" s="860"/>
      <c r="V832" s="860"/>
      <c r="W832" s="860"/>
      <c r="X832" s="864"/>
      <c r="Y832" s="865"/>
      <c r="Z832" s="865"/>
      <c r="AA832" s="866"/>
      <c r="AB832" s="867"/>
      <c r="AC832" s="868"/>
      <c r="AD832" s="866"/>
      <c r="AE832" s="860"/>
      <c r="AF832" s="869"/>
      <c r="AG832" s="869"/>
      <c r="AH832" s="870"/>
      <c r="AI832" s="871"/>
      <c r="AJ832" s="870"/>
      <c r="AK832" s="870"/>
      <c r="AL832" s="860"/>
      <c r="AM832" s="860"/>
      <c r="AN832" s="860"/>
      <c r="AO832" s="860"/>
      <c r="AP832" s="860"/>
      <c r="AQ832" s="860"/>
      <c r="AR832" s="860"/>
      <c r="AS832" s="860"/>
      <c r="AT832" s="860"/>
      <c r="AU832" s="860"/>
      <c r="AV832" s="860"/>
      <c r="AW832" s="860"/>
      <c r="AX832" s="860"/>
      <c r="AY832" s="860"/>
      <c r="AZ832" s="860"/>
      <c r="BA832" s="860"/>
      <c r="BB832" s="860"/>
      <c r="BC832" s="860"/>
      <c r="BD832" s="860"/>
      <c r="BE832" s="860"/>
      <c r="BF832" s="860"/>
      <c r="BG832" s="860"/>
      <c r="BH832" s="860"/>
      <c r="BI832" s="860"/>
      <c r="BJ832" s="860"/>
      <c r="BK832" s="860"/>
      <c r="BL832" s="860"/>
      <c r="BM832" s="860"/>
      <c r="BN832" s="872"/>
      <c r="BO832" s="872"/>
      <c r="BP832" s="872"/>
      <c r="BQ832" s="872"/>
      <c r="BR832" s="872"/>
      <c r="BS832" s="872"/>
      <c r="BT832" s="860"/>
      <c r="BU832" s="860"/>
      <c r="BV832" s="860"/>
      <c r="BW832" s="860"/>
      <c r="BX832" s="872"/>
      <c r="BY832" s="872"/>
      <c r="BZ832" s="872"/>
      <c r="CA832" s="872"/>
      <c r="CB832" s="872"/>
      <c r="CC832" s="872"/>
    </row>
    <row r="833" s="860" customFormat="1" ht="13.5" spans="1:81">
      <c r="A833" s="861"/>
      <c r="B833" s="860"/>
      <c r="C833" s="860"/>
      <c r="D833" s="860"/>
      <c r="E833" s="862"/>
      <c r="F833" s="860"/>
      <c r="G833" s="860"/>
      <c r="H833" s="860"/>
      <c r="I833" s="860"/>
      <c r="J833" s="860"/>
      <c r="K833" s="860"/>
      <c r="L833" s="860"/>
      <c r="M833" s="860"/>
      <c r="N833" s="860"/>
      <c r="O833" s="860"/>
      <c r="P833" s="860"/>
      <c r="Q833" s="860"/>
      <c r="R833" s="860"/>
      <c r="S833" s="860"/>
      <c r="T833" s="860"/>
      <c r="U833" s="860"/>
      <c r="V833" s="860"/>
      <c r="W833" s="860"/>
      <c r="X833" s="864"/>
      <c r="Y833" s="865"/>
      <c r="Z833" s="865"/>
      <c r="AA833" s="866"/>
      <c r="AB833" s="867"/>
      <c r="AC833" s="868"/>
      <c r="AD833" s="866"/>
      <c r="AE833" s="860"/>
      <c r="AF833" s="869"/>
      <c r="AG833" s="869"/>
      <c r="AH833" s="870"/>
      <c r="AI833" s="871"/>
      <c r="AJ833" s="870"/>
      <c r="AK833" s="870"/>
      <c r="AL833" s="860"/>
      <c r="AM833" s="860"/>
      <c r="AN833" s="860"/>
      <c r="AO833" s="860"/>
      <c r="AP833" s="860"/>
      <c r="AQ833" s="860"/>
      <c r="AR833" s="860"/>
      <c r="AS833" s="860"/>
      <c r="AT833" s="860"/>
      <c r="AU833" s="860"/>
      <c r="AV833" s="860"/>
      <c r="AW833" s="860"/>
      <c r="AX833" s="860"/>
      <c r="AY833" s="860"/>
      <c r="AZ833" s="860"/>
      <c r="BA833" s="860"/>
      <c r="BB833" s="860"/>
      <c r="BC833" s="860"/>
      <c r="BD833" s="860"/>
      <c r="BE833" s="860"/>
      <c r="BF833" s="860"/>
      <c r="BG833" s="860"/>
      <c r="BH833" s="860"/>
      <c r="BI833" s="860"/>
      <c r="BJ833" s="860"/>
      <c r="BK833" s="860"/>
      <c r="BL833" s="860"/>
      <c r="BM833" s="860"/>
      <c r="BN833" s="872"/>
      <c r="BO833" s="872"/>
      <c r="BP833" s="872"/>
      <c r="BQ833" s="872"/>
      <c r="BR833" s="872"/>
      <c r="BS833" s="872"/>
      <c r="BT833" s="860"/>
      <c r="BU833" s="860"/>
      <c r="BV833" s="860"/>
      <c r="BW833" s="860"/>
      <c r="BX833" s="872"/>
      <c r="BY833" s="872"/>
      <c r="BZ833" s="872"/>
      <c r="CA833" s="872"/>
      <c r="CB833" s="872"/>
      <c r="CC833" s="872"/>
    </row>
    <row r="834" s="860" customFormat="1" ht="13.5" spans="1:81">
      <c r="A834" s="861"/>
      <c r="B834" s="860"/>
      <c r="C834" s="860"/>
      <c r="D834" s="860"/>
      <c r="E834" s="862"/>
      <c r="F834" s="860"/>
      <c r="G834" s="860"/>
      <c r="H834" s="860"/>
      <c r="I834" s="860"/>
      <c r="J834" s="860"/>
      <c r="K834" s="860"/>
      <c r="L834" s="860"/>
      <c r="M834" s="860"/>
      <c r="N834" s="860"/>
      <c r="O834" s="860"/>
      <c r="P834" s="860"/>
      <c r="Q834" s="860"/>
      <c r="R834" s="860"/>
      <c r="S834" s="860"/>
      <c r="T834" s="860"/>
      <c r="U834" s="860"/>
      <c r="V834" s="860"/>
      <c r="W834" s="860"/>
      <c r="X834" s="864"/>
      <c r="Y834" s="865"/>
      <c r="Z834" s="865"/>
      <c r="AA834" s="866"/>
      <c r="AB834" s="867"/>
      <c r="AC834" s="868"/>
      <c r="AD834" s="866"/>
      <c r="AE834" s="860"/>
      <c r="AF834" s="869"/>
      <c r="AG834" s="869"/>
      <c r="AH834" s="870"/>
      <c r="AI834" s="871"/>
      <c r="AJ834" s="870"/>
      <c r="AK834" s="870"/>
      <c r="AL834" s="860"/>
      <c r="AM834" s="860"/>
      <c r="AN834" s="860"/>
      <c r="AO834" s="860"/>
      <c r="AP834" s="860"/>
      <c r="AQ834" s="860"/>
      <c r="AR834" s="860"/>
      <c r="AS834" s="860"/>
      <c r="AT834" s="860"/>
      <c r="AU834" s="860"/>
      <c r="AV834" s="860"/>
      <c r="AW834" s="860"/>
      <c r="AX834" s="860"/>
      <c r="AY834" s="860"/>
      <c r="AZ834" s="860"/>
      <c r="BA834" s="860"/>
      <c r="BB834" s="860"/>
      <c r="BC834" s="860"/>
      <c r="BD834" s="860"/>
      <c r="BE834" s="860"/>
      <c r="BF834" s="860"/>
      <c r="BG834" s="860"/>
      <c r="BH834" s="860"/>
      <c r="BI834" s="860"/>
      <c r="BJ834" s="860"/>
      <c r="BK834" s="860"/>
      <c r="BL834" s="860"/>
      <c r="BM834" s="860"/>
      <c r="BN834" s="872"/>
      <c r="BO834" s="872"/>
      <c r="BP834" s="872"/>
      <c r="BQ834" s="872"/>
      <c r="BR834" s="872"/>
      <c r="BS834" s="872"/>
      <c r="BT834" s="860"/>
      <c r="BU834" s="860"/>
      <c r="BV834" s="860"/>
      <c r="BW834" s="860"/>
      <c r="BX834" s="872"/>
      <c r="BY834" s="872"/>
      <c r="BZ834" s="872"/>
      <c r="CA834" s="872"/>
      <c r="CB834" s="872"/>
      <c r="CC834" s="872"/>
    </row>
    <row r="835" s="860" customFormat="1" ht="13.5" spans="1:81">
      <c r="A835" s="861"/>
      <c r="B835" s="860"/>
      <c r="C835" s="860"/>
      <c r="D835" s="860"/>
      <c r="E835" s="862"/>
      <c r="F835" s="860"/>
      <c r="G835" s="860"/>
      <c r="H835" s="860"/>
      <c r="I835" s="860"/>
      <c r="J835" s="860"/>
      <c r="K835" s="860"/>
      <c r="L835" s="860"/>
      <c r="M835" s="860"/>
      <c r="N835" s="860"/>
      <c r="O835" s="860"/>
      <c r="P835" s="860"/>
      <c r="Q835" s="860"/>
      <c r="R835" s="860"/>
      <c r="S835" s="860"/>
      <c r="T835" s="860"/>
      <c r="U835" s="860"/>
      <c r="V835" s="860"/>
      <c r="W835" s="860"/>
      <c r="X835" s="864"/>
      <c r="Y835" s="865"/>
      <c r="Z835" s="865"/>
      <c r="AA835" s="866"/>
      <c r="AB835" s="867"/>
      <c r="AC835" s="868"/>
      <c r="AD835" s="866"/>
      <c r="AE835" s="860"/>
      <c r="AF835" s="869"/>
      <c r="AG835" s="869"/>
      <c r="AH835" s="870"/>
      <c r="AI835" s="871"/>
      <c r="AJ835" s="870" t="s">
        <v>2939</v>
      </c>
      <c r="AK835" s="870"/>
      <c r="AL835" s="860"/>
      <c r="AM835" s="860"/>
      <c r="AN835" s="860"/>
      <c r="AO835" s="860"/>
      <c r="AP835" s="860"/>
      <c r="AQ835" s="860"/>
      <c r="AR835" s="860"/>
      <c r="AS835" s="860"/>
      <c r="AT835" s="860"/>
      <c r="AU835" s="860"/>
      <c r="AV835" s="860"/>
      <c r="AW835" s="860"/>
      <c r="AX835" s="860"/>
      <c r="AY835" s="860"/>
      <c r="AZ835" s="860"/>
      <c r="BA835" s="860"/>
      <c r="BB835" s="860"/>
      <c r="BC835" s="860"/>
      <c r="BD835" s="860"/>
      <c r="BE835" s="860"/>
      <c r="BF835" s="860"/>
      <c r="BG835" s="860"/>
      <c r="BH835" s="860"/>
      <c r="BI835" s="860"/>
      <c r="BJ835" s="860"/>
      <c r="BK835" s="860"/>
      <c r="BL835" s="860"/>
      <c r="BM835" s="860"/>
      <c r="BN835" s="872"/>
      <c r="BO835" s="872"/>
      <c r="BP835" s="872"/>
      <c r="BQ835" s="872"/>
      <c r="BR835" s="872"/>
      <c r="BS835" s="872"/>
      <c r="BT835" s="860"/>
      <c r="BU835" s="860"/>
      <c r="BV835" s="860"/>
      <c r="BW835" s="860"/>
      <c r="BX835" s="872"/>
      <c r="BY835" s="872"/>
      <c r="BZ835" s="872"/>
      <c r="CA835" s="872"/>
      <c r="CB835" s="872"/>
      <c r="CC835" s="872"/>
    </row>
  </sheetData>
  <sheetProtection formatCells="0" formatColumns="0" formatRows="0" insertRows="0" insertColumns="0" insertHyperlinks="0" deleteColumns="0" deleteRows="0" sort="0" autoFilter="0" pivotTables="0"/>
  <protectedRanges>
    <protectedRange sqref="AE$1:AI$1048576" name="Range1"/>
    <protectedRange sqref="A$1:N$1048576 AJ$1:CB$1048576" name="Range2"/>
  </protectedRanges>
  <autoFilter xmlns:etc="http://www.wps.cn/officeDocument/2017/etCustomData" ref="A1:DC835" etc:filterBottomFollowUsedRange="0">
    <extLst/>
  </autoFilter>
  <mergeCells count="6">
    <mergeCell ref="AI82:AI85"/>
    <mergeCell ref="AI100:AI101"/>
    <mergeCell ref="AI121:AI122"/>
    <mergeCell ref="AI221:AI224"/>
    <mergeCell ref="AI281:AI284"/>
    <mergeCell ref="AI320:AI321"/>
  </mergeCells>
  <conditionalFormatting sqref="R1:U1">
    <cfRule type="cellIs" dxfId="0" priority="7916" operator="equal">
      <formula>"欠"</formula>
    </cfRule>
  </conditionalFormatting>
  <conditionalFormatting sqref="AC1:AD1">
    <cfRule type="cellIs" dxfId="0" priority="7904" operator="equal">
      <formula>"未完成"</formula>
    </cfRule>
  </conditionalFormatting>
  <conditionalFormatting sqref="AF1:AK1">
    <cfRule type="cellIs" dxfId="1" priority="7914" operator="equal">
      <formula>"未完成"</formula>
    </cfRule>
    <cfRule type="cellIs" dxfId="0" priority="7915" operator="equal">
      <formula>"未完成"</formula>
    </cfRule>
  </conditionalFormatting>
  <conditionalFormatting sqref="S2">
    <cfRule type="cellIs" dxfId="0" priority="5424" operator="equal">
      <formula>"欠"</formula>
    </cfRule>
  </conditionalFormatting>
  <conditionalFormatting sqref="AE2">
    <cfRule type="cellIs" dxfId="1" priority="5427" operator="equal">
      <formula>"未完成"</formula>
    </cfRule>
    <cfRule type="cellIs" dxfId="0" priority="5428" operator="equal">
      <formula>"未完成"</formula>
    </cfRule>
  </conditionalFormatting>
  <conditionalFormatting sqref="AF2">
    <cfRule type="cellIs" dxfId="1" priority="5429" operator="equal">
      <formula>"未完成"</formula>
    </cfRule>
    <cfRule type="cellIs" dxfId="0" priority="5430" operator="equal">
      <formula>"未完成"</formula>
    </cfRule>
  </conditionalFormatting>
  <conditionalFormatting sqref="AE5">
    <cfRule type="cellIs" dxfId="0" priority="7908" operator="equal">
      <formula>"未完成"</formula>
    </cfRule>
  </conditionalFormatting>
  <conditionalFormatting sqref="T19:U19">
    <cfRule type="cellIs" dxfId="0" priority="5323" operator="equal">
      <formula>"欠"</formula>
    </cfRule>
  </conditionalFormatting>
  <conditionalFormatting sqref="R22">
    <cfRule type="containsText" dxfId="0" priority="5332" operator="between" text="欠">
      <formula>NOT(ISERROR(SEARCH("欠",R22)))</formula>
    </cfRule>
  </conditionalFormatting>
  <conditionalFormatting sqref="AF22">
    <cfRule type="cellIs" dxfId="1" priority="5227" operator="equal">
      <formula>"未完成"</formula>
    </cfRule>
    <cfRule type="cellIs" dxfId="0" priority="5228" operator="equal">
      <formula>"未完成"</formula>
    </cfRule>
  </conditionalFormatting>
  <conditionalFormatting sqref="R24">
    <cfRule type="cellIs" dxfId="0" priority="5375" operator="equal">
      <formula>"欠"</formula>
    </cfRule>
  </conditionalFormatting>
  <conditionalFormatting sqref="S24">
    <cfRule type="cellIs" dxfId="0" priority="5331" operator="equal">
      <formula>"欠"</formula>
    </cfRule>
  </conditionalFormatting>
  <conditionalFormatting sqref="T24:U24">
    <cfRule type="cellIs" dxfId="0" priority="5330" operator="equal">
      <formula>"欠"</formula>
    </cfRule>
  </conditionalFormatting>
  <conditionalFormatting sqref="AE24">
    <cfRule type="cellIs" dxfId="0" priority="5377" operator="equal">
      <formula>"未完成"</formula>
    </cfRule>
    <cfRule type="cellIs" dxfId="1" priority="5378" operator="equal">
      <formula>"未完成"</formula>
    </cfRule>
  </conditionalFormatting>
  <conditionalFormatting sqref="AF24">
    <cfRule type="cellIs" dxfId="1" priority="5380" operator="equal">
      <formula>"未完成"</formula>
    </cfRule>
    <cfRule type="cellIs" dxfId="0" priority="5381" operator="equal">
      <formula>"未完成"</formula>
    </cfRule>
  </conditionalFormatting>
  <conditionalFormatting sqref="AH24">
    <cfRule type="cellIs" dxfId="1" priority="5384" operator="equal">
      <formula>"未完成"</formula>
    </cfRule>
    <cfRule type="cellIs" dxfId="0" priority="5385" operator="equal">
      <formula>"未完成"</formula>
    </cfRule>
  </conditionalFormatting>
  <conditionalFormatting sqref="AI24:AJ24">
    <cfRule type="cellIs" dxfId="1" priority="5382" operator="equal">
      <formula>"未完成"</formula>
    </cfRule>
    <cfRule type="cellIs" dxfId="0" priority="5383" operator="equal">
      <formula>"未完成"</formula>
    </cfRule>
  </conditionalFormatting>
  <conditionalFormatting sqref="T30:U30">
    <cfRule type="cellIs" dxfId="0" priority="5387" operator="equal">
      <formula>"欠"</formula>
    </cfRule>
  </conditionalFormatting>
  <conditionalFormatting sqref="T31:U31">
    <cfRule type="cellIs" dxfId="0" priority="5386" operator="equal">
      <formula>"欠"</formula>
    </cfRule>
  </conditionalFormatting>
  <conditionalFormatting sqref="AE32">
    <cfRule type="cellIs" dxfId="0" priority="5350" operator="equal">
      <formula>"未完成"</formula>
    </cfRule>
    <cfRule type="cellIs" dxfId="1" priority="5351" operator="equal">
      <formula>"未完成"</formula>
    </cfRule>
  </conditionalFormatting>
  <conditionalFormatting sqref="AF32">
    <cfRule type="cellIs" dxfId="1" priority="5353" operator="equal">
      <formula>"未完成"</formula>
    </cfRule>
    <cfRule type="cellIs" dxfId="0" priority="5354" operator="equal">
      <formula>"未完成"</formula>
    </cfRule>
  </conditionalFormatting>
  <conditionalFormatting sqref="AI32">
    <cfRule type="cellIs" dxfId="1" priority="5196" operator="equal">
      <formula>"未完成"</formula>
    </cfRule>
    <cfRule type="cellIs" dxfId="0" priority="5197" operator="equal">
      <formula>"未完成"</formula>
    </cfRule>
  </conditionalFormatting>
  <conditionalFormatting sqref="AJ32">
    <cfRule type="cellIs" dxfId="1" priority="5355" operator="equal">
      <formula>"未完成"</formula>
    </cfRule>
    <cfRule type="cellIs" dxfId="0" priority="5356" operator="equal">
      <formula>"未完成"</formula>
    </cfRule>
  </conditionalFormatting>
  <conditionalFormatting sqref="AI33">
    <cfRule type="cellIs" dxfId="1" priority="5198" operator="equal">
      <formula>"未完成"</formula>
    </cfRule>
    <cfRule type="cellIs" dxfId="0" priority="5199" operator="equal">
      <formula>"未完成"</formula>
    </cfRule>
  </conditionalFormatting>
  <conditionalFormatting sqref="R36">
    <cfRule type="cellIs" dxfId="0" priority="5322" operator="equal">
      <formula>"欠"</formula>
    </cfRule>
  </conditionalFormatting>
  <conditionalFormatting sqref="S37">
    <cfRule type="cellIs" dxfId="0" priority="5325" operator="equal">
      <formula>"欠"</formula>
    </cfRule>
  </conditionalFormatting>
  <conditionalFormatting sqref="T37:U37">
    <cfRule type="containsText" dxfId="0" priority="5333" operator="between" text="欠">
      <formula>NOT(ISERROR(SEARCH("欠",T37)))</formula>
    </cfRule>
  </conditionalFormatting>
  <conditionalFormatting sqref="T39:U39">
    <cfRule type="containsText" dxfId="0" priority="5361" operator="between" text="欠">
      <formula>NOT(ISERROR(SEARCH("欠",T39)))</formula>
    </cfRule>
    <cfRule type="cellIs" dxfId="0" priority="5363" operator="equal">
      <formula>"欠"</formula>
    </cfRule>
  </conditionalFormatting>
  <conditionalFormatting sqref="AE39">
    <cfRule type="cellIs" dxfId="0" priority="5364" operator="equal">
      <formula>"未完成"</formula>
    </cfRule>
    <cfRule type="cellIs" dxfId="1" priority="5365" operator="equal">
      <formula>"未完成"</formula>
    </cfRule>
  </conditionalFormatting>
  <conditionalFormatting sqref="AF39">
    <cfRule type="cellIs" dxfId="1" priority="5367" operator="equal">
      <formula>"未完成"</formula>
    </cfRule>
    <cfRule type="cellIs" dxfId="0" priority="5368" operator="equal">
      <formula>"未完成"</formula>
    </cfRule>
  </conditionalFormatting>
  <conditionalFormatting sqref="AI39:AJ39">
    <cfRule type="cellIs" dxfId="1" priority="5369" operator="equal">
      <formula>"未完成"</formula>
    </cfRule>
    <cfRule type="cellIs" dxfId="0" priority="5370" operator="equal">
      <formula>"未完成"</formula>
    </cfRule>
  </conditionalFormatting>
  <conditionalFormatting sqref="S41">
    <cfRule type="cellIs" dxfId="0" priority="5300" operator="equal">
      <formula>"欠"</formula>
    </cfRule>
  </conditionalFormatting>
  <conditionalFormatting sqref="T41:U41">
    <cfRule type="containsText" dxfId="0" priority="5301" operator="between" text="欠">
      <formula>NOT(ISERROR(SEARCH("欠",T41)))</formula>
    </cfRule>
  </conditionalFormatting>
  <conditionalFormatting sqref="AE41">
    <cfRule type="cellIs" dxfId="0" priority="5303" operator="equal">
      <formula>"未完成"</formula>
    </cfRule>
    <cfRule type="cellIs" dxfId="1" priority="5304" operator="equal">
      <formula>"未完成"</formula>
    </cfRule>
  </conditionalFormatting>
  <conditionalFormatting sqref="AF41">
    <cfRule type="cellIs" dxfId="1" priority="5306" operator="equal">
      <formula>"未完成"</formula>
    </cfRule>
    <cfRule type="cellIs" dxfId="0" priority="5307" operator="equal">
      <formula>"未完成"</formula>
    </cfRule>
  </conditionalFormatting>
  <conditionalFormatting sqref="AG41">
    <cfRule type="cellIs" dxfId="1" priority="5314" operator="equal">
      <formula>"未完成"</formula>
    </cfRule>
    <cfRule type="cellIs" dxfId="0" priority="5315" operator="equal">
      <formula>"未完成"</formula>
    </cfRule>
  </conditionalFormatting>
  <conditionalFormatting sqref="AH41">
    <cfRule type="cellIs" dxfId="1" priority="5310" operator="equal">
      <formula>"未完成"</formula>
    </cfRule>
    <cfRule type="cellIs" dxfId="0" priority="5311" operator="equal">
      <formula>"未完成"</formula>
    </cfRule>
  </conditionalFormatting>
  <conditionalFormatting sqref="AI41:AJ41">
    <cfRule type="cellIs" dxfId="1" priority="5308" operator="equal">
      <formula>"未完成"</formula>
    </cfRule>
    <cfRule type="cellIs" dxfId="0" priority="5309" operator="equal">
      <formula>"未完成"</formula>
    </cfRule>
  </conditionalFormatting>
  <conditionalFormatting sqref="R45">
    <cfRule type="cellIs" dxfId="0" priority="5321" operator="equal">
      <formula>"欠"</formula>
    </cfRule>
  </conditionalFormatting>
  <conditionalFormatting sqref="AE48">
    <cfRule type="cellIs" dxfId="0" priority="5273" operator="equal">
      <formula>"未完成"</formula>
    </cfRule>
    <cfRule type="cellIs" dxfId="1" priority="5274" operator="equal">
      <formula>"未完成"</formula>
    </cfRule>
  </conditionalFormatting>
  <conditionalFormatting sqref="AF48">
    <cfRule type="cellIs" dxfId="1" priority="5276" operator="equal">
      <formula>"未完成"</formula>
    </cfRule>
    <cfRule type="cellIs" dxfId="0" priority="5277" operator="equal">
      <formula>"未完成"</formula>
    </cfRule>
  </conditionalFormatting>
  <conditionalFormatting sqref="AH48">
    <cfRule type="cellIs" dxfId="1" priority="5280" operator="equal">
      <formula>"未完成"</formula>
    </cfRule>
    <cfRule type="cellIs" dxfId="0" priority="5281" operator="equal">
      <formula>"未完成"</formula>
    </cfRule>
  </conditionalFormatting>
  <conditionalFormatting sqref="AI48:AJ48">
    <cfRule type="cellIs" dxfId="1" priority="5278" operator="equal">
      <formula>"未完成"</formula>
    </cfRule>
    <cfRule type="cellIs" dxfId="0" priority="5279" operator="equal">
      <formula>"未完成"</formula>
    </cfRule>
  </conditionalFormatting>
  <conditionalFormatting sqref="AE49">
    <cfRule type="cellIs" dxfId="0" priority="5257" operator="equal">
      <formula>"未完成"</formula>
    </cfRule>
    <cfRule type="cellIs" dxfId="1" priority="5258" operator="equal">
      <formula>"未完成"</formula>
    </cfRule>
  </conditionalFormatting>
  <conditionalFormatting sqref="AF49">
    <cfRule type="cellIs" dxfId="1" priority="4951" operator="equal">
      <formula>"未完成"</formula>
    </cfRule>
    <cfRule type="cellIs" dxfId="0" priority="4952" operator="equal">
      <formula>"未完成"</formula>
    </cfRule>
  </conditionalFormatting>
  <conditionalFormatting sqref="AH49">
    <cfRule type="cellIs" dxfId="1" priority="5264" operator="equal">
      <formula>"未完成"</formula>
    </cfRule>
    <cfRule type="cellIs" dxfId="0" priority="5265" operator="equal">
      <formula>"未完成"</formula>
    </cfRule>
  </conditionalFormatting>
  <conditionalFormatting sqref="AI49">
    <cfRule type="cellIs" dxfId="1" priority="5078" operator="equal">
      <formula>"未完成"</formula>
    </cfRule>
    <cfRule type="cellIs" dxfId="0" priority="5079" operator="equal">
      <formula>"未完成"</formula>
    </cfRule>
  </conditionalFormatting>
  <conditionalFormatting sqref="AJ49">
    <cfRule type="cellIs" dxfId="1" priority="5262" operator="equal">
      <formula>"未完成"</formula>
    </cfRule>
    <cfRule type="cellIs" dxfId="0" priority="5263" operator="equal">
      <formula>"未完成"</formula>
    </cfRule>
  </conditionalFormatting>
  <conditionalFormatting sqref="AN53">
    <cfRule type="cellIs" dxfId="1" priority="4949" operator="equal">
      <formula>"未完成"</formula>
    </cfRule>
    <cfRule type="cellIs" dxfId="0" priority="4950" operator="equal">
      <formula>"未完成"</formula>
    </cfRule>
  </conditionalFormatting>
  <conditionalFormatting sqref="S58">
    <cfRule type="cellIs" dxfId="0" priority="5229" operator="equal">
      <formula>"欠"</formula>
    </cfRule>
  </conditionalFormatting>
  <conditionalFormatting sqref="S68">
    <cfRule type="cellIs" dxfId="0" priority="5058" operator="equal">
      <formula>"欠"</formula>
    </cfRule>
  </conditionalFormatting>
  <conditionalFormatting sqref="S71">
    <cfRule type="cellIs" dxfId="0" priority="5231" operator="equal">
      <formula>"欠"</formula>
    </cfRule>
  </conditionalFormatting>
  <conditionalFormatting sqref="AE71">
    <cfRule type="cellIs" dxfId="0" priority="5243" operator="equal">
      <formula>"未完成"</formula>
    </cfRule>
    <cfRule type="cellIs" dxfId="1" priority="5244" operator="equal">
      <formula>"未完成"</formula>
    </cfRule>
  </conditionalFormatting>
  <conditionalFormatting sqref="AF71">
    <cfRule type="cellIs" dxfId="1" priority="5246" operator="equal">
      <formula>"未完成"</formula>
    </cfRule>
    <cfRule type="cellIs" dxfId="0" priority="5247" operator="equal">
      <formula>"未完成"</formula>
    </cfRule>
  </conditionalFormatting>
  <conditionalFormatting sqref="AH71">
    <cfRule type="cellIs" dxfId="1" priority="5250" operator="equal">
      <formula>"未完成"</formula>
    </cfRule>
    <cfRule type="cellIs" dxfId="0" priority="5251" operator="equal">
      <formula>"未完成"</formula>
    </cfRule>
  </conditionalFormatting>
  <conditionalFormatting sqref="AT71">
    <cfRule type="cellIs" dxfId="1" priority="5239" operator="equal">
      <formula>"未完成"</formula>
    </cfRule>
    <cfRule type="cellIs" dxfId="0" priority="5240" operator="equal">
      <formula>"未完成"</formula>
    </cfRule>
  </conditionalFormatting>
  <conditionalFormatting sqref="S72">
    <cfRule type="cellIs" dxfId="0" priority="5232" operator="equal">
      <formula>"欠"</formula>
    </cfRule>
  </conditionalFormatting>
  <conditionalFormatting sqref="AF72">
    <cfRule type="cellIs" dxfId="1" priority="4780" operator="equal">
      <formula>"未完成"</formula>
    </cfRule>
    <cfRule type="cellIs" dxfId="0" priority="4781" operator="equal">
      <formula>"未完成"</formula>
    </cfRule>
  </conditionalFormatting>
  <conditionalFormatting sqref="AF76">
    <cfRule type="cellIs" dxfId="1" priority="4933" operator="equal">
      <formula>"未完成"</formula>
    </cfRule>
    <cfRule type="cellIs" dxfId="0" priority="4934" operator="equal">
      <formula>"未完成"</formula>
    </cfRule>
  </conditionalFormatting>
  <conditionalFormatting sqref="R81">
    <cfRule type="cellIs" dxfId="0" priority="5211" operator="equal">
      <formula>"欠"</formula>
    </cfRule>
  </conditionalFormatting>
  <conditionalFormatting sqref="S81">
    <cfRule type="cellIs" dxfId="0" priority="5203" operator="equal">
      <formula>"欠"</formula>
    </cfRule>
  </conditionalFormatting>
  <conditionalFormatting sqref="T81:U81">
    <cfRule type="cellIs" dxfId="0" priority="5202" operator="equal">
      <formula>"欠"</formula>
    </cfRule>
  </conditionalFormatting>
  <conditionalFormatting sqref="AT81">
    <cfRule type="cellIs" dxfId="1" priority="5212" operator="equal">
      <formula>"未完成"</formula>
    </cfRule>
    <cfRule type="cellIs" dxfId="0" priority="5213" operator="equal">
      <formula>"未完成"</formula>
    </cfRule>
  </conditionalFormatting>
  <conditionalFormatting sqref="AE95">
    <cfRule type="cellIs" dxfId="0" priority="5025" operator="equal">
      <formula>"未完成"</formula>
    </cfRule>
    <cfRule type="cellIs" dxfId="1" priority="5026" operator="equal">
      <formula>"未完成"</formula>
    </cfRule>
  </conditionalFormatting>
  <conditionalFormatting sqref="AF95">
    <cfRule type="cellIs" dxfId="1" priority="4717" operator="equal">
      <formula>"未完成"</formula>
    </cfRule>
    <cfRule type="cellIs" dxfId="0" priority="4718" operator="equal">
      <formula>"未完成"</formula>
    </cfRule>
  </conditionalFormatting>
  <conditionalFormatting sqref="AH95">
    <cfRule type="cellIs" dxfId="1" priority="5031" operator="equal">
      <formula>"未完成"</formula>
    </cfRule>
    <cfRule type="cellIs" dxfId="0" priority="5032" operator="equal">
      <formula>"未完成"</formula>
    </cfRule>
  </conditionalFormatting>
  <conditionalFormatting sqref="AO95">
    <cfRule type="cellIs" dxfId="1" priority="5020" operator="equal">
      <formula>"未完成"</formula>
    </cfRule>
    <cfRule type="cellIs" dxfId="0" priority="5021" operator="equal">
      <formula>"未完成"</formula>
    </cfRule>
  </conditionalFormatting>
  <conditionalFormatting sqref="AQ95">
    <cfRule type="cellIs" dxfId="1" priority="5017" operator="equal">
      <formula>"未完成"</formula>
    </cfRule>
    <cfRule type="cellIs" dxfId="0" priority="5018" operator="equal">
      <formula>"未完成"</formula>
    </cfRule>
  </conditionalFormatting>
  <conditionalFormatting sqref="AF96">
    <cfRule type="cellIs" dxfId="1" priority="4715" operator="equal">
      <formula>"未完成"</formula>
    </cfRule>
    <cfRule type="cellIs" dxfId="0" priority="4716" operator="equal">
      <formula>"未完成"</formula>
    </cfRule>
  </conditionalFormatting>
  <conditionalFormatting sqref="R97">
    <cfRule type="cellIs" dxfId="0" priority="5086" operator="equal">
      <formula>"欠"</formula>
    </cfRule>
  </conditionalFormatting>
  <conditionalFormatting sqref="T97:U97">
    <cfRule type="cellIs" dxfId="0" priority="5082" operator="equal">
      <formula>"欠"</formula>
    </cfRule>
  </conditionalFormatting>
  <conditionalFormatting sqref="AE97">
    <cfRule type="cellIs" dxfId="0" priority="5089" operator="equal">
      <formula>"未完成"</formula>
    </cfRule>
    <cfRule type="cellIs" dxfId="1" priority="5090" operator="equal">
      <formula>"未完成"</formula>
    </cfRule>
  </conditionalFormatting>
  <conditionalFormatting sqref="AF97">
    <cfRule type="cellIs" dxfId="1" priority="5092" operator="equal">
      <formula>"未完成"</formula>
    </cfRule>
    <cfRule type="cellIs" dxfId="0" priority="5093" operator="equal">
      <formula>"未完成"</formula>
    </cfRule>
  </conditionalFormatting>
  <conditionalFormatting sqref="AH97">
    <cfRule type="cellIs" dxfId="1" priority="5096" operator="equal">
      <formula>"未完成"</formula>
    </cfRule>
    <cfRule type="cellIs" dxfId="0" priority="5097" operator="equal">
      <formula>"未完成"</formula>
    </cfRule>
  </conditionalFormatting>
  <conditionalFormatting sqref="AI97:AJ97">
    <cfRule type="cellIs" dxfId="1" priority="5094" operator="equal">
      <formula>"未完成"</formula>
    </cfRule>
    <cfRule type="cellIs" dxfId="0" priority="5095" operator="equal">
      <formula>"未完成"</formula>
    </cfRule>
  </conditionalFormatting>
  <conditionalFormatting sqref="AL97">
    <cfRule type="cellIs" dxfId="1" priority="5087" operator="equal">
      <formula>"未完成"</formula>
    </cfRule>
    <cfRule type="cellIs" dxfId="0" priority="5088" operator="equal">
      <formula>"未完成"</formula>
    </cfRule>
  </conditionalFormatting>
  <conditionalFormatting sqref="AQ97">
    <cfRule type="cellIs" dxfId="1" priority="5054" operator="equal">
      <formula>"未完成"</formula>
    </cfRule>
    <cfRule type="cellIs" dxfId="0" priority="5055" operator="equal">
      <formula>"未完成"</formula>
    </cfRule>
  </conditionalFormatting>
  <conditionalFormatting sqref="AE98">
    <cfRule type="cellIs" dxfId="0" priority="5129" operator="equal">
      <formula>"未完成"</formula>
    </cfRule>
    <cfRule type="cellIs" dxfId="1" priority="5133" operator="equal">
      <formula>"未完成"</formula>
    </cfRule>
  </conditionalFormatting>
  <conditionalFormatting sqref="AF98">
    <cfRule type="cellIs" dxfId="1" priority="5141" operator="equal">
      <formula>"未完成"</formula>
    </cfRule>
    <cfRule type="cellIs" dxfId="0" priority="5145" operator="equal">
      <formula>"未完成"</formula>
    </cfRule>
  </conditionalFormatting>
  <conditionalFormatting sqref="AH98">
    <cfRule type="cellIs" dxfId="1" priority="5157" operator="equal">
      <formula>"未完成"</formula>
    </cfRule>
    <cfRule type="cellIs" dxfId="0" priority="5161" operator="equal">
      <formula>"未完成"</formula>
    </cfRule>
  </conditionalFormatting>
  <conditionalFormatting sqref="AI98:AJ98">
    <cfRule type="cellIs" dxfId="1" priority="5149" operator="equal">
      <formula>"未完成"</formula>
    </cfRule>
    <cfRule type="cellIs" dxfId="0" priority="5153" operator="equal">
      <formula>"未完成"</formula>
    </cfRule>
  </conditionalFormatting>
  <conditionalFormatting sqref="AL98">
    <cfRule type="cellIs" dxfId="1" priority="5121" operator="equal">
      <formula>"未完成"</formula>
    </cfRule>
    <cfRule type="cellIs" dxfId="0" priority="5125" operator="equal">
      <formula>"未完成"</formula>
    </cfRule>
  </conditionalFormatting>
  <conditionalFormatting sqref="AF99">
    <cfRule type="cellIs" dxfId="1" priority="4713" operator="equal">
      <formula>"未完成"</formula>
    </cfRule>
    <cfRule type="cellIs" dxfId="0" priority="4714" operator="equal">
      <formula>"未完成"</formula>
    </cfRule>
  </conditionalFormatting>
  <conditionalFormatting sqref="AI99">
    <cfRule type="cellIs" dxfId="1" priority="4786" operator="equal">
      <formula>"未完成"</formula>
    </cfRule>
    <cfRule type="cellIs" dxfId="0" priority="4787" operator="equal">
      <formula>"未完成"</formula>
    </cfRule>
  </conditionalFormatting>
  <conditionalFormatting sqref="AE102">
    <cfRule type="cellIs" dxfId="0" priority="5127" operator="equal">
      <formula>"未完成"</formula>
    </cfRule>
    <cfRule type="cellIs" dxfId="1" priority="5131" operator="equal">
      <formula>"未完成"</formula>
    </cfRule>
  </conditionalFormatting>
  <conditionalFormatting sqref="AF102">
    <cfRule type="cellIs" dxfId="1" priority="5139" operator="equal">
      <formula>"未完成"</formula>
    </cfRule>
    <cfRule type="cellIs" dxfId="0" priority="5143" operator="equal">
      <formula>"未完成"</formula>
    </cfRule>
  </conditionalFormatting>
  <conditionalFormatting sqref="AH102">
    <cfRule type="cellIs" dxfId="1" priority="5155" operator="equal">
      <formula>"未完成"</formula>
    </cfRule>
    <cfRule type="cellIs" dxfId="0" priority="5159" operator="equal">
      <formula>"未完成"</formula>
    </cfRule>
  </conditionalFormatting>
  <conditionalFormatting sqref="AI102">
    <cfRule type="cellIs" dxfId="1" priority="4784" operator="equal">
      <formula>"未完成"</formula>
    </cfRule>
    <cfRule type="cellIs" dxfId="0" priority="4785" operator="equal">
      <formula>"未完成"</formula>
    </cfRule>
  </conditionalFormatting>
  <conditionalFormatting sqref="AJ102">
    <cfRule type="cellIs" dxfId="1" priority="5147" operator="equal">
      <formula>"未完成"</formula>
    </cfRule>
    <cfRule type="cellIs" dxfId="0" priority="5151" operator="equal">
      <formula>"未完成"</formula>
    </cfRule>
  </conditionalFormatting>
  <conditionalFormatting sqref="AL102">
    <cfRule type="cellIs" dxfId="1" priority="5119" operator="equal">
      <formula>"未完成"</formula>
    </cfRule>
    <cfRule type="cellIs" dxfId="0" priority="5123" operator="equal">
      <formula>"未完成"</formula>
    </cfRule>
  </conditionalFormatting>
  <conditionalFormatting sqref="AE103">
    <cfRule type="cellIs" dxfId="0" priority="5126" operator="equal">
      <formula>"未完成"</formula>
    </cfRule>
    <cfRule type="cellIs" dxfId="1" priority="5130" operator="equal">
      <formula>"未完成"</formula>
    </cfRule>
  </conditionalFormatting>
  <conditionalFormatting sqref="AF103">
    <cfRule type="cellIs" dxfId="1" priority="5138" operator="equal">
      <formula>"未完成"</formula>
    </cfRule>
    <cfRule type="cellIs" dxfId="0" priority="5142" operator="equal">
      <formula>"未完成"</formula>
    </cfRule>
  </conditionalFormatting>
  <conditionalFormatting sqref="AH103">
    <cfRule type="cellIs" dxfId="1" priority="5154" operator="equal">
      <formula>"未完成"</formula>
    </cfRule>
    <cfRule type="cellIs" dxfId="0" priority="5158" operator="equal">
      <formula>"未完成"</formula>
    </cfRule>
  </conditionalFormatting>
  <conditionalFormatting sqref="AI103">
    <cfRule type="cellIs" dxfId="1" priority="4776" operator="equal">
      <formula>"未完成"</formula>
    </cfRule>
    <cfRule type="cellIs" dxfId="0" priority="4777" operator="equal">
      <formula>"未完成"</formula>
    </cfRule>
  </conditionalFormatting>
  <conditionalFormatting sqref="AJ103">
    <cfRule type="cellIs" dxfId="1" priority="5146" operator="equal">
      <formula>"未完成"</formula>
    </cfRule>
    <cfRule type="cellIs" dxfId="0" priority="5150" operator="equal">
      <formula>"未完成"</formula>
    </cfRule>
  </conditionalFormatting>
  <conditionalFormatting sqref="AL103">
    <cfRule type="cellIs" dxfId="1" priority="5118" operator="equal">
      <formula>"未完成"</formula>
    </cfRule>
    <cfRule type="cellIs" dxfId="0" priority="5122" operator="equal">
      <formula>"未完成"</formula>
    </cfRule>
  </conditionalFormatting>
  <conditionalFormatting sqref="S104">
    <cfRule type="cellIs" dxfId="0" priority="4832" operator="equal">
      <formula>"欠"</formula>
    </cfRule>
  </conditionalFormatting>
  <conditionalFormatting sqref="T106:U106">
    <cfRule type="cellIs" dxfId="0" priority="5002" operator="equal">
      <formula>"欠"</formula>
    </cfRule>
  </conditionalFormatting>
  <conditionalFormatting sqref="AQ106">
    <cfRule type="cellIs" dxfId="1" priority="5000" operator="equal">
      <formula>"未完成"</formula>
    </cfRule>
    <cfRule type="cellIs" dxfId="0" priority="5001" operator="equal">
      <formula>"未完成"</formula>
    </cfRule>
  </conditionalFormatting>
  <conditionalFormatting sqref="S107">
    <cfRule type="cellIs" dxfId="0" priority="5039" operator="equal">
      <formula>"欠"</formula>
    </cfRule>
  </conditionalFormatting>
  <conditionalFormatting sqref="T112:U112">
    <cfRule type="containsText" dxfId="0" priority="4936" operator="between" text="欠">
      <formula>NOT(ISERROR(SEARCH("欠",T112)))</formula>
    </cfRule>
  </conditionalFormatting>
  <conditionalFormatting sqref="AE112">
    <cfRule type="cellIs" dxfId="0" priority="4939" operator="equal">
      <formula>"未完成"</formula>
    </cfRule>
    <cfRule type="cellIs" dxfId="1" priority="4940" operator="equal">
      <formula>"未完成"</formula>
    </cfRule>
  </conditionalFormatting>
  <conditionalFormatting sqref="AF112">
    <cfRule type="cellIs" dxfId="1" priority="4563" operator="equal">
      <formula>"未完成"</formula>
    </cfRule>
    <cfRule type="cellIs" dxfId="0" priority="4564" operator="equal">
      <formula>"未完成"</formula>
    </cfRule>
  </conditionalFormatting>
  <conditionalFormatting sqref="AH112">
    <cfRule type="cellIs" dxfId="1" priority="4945" operator="equal">
      <formula>"未完成"</formula>
    </cfRule>
    <cfRule type="cellIs" dxfId="0" priority="4946" operator="equal">
      <formula>"未完成"</formula>
    </cfRule>
  </conditionalFormatting>
  <conditionalFormatting sqref="AI112:AJ112">
    <cfRule type="cellIs" dxfId="1" priority="4943" operator="equal">
      <formula>"未完成"</formula>
    </cfRule>
    <cfRule type="cellIs" dxfId="0" priority="4944" operator="equal">
      <formula>"未完成"</formula>
    </cfRule>
  </conditionalFormatting>
  <conditionalFormatting sqref="AF113">
    <cfRule type="cellIs" dxfId="1" priority="4561" operator="equal">
      <formula>"未完成"</formula>
    </cfRule>
    <cfRule type="cellIs" dxfId="0" priority="4562" operator="equal">
      <formula>"未完成"</formula>
    </cfRule>
  </conditionalFormatting>
  <conditionalFormatting sqref="AF114">
    <cfRule type="cellIs" dxfId="1" priority="4559" operator="equal">
      <formula>"未完成"</formula>
    </cfRule>
    <cfRule type="cellIs" dxfId="0" priority="4560" operator="equal">
      <formula>"未完成"</formula>
    </cfRule>
  </conditionalFormatting>
  <conditionalFormatting sqref="AI114">
    <cfRule type="cellIs" dxfId="1" priority="4745" operator="equal">
      <formula>"未完成"</formula>
    </cfRule>
    <cfRule type="cellIs" dxfId="0" priority="4746" operator="equal">
      <formula>"未完成"</formula>
    </cfRule>
  </conditionalFormatting>
  <conditionalFormatting sqref="R116">
    <cfRule type="cellIs" dxfId="0" priority="4763" operator="equal">
      <formula>"欠"</formula>
    </cfRule>
  </conditionalFormatting>
  <conditionalFormatting sqref="T116:U116">
    <cfRule type="cellIs" dxfId="0" priority="4762" operator="equal">
      <formula>"欠"</formula>
    </cfRule>
    <cfRule type="containsText" dxfId="0" priority="4764" operator="between" text="欠">
      <formula>NOT(ISERROR(SEARCH("欠",T116)))</formula>
    </cfRule>
  </conditionalFormatting>
  <conditionalFormatting sqref="AE116">
    <cfRule type="cellIs" dxfId="0" priority="4754" operator="equal">
      <formula>"未完成"</formula>
    </cfRule>
    <cfRule type="cellIs" dxfId="1" priority="4755" operator="equal">
      <formula>"未完成"</formula>
    </cfRule>
  </conditionalFormatting>
  <conditionalFormatting sqref="AF116">
    <cfRule type="cellIs" dxfId="1" priority="4756" operator="equal">
      <formula>"未完成"</formula>
    </cfRule>
    <cfRule type="cellIs" dxfId="0" priority="4757" operator="equal">
      <formula>"未完成"</formula>
    </cfRule>
  </conditionalFormatting>
  <conditionalFormatting sqref="AH116">
    <cfRule type="cellIs" dxfId="1" priority="4760" operator="equal">
      <formula>"未完成"</formula>
    </cfRule>
    <cfRule type="cellIs" dxfId="0" priority="4761" operator="equal">
      <formula>"未完成"</formula>
    </cfRule>
  </conditionalFormatting>
  <conditionalFormatting sqref="AI116:AJ116">
    <cfRule type="cellIs" dxfId="1" priority="4758" operator="equal">
      <formula>"未完成"</formula>
    </cfRule>
    <cfRule type="cellIs" dxfId="0" priority="4759" operator="equal">
      <formula>"未完成"</formula>
    </cfRule>
  </conditionalFormatting>
  <conditionalFormatting sqref="AL116">
    <cfRule type="cellIs" dxfId="1" priority="4767" operator="equal">
      <formula>"未完成"</formula>
    </cfRule>
    <cfRule type="cellIs" dxfId="0" priority="4768" operator="equal">
      <formula>"未完成"</formula>
    </cfRule>
  </conditionalFormatting>
  <conditionalFormatting sqref="AQ116">
    <cfRule type="cellIs" dxfId="1" priority="4752" operator="equal">
      <formula>"未完成"</formula>
    </cfRule>
    <cfRule type="cellIs" dxfId="0" priority="4753" operator="equal">
      <formula>"未完成"</formula>
    </cfRule>
  </conditionalFormatting>
  <conditionalFormatting sqref="AT116">
    <cfRule type="cellIs" dxfId="1" priority="4750" operator="equal">
      <formula>"未完成"</formula>
    </cfRule>
    <cfRule type="cellIs" dxfId="0" priority="4751" operator="equal">
      <formula>"未完成"</formula>
    </cfRule>
  </conditionalFormatting>
  <conditionalFormatting sqref="AU116">
    <cfRule type="cellIs" dxfId="1" priority="4769" operator="equal">
      <formula>"未完成"</formula>
    </cfRule>
    <cfRule type="cellIs" dxfId="0" priority="4770" operator="equal">
      <formula>"未完成"</formula>
    </cfRule>
  </conditionalFormatting>
  <conditionalFormatting sqref="R117">
    <cfRule type="cellIs" dxfId="0" priority="4935" operator="equal">
      <formula>"欠"</formula>
    </cfRule>
  </conditionalFormatting>
  <conditionalFormatting sqref="AI118">
    <cfRule type="cellIs" dxfId="1" priority="4681" operator="equal">
      <formula>"未完成"</formula>
    </cfRule>
    <cfRule type="cellIs" dxfId="0" priority="4682" operator="equal">
      <formula>"未完成"</formula>
    </cfRule>
  </conditionalFormatting>
  <conditionalFormatting sqref="AF119">
    <cfRule type="cellIs" dxfId="1" priority="4711" operator="equal">
      <formula>"未完成"</formula>
    </cfRule>
    <cfRule type="cellIs" dxfId="0" priority="4712" operator="equal">
      <formula>"未完成"</formula>
    </cfRule>
  </conditionalFormatting>
  <conditionalFormatting sqref="T123:U123">
    <cfRule type="cellIs" dxfId="0" priority="4791" operator="equal">
      <formula>"欠"</formula>
    </cfRule>
    <cfRule type="containsText" dxfId="0" priority="4792" operator="between" text="欠">
      <formula>NOT(ISERROR(SEARCH("欠",T123)))</formula>
    </cfRule>
  </conditionalFormatting>
  <conditionalFormatting sqref="AI125">
    <cfRule type="cellIs" dxfId="1" priority="4679" operator="equal">
      <formula>"未完成"</formula>
    </cfRule>
    <cfRule type="cellIs" dxfId="0" priority="4680" operator="equal">
      <formula>"未完成"</formula>
    </cfRule>
  </conditionalFormatting>
  <conditionalFormatting sqref="AI126">
    <cfRule type="cellIs" dxfId="1" priority="4675" operator="equal">
      <formula>"未完成"</formula>
    </cfRule>
    <cfRule type="cellIs" dxfId="0" priority="4676" operator="equal">
      <formula>"未完成"</formula>
    </cfRule>
  </conditionalFormatting>
  <conditionalFormatting sqref="AI127">
    <cfRule type="cellIs" dxfId="1" priority="4677" operator="equal">
      <formula>"未完成"</formula>
    </cfRule>
    <cfRule type="cellIs" dxfId="0" priority="4678" operator="equal">
      <formula>"未完成"</formula>
    </cfRule>
  </conditionalFormatting>
  <conditionalFormatting sqref="AI128">
    <cfRule type="cellIs" dxfId="1" priority="4673" operator="equal">
      <formula>"未完成"</formula>
    </cfRule>
    <cfRule type="cellIs" dxfId="0" priority="4674" operator="equal">
      <formula>"未完成"</formula>
    </cfRule>
  </conditionalFormatting>
  <conditionalFormatting sqref="AI134">
    <cfRule type="cellIs" dxfId="1" priority="4671" operator="equal">
      <formula>"未完成"</formula>
    </cfRule>
    <cfRule type="cellIs" dxfId="0" priority="4672" operator="equal">
      <formula>"未完成"</formula>
    </cfRule>
  </conditionalFormatting>
  <conditionalFormatting sqref="R135">
    <cfRule type="cellIs" dxfId="0" priority="4550" operator="equal">
      <formula>"欠"</formula>
    </cfRule>
  </conditionalFormatting>
  <conditionalFormatting sqref="S135">
    <cfRule type="cellIs" dxfId="0" priority="4549" operator="equal">
      <formula>"欠"</formula>
    </cfRule>
  </conditionalFormatting>
  <conditionalFormatting sqref="T135:U135">
    <cfRule type="cellIs" dxfId="0" priority="4536" operator="equal">
      <formula>"欠"</formula>
    </cfRule>
  </conditionalFormatting>
  <conditionalFormatting sqref="AE135">
    <cfRule type="cellIs" dxfId="1" priority="4539" operator="equal">
      <formula>"未完成"</formula>
    </cfRule>
    <cfRule type="cellIs" dxfId="0" priority="4540" operator="equal">
      <formula>"未完成"</formula>
    </cfRule>
  </conditionalFormatting>
  <conditionalFormatting sqref="AF135">
    <cfRule type="cellIs" dxfId="1" priority="4541" operator="equal">
      <formula>"未完成"</formula>
    </cfRule>
    <cfRule type="cellIs" dxfId="0" priority="4542" operator="equal">
      <formula>"未完成"</formula>
    </cfRule>
  </conditionalFormatting>
  <conditionalFormatting sqref="AH135">
    <cfRule type="cellIs" dxfId="1" priority="4545" operator="equal">
      <formula>"未完成"</formula>
    </cfRule>
    <cfRule type="cellIs" dxfId="0" priority="4546" operator="equal">
      <formula>"未完成"</formula>
    </cfRule>
  </conditionalFormatting>
  <conditionalFormatting sqref="AJ135">
    <cfRule type="cellIs" dxfId="1" priority="4553" operator="equal">
      <formula>"未完成"</formula>
    </cfRule>
    <cfRule type="cellIs" dxfId="0" priority="4554" operator="equal">
      <formula>"未完成"</formula>
    </cfRule>
  </conditionalFormatting>
  <conditionalFormatting sqref="AQ135">
    <cfRule type="cellIs" dxfId="1" priority="4537" operator="equal">
      <formula>"未完成"</formula>
    </cfRule>
    <cfRule type="cellIs" dxfId="0" priority="4538" operator="equal">
      <formula>"未完成"</formula>
    </cfRule>
  </conditionalFormatting>
  <conditionalFormatting sqref="AT135">
    <cfRule type="cellIs" dxfId="1" priority="4532" operator="equal">
      <formula>"未完成"</formula>
    </cfRule>
    <cfRule type="cellIs" dxfId="0" priority="4533" operator="equal">
      <formula>"未完成"</formula>
    </cfRule>
  </conditionalFormatting>
  <conditionalFormatting sqref="AU135">
    <cfRule type="cellIs" dxfId="1" priority="4551" operator="equal">
      <formula>"未完成"</formula>
    </cfRule>
    <cfRule type="cellIs" dxfId="0" priority="4552" operator="equal">
      <formula>"未完成"</formula>
    </cfRule>
  </conditionalFormatting>
  <conditionalFormatting sqref="R136">
    <cfRule type="cellIs" dxfId="0" priority="4519" operator="equal">
      <formula>"欠"</formula>
    </cfRule>
  </conditionalFormatting>
  <conditionalFormatting sqref="S136">
    <cfRule type="cellIs" dxfId="0" priority="4517" operator="equal">
      <formula>"欠"</formula>
    </cfRule>
  </conditionalFormatting>
  <conditionalFormatting sqref="T136:U136">
    <cfRule type="cellIs" dxfId="0" priority="4491" operator="equal">
      <formula>"欠"</formula>
    </cfRule>
  </conditionalFormatting>
  <conditionalFormatting sqref="AE136">
    <cfRule type="cellIs" dxfId="1" priority="4497" operator="equal">
      <formula>"未完成"</formula>
    </cfRule>
    <cfRule type="cellIs" dxfId="0" priority="4499" operator="equal">
      <formula>"未完成"</formula>
    </cfRule>
  </conditionalFormatting>
  <conditionalFormatting sqref="AF136">
    <cfRule type="cellIs" dxfId="1" priority="4501" operator="equal">
      <formula>"未完成"</formula>
    </cfRule>
    <cfRule type="cellIs" dxfId="0" priority="4503" operator="equal">
      <formula>"未完成"</formula>
    </cfRule>
  </conditionalFormatting>
  <conditionalFormatting sqref="AH136">
    <cfRule type="cellIs" dxfId="1" priority="4509" operator="equal">
      <formula>"未完成"</formula>
    </cfRule>
    <cfRule type="cellIs" dxfId="0" priority="4511" operator="equal">
      <formula>"未完成"</formula>
    </cfRule>
  </conditionalFormatting>
  <conditionalFormatting sqref="AJ136">
    <cfRule type="cellIs" dxfId="1" priority="4525" operator="equal">
      <formula>"未完成"</formula>
    </cfRule>
    <cfRule type="cellIs" dxfId="0" priority="4527" operator="equal">
      <formula>"未完成"</formula>
    </cfRule>
  </conditionalFormatting>
  <conditionalFormatting sqref="AQ136">
    <cfRule type="cellIs" dxfId="1" priority="4493" operator="equal">
      <formula>"未完成"</formula>
    </cfRule>
    <cfRule type="cellIs" dxfId="0" priority="4495" operator="equal">
      <formula>"未完成"</formula>
    </cfRule>
  </conditionalFormatting>
  <conditionalFormatting sqref="AT136">
    <cfRule type="cellIs" dxfId="1" priority="4483" operator="equal">
      <formula>"未完成"</formula>
    </cfRule>
    <cfRule type="cellIs" dxfId="0" priority="4485" operator="equal">
      <formula>"未完成"</formula>
    </cfRule>
  </conditionalFormatting>
  <conditionalFormatting sqref="AU136">
    <cfRule type="cellIs" dxfId="1" priority="4521" operator="equal">
      <formula>"未完成"</formula>
    </cfRule>
    <cfRule type="cellIs" dxfId="0" priority="4523" operator="equal">
      <formula>"未完成"</formula>
    </cfRule>
  </conditionalFormatting>
  <conditionalFormatting sqref="R137">
    <cfRule type="cellIs" dxfId="0" priority="4518" operator="equal">
      <formula>"欠"</formula>
    </cfRule>
  </conditionalFormatting>
  <conditionalFormatting sqref="S137">
    <cfRule type="cellIs" dxfId="0" priority="4516" operator="equal">
      <formula>"欠"</formula>
    </cfRule>
  </conditionalFormatting>
  <conditionalFormatting sqref="T137:U137">
    <cfRule type="cellIs" dxfId="0" priority="4490" operator="equal">
      <formula>"欠"</formula>
    </cfRule>
  </conditionalFormatting>
  <conditionalFormatting sqref="AE137">
    <cfRule type="cellIs" dxfId="1" priority="4496" operator="equal">
      <formula>"未完成"</formula>
    </cfRule>
    <cfRule type="cellIs" dxfId="0" priority="4498" operator="equal">
      <formula>"未完成"</formula>
    </cfRule>
  </conditionalFormatting>
  <conditionalFormatting sqref="AF137">
    <cfRule type="cellIs" dxfId="1" priority="4411" operator="equal">
      <formula>"未完成"</formula>
    </cfRule>
    <cfRule type="cellIs" dxfId="0" priority="4412" operator="equal">
      <formula>"未完成"</formula>
    </cfRule>
  </conditionalFormatting>
  <conditionalFormatting sqref="AH137">
    <cfRule type="cellIs" dxfId="1" priority="4508" operator="equal">
      <formula>"未完成"</formula>
    </cfRule>
    <cfRule type="cellIs" dxfId="0" priority="4510" operator="equal">
      <formula>"未完成"</formula>
    </cfRule>
  </conditionalFormatting>
  <conditionalFormatting sqref="AJ137">
    <cfRule type="cellIs" dxfId="1" priority="4524" operator="equal">
      <formula>"未完成"</formula>
    </cfRule>
    <cfRule type="cellIs" dxfId="0" priority="4526" operator="equal">
      <formula>"未完成"</formula>
    </cfRule>
  </conditionalFormatting>
  <conditionalFormatting sqref="AQ137">
    <cfRule type="cellIs" dxfId="1" priority="4492" operator="equal">
      <formula>"未完成"</formula>
    </cfRule>
    <cfRule type="cellIs" dxfId="0" priority="4494" operator="equal">
      <formula>"未完成"</formula>
    </cfRule>
  </conditionalFormatting>
  <conditionalFormatting sqref="AU137">
    <cfRule type="cellIs" dxfId="1" priority="4520" operator="equal">
      <formula>"未完成"</formula>
    </cfRule>
    <cfRule type="cellIs" dxfId="0" priority="4522" operator="equal">
      <formula>"未完成"</formula>
    </cfRule>
  </conditionalFormatting>
  <conditionalFormatting sqref="AE138">
    <cfRule type="cellIs" dxfId="1" priority="4958" operator="equal">
      <formula>"未完成"</formula>
    </cfRule>
    <cfRule type="cellIs" dxfId="0" priority="4959" operator="equal">
      <formula>"未完成"</formula>
    </cfRule>
  </conditionalFormatting>
  <conditionalFormatting sqref="AF138">
    <cfRule type="cellIs" dxfId="1" priority="4960" operator="equal">
      <formula>"未完成"</formula>
    </cfRule>
    <cfRule type="cellIs" dxfId="0" priority="4961" operator="equal">
      <formula>"未完成"</formula>
    </cfRule>
  </conditionalFormatting>
  <conditionalFormatting sqref="AH138">
    <cfRule type="cellIs" dxfId="1" priority="4964" operator="equal">
      <formula>"未完成"</formula>
    </cfRule>
    <cfRule type="cellIs" dxfId="0" priority="4965" operator="equal">
      <formula>"未完成"</formula>
    </cfRule>
  </conditionalFormatting>
  <conditionalFormatting sqref="AI138:AJ138">
    <cfRule type="cellIs" dxfId="1" priority="4962" operator="equal">
      <formula>"未完成"</formula>
    </cfRule>
    <cfRule type="cellIs" dxfId="0" priority="4963" operator="equal">
      <formula>"未完成"</formula>
    </cfRule>
  </conditionalFormatting>
  <conditionalFormatting sqref="AO138">
    <cfRule type="cellIs" dxfId="1" priority="4967" operator="equal">
      <formula>"未完成"</formula>
    </cfRule>
    <cfRule type="cellIs" dxfId="0" priority="4968" operator="equal">
      <formula>"未完成"</formula>
    </cfRule>
  </conditionalFormatting>
  <conditionalFormatting sqref="AQ138">
    <cfRule type="cellIs" dxfId="1" priority="4954" operator="equal">
      <formula>"未完成"</formula>
    </cfRule>
    <cfRule type="cellIs" dxfId="0" priority="4955" operator="equal">
      <formula>"未完成"</formula>
    </cfRule>
  </conditionalFormatting>
  <conditionalFormatting sqref="R140">
    <cfRule type="cellIs" dxfId="0" priority="4455" operator="equal">
      <formula>"欠"</formula>
    </cfRule>
  </conditionalFormatting>
  <conditionalFormatting sqref="S140">
    <cfRule type="cellIs" dxfId="0" priority="4458" operator="equal">
      <formula>"欠"</formula>
    </cfRule>
  </conditionalFormatting>
  <conditionalFormatting sqref="T140:U140">
    <cfRule type="containsText" dxfId="0" priority="4445" operator="between" text="欠">
      <formula>NOT(ISERROR(SEARCH("欠",T140)))</formula>
    </cfRule>
    <cfRule type="cellIs" dxfId="0" priority="4446" operator="equal">
      <formula>"欠"</formula>
    </cfRule>
  </conditionalFormatting>
  <conditionalFormatting sqref="AE140">
    <cfRule type="cellIs" dxfId="1" priority="4447" operator="equal">
      <formula>"未完成"</formula>
    </cfRule>
    <cfRule type="cellIs" dxfId="0" priority="4448" operator="equal">
      <formula>"未完成"</formula>
    </cfRule>
  </conditionalFormatting>
  <conditionalFormatting sqref="AF140">
    <cfRule type="cellIs" dxfId="1" priority="4449" operator="equal">
      <formula>"未完成"</formula>
    </cfRule>
    <cfRule type="cellIs" dxfId="0" priority="4450" operator="equal">
      <formula>"未完成"</formula>
    </cfRule>
  </conditionalFormatting>
  <conditionalFormatting sqref="AG140">
    <cfRule type="cellIs" dxfId="1" priority="4461" operator="equal">
      <formula>"未完成"</formula>
    </cfRule>
    <cfRule type="cellIs" dxfId="0" priority="4462" operator="equal">
      <formula>"未完成"</formula>
    </cfRule>
  </conditionalFormatting>
  <conditionalFormatting sqref="AH140">
    <cfRule type="cellIs" dxfId="1" priority="4453" operator="equal">
      <formula>"未完成"</formula>
    </cfRule>
    <cfRule type="cellIs" dxfId="0" priority="4454" operator="equal">
      <formula>"未完成"</formula>
    </cfRule>
  </conditionalFormatting>
  <conditionalFormatting sqref="AI140:AJ140">
    <cfRule type="cellIs" dxfId="1" priority="4451" operator="equal">
      <formula>"未完成"</formula>
    </cfRule>
    <cfRule type="cellIs" dxfId="0" priority="4452" operator="equal">
      <formula>"未完成"</formula>
    </cfRule>
  </conditionalFormatting>
  <conditionalFormatting sqref="AO140">
    <cfRule type="cellIs" dxfId="1" priority="4456" operator="equal">
      <formula>"未完成"</formula>
    </cfRule>
    <cfRule type="cellIs" dxfId="0" priority="4457" operator="equal">
      <formula>"未完成"</formula>
    </cfRule>
  </conditionalFormatting>
  <conditionalFormatting sqref="AQ140">
    <cfRule type="cellIs" dxfId="1" priority="4443" operator="equal">
      <formula>"未完成"</formula>
    </cfRule>
    <cfRule type="cellIs" dxfId="0" priority="4444" operator="equal">
      <formula>"未完成"</formula>
    </cfRule>
  </conditionalFormatting>
  <conditionalFormatting sqref="AE141">
    <cfRule type="cellIs" dxfId="0" priority="4863" operator="equal">
      <formula>"未完成"</formula>
    </cfRule>
    <cfRule type="cellIs" dxfId="1" priority="4864" operator="equal">
      <formula>"未完成"</formula>
    </cfRule>
  </conditionalFormatting>
  <conditionalFormatting sqref="AF141">
    <cfRule type="cellIs" dxfId="1" priority="4865" operator="equal">
      <formula>"未完成"</formula>
    </cfRule>
    <cfRule type="cellIs" dxfId="0" priority="4866" operator="equal">
      <formula>"未完成"</formula>
    </cfRule>
  </conditionalFormatting>
  <conditionalFormatting sqref="AH141">
    <cfRule type="cellIs" dxfId="1" priority="4869" operator="equal">
      <formula>"未完成"</formula>
    </cfRule>
    <cfRule type="cellIs" dxfId="0" priority="4870" operator="equal">
      <formula>"未完成"</formula>
    </cfRule>
  </conditionalFormatting>
  <conditionalFormatting sqref="AI141:AJ141">
    <cfRule type="cellIs" dxfId="1" priority="4867" operator="equal">
      <formula>"未完成"</formula>
    </cfRule>
    <cfRule type="cellIs" dxfId="0" priority="4868" operator="equal">
      <formula>"未完成"</formula>
    </cfRule>
  </conditionalFormatting>
  <conditionalFormatting sqref="AL141">
    <cfRule type="cellIs" dxfId="1" priority="4876" operator="equal">
      <formula>"未完成"</formula>
    </cfRule>
    <cfRule type="cellIs" dxfId="0" priority="4877" operator="equal">
      <formula>"未完成"</formula>
    </cfRule>
  </conditionalFormatting>
  <conditionalFormatting sqref="AQ141">
    <cfRule type="cellIs" dxfId="1" priority="4861" operator="equal">
      <formula>"未完成"</formula>
    </cfRule>
    <cfRule type="cellIs" dxfId="0" priority="4862" operator="equal">
      <formula>"未完成"</formula>
    </cfRule>
  </conditionalFormatting>
  <conditionalFormatting sqref="AT141">
    <cfRule type="cellIs" dxfId="1" priority="4859" operator="equal">
      <formula>"未完成"</formula>
    </cfRule>
    <cfRule type="cellIs" dxfId="0" priority="4860" operator="equal">
      <formula>"未完成"</formula>
    </cfRule>
  </conditionalFormatting>
  <conditionalFormatting sqref="AE142">
    <cfRule type="cellIs" dxfId="0" priority="4837" operator="equal">
      <formula>"未完成"</formula>
    </cfRule>
    <cfRule type="cellIs" dxfId="1" priority="4838" operator="equal">
      <formula>"未完成"</formula>
    </cfRule>
  </conditionalFormatting>
  <conditionalFormatting sqref="AF142">
    <cfRule type="cellIs" dxfId="1" priority="4839" operator="equal">
      <formula>"未完成"</formula>
    </cfRule>
    <cfRule type="cellIs" dxfId="0" priority="4840" operator="equal">
      <formula>"未完成"</formula>
    </cfRule>
  </conditionalFormatting>
  <conditionalFormatting sqref="AH142">
    <cfRule type="cellIs" dxfId="1" priority="4843" operator="equal">
      <formula>"未完成"</formula>
    </cfRule>
    <cfRule type="cellIs" dxfId="0" priority="4844" operator="equal">
      <formula>"未完成"</formula>
    </cfRule>
  </conditionalFormatting>
  <conditionalFormatting sqref="AI142">
    <cfRule type="cellIs" dxfId="1" priority="4567" operator="equal">
      <formula>"未完成"</formula>
    </cfRule>
    <cfRule type="cellIs" dxfId="0" priority="4568" operator="equal">
      <formula>"未完成"</formula>
    </cfRule>
  </conditionalFormatting>
  <conditionalFormatting sqref="AJ142">
    <cfRule type="cellIs" dxfId="1" priority="4841" operator="equal">
      <formula>"未完成"</formula>
    </cfRule>
    <cfRule type="cellIs" dxfId="0" priority="4842" operator="equal">
      <formula>"未完成"</formula>
    </cfRule>
  </conditionalFormatting>
  <conditionalFormatting sqref="AL142">
    <cfRule type="cellIs" dxfId="1" priority="4850" operator="equal">
      <formula>"未完成"</formula>
    </cfRule>
    <cfRule type="cellIs" dxfId="0" priority="4851" operator="equal">
      <formula>"未完成"</formula>
    </cfRule>
  </conditionalFormatting>
  <conditionalFormatting sqref="AQ142">
    <cfRule type="cellIs" dxfId="1" priority="4835" operator="equal">
      <formula>"未完成"</formula>
    </cfRule>
    <cfRule type="cellIs" dxfId="0" priority="4836" operator="equal">
      <formula>"未完成"</formula>
    </cfRule>
  </conditionalFormatting>
  <conditionalFormatting sqref="AT142">
    <cfRule type="cellIs" dxfId="1" priority="4833" operator="equal">
      <formula>"未完成"</formula>
    </cfRule>
    <cfRule type="cellIs" dxfId="0" priority="4834" operator="equal">
      <formula>"未完成"</formula>
    </cfRule>
  </conditionalFormatting>
  <conditionalFormatting sqref="S143">
    <cfRule type="cellIs" dxfId="0" priority="4825" operator="equal">
      <formula>"欠"</formula>
    </cfRule>
  </conditionalFormatting>
  <conditionalFormatting sqref="AF143">
    <cfRule type="cellIs" dxfId="1" priority="4413" operator="equal">
      <formula>"未完成"</formula>
    </cfRule>
    <cfRule type="cellIs" dxfId="0" priority="4414" operator="equal">
      <formula>"未完成"</formula>
    </cfRule>
  </conditionalFormatting>
  <conditionalFormatting sqref="AI143">
    <cfRule type="cellIs" dxfId="1" priority="4565" operator="equal">
      <formula>"未完成"</formula>
    </cfRule>
    <cfRule type="cellIs" dxfId="0" priority="4566" operator="equal">
      <formula>"未完成"</formula>
    </cfRule>
  </conditionalFormatting>
  <conditionalFormatting sqref="R144">
    <cfRule type="cellIs" dxfId="0" priority="4683" operator="equal">
      <formula>"欠"</formula>
    </cfRule>
  </conditionalFormatting>
  <conditionalFormatting sqref="T144:U144">
    <cfRule type="containsText" dxfId="0" priority="4689" operator="between" text="欠">
      <formula>NOT(ISERROR(SEARCH("欠",T144)))</formula>
    </cfRule>
    <cfRule type="cellIs" dxfId="0" priority="4690" operator="equal">
      <formula>"欠"</formula>
    </cfRule>
  </conditionalFormatting>
  <conditionalFormatting sqref="AE144">
    <cfRule type="cellIs" dxfId="0" priority="4691" operator="equal">
      <formula>"未完成"</formula>
    </cfRule>
    <cfRule type="cellIs" dxfId="1" priority="4692" operator="equal">
      <formula>"未完成"</formula>
    </cfRule>
  </conditionalFormatting>
  <conditionalFormatting sqref="AF144">
    <cfRule type="cellIs" dxfId="1" priority="4693" operator="equal">
      <formula>"未完成"</formula>
    </cfRule>
    <cfRule type="cellIs" dxfId="0" priority="4694" operator="equal">
      <formula>"未完成"</formula>
    </cfRule>
  </conditionalFormatting>
  <conditionalFormatting sqref="AH144">
    <cfRule type="cellIs" dxfId="1" priority="4697" operator="equal">
      <formula>"未完成"</formula>
    </cfRule>
    <cfRule type="cellIs" dxfId="0" priority="4698" operator="equal">
      <formula>"未完成"</formula>
    </cfRule>
  </conditionalFormatting>
  <conditionalFormatting sqref="AI144">
    <cfRule type="cellIs" dxfId="1" priority="4685" operator="equal">
      <formula>"未完成"</formula>
    </cfRule>
    <cfRule type="cellIs" dxfId="0" priority="4686" operator="equal">
      <formula>"未完成"</formula>
    </cfRule>
  </conditionalFormatting>
  <conditionalFormatting sqref="AJ144">
    <cfRule type="cellIs" dxfId="1" priority="4695" operator="equal">
      <formula>"未完成"</formula>
    </cfRule>
    <cfRule type="cellIs" dxfId="0" priority="4696" operator="equal">
      <formula>"未完成"</formula>
    </cfRule>
  </conditionalFormatting>
  <conditionalFormatting sqref="AQ144">
    <cfRule type="cellIs" dxfId="1" priority="4687" operator="equal">
      <formula>"未完成"</formula>
    </cfRule>
    <cfRule type="cellIs" dxfId="0" priority="4688" operator="equal">
      <formula>"未完成"</formula>
    </cfRule>
  </conditionalFormatting>
  <conditionalFormatting sqref="R145">
    <cfRule type="cellIs" dxfId="0" priority="4790" operator="equal">
      <formula>"欠"</formula>
    </cfRule>
  </conditionalFormatting>
  <conditionalFormatting sqref="T145:U145">
    <cfRule type="cellIs" dxfId="0" priority="4803" operator="equal">
      <formula>"欠"</formula>
    </cfRule>
    <cfRule type="containsText" dxfId="0" priority="4805" operator="between" text="欠">
      <formula>NOT(ISERROR(SEARCH("欠",T145)))</formula>
    </cfRule>
  </conditionalFormatting>
  <conditionalFormatting sqref="AE145">
    <cfRule type="cellIs" dxfId="1" priority="4795" operator="equal">
      <formula>"未完成"</formula>
    </cfRule>
    <cfRule type="cellIs" dxfId="0" priority="4796" operator="equal">
      <formula>"未完成"</formula>
    </cfRule>
  </conditionalFormatting>
  <conditionalFormatting sqref="AF145">
    <cfRule type="cellIs" dxfId="1" priority="4797" operator="equal">
      <formula>"未完成"</formula>
    </cfRule>
    <cfRule type="cellIs" dxfId="0" priority="4798" operator="equal">
      <formula>"未完成"</formula>
    </cfRule>
  </conditionalFormatting>
  <conditionalFormatting sqref="AH145">
    <cfRule type="cellIs" dxfId="1" priority="4801" operator="equal">
      <formula>"未完成"</formula>
    </cfRule>
    <cfRule type="cellIs" dxfId="0" priority="4802" operator="equal">
      <formula>"未完成"</formula>
    </cfRule>
  </conditionalFormatting>
  <conditionalFormatting sqref="AI145:AJ145">
    <cfRule type="cellIs" dxfId="1" priority="4799" operator="equal">
      <formula>"未完成"</formula>
    </cfRule>
    <cfRule type="cellIs" dxfId="0" priority="4800" operator="equal">
      <formula>"未完成"</formula>
    </cfRule>
  </conditionalFormatting>
  <conditionalFormatting sqref="AL145">
    <cfRule type="cellIs" dxfId="1" priority="4808" operator="equal">
      <formula>"未完成"</formula>
    </cfRule>
    <cfRule type="cellIs" dxfId="0" priority="4809" operator="equal">
      <formula>"未完成"</formula>
    </cfRule>
  </conditionalFormatting>
  <conditionalFormatting sqref="AQ145">
    <cfRule type="cellIs" dxfId="1" priority="4793" operator="equal">
      <formula>"未完成"</formula>
    </cfRule>
    <cfRule type="cellIs" dxfId="0" priority="4794" operator="equal">
      <formula>"未完成"</formula>
    </cfRule>
  </conditionalFormatting>
  <conditionalFormatting sqref="AL148">
    <cfRule type="cellIs" dxfId="1" priority="4741" operator="equal">
      <formula>"未完成"</formula>
    </cfRule>
    <cfRule type="cellIs" dxfId="0" priority="4742" operator="equal">
      <formula>"未完成"</formula>
    </cfRule>
  </conditionalFormatting>
  <conditionalFormatting sqref="AT152">
    <cfRule type="cellIs" dxfId="1" priority="4817" operator="equal">
      <formula>"未完成"</formula>
    </cfRule>
    <cfRule type="cellIs" dxfId="0" priority="4818" operator="equal">
      <formula>"未完成"</formula>
    </cfRule>
  </conditionalFormatting>
  <conditionalFormatting sqref="T154:U154">
    <cfRule type="cellIs" dxfId="0" priority="5045" operator="equal">
      <formula>"欠"</formula>
    </cfRule>
  </conditionalFormatting>
  <conditionalFormatting sqref="AI155">
    <cfRule type="cellIs" dxfId="1" priority="4669" operator="equal">
      <formula>"未完成"</formula>
    </cfRule>
    <cfRule type="cellIs" dxfId="0" priority="4670" operator="equal">
      <formula>"未完成"</formula>
    </cfRule>
  </conditionalFormatting>
  <conditionalFormatting sqref="AI156">
    <cfRule type="cellIs" dxfId="1" priority="4667" operator="equal">
      <formula>"未完成"</formula>
    </cfRule>
    <cfRule type="cellIs" dxfId="0" priority="4668" operator="equal">
      <formula>"未完成"</formula>
    </cfRule>
  </conditionalFormatting>
  <conditionalFormatting sqref="S164">
    <cfRule type="cellIs" dxfId="0" priority="4635" operator="equal">
      <formula>"欠"</formula>
    </cfRule>
  </conditionalFormatting>
  <conditionalFormatting sqref="AF164">
    <cfRule type="cellIs" dxfId="1" priority="4062" operator="equal">
      <formula>"未完成"</formula>
    </cfRule>
    <cfRule type="cellIs" dxfId="0" priority="4063" operator="equal">
      <formula>"未完成"</formula>
    </cfRule>
  </conditionalFormatting>
  <conditionalFormatting sqref="AL164">
    <cfRule type="cellIs" dxfId="1" priority="4651" operator="equal">
      <formula>"未完成"</formula>
    </cfRule>
    <cfRule type="cellIs" dxfId="0" priority="4652" operator="equal">
      <formula>"未完成"</formula>
    </cfRule>
  </conditionalFormatting>
  <conditionalFormatting sqref="AF165">
    <cfRule type="cellIs" dxfId="1" priority="4060" operator="equal">
      <formula>"未完成"</formula>
    </cfRule>
    <cfRule type="cellIs" dxfId="0" priority="4061" operator="equal">
      <formula>"未完成"</formula>
    </cfRule>
  </conditionalFormatting>
  <conditionalFormatting sqref="R166">
    <cfRule type="cellIs" dxfId="0" priority="3717" operator="equal">
      <formula>"欠"</formula>
    </cfRule>
  </conditionalFormatting>
  <conditionalFormatting sqref="S166">
    <cfRule type="cellIs" dxfId="0" priority="3555" operator="equal">
      <formula>"欠"</formula>
    </cfRule>
  </conditionalFormatting>
  <conditionalFormatting sqref="T166:U166">
    <cfRule type="containsText" dxfId="0" priority="3519" operator="between" text="欠">
      <formula>NOT(ISERROR(SEARCH("欠",T166)))</formula>
    </cfRule>
    <cfRule type="cellIs" dxfId="0" priority="3537" operator="equal">
      <formula>"欠"</formula>
    </cfRule>
  </conditionalFormatting>
  <conditionalFormatting sqref="AE166">
    <cfRule type="cellIs" dxfId="0" priority="3609" operator="equal">
      <formula>"未完成"</formula>
    </cfRule>
    <cfRule type="cellIs" dxfId="1" priority="3627" operator="equal">
      <formula>"未完成"</formula>
    </cfRule>
  </conditionalFormatting>
  <conditionalFormatting sqref="AF166">
    <cfRule type="cellIs" dxfId="1" priority="3483" operator="equal">
      <formula>"未完成"</formula>
    </cfRule>
    <cfRule type="cellIs" dxfId="0" priority="3501" operator="equal">
      <formula>"未完成"</formula>
    </cfRule>
  </conditionalFormatting>
  <conditionalFormatting sqref="AG166">
    <cfRule type="cellIs" dxfId="1" priority="3843" operator="equal">
      <formula>"未完成"</formula>
    </cfRule>
    <cfRule type="cellIs" dxfId="0" priority="3861" operator="equal">
      <formula>"未完成"</formula>
    </cfRule>
  </conditionalFormatting>
  <conditionalFormatting sqref="AH166">
    <cfRule type="cellIs" dxfId="1" priority="3681" operator="equal">
      <formula>"未完成"</formula>
    </cfRule>
    <cfRule type="cellIs" dxfId="0" priority="3699" operator="equal">
      <formula>"未完成"</formula>
    </cfRule>
  </conditionalFormatting>
  <conditionalFormatting sqref="AI166:AJ166">
    <cfRule type="cellIs" dxfId="1" priority="3645" operator="equal">
      <formula>"未完成"</formula>
    </cfRule>
    <cfRule type="cellIs" dxfId="0" priority="3663" operator="equal">
      <formula>"未完成"</formula>
    </cfRule>
  </conditionalFormatting>
  <conditionalFormatting sqref="AK166">
    <cfRule type="cellIs" dxfId="1" priority="3807" operator="equal">
      <formula>"未完成"</formula>
    </cfRule>
    <cfRule type="cellIs" dxfId="0" priority="3825" operator="equal">
      <formula>"未完成"</formula>
    </cfRule>
  </conditionalFormatting>
  <conditionalFormatting sqref="AL166">
    <cfRule type="cellIs" dxfId="1" priority="3771" operator="equal">
      <formula>"未完成"</formula>
    </cfRule>
    <cfRule type="cellIs" dxfId="0" priority="3789" operator="equal">
      <formula>"未完成"</formula>
    </cfRule>
  </conditionalFormatting>
  <conditionalFormatting sqref="AO166">
    <cfRule type="cellIs" dxfId="1" priority="3735" operator="equal">
      <formula>"未完成"</formula>
    </cfRule>
    <cfRule type="cellIs" dxfId="0" priority="3753" operator="equal">
      <formula>"未完成"</formula>
    </cfRule>
  </conditionalFormatting>
  <conditionalFormatting sqref="AT166">
    <cfRule type="cellIs" dxfId="1" priority="3573" operator="equal">
      <formula>"未完成"</formula>
    </cfRule>
    <cfRule type="cellIs" dxfId="0" priority="3591" operator="equal">
      <formula>"未完成"</formula>
    </cfRule>
  </conditionalFormatting>
  <conditionalFormatting sqref="R167">
    <cfRule type="cellIs" dxfId="0" priority="3716" operator="equal">
      <formula>"欠"</formula>
    </cfRule>
  </conditionalFormatting>
  <conditionalFormatting sqref="S167">
    <cfRule type="cellIs" dxfId="0" priority="3554" operator="equal">
      <formula>"欠"</formula>
    </cfRule>
  </conditionalFormatting>
  <conditionalFormatting sqref="T167:U167">
    <cfRule type="containsText" dxfId="0" priority="3518" operator="between" text="欠">
      <formula>NOT(ISERROR(SEARCH("欠",T167)))</formula>
    </cfRule>
    <cfRule type="cellIs" dxfId="0" priority="3536" operator="equal">
      <formula>"欠"</formula>
    </cfRule>
  </conditionalFormatting>
  <conditionalFormatting sqref="AE167">
    <cfRule type="cellIs" dxfId="0" priority="3608" operator="equal">
      <formula>"未完成"</formula>
    </cfRule>
    <cfRule type="cellIs" dxfId="1" priority="3626" operator="equal">
      <formula>"未完成"</formula>
    </cfRule>
  </conditionalFormatting>
  <conditionalFormatting sqref="AF167">
    <cfRule type="cellIs" dxfId="1" priority="3482" operator="equal">
      <formula>"未完成"</formula>
    </cfRule>
    <cfRule type="cellIs" dxfId="0" priority="3500" operator="equal">
      <formula>"未完成"</formula>
    </cfRule>
  </conditionalFormatting>
  <conditionalFormatting sqref="AG167">
    <cfRule type="cellIs" dxfId="1" priority="3842" operator="equal">
      <formula>"未完成"</formula>
    </cfRule>
    <cfRule type="cellIs" dxfId="0" priority="3860" operator="equal">
      <formula>"未完成"</formula>
    </cfRule>
  </conditionalFormatting>
  <conditionalFormatting sqref="AH167">
    <cfRule type="cellIs" dxfId="1" priority="3680" operator="equal">
      <formula>"未完成"</formula>
    </cfRule>
    <cfRule type="cellIs" dxfId="0" priority="3698" operator="equal">
      <formula>"未完成"</formula>
    </cfRule>
  </conditionalFormatting>
  <conditionalFormatting sqref="AI167:AJ167">
    <cfRule type="cellIs" dxfId="1" priority="3644" operator="equal">
      <formula>"未完成"</formula>
    </cfRule>
    <cfRule type="cellIs" dxfId="0" priority="3662" operator="equal">
      <formula>"未完成"</formula>
    </cfRule>
  </conditionalFormatting>
  <conditionalFormatting sqref="AK167">
    <cfRule type="cellIs" dxfId="1" priority="3806" operator="equal">
      <formula>"未完成"</formula>
    </cfRule>
    <cfRule type="cellIs" dxfId="0" priority="3824" operator="equal">
      <formula>"未完成"</formula>
    </cfRule>
  </conditionalFormatting>
  <conditionalFormatting sqref="AL167">
    <cfRule type="cellIs" dxfId="1" priority="3770" operator="equal">
      <formula>"未完成"</formula>
    </cfRule>
    <cfRule type="cellIs" dxfId="0" priority="3788" operator="equal">
      <formula>"未完成"</formula>
    </cfRule>
  </conditionalFormatting>
  <conditionalFormatting sqref="AO167">
    <cfRule type="cellIs" dxfId="1" priority="3734" operator="equal">
      <formula>"未完成"</formula>
    </cfRule>
    <cfRule type="cellIs" dxfId="0" priority="3752" operator="equal">
      <formula>"未完成"</formula>
    </cfRule>
  </conditionalFormatting>
  <conditionalFormatting sqref="AT167">
    <cfRule type="cellIs" dxfId="1" priority="3572" operator="equal">
      <formula>"未完成"</formula>
    </cfRule>
    <cfRule type="cellIs" dxfId="0" priority="3590" operator="equal">
      <formula>"未完成"</formula>
    </cfRule>
  </conditionalFormatting>
  <conditionalFormatting sqref="R168">
    <cfRule type="cellIs" dxfId="0" priority="3715" operator="equal">
      <formula>"欠"</formula>
    </cfRule>
  </conditionalFormatting>
  <conditionalFormatting sqref="S168">
    <cfRule type="cellIs" dxfId="0" priority="3553" operator="equal">
      <formula>"欠"</formula>
    </cfRule>
  </conditionalFormatting>
  <conditionalFormatting sqref="T168:U168">
    <cfRule type="containsText" dxfId="0" priority="3517" operator="between" text="欠">
      <formula>NOT(ISERROR(SEARCH("欠",T168)))</formula>
    </cfRule>
    <cfRule type="cellIs" dxfId="0" priority="3535" operator="equal">
      <formula>"欠"</formula>
    </cfRule>
  </conditionalFormatting>
  <conditionalFormatting sqref="AE168">
    <cfRule type="cellIs" dxfId="0" priority="3607" operator="equal">
      <formula>"未完成"</formula>
    </cfRule>
    <cfRule type="cellIs" dxfId="1" priority="3625" operator="equal">
      <formula>"未完成"</formula>
    </cfRule>
  </conditionalFormatting>
  <conditionalFormatting sqref="AF168">
    <cfRule type="cellIs" dxfId="1" priority="3481" operator="equal">
      <formula>"未完成"</formula>
    </cfRule>
    <cfRule type="cellIs" dxfId="0" priority="3499" operator="equal">
      <formula>"未完成"</formula>
    </cfRule>
  </conditionalFormatting>
  <conditionalFormatting sqref="AG168">
    <cfRule type="cellIs" dxfId="1" priority="3841" operator="equal">
      <formula>"未完成"</formula>
    </cfRule>
    <cfRule type="cellIs" dxfId="0" priority="3859" operator="equal">
      <formula>"未完成"</formula>
    </cfRule>
  </conditionalFormatting>
  <conditionalFormatting sqref="AH168">
    <cfRule type="cellIs" dxfId="1" priority="3679" operator="equal">
      <formula>"未完成"</formula>
    </cfRule>
    <cfRule type="cellIs" dxfId="0" priority="3697" operator="equal">
      <formula>"未完成"</formula>
    </cfRule>
  </conditionalFormatting>
  <conditionalFormatting sqref="AI168:AJ168">
    <cfRule type="cellIs" dxfId="1" priority="3643" operator="equal">
      <formula>"未完成"</formula>
    </cfRule>
    <cfRule type="cellIs" dxfId="0" priority="3661" operator="equal">
      <formula>"未完成"</formula>
    </cfRule>
  </conditionalFormatting>
  <conditionalFormatting sqref="AK168">
    <cfRule type="cellIs" dxfId="1" priority="3805" operator="equal">
      <formula>"未完成"</formula>
    </cfRule>
    <cfRule type="cellIs" dxfId="0" priority="3823" operator="equal">
      <formula>"未完成"</formula>
    </cfRule>
  </conditionalFormatting>
  <conditionalFormatting sqref="AL168">
    <cfRule type="cellIs" dxfId="1" priority="3769" operator="equal">
      <formula>"未完成"</formula>
    </cfRule>
    <cfRule type="cellIs" dxfId="0" priority="3787" operator="equal">
      <formula>"未完成"</formula>
    </cfRule>
  </conditionalFormatting>
  <conditionalFormatting sqref="AO168">
    <cfRule type="cellIs" dxfId="1" priority="3733" operator="equal">
      <formula>"未完成"</formula>
    </cfRule>
    <cfRule type="cellIs" dxfId="0" priority="3751" operator="equal">
      <formula>"未完成"</formula>
    </cfRule>
  </conditionalFormatting>
  <conditionalFormatting sqref="AT168">
    <cfRule type="cellIs" dxfId="1" priority="3571" operator="equal">
      <formula>"未完成"</formula>
    </cfRule>
    <cfRule type="cellIs" dxfId="0" priority="3589" operator="equal">
      <formula>"未完成"</formula>
    </cfRule>
  </conditionalFormatting>
  <conditionalFormatting sqref="R169">
    <cfRule type="cellIs" dxfId="0" priority="3714" operator="equal">
      <formula>"欠"</formula>
    </cfRule>
  </conditionalFormatting>
  <conditionalFormatting sqref="S169">
    <cfRule type="cellIs" dxfId="0" priority="3552" operator="equal">
      <formula>"欠"</formula>
    </cfRule>
  </conditionalFormatting>
  <conditionalFormatting sqref="T169:U169">
    <cfRule type="containsText" dxfId="0" priority="3516" operator="between" text="欠">
      <formula>NOT(ISERROR(SEARCH("欠",T169)))</formula>
    </cfRule>
    <cfRule type="cellIs" dxfId="0" priority="3534" operator="equal">
      <formula>"欠"</formula>
    </cfRule>
  </conditionalFormatting>
  <conditionalFormatting sqref="AE169">
    <cfRule type="cellIs" dxfId="0" priority="3606" operator="equal">
      <formula>"未完成"</formula>
    </cfRule>
    <cfRule type="cellIs" dxfId="1" priority="3624" operator="equal">
      <formula>"未完成"</formula>
    </cfRule>
  </conditionalFormatting>
  <conditionalFormatting sqref="AF169">
    <cfRule type="cellIs" dxfId="1" priority="3480" operator="equal">
      <formula>"未完成"</formula>
    </cfRule>
    <cfRule type="cellIs" dxfId="0" priority="3498" operator="equal">
      <formula>"未完成"</formula>
    </cfRule>
  </conditionalFormatting>
  <conditionalFormatting sqref="AG169">
    <cfRule type="cellIs" dxfId="1" priority="3840" operator="equal">
      <formula>"未完成"</formula>
    </cfRule>
    <cfRule type="cellIs" dxfId="0" priority="3858" operator="equal">
      <formula>"未完成"</formula>
    </cfRule>
  </conditionalFormatting>
  <conditionalFormatting sqref="AH169">
    <cfRule type="cellIs" dxfId="1" priority="3678" operator="equal">
      <formula>"未完成"</formula>
    </cfRule>
    <cfRule type="cellIs" dxfId="0" priority="3696" operator="equal">
      <formula>"未完成"</formula>
    </cfRule>
  </conditionalFormatting>
  <conditionalFormatting sqref="AI169:AJ169">
    <cfRule type="cellIs" dxfId="1" priority="3642" operator="equal">
      <formula>"未完成"</formula>
    </cfRule>
    <cfRule type="cellIs" dxfId="0" priority="3660" operator="equal">
      <formula>"未完成"</formula>
    </cfRule>
  </conditionalFormatting>
  <conditionalFormatting sqref="AK169">
    <cfRule type="cellIs" dxfId="1" priority="3804" operator="equal">
      <formula>"未完成"</formula>
    </cfRule>
    <cfRule type="cellIs" dxfId="0" priority="3822" operator="equal">
      <formula>"未完成"</formula>
    </cfRule>
  </conditionalFormatting>
  <conditionalFormatting sqref="AL169">
    <cfRule type="cellIs" dxfId="1" priority="3768" operator="equal">
      <formula>"未完成"</formula>
    </cfRule>
    <cfRule type="cellIs" dxfId="0" priority="3786" operator="equal">
      <formula>"未完成"</formula>
    </cfRule>
  </conditionalFormatting>
  <conditionalFormatting sqref="AO169">
    <cfRule type="cellIs" dxfId="1" priority="3732" operator="equal">
      <formula>"未完成"</formula>
    </cfRule>
    <cfRule type="cellIs" dxfId="0" priority="3750" operator="equal">
      <formula>"未完成"</formula>
    </cfRule>
  </conditionalFormatting>
  <conditionalFormatting sqref="AT169">
    <cfRule type="cellIs" dxfId="1" priority="3570" operator="equal">
      <formula>"未完成"</formula>
    </cfRule>
    <cfRule type="cellIs" dxfId="0" priority="3588" operator="equal">
      <formula>"未完成"</formula>
    </cfRule>
  </conditionalFormatting>
  <conditionalFormatting sqref="R170">
    <cfRule type="cellIs" dxfId="0" priority="3713" operator="equal">
      <formula>"欠"</formula>
    </cfRule>
  </conditionalFormatting>
  <conditionalFormatting sqref="S170">
    <cfRule type="cellIs" dxfId="0" priority="3551" operator="equal">
      <formula>"欠"</formula>
    </cfRule>
  </conditionalFormatting>
  <conditionalFormatting sqref="T170:U170">
    <cfRule type="containsText" dxfId="0" priority="3515" operator="between" text="欠">
      <formula>NOT(ISERROR(SEARCH("欠",T170)))</formula>
    </cfRule>
    <cfRule type="cellIs" dxfId="0" priority="3533" operator="equal">
      <formula>"欠"</formula>
    </cfRule>
  </conditionalFormatting>
  <conditionalFormatting sqref="AE170">
    <cfRule type="cellIs" dxfId="0" priority="3605" operator="equal">
      <formula>"未完成"</formula>
    </cfRule>
    <cfRule type="cellIs" dxfId="1" priority="3623" operator="equal">
      <formula>"未完成"</formula>
    </cfRule>
  </conditionalFormatting>
  <conditionalFormatting sqref="AF170">
    <cfRule type="cellIs" dxfId="1" priority="3479" operator="equal">
      <formula>"未完成"</formula>
    </cfRule>
    <cfRule type="cellIs" dxfId="0" priority="3497" operator="equal">
      <formula>"未完成"</formula>
    </cfRule>
  </conditionalFormatting>
  <conditionalFormatting sqref="AG170">
    <cfRule type="cellIs" dxfId="1" priority="3839" operator="equal">
      <formula>"未完成"</formula>
    </cfRule>
    <cfRule type="cellIs" dxfId="0" priority="3857" operator="equal">
      <formula>"未完成"</formula>
    </cfRule>
  </conditionalFormatting>
  <conditionalFormatting sqref="AH170">
    <cfRule type="cellIs" dxfId="1" priority="3677" operator="equal">
      <formula>"未完成"</formula>
    </cfRule>
    <cfRule type="cellIs" dxfId="0" priority="3695" operator="equal">
      <formula>"未完成"</formula>
    </cfRule>
  </conditionalFormatting>
  <conditionalFormatting sqref="AI170:AJ170">
    <cfRule type="cellIs" dxfId="1" priority="3641" operator="equal">
      <formula>"未完成"</formula>
    </cfRule>
    <cfRule type="cellIs" dxfId="0" priority="3659" operator="equal">
      <formula>"未完成"</formula>
    </cfRule>
  </conditionalFormatting>
  <conditionalFormatting sqref="AK170">
    <cfRule type="cellIs" dxfId="1" priority="3803" operator="equal">
      <formula>"未完成"</formula>
    </cfRule>
    <cfRule type="cellIs" dxfId="0" priority="3821" operator="equal">
      <formula>"未完成"</formula>
    </cfRule>
  </conditionalFormatting>
  <conditionalFormatting sqref="AL170">
    <cfRule type="cellIs" dxfId="1" priority="3767" operator="equal">
      <formula>"未完成"</formula>
    </cfRule>
    <cfRule type="cellIs" dxfId="0" priority="3785" operator="equal">
      <formula>"未完成"</formula>
    </cfRule>
  </conditionalFormatting>
  <conditionalFormatting sqref="AO170">
    <cfRule type="cellIs" dxfId="1" priority="3731" operator="equal">
      <formula>"未完成"</formula>
    </cfRule>
    <cfRule type="cellIs" dxfId="0" priority="3749" operator="equal">
      <formula>"未完成"</formula>
    </cfRule>
  </conditionalFormatting>
  <conditionalFormatting sqref="AT170">
    <cfRule type="cellIs" dxfId="1" priority="3569" operator="equal">
      <formula>"未完成"</formula>
    </cfRule>
    <cfRule type="cellIs" dxfId="0" priority="3587" operator="equal">
      <formula>"未完成"</formula>
    </cfRule>
  </conditionalFormatting>
  <conditionalFormatting sqref="R171">
    <cfRule type="cellIs" dxfId="0" priority="3712" operator="equal">
      <formula>"欠"</formula>
    </cfRule>
  </conditionalFormatting>
  <conditionalFormatting sqref="S171">
    <cfRule type="cellIs" dxfId="0" priority="3550" operator="equal">
      <formula>"欠"</formula>
    </cfRule>
  </conditionalFormatting>
  <conditionalFormatting sqref="T171:U171">
    <cfRule type="containsText" dxfId="0" priority="3514" operator="between" text="欠">
      <formula>NOT(ISERROR(SEARCH("欠",T171)))</formula>
    </cfRule>
    <cfRule type="cellIs" dxfId="0" priority="3532" operator="equal">
      <formula>"欠"</formula>
    </cfRule>
  </conditionalFormatting>
  <conditionalFormatting sqref="AE171">
    <cfRule type="cellIs" dxfId="0" priority="3604" operator="equal">
      <formula>"未完成"</formula>
    </cfRule>
    <cfRule type="cellIs" dxfId="1" priority="3622" operator="equal">
      <formula>"未完成"</formula>
    </cfRule>
  </conditionalFormatting>
  <conditionalFormatting sqref="AF171">
    <cfRule type="cellIs" dxfId="1" priority="3478" operator="equal">
      <formula>"未完成"</formula>
    </cfRule>
    <cfRule type="cellIs" dxfId="0" priority="3496" operator="equal">
      <formula>"未完成"</formula>
    </cfRule>
  </conditionalFormatting>
  <conditionalFormatting sqref="AH171">
    <cfRule type="cellIs" dxfId="1" priority="3676" operator="equal">
      <formula>"未完成"</formula>
    </cfRule>
    <cfRule type="cellIs" dxfId="0" priority="3694" operator="equal">
      <formula>"未完成"</formula>
    </cfRule>
  </conditionalFormatting>
  <conditionalFormatting sqref="AI171:AJ171">
    <cfRule type="cellIs" dxfId="1" priority="3640" operator="equal">
      <formula>"未完成"</formula>
    </cfRule>
    <cfRule type="cellIs" dxfId="0" priority="3658" operator="equal">
      <formula>"未完成"</formula>
    </cfRule>
  </conditionalFormatting>
  <conditionalFormatting sqref="AL171">
    <cfRule type="cellIs" dxfId="1" priority="3766" operator="equal">
      <formula>"未完成"</formula>
    </cfRule>
    <cfRule type="cellIs" dxfId="0" priority="3784" operator="equal">
      <formula>"未完成"</formula>
    </cfRule>
  </conditionalFormatting>
  <conditionalFormatting sqref="AO171">
    <cfRule type="cellIs" dxfId="1" priority="3730" operator="equal">
      <formula>"未完成"</formula>
    </cfRule>
    <cfRule type="cellIs" dxfId="0" priority="3748" operator="equal">
      <formula>"未完成"</formula>
    </cfRule>
  </conditionalFormatting>
  <conditionalFormatting sqref="AT171">
    <cfRule type="cellIs" dxfId="1" priority="3568" operator="equal">
      <formula>"未完成"</formula>
    </cfRule>
    <cfRule type="cellIs" dxfId="0" priority="3586" operator="equal">
      <formula>"未完成"</formula>
    </cfRule>
  </conditionalFormatting>
  <conditionalFormatting sqref="R172">
    <cfRule type="cellIs" dxfId="0" priority="3711" operator="equal">
      <formula>"欠"</formula>
    </cfRule>
  </conditionalFormatting>
  <conditionalFormatting sqref="S172">
    <cfRule type="cellIs" dxfId="0" priority="3549" operator="equal">
      <formula>"欠"</formula>
    </cfRule>
  </conditionalFormatting>
  <conditionalFormatting sqref="T172:U172">
    <cfRule type="containsText" dxfId="0" priority="3513" operator="between" text="欠">
      <formula>NOT(ISERROR(SEARCH("欠",T172)))</formula>
    </cfRule>
    <cfRule type="cellIs" dxfId="0" priority="3531" operator="equal">
      <formula>"欠"</formula>
    </cfRule>
  </conditionalFormatting>
  <conditionalFormatting sqref="AE172">
    <cfRule type="cellIs" dxfId="0" priority="3603" operator="equal">
      <formula>"未完成"</formula>
    </cfRule>
    <cfRule type="cellIs" dxfId="1" priority="3621" operator="equal">
      <formula>"未完成"</formula>
    </cfRule>
  </conditionalFormatting>
  <conditionalFormatting sqref="AF172">
    <cfRule type="cellIs" dxfId="1" priority="3477" operator="equal">
      <formula>"未完成"</formula>
    </cfRule>
    <cfRule type="cellIs" dxfId="0" priority="3495" operator="equal">
      <formula>"未完成"</formula>
    </cfRule>
  </conditionalFormatting>
  <conditionalFormatting sqref="AG172">
    <cfRule type="cellIs" dxfId="1" priority="3837" operator="equal">
      <formula>"未完成"</formula>
    </cfRule>
    <cfRule type="cellIs" dxfId="0" priority="3855" operator="equal">
      <formula>"未完成"</formula>
    </cfRule>
  </conditionalFormatting>
  <conditionalFormatting sqref="AH172">
    <cfRule type="cellIs" dxfId="1" priority="3675" operator="equal">
      <formula>"未完成"</formula>
    </cfRule>
    <cfRule type="cellIs" dxfId="0" priority="3693" operator="equal">
      <formula>"未完成"</formula>
    </cfRule>
  </conditionalFormatting>
  <conditionalFormatting sqref="AI172:AJ172">
    <cfRule type="cellIs" dxfId="1" priority="3639" operator="equal">
      <formula>"未完成"</formula>
    </cfRule>
    <cfRule type="cellIs" dxfId="0" priority="3657" operator="equal">
      <formula>"未完成"</formula>
    </cfRule>
  </conditionalFormatting>
  <conditionalFormatting sqref="AK172">
    <cfRule type="cellIs" dxfId="1" priority="3801" operator="equal">
      <formula>"未完成"</formula>
    </cfRule>
    <cfRule type="cellIs" dxfId="0" priority="3819" operator="equal">
      <formula>"未完成"</formula>
    </cfRule>
  </conditionalFormatting>
  <conditionalFormatting sqref="AL172">
    <cfRule type="cellIs" dxfId="1" priority="3765" operator="equal">
      <formula>"未完成"</formula>
    </cfRule>
    <cfRule type="cellIs" dxfId="0" priority="3783" operator="equal">
      <formula>"未完成"</formula>
    </cfRule>
  </conditionalFormatting>
  <conditionalFormatting sqref="AO172">
    <cfRule type="cellIs" dxfId="1" priority="3729" operator="equal">
      <formula>"未完成"</formula>
    </cfRule>
    <cfRule type="cellIs" dxfId="0" priority="3747" operator="equal">
      <formula>"未完成"</formula>
    </cfRule>
  </conditionalFormatting>
  <conditionalFormatting sqref="AT172">
    <cfRule type="cellIs" dxfId="1" priority="3567" operator="equal">
      <formula>"未完成"</formula>
    </cfRule>
    <cfRule type="cellIs" dxfId="0" priority="3585" operator="equal">
      <formula>"未完成"</formula>
    </cfRule>
  </conditionalFormatting>
  <conditionalFormatting sqref="R173">
    <cfRule type="cellIs" dxfId="0" priority="3710" operator="equal">
      <formula>"欠"</formula>
    </cfRule>
  </conditionalFormatting>
  <conditionalFormatting sqref="S173">
    <cfRule type="cellIs" dxfId="0" priority="3548" operator="equal">
      <formula>"欠"</formula>
    </cfRule>
  </conditionalFormatting>
  <conditionalFormatting sqref="T173:U173">
    <cfRule type="containsText" dxfId="0" priority="3512" operator="between" text="欠">
      <formula>NOT(ISERROR(SEARCH("欠",T173)))</formula>
    </cfRule>
    <cfRule type="cellIs" dxfId="0" priority="3530" operator="equal">
      <formula>"欠"</formula>
    </cfRule>
  </conditionalFormatting>
  <conditionalFormatting sqref="AE173">
    <cfRule type="cellIs" dxfId="0" priority="3602" operator="equal">
      <formula>"未完成"</formula>
    </cfRule>
    <cfRule type="cellIs" dxfId="1" priority="3620" operator="equal">
      <formula>"未完成"</formula>
    </cfRule>
  </conditionalFormatting>
  <conditionalFormatting sqref="AF173">
    <cfRule type="cellIs" dxfId="1" priority="3476" operator="equal">
      <formula>"未完成"</formula>
    </cfRule>
    <cfRule type="cellIs" dxfId="0" priority="3494" operator="equal">
      <formula>"未完成"</formula>
    </cfRule>
  </conditionalFormatting>
  <conditionalFormatting sqref="AG173">
    <cfRule type="cellIs" dxfId="1" priority="3836" operator="equal">
      <formula>"未完成"</formula>
    </cfRule>
    <cfRule type="cellIs" dxfId="0" priority="3854" operator="equal">
      <formula>"未完成"</formula>
    </cfRule>
  </conditionalFormatting>
  <conditionalFormatting sqref="AH173">
    <cfRule type="cellIs" dxfId="1" priority="3674" operator="equal">
      <formula>"未完成"</formula>
    </cfRule>
    <cfRule type="cellIs" dxfId="0" priority="3692" operator="equal">
      <formula>"未完成"</formula>
    </cfRule>
  </conditionalFormatting>
  <conditionalFormatting sqref="AI173:AJ173">
    <cfRule type="cellIs" dxfId="1" priority="3638" operator="equal">
      <formula>"未完成"</formula>
    </cfRule>
    <cfRule type="cellIs" dxfId="0" priority="3656" operator="equal">
      <formula>"未完成"</formula>
    </cfRule>
  </conditionalFormatting>
  <conditionalFormatting sqref="AK173">
    <cfRule type="cellIs" dxfId="1" priority="3800" operator="equal">
      <formula>"未完成"</formula>
    </cfRule>
    <cfRule type="cellIs" dxfId="0" priority="3818" operator="equal">
      <formula>"未完成"</formula>
    </cfRule>
  </conditionalFormatting>
  <conditionalFormatting sqref="AL173">
    <cfRule type="cellIs" dxfId="1" priority="3764" operator="equal">
      <formula>"未完成"</formula>
    </cfRule>
    <cfRule type="cellIs" dxfId="0" priority="3782" operator="equal">
      <formula>"未完成"</formula>
    </cfRule>
  </conditionalFormatting>
  <conditionalFormatting sqref="AO173">
    <cfRule type="cellIs" dxfId="1" priority="3728" operator="equal">
      <formula>"未完成"</formula>
    </cfRule>
    <cfRule type="cellIs" dxfId="0" priority="3746" operator="equal">
      <formula>"未完成"</formula>
    </cfRule>
  </conditionalFormatting>
  <conditionalFormatting sqref="AT173">
    <cfRule type="cellIs" dxfId="1" priority="3566" operator="equal">
      <formula>"未完成"</formula>
    </cfRule>
    <cfRule type="cellIs" dxfId="0" priority="3584" operator="equal">
      <formula>"未完成"</formula>
    </cfRule>
  </conditionalFormatting>
  <conditionalFormatting sqref="R174">
    <cfRule type="cellIs" dxfId="0" priority="3709" operator="equal">
      <formula>"欠"</formula>
    </cfRule>
  </conditionalFormatting>
  <conditionalFormatting sqref="S174">
    <cfRule type="cellIs" dxfId="0" priority="3547" operator="equal">
      <formula>"欠"</formula>
    </cfRule>
  </conditionalFormatting>
  <conditionalFormatting sqref="T174:U174">
    <cfRule type="containsText" dxfId="0" priority="3511" operator="between" text="欠">
      <formula>NOT(ISERROR(SEARCH("欠",T174)))</formula>
    </cfRule>
    <cfRule type="cellIs" dxfId="0" priority="3529" operator="equal">
      <formula>"欠"</formula>
    </cfRule>
  </conditionalFormatting>
  <conditionalFormatting sqref="AE174">
    <cfRule type="cellIs" dxfId="0" priority="3601" operator="equal">
      <formula>"未完成"</formula>
    </cfRule>
    <cfRule type="cellIs" dxfId="1" priority="3619" operator="equal">
      <formula>"未完成"</formula>
    </cfRule>
  </conditionalFormatting>
  <conditionalFormatting sqref="AF174">
    <cfRule type="cellIs" dxfId="1" priority="3475" operator="equal">
      <formula>"未完成"</formula>
    </cfRule>
    <cfRule type="cellIs" dxfId="0" priority="3493" operator="equal">
      <formula>"未完成"</formula>
    </cfRule>
  </conditionalFormatting>
  <conditionalFormatting sqref="AH174">
    <cfRule type="cellIs" dxfId="1" priority="3673" operator="equal">
      <formula>"未完成"</formula>
    </cfRule>
    <cfRule type="cellIs" dxfId="0" priority="3691" operator="equal">
      <formula>"未完成"</formula>
    </cfRule>
  </conditionalFormatting>
  <conditionalFormatting sqref="AI174:AJ174">
    <cfRule type="cellIs" dxfId="1" priority="3637" operator="equal">
      <formula>"未完成"</formula>
    </cfRule>
    <cfRule type="cellIs" dxfId="0" priority="3655" operator="equal">
      <formula>"未完成"</formula>
    </cfRule>
  </conditionalFormatting>
  <conditionalFormatting sqref="AK174">
    <cfRule type="cellIs" dxfId="1" priority="3799" operator="equal">
      <formula>"未完成"</formula>
    </cfRule>
    <cfRule type="cellIs" dxfId="0" priority="3817" operator="equal">
      <formula>"未完成"</formula>
    </cfRule>
  </conditionalFormatting>
  <conditionalFormatting sqref="AL174">
    <cfRule type="cellIs" dxfId="1" priority="3763" operator="equal">
      <formula>"未完成"</formula>
    </cfRule>
    <cfRule type="cellIs" dxfId="0" priority="3781" operator="equal">
      <formula>"未完成"</formula>
    </cfRule>
  </conditionalFormatting>
  <conditionalFormatting sqref="AO174">
    <cfRule type="cellIs" dxfId="1" priority="3727" operator="equal">
      <formula>"未完成"</formula>
    </cfRule>
    <cfRule type="cellIs" dxfId="0" priority="3745" operator="equal">
      <formula>"未完成"</formula>
    </cfRule>
  </conditionalFormatting>
  <conditionalFormatting sqref="AT174">
    <cfRule type="cellIs" dxfId="1" priority="3565" operator="equal">
      <formula>"未完成"</formula>
    </cfRule>
    <cfRule type="cellIs" dxfId="0" priority="3583" operator="equal">
      <formula>"未完成"</formula>
    </cfRule>
  </conditionalFormatting>
  <conditionalFormatting sqref="R175">
    <cfRule type="cellIs" dxfId="0" priority="3708" operator="equal">
      <formula>"欠"</formula>
    </cfRule>
  </conditionalFormatting>
  <conditionalFormatting sqref="S175">
    <cfRule type="cellIs" dxfId="0" priority="3546" operator="equal">
      <formula>"欠"</formula>
    </cfRule>
  </conditionalFormatting>
  <conditionalFormatting sqref="T175:U175">
    <cfRule type="containsText" dxfId="0" priority="3510" operator="between" text="欠">
      <formula>NOT(ISERROR(SEARCH("欠",T175)))</formula>
    </cfRule>
    <cfRule type="cellIs" dxfId="0" priority="3528" operator="equal">
      <formula>"欠"</formula>
    </cfRule>
  </conditionalFormatting>
  <conditionalFormatting sqref="AE175">
    <cfRule type="cellIs" dxfId="0" priority="3600" operator="equal">
      <formula>"未完成"</formula>
    </cfRule>
    <cfRule type="cellIs" dxfId="1" priority="3618" operator="equal">
      <formula>"未完成"</formula>
    </cfRule>
  </conditionalFormatting>
  <conditionalFormatting sqref="AF175">
    <cfRule type="cellIs" dxfId="1" priority="3474" operator="equal">
      <formula>"未完成"</formula>
    </cfRule>
    <cfRule type="cellIs" dxfId="0" priority="3492" operator="equal">
      <formula>"未完成"</formula>
    </cfRule>
  </conditionalFormatting>
  <conditionalFormatting sqref="AG175">
    <cfRule type="cellIs" dxfId="1" priority="3834" operator="equal">
      <formula>"未完成"</formula>
    </cfRule>
    <cfRule type="cellIs" dxfId="0" priority="3852" operator="equal">
      <formula>"未完成"</formula>
    </cfRule>
  </conditionalFormatting>
  <conditionalFormatting sqref="AH175">
    <cfRule type="cellIs" dxfId="1" priority="3672" operator="equal">
      <formula>"未完成"</formula>
    </cfRule>
    <cfRule type="cellIs" dxfId="0" priority="3690" operator="equal">
      <formula>"未完成"</formula>
    </cfRule>
  </conditionalFormatting>
  <conditionalFormatting sqref="AI175:AJ175">
    <cfRule type="cellIs" dxfId="1" priority="3636" operator="equal">
      <formula>"未完成"</formula>
    </cfRule>
    <cfRule type="cellIs" dxfId="0" priority="3654" operator="equal">
      <formula>"未完成"</formula>
    </cfRule>
  </conditionalFormatting>
  <conditionalFormatting sqref="AK175">
    <cfRule type="cellIs" dxfId="1" priority="3798" operator="equal">
      <formula>"未完成"</formula>
    </cfRule>
    <cfRule type="cellIs" dxfId="0" priority="3816" operator="equal">
      <formula>"未完成"</formula>
    </cfRule>
  </conditionalFormatting>
  <conditionalFormatting sqref="AL175">
    <cfRule type="cellIs" dxfId="1" priority="3762" operator="equal">
      <formula>"未完成"</formula>
    </cfRule>
    <cfRule type="cellIs" dxfId="0" priority="3780" operator="equal">
      <formula>"未完成"</formula>
    </cfRule>
  </conditionalFormatting>
  <conditionalFormatting sqref="AO175">
    <cfRule type="cellIs" dxfId="1" priority="3726" operator="equal">
      <formula>"未完成"</formula>
    </cfRule>
    <cfRule type="cellIs" dxfId="0" priority="3744" operator="equal">
      <formula>"未完成"</formula>
    </cfRule>
  </conditionalFormatting>
  <conditionalFormatting sqref="AT175">
    <cfRule type="cellIs" dxfId="1" priority="3564" operator="equal">
      <formula>"未完成"</formula>
    </cfRule>
    <cfRule type="cellIs" dxfId="0" priority="3582" operator="equal">
      <formula>"未完成"</formula>
    </cfRule>
  </conditionalFormatting>
  <conditionalFormatting sqref="R176">
    <cfRule type="cellIs" dxfId="0" priority="3707" operator="equal">
      <formula>"欠"</formula>
    </cfRule>
  </conditionalFormatting>
  <conditionalFormatting sqref="S176">
    <cfRule type="cellIs" dxfId="0" priority="3545" operator="equal">
      <formula>"欠"</formula>
    </cfRule>
  </conditionalFormatting>
  <conditionalFormatting sqref="T176:U176">
    <cfRule type="containsText" dxfId="0" priority="3509" operator="between" text="欠">
      <formula>NOT(ISERROR(SEARCH("欠",T176)))</formula>
    </cfRule>
    <cfRule type="cellIs" dxfId="0" priority="3527" operator="equal">
      <formula>"欠"</formula>
    </cfRule>
  </conditionalFormatting>
  <conditionalFormatting sqref="AE176">
    <cfRule type="cellIs" dxfId="0" priority="3599" operator="equal">
      <formula>"未完成"</formula>
    </cfRule>
    <cfRule type="cellIs" dxfId="1" priority="3617" operator="equal">
      <formula>"未完成"</formula>
    </cfRule>
  </conditionalFormatting>
  <conditionalFormatting sqref="AF176">
    <cfRule type="cellIs" dxfId="1" priority="3473" operator="equal">
      <formula>"未完成"</formula>
    </cfRule>
    <cfRule type="cellIs" dxfId="0" priority="3491" operator="equal">
      <formula>"未完成"</formula>
    </cfRule>
  </conditionalFormatting>
  <conditionalFormatting sqref="AG176">
    <cfRule type="cellIs" dxfId="1" priority="3833" operator="equal">
      <formula>"未完成"</formula>
    </cfRule>
    <cfRule type="cellIs" dxfId="0" priority="3851" operator="equal">
      <formula>"未完成"</formula>
    </cfRule>
  </conditionalFormatting>
  <conditionalFormatting sqref="AH176">
    <cfRule type="cellIs" dxfId="1" priority="3671" operator="equal">
      <formula>"未完成"</formula>
    </cfRule>
    <cfRule type="cellIs" dxfId="0" priority="3689" operator="equal">
      <formula>"未完成"</formula>
    </cfRule>
  </conditionalFormatting>
  <conditionalFormatting sqref="AI176:AJ176">
    <cfRule type="cellIs" dxfId="1" priority="3635" operator="equal">
      <formula>"未完成"</formula>
    </cfRule>
    <cfRule type="cellIs" dxfId="0" priority="3653" operator="equal">
      <formula>"未完成"</formula>
    </cfRule>
  </conditionalFormatting>
  <conditionalFormatting sqref="AL176">
    <cfRule type="cellIs" dxfId="1" priority="3761" operator="equal">
      <formula>"未完成"</formula>
    </cfRule>
    <cfRule type="cellIs" dxfId="0" priority="3779" operator="equal">
      <formula>"未完成"</formula>
    </cfRule>
  </conditionalFormatting>
  <conditionalFormatting sqref="AT176">
    <cfRule type="cellIs" dxfId="1" priority="3563" operator="equal">
      <formula>"未完成"</formula>
    </cfRule>
    <cfRule type="cellIs" dxfId="0" priority="3581" operator="equal">
      <formula>"未完成"</formula>
    </cfRule>
  </conditionalFormatting>
  <conditionalFormatting sqref="R177">
    <cfRule type="cellIs" dxfId="0" priority="3706" operator="equal">
      <formula>"欠"</formula>
    </cfRule>
  </conditionalFormatting>
  <conditionalFormatting sqref="S177">
    <cfRule type="cellIs" dxfId="0" priority="3544" operator="equal">
      <formula>"欠"</formula>
    </cfRule>
  </conditionalFormatting>
  <conditionalFormatting sqref="T177:U177">
    <cfRule type="containsText" dxfId="0" priority="3508" operator="between" text="欠">
      <formula>NOT(ISERROR(SEARCH("欠",T177)))</formula>
    </cfRule>
    <cfRule type="cellIs" dxfId="0" priority="3526" operator="equal">
      <formula>"欠"</formula>
    </cfRule>
  </conditionalFormatting>
  <conditionalFormatting sqref="AE177">
    <cfRule type="cellIs" dxfId="0" priority="3598" operator="equal">
      <formula>"未完成"</formula>
    </cfRule>
    <cfRule type="cellIs" dxfId="1" priority="3616" operator="equal">
      <formula>"未完成"</formula>
    </cfRule>
  </conditionalFormatting>
  <conditionalFormatting sqref="AF177">
    <cfRule type="cellIs" dxfId="1" priority="3472" operator="equal">
      <formula>"未完成"</formula>
    </cfRule>
    <cfRule type="cellIs" dxfId="0" priority="3490" operator="equal">
      <formula>"未完成"</formula>
    </cfRule>
  </conditionalFormatting>
  <conditionalFormatting sqref="AG177">
    <cfRule type="cellIs" dxfId="1" priority="3832" operator="equal">
      <formula>"未完成"</formula>
    </cfRule>
    <cfRule type="cellIs" dxfId="0" priority="3850" operator="equal">
      <formula>"未完成"</formula>
    </cfRule>
  </conditionalFormatting>
  <conditionalFormatting sqref="AH177">
    <cfRule type="cellIs" dxfId="1" priority="3670" operator="equal">
      <formula>"未完成"</formula>
    </cfRule>
    <cfRule type="cellIs" dxfId="0" priority="3688" operator="equal">
      <formula>"未完成"</formula>
    </cfRule>
  </conditionalFormatting>
  <conditionalFormatting sqref="AI177:AJ177">
    <cfRule type="cellIs" dxfId="1" priority="3634" operator="equal">
      <formula>"未完成"</formula>
    </cfRule>
    <cfRule type="cellIs" dxfId="0" priority="3652" operator="equal">
      <formula>"未完成"</formula>
    </cfRule>
  </conditionalFormatting>
  <conditionalFormatting sqref="AK177">
    <cfRule type="cellIs" dxfId="1" priority="3796" operator="equal">
      <formula>"未完成"</formula>
    </cfRule>
    <cfRule type="cellIs" dxfId="0" priority="3814" operator="equal">
      <formula>"未完成"</formula>
    </cfRule>
  </conditionalFormatting>
  <conditionalFormatting sqref="AL177">
    <cfRule type="cellIs" dxfId="1" priority="3760" operator="equal">
      <formula>"未完成"</formula>
    </cfRule>
    <cfRule type="cellIs" dxfId="0" priority="3778" operator="equal">
      <formula>"未完成"</formula>
    </cfRule>
  </conditionalFormatting>
  <conditionalFormatting sqref="AO177">
    <cfRule type="cellIs" dxfId="1" priority="3724" operator="equal">
      <formula>"未完成"</formula>
    </cfRule>
    <cfRule type="cellIs" dxfId="0" priority="3742" operator="equal">
      <formula>"未完成"</formula>
    </cfRule>
  </conditionalFormatting>
  <conditionalFormatting sqref="AT177">
    <cfRule type="cellIs" dxfId="1" priority="3562" operator="equal">
      <formula>"未完成"</formula>
    </cfRule>
    <cfRule type="cellIs" dxfId="0" priority="3580" operator="equal">
      <formula>"未完成"</formula>
    </cfRule>
  </conditionalFormatting>
  <conditionalFormatting sqref="R178">
    <cfRule type="cellIs" dxfId="0" priority="3705" operator="equal">
      <formula>"欠"</formula>
    </cfRule>
  </conditionalFormatting>
  <conditionalFormatting sqref="S178">
    <cfRule type="cellIs" dxfId="0" priority="3543" operator="equal">
      <formula>"欠"</formula>
    </cfRule>
  </conditionalFormatting>
  <conditionalFormatting sqref="T178:U178">
    <cfRule type="containsText" dxfId="0" priority="3507" operator="between" text="欠">
      <formula>NOT(ISERROR(SEARCH("欠",T178)))</formula>
    </cfRule>
    <cfRule type="cellIs" dxfId="0" priority="3525" operator="equal">
      <formula>"欠"</formula>
    </cfRule>
  </conditionalFormatting>
  <conditionalFormatting sqref="AE178">
    <cfRule type="cellIs" dxfId="0" priority="3597" operator="equal">
      <formula>"未完成"</formula>
    </cfRule>
    <cfRule type="cellIs" dxfId="1" priority="3615" operator="equal">
      <formula>"未完成"</formula>
    </cfRule>
  </conditionalFormatting>
  <conditionalFormatting sqref="AF178">
    <cfRule type="cellIs" dxfId="1" priority="3471" operator="equal">
      <formula>"未完成"</formula>
    </cfRule>
    <cfRule type="cellIs" dxfId="0" priority="3489" operator="equal">
      <formula>"未完成"</formula>
    </cfRule>
  </conditionalFormatting>
  <conditionalFormatting sqref="AG178">
    <cfRule type="cellIs" dxfId="1" priority="3831" operator="equal">
      <formula>"未完成"</formula>
    </cfRule>
    <cfRule type="cellIs" dxfId="0" priority="3849" operator="equal">
      <formula>"未完成"</formula>
    </cfRule>
  </conditionalFormatting>
  <conditionalFormatting sqref="AH178">
    <cfRule type="cellIs" dxfId="1" priority="3669" operator="equal">
      <formula>"未完成"</formula>
    </cfRule>
    <cfRule type="cellIs" dxfId="0" priority="3687" operator="equal">
      <formula>"未完成"</formula>
    </cfRule>
  </conditionalFormatting>
  <conditionalFormatting sqref="AI178:AJ178">
    <cfRule type="cellIs" dxfId="1" priority="3633" operator="equal">
      <formula>"未完成"</formula>
    </cfRule>
    <cfRule type="cellIs" dxfId="0" priority="3651" operator="equal">
      <formula>"未完成"</formula>
    </cfRule>
  </conditionalFormatting>
  <conditionalFormatting sqref="AK178">
    <cfRule type="cellIs" dxfId="1" priority="3795" operator="equal">
      <formula>"未完成"</formula>
    </cfRule>
    <cfRule type="cellIs" dxfId="0" priority="3813" operator="equal">
      <formula>"未完成"</formula>
    </cfRule>
  </conditionalFormatting>
  <conditionalFormatting sqref="AL178">
    <cfRule type="cellIs" dxfId="1" priority="3759" operator="equal">
      <formula>"未完成"</formula>
    </cfRule>
    <cfRule type="cellIs" dxfId="0" priority="3777" operator="equal">
      <formula>"未完成"</formula>
    </cfRule>
  </conditionalFormatting>
  <conditionalFormatting sqref="AO178">
    <cfRule type="cellIs" dxfId="1" priority="3723" operator="equal">
      <formula>"未完成"</formula>
    </cfRule>
    <cfRule type="cellIs" dxfId="0" priority="3741" operator="equal">
      <formula>"未完成"</formula>
    </cfRule>
  </conditionalFormatting>
  <conditionalFormatting sqref="AT178">
    <cfRule type="cellIs" dxfId="1" priority="3561" operator="equal">
      <formula>"未完成"</formula>
    </cfRule>
    <cfRule type="cellIs" dxfId="0" priority="3579" operator="equal">
      <formula>"未完成"</formula>
    </cfRule>
  </conditionalFormatting>
  <conditionalFormatting sqref="R179">
    <cfRule type="cellIs" dxfId="0" priority="3704" operator="equal">
      <formula>"欠"</formula>
    </cfRule>
  </conditionalFormatting>
  <conditionalFormatting sqref="S179">
    <cfRule type="cellIs" dxfId="0" priority="3542" operator="equal">
      <formula>"欠"</formula>
    </cfRule>
  </conditionalFormatting>
  <conditionalFormatting sqref="T179:U179">
    <cfRule type="containsText" dxfId="0" priority="3506" operator="between" text="欠">
      <formula>NOT(ISERROR(SEARCH("欠",T179)))</formula>
    </cfRule>
    <cfRule type="cellIs" dxfId="0" priority="3524" operator="equal">
      <formula>"欠"</formula>
    </cfRule>
  </conditionalFormatting>
  <conditionalFormatting sqref="AE179">
    <cfRule type="cellIs" dxfId="0" priority="3596" operator="equal">
      <formula>"未完成"</formula>
    </cfRule>
    <cfRule type="cellIs" dxfId="1" priority="3614" operator="equal">
      <formula>"未完成"</formula>
    </cfRule>
  </conditionalFormatting>
  <conditionalFormatting sqref="AF179">
    <cfRule type="cellIs" dxfId="1" priority="3470" operator="equal">
      <formula>"未完成"</formula>
    </cfRule>
    <cfRule type="cellIs" dxfId="0" priority="3488" operator="equal">
      <formula>"未完成"</formula>
    </cfRule>
  </conditionalFormatting>
  <conditionalFormatting sqref="AG179">
    <cfRule type="cellIs" dxfId="1" priority="3830" operator="equal">
      <formula>"未完成"</formula>
    </cfRule>
    <cfRule type="cellIs" dxfId="0" priority="3848" operator="equal">
      <formula>"未完成"</formula>
    </cfRule>
  </conditionalFormatting>
  <conditionalFormatting sqref="AH179">
    <cfRule type="cellIs" dxfId="1" priority="3668" operator="equal">
      <formula>"未完成"</formula>
    </cfRule>
    <cfRule type="cellIs" dxfId="0" priority="3686" operator="equal">
      <formula>"未完成"</formula>
    </cfRule>
  </conditionalFormatting>
  <conditionalFormatting sqref="AI179:AJ179">
    <cfRule type="cellIs" dxfId="1" priority="3632" operator="equal">
      <formula>"未完成"</formula>
    </cfRule>
    <cfRule type="cellIs" dxfId="0" priority="3650" operator="equal">
      <formula>"未完成"</formula>
    </cfRule>
  </conditionalFormatting>
  <conditionalFormatting sqref="AK179">
    <cfRule type="cellIs" dxfId="1" priority="3794" operator="equal">
      <formula>"未完成"</formula>
    </cfRule>
    <cfRule type="cellIs" dxfId="0" priority="3812" operator="equal">
      <formula>"未完成"</formula>
    </cfRule>
  </conditionalFormatting>
  <conditionalFormatting sqref="AL179">
    <cfRule type="cellIs" dxfId="1" priority="3758" operator="equal">
      <formula>"未完成"</formula>
    </cfRule>
    <cfRule type="cellIs" dxfId="0" priority="3776" operator="equal">
      <formula>"未完成"</formula>
    </cfRule>
  </conditionalFormatting>
  <conditionalFormatting sqref="AO179">
    <cfRule type="cellIs" dxfId="1" priority="3722" operator="equal">
      <formula>"未完成"</formula>
    </cfRule>
    <cfRule type="cellIs" dxfId="0" priority="3740" operator="equal">
      <formula>"未完成"</formula>
    </cfRule>
  </conditionalFormatting>
  <conditionalFormatting sqref="AT179">
    <cfRule type="cellIs" dxfId="1" priority="3560" operator="equal">
      <formula>"未完成"</formula>
    </cfRule>
    <cfRule type="cellIs" dxfId="0" priority="3578" operator="equal">
      <formula>"未完成"</formula>
    </cfRule>
  </conditionalFormatting>
  <conditionalFormatting sqref="R180">
    <cfRule type="cellIs" dxfId="0" priority="3703" operator="equal">
      <formula>"欠"</formula>
    </cfRule>
  </conditionalFormatting>
  <conditionalFormatting sqref="S180">
    <cfRule type="cellIs" dxfId="0" priority="3541" operator="equal">
      <formula>"欠"</formula>
    </cfRule>
  </conditionalFormatting>
  <conditionalFormatting sqref="T180:U180">
    <cfRule type="containsText" dxfId="0" priority="3505" operator="between" text="欠">
      <formula>NOT(ISERROR(SEARCH("欠",T180)))</formula>
    </cfRule>
    <cfRule type="cellIs" dxfId="0" priority="3523" operator="equal">
      <formula>"欠"</formula>
    </cfRule>
  </conditionalFormatting>
  <conditionalFormatting sqref="AE180">
    <cfRule type="cellIs" dxfId="0" priority="3595" operator="equal">
      <formula>"未完成"</formula>
    </cfRule>
    <cfRule type="cellIs" dxfId="1" priority="3613" operator="equal">
      <formula>"未完成"</formula>
    </cfRule>
  </conditionalFormatting>
  <conditionalFormatting sqref="AF180">
    <cfRule type="cellIs" dxfId="1" priority="3469" operator="equal">
      <formula>"未完成"</formula>
    </cfRule>
    <cfRule type="cellIs" dxfId="0" priority="3487" operator="equal">
      <formula>"未完成"</formula>
    </cfRule>
  </conditionalFormatting>
  <conditionalFormatting sqref="AG180">
    <cfRule type="cellIs" dxfId="1" priority="3829" operator="equal">
      <formula>"未完成"</formula>
    </cfRule>
    <cfRule type="cellIs" dxfId="0" priority="3847" operator="equal">
      <formula>"未完成"</formula>
    </cfRule>
  </conditionalFormatting>
  <conditionalFormatting sqref="AH180">
    <cfRule type="cellIs" dxfId="1" priority="3667" operator="equal">
      <formula>"未完成"</formula>
    </cfRule>
    <cfRule type="cellIs" dxfId="0" priority="3685" operator="equal">
      <formula>"未完成"</formula>
    </cfRule>
  </conditionalFormatting>
  <conditionalFormatting sqref="AI180:AJ180">
    <cfRule type="cellIs" dxfId="1" priority="3631" operator="equal">
      <formula>"未完成"</formula>
    </cfRule>
    <cfRule type="cellIs" dxfId="0" priority="3649" operator="equal">
      <formula>"未完成"</formula>
    </cfRule>
  </conditionalFormatting>
  <conditionalFormatting sqref="AK180">
    <cfRule type="cellIs" dxfId="1" priority="3793" operator="equal">
      <formula>"未完成"</formula>
    </cfRule>
    <cfRule type="cellIs" dxfId="0" priority="3811" operator="equal">
      <formula>"未完成"</formula>
    </cfRule>
  </conditionalFormatting>
  <conditionalFormatting sqref="AL180">
    <cfRule type="cellIs" dxfId="1" priority="3757" operator="equal">
      <formula>"未完成"</formula>
    </cfRule>
    <cfRule type="cellIs" dxfId="0" priority="3775" operator="equal">
      <formula>"未完成"</formula>
    </cfRule>
  </conditionalFormatting>
  <conditionalFormatting sqref="AO180">
    <cfRule type="cellIs" dxfId="1" priority="3721" operator="equal">
      <formula>"未完成"</formula>
    </cfRule>
    <cfRule type="cellIs" dxfId="0" priority="3739" operator="equal">
      <formula>"未完成"</formula>
    </cfRule>
  </conditionalFormatting>
  <conditionalFormatting sqref="AT180">
    <cfRule type="cellIs" dxfId="1" priority="3559" operator="equal">
      <formula>"未完成"</formula>
    </cfRule>
    <cfRule type="cellIs" dxfId="0" priority="3577" operator="equal">
      <formula>"未完成"</formula>
    </cfRule>
  </conditionalFormatting>
  <conditionalFormatting sqref="R181">
    <cfRule type="cellIs" dxfId="0" priority="3702" operator="equal">
      <formula>"欠"</formula>
    </cfRule>
  </conditionalFormatting>
  <conditionalFormatting sqref="S181">
    <cfRule type="cellIs" dxfId="0" priority="3540" operator="equal">
      <formula>"欠"</formula>
    </cfRule>
  </conditionalFormatting>
  <conditionalFormatting sqref="T181:U181">
    <cfRule type="containsText" dxfId="0" priority="3504" operator="between" text="欠">
      <formula>NOT(ISERROR(SEARCH("欠",T181)))</formula>
    </cfRule>
    <cfRule type="cellIs" dxfId="0" priority="3522" operator="equal">
      <formula>"欠"</formula>
    </cfRule>
  </conditionalFormatting>
  <conditionalFormatting sqref="AE181">
    <cfRule type="cellIs" dxfId="0" priority="3594" operator="equal">
      <formula>"未完成"</formula>
    </cfRule>
    <cfRule type="cellIs" dxfId="1" priority="3612" operator="equal">
      <formula>"未完成"</formula>
    </cfRule>
  </conditionalFormatting>
  <conditionalFormatting sqref="AF181">
    <cfRule type="cellIs" dxfId="1" priority="3468" operator="equal">
      <formula>"未完成"</formula>
    </cfRule>
    <cfRule type="cellIs" dxfId="0" priority="3486" operator="equal">
      <formula>"未完成"</formula>
    </cfRule>
  </conditionalFormatting>
  <conditionalFormatting sqref="AG181">
    <cfRule type="cellIs" dxfId="1" priority="3828" operator="equal">
      <formula>"未完成"</formula>
    </cfRule>
    <cfRule type="cellIs" dxfId="0" priority="3846" operator="equal">
      <formula>"未完成"</formula>
    </cfRule>
  </conditionalFormatting>
  <conditionalFormatting sqref="AH181">
    <cfRule type="cellIs" dxfId="1" priority="3666" operator="equal">
      <formula>"未完成"</formula>
    </cfRule>
    <cfRule type="cellIs" dxfId="0" priority="3684" operator="equal">
      <formula>"未完成"</formula>
    </cfRule>
  </conditionalFormatting>
  <conditionalFormatting sqref="AI181:AJ181">
    <cfRule type="cellIs" dxfId="1" priority="3630" operator="equal">
      <formula>"未完成"</formula>
    </cfRule>
    <cfRule type="cellIs" dxfId="0" priority="3648" operator="equal">
      <formula>"未完成"</formula>
    </cfRule>
  </conditionalFormatting>
  <conditionalFormatting sqref="AK181">
    <cfRule type="cellIs" dxfId="1" priority="3792" operator="equal">
      <formula>"未完成"</formula>
    </cfRule>
    <cfRule type="cellIs" dxfId="0" priority="3810" operator="equal">
      <formula>"未完成"</formula>
    </cfRule>
  </conditionalFormatting>
  <conditionalFormatting sqref="AL181">
    <cfRule type="cellIs" dxfId="1" priority="3756" operator="equal">
      <formula>"未完成"</formula>
    </cfRule>
    <cfRule type="cellIs" dxfId="0" priority="3774" operator="equal">
      <formula>"未完成"</formula>
    </cfRule>
  </conditionalFormatting>
  <conditionalFormatting sqref="AO181">
    <cfRule type="cellIs" dxfId="1" priority="3720" operator="equal">
      <formula>"未完成"</formula>
    </cfRule>
    <cfRule type="cellIs" dxfId="0" priority="3738" operator="equal">
      <formula>"未完成"</formula>
    </cfRule>
  </conditionalFormatting>
  <conditionalFormatting sqref="AT181">
    <cfRule type="cellIs" dxfId="1" priority="3558" operator="equal">
      <formula>"未完成"</formula>
    </cfRule>
    <cfRule type="cellIs" dxfId="0" priority="3576" operator="equal">
      <formula>"未完成"</formula>
    </cfRule>
  </conditionalFormatting>
  <conditionalFormatting sqref="R182">
    <cfRule type="cellIs" dxfId="0" priority="3701" operator="equal">
      <formula>"欠"</formula>
    </cfRule>
  </conditionalFormatting>
  <conditionalFormatting sqref="S182">
    <cfRule type="cellIs" dxfId="0" priority="3539" operator="equal">
      <formula>"欠"</formula>
    </cfRule>
  </conditionalFormatting>
  <conditionalFormatting sqref="T182:U182">
    <cfRule type="containsText" dxfId="0" priority="3503" operator="between" text="欠">
      <formula>NOT(ISERROR(SEARCH("欠",T182)))</formula>
    </cfRule>
    <cfRule type="cellIs" dxfId="0" priority="3521" operator="equal">
      <formula>"欠"</formula>
    </cfRule>
  </conditionalFormatting>
  <conditionalFormatting sqref="AE182">
    <cfRule type="cellIs" dxfId="0" priority="3593" operator="equal">
      <formula>"未完成"</formula>
    </cfRule>
    <cfRule type="cellIs" dxfId="1" priority="3611" operator="equal">
      <formula>"未完成"</formula>
    </cfRule>
  </conditionalFormatting>
  <conditionalFormatting sqref="AF182">
    <cfRule type="cellIs" dxfId="1" priority="3467" operator="equal">
      <formula>"未完成"</formula>
    </cfRule>
    <cfRule type="cellIs" dxfId="0" priority="3485" operator="equal">
      <formula>"未完成"</formula>
    </cfRule>
  </conditionalFormatting>
  <conditionalFormatting sqref="AG182">
    <cfRule type="cellIs" dxfId="1" priority="3827" operator="equal">
      <formula>"未完成"</formula>
    </cfRule>
    <cfRule type="cellIs" dxfId="0" priority="3845" operator="equal">
      <formula>"未完成"</formula>
    </cfRule>
  </conditionalFormatting>
  <conditionalFormatting sqref="AH182">
    <cfRule type="cellIs" dxfId="1" priority="3665" operator="equal">
      <formula>"未完成"</formula>
    </cfRule>
    <cfRule type="cellIs" dxfId="0" priority="3683" operator="equal">
      <formula>"未完成"</formula>
    </cfRule>
  </conditionalFormatting>
  <conditionalFormatting sqref="AI182:AJ182">
    <cfRule type="cellIs" dxfId="1" priority="3629" operator="equal">
      <formula>"未完成"</formula>
    </cfRule>
    <cfRule type="cellIs" dxfId="0" priority="3647" operator="equal">
      <formula>"未完成"</formula>
    </cfRule>
  </conditionalFormatting>
  <conditionalFormatting sqref="AK182">
    <cfRule type="cellIs" dxfId="1" priority="3791" operator="equal">
      <formula>"未完成"</formula>
    </cfRule>
    <cfRule type="cellIs" dxfId="0" priority="3809" operator="equal">
      <formula>"未完成"</formula>
    </cfRule>
  </conditionalFormatting>
  <conditionalFormatting sqref="AL182">
    <cfRule type="cellIs" dxfId="1" priority="3755" operator="equal">
      <formula>"未完成"</formula>
    </cfRule>
    <cfRule type="cellIs" dxfId="0" priority="3773" operator="equal">
      <formula>"未完成"</formula>
    </cfRule>
  </conditionalFormatting>
  <conditionalFormatting sqref="AO182">
    <cfRule type="cellIs" dxfId="1" priority="3719" operator="equal">
      <formula>"未完成"</formula>
    </cfRule>
    <cfRule type="cellIs" dxfId="0" priority="3737" operator="equal">
      <formula>"未完成"</formula>
    </cfRule>
  </conditionalFormatting>
  <conditionalFormatting sqref="AT182">
    <cfRule type="cellIs" dxfId="1" priority="3557" operator="equal">
      <formula>"未完成"</formula>
    </cfRule>
    <cfRule type="cellIs" dxfId="0" priority="3575" operator="equal">
      <formula>"未完成"</formula>
    </cfRule>
  </conditionalFormatting>
  <conditionalFormatting sqref="R183">
    <cfRule type="cellIs" dxfId="0" priority="3700" operator="equal">
      <formula>"欠"</formula>
    </cfRule>
  </conditionalFormatting>
  <conditionalFormatting sqref="S183">
    <cfRule type="cellIs" dxfId="0" priority="3538" operator="equal">
      <formula>"欠"</formula>
    </cfRule>
  </conditionalFormatting>
  <conditionalFormatting sqref="T183:U183">
    <cfRule type="containsText" dxfId="0" priority="3502" operator="between" text="欠">
      <formula>NOT(ISERROR(SEARCH("欠",T183)))</formula>
    </cfRule>
    <cfRule type="cellIs" dxfId="0" priority="3520" operator="equal">
      <formula>"欠"</formula>
    </cfRule>
  </conditionalFormatting>
  <conditionalFormatting sqref="AE183">
    <cfRule type="cellIs" dxfId="0" priority="3592" operator="equal">
      <formula>"未完成"</formula>
    </cfRule>
    <cfRule type="cellIs" dxfId="1" priority="3610" operator="equal">
      <formula>"未完成"</formula>
    </cfRule>
  </conditionalFormatting>
  <conditionalFormatting sqref="AF183">
    <cfRule type="cellIs" dxfId="1" priority="3466" operator="equal">
      <formula>"未完成"</formula>
    </cfRule>
    <cfRule type="cellIs" dxfId="0" priority="3484" operator="equal">
      <formula>"未完成"</formula>
    </cfRule>
  </conditionalFormatting>
  <conditionalFormatting sqref="AG183">
    <cfRule type="cellIs" dxfId="1" priority="3826" operator="equal">
      <formula>"未完成"</formula>
    </cfRule>
    <cfRule type="cellIs" dxfId="0" priority="3844" operator="equal">
      <formula>"未完成"</formula>
    </cfRule>
  </conditionalFormatting>
  <conditionalFormatting sqref="AH183">
    <cfRule type="cellIs" dxfId="1" priority="3664" operator="equal">
      <formula>"未完成"</formula>
    </cfRule>
    <cfRule type="cellIs" dxfId="0" priority="3682" operator="equal">
      <formula>"未完成"</formula>
    </cfRule>
  </conditionalFormatting>
  <conditionalFormatting sqref="AI183:AJ183">
    <cfRule type="cellIs" dxfId="1" priority="3628" operator="equal">
      <formula>"未完成"</formula>
    </cfRule>
    <cfRule type="cellIs" dxfId="0" priority="3646" operator="equal">
      <formula>"未完成"</formula>
    </cfRule>
  </conditionalFormatting>
  <conditionalFormatting sqref="AK183">
    <cfRule type="cellIs" dxfId="1" priority="3790" operator="equal">
      <formula>"未完成"</formula>
    </cfRule>
    <cfRule type="cellIs" dxfId="0" priority="3808" operator="equal">
      <formula>"未完成"</formula>
    </cfRule>
  </conditionalFormatting>
  <conditionalFormatting sqref="AL183">
    <cfRule type="cellIs" dxfId="1" priority="3754" operator="equal">
      <formula>"未完成"</formula>
    </cfRule>
    <cfRule type="cellIs" dxfId="0" priority="3772" operator="equal">
      <formula>"未完成"</formula>
    </cfRule>
  </conditionalFormatting>
  <conditionalFormatting sqref="AO183">
    <cfRule type="cellIs" dxfId="1" priority="3718" operator="equal">
      <formula>"未完成"</formula>
    </cfRule>
    <cfRule type="cellIs" dxfId="0" priority="3736" operator="equal">
      <formula>"未完成"</formula>
    </cfRule>
  </conditionalFormatting>
  <conditionalFormatting sqref="AT183">
    <cfRule type="cellIs" dxfId="1" priority="3556" operator="equal">
      <formula>"未完成"</formula>
    </cfRule>
    <cfRule type="cellIs" dxfId="0" priority="3574" operator="equal">
      <formula>"未完成"</formula>
    </cfRule>
  </conditionalFormatting>
  <conditionalFormatting sqref="R184">
    <cfRule type="cellIs" dxfId="0" priority="3449" operator="equal">
      <formula>"欠"</formula>
    </cfRule>
  </conditionalFormatting>
  <conditionalFormatting sqref="S184">
    <cfRule type="cellIs" dxfId="0" priority="3431" operator="equal">
      <formula>"欠"</formula>
    </cfRule>
  </conditionalFormatting>
  <conditionalFormatting sqref="T184:U184">
    <cfRule type="containsText" dxfId="0" priority="3427" operator="between" text="欠">
      <formula>NOT(ISERROR(SEARCH("欠",T184)))</formula>
    </cfRule>
    <cfRule type="cellIs" dxfId="0" priority="3429" operator="equal">
      <formula>"欠"</formula>
    </cfRule>
  </conditionalFormatting>
  <conditionalFormatting sqref="AE184">
    <cfRule type="cellIs" dxfId="0" priority="3437" operator="equal">
      <formula>"未完成"</formula>
    </cfRule>
    <cfRule type="cellIs" dxfId="1" priority="3439" operator="equal">
      <formula>"未完成"</formula>
    </cfRule>
  </conditionalFormatting>
  <conditionalFormatting sqref="AF184">
    <cfRule type="cellIs" dxfId="1" priority="3423" operator="equal">
      <formula>"未完成"</formula>
    </cfRule>
    <cfRule type="cellIs" dxfId="0" priority="3425" operator="equal">
      <formula>"未完成"</formula>
    </cfRule>
  </conditionalFormatting>
  <conditionalFormatting sqref="AG184">
    <cfRule type="cellIs" dxfId="1" priority="3463" operator="equal">
      <formula>"未完成"</formula>
    </cfRule>
    <cfRule type="cellIs" dxfId="0" priority="3465" operator="equal">
      <formula>"未完成"</formula>
    </cfRule>
  </conditionalFormatting>
  <conditionalFormatting sqref="AH184">
    <cfRule type="cellIs" dxfId="1" priority="3445" operator="equal">
      <formula>"未完成"</formula>
    </cfRule>
    <cfRule type="cellIs" dxfId="0" priority="3447" operator="equal">
      <formula>"未完成"</formula>
    </cfRule>
  </conditionalFormatting>
  <conditionalFormatting sqref="AI184:AJ184">
    <cfRule type="cellIs" dxfId="1" priority="3441" operator="equal">
      <formula>"未完成"</formula>
    </cfRule>
    <cfRule type="cellIs" dxfId="0" priority="3443" operator="equal">
      <formula>"未完成"</formula>
    </cfRule>
  </conditionalFormatting>
  <conditionalFormatting sqref="AK184">
    <cfRule type="cellIs" dxfId="1" priority="3459" operator="equal">
      <formula>"未完成"</formula>
    </cfRule>
    <cfRule type="cellIs" dxfId="0" priority="3461" operator="equal">
      <formula>"未完成"</formula>
    </cfRule>
  </conditionalFormatting>
  <conditionalFormatting sqref="AL184">
    <cfRule type="cellIs" dxfId="1" priority="3455" operator="equal">
      <formula>"未完成"</formula>
    </cfRule>
    <cfRule type="cellIs" dxfId="0" priority="3457" operator="equal">
      <formula>"未完成"</formula>
    </cfRule>
  </conditionalFormatting>
  <conditionalFormatting sqref="AO184">
    <cfRule type="cellIs" dxfId="1" priority="3451" operator="equal">
      <formula>"未完成"</formula>
    </cfRule>
    <cfRule type="cellIs" dxfId="0" priority="3453" operator="equal">
      <formula>"未完成"</formula>
    </cfRule>
  </conditionalFormatting>
  <conditionalFormatting sqref="AT184">
    <cfRule type="cellIs" dxfId="1" priority="3433" operator="equal">
      <formula>"未完成"</formula>
    </cfRule>
    <cfRule type="cellIs" dxfId="0" priority="3435" operator="equal">
      <formula>"未完成"</formula>
    </cfRule>
  </conditionalFormatting>
  <conditionalFormatting sqref="R185">
    <cfRule type="cellIs" dxfId="0" priority="2555" operator="equal">
      <formula>"欠"</formula>
    </cfRule>
  </conditionalFormatting>
  <conditionalFormatting sqref="S185">
    <cfRule type="cellIs" dxfId="0" priority="2348" operator="equal">
      <formula>"欠"</formula>
    </cfRule>
  </conditionalFormatting>
  <conditionalFormatting sqref="T185:U185">
    <cfRule type="containsText" dxfId="0" priority="2302" operator="between" text="欠">
      <formula>NOT(ISERROR(SEARCH("欠",T185)))</formula>
    </cfRule>
    <cfRule type="cellIs" dxfId="0" priority="2325" operator="equal">
      <formula>"欠"</formula>
    </cfRule>
  </conditionalFormatting>
  <conditionalFormatting sqref="AE185">
    <cfRule type="cellIs" dxfId="0" priority="2417" operator="equal">
      <formula>"未完成"</formula>
    </cfRule>
    <cfRule type="cellIs" dxfId="1" priority="2440" operator="equal">
      <formula>"未完成"</formula>
    </cfRule>
  </conditionalFormatting>
  <conditionalFormatting sqref="AF185">
    <cfRule type="cellIs" dxfId="1" priority="2256" operator="equal">
      <formula>"未完成"</formula>
    </cfRule>
    <cfRule type="cellIs" dxfId="0" priority="2279" operator="equal">
      <formula>"未完成"</formula>
    </cfRule>
  </conditionalFormatting>
  <conditionalFormatting sqref="AG185">
    <cfRule type="cellIs" dxfId="1" priority="2716" operator="equal">
      <formula>"未完成"</formula>
    </cfRule>
    <cfRule type="cellIs" dxfId="0" priority="2739" operator="equal">
      <formula>"未完成"</formula>
    </cfRule>
  </conditionalFormatting>
  <conditionalFormatting sqref="AH185">
    <cfRule type="cellIs" dxfId="1" priority="2509" operator="equal">
      <formula>"未完成"</formula>
    </cfRule>
    <cfRule type="cellIs" dxfId="0" priority="2532" operator="equal">
      <formula>"未完成"</formula>
    </cfRule>
  </conditionalFormatting>
  <conditionalFormatting sqref="AI185:AJ185">
    <cfRule type="cellIs" dxfId="1" priority="2463" operator="equal">
      <formula>"未完成"</formula>
    </cfRule>
    <cfRule type="cellIs" dxfId="0" priority="2486" operator="equal">
      <formula>"未完成"</formula>
    </cfRule>
  </conditionalFormatting>
  <conditionalFormatting sqref="AK185">
    <cfRule type="cellIs" dxfId="1" priority="2670" operator="equal">
      <formula>"未完成"</formula>
    </cfRule>
    <cfRule type="cellIs" dxfId="0" priority="2693" operator="equal">
      <formula>"未完成"</formula>
    </cfRule>
  </conditionalFormatting>
  <conditionalFormatting sqref="AL185">
    <cfRule type="cellIs" dxfId="1" priority="2624" operator="equal">
      <formula>"未完成"</formula>
    </cfRule>
    <cfRule type="cellIs" dxfId="0" priority="2647" operator="equal">
      <formula>"未完成"</formula>
    </cfRule>
  </conditionalFormatting>
  <conditionalFormatting sqref="AO185">
    <cfRule type="cellIs" dxfId="1" priority="2578" operator="equal">
      <formula>"未完成"</formula>
    </cfRule>
    <cfRule type="cellIs" dxfId="0" priority="2601" operator="equal">
      <formula>"未完成"</formula>
    </cfRule>
  </conditionalFormatting>
  <conditionalFormatting sqref="AT185">
    <cfRule type="cellIs" dxfId="1" priority="2371" operator="equal">
      <formula>"未完成"</formula>
    </cfRule>
    <cfRule type="cellIs" dxfId="0" priority="2394" operator="equal">
      <formula>"未完成"</formula>
    </cfRule>
  </conditionalFormatting>
  <conditionalFormatting sqref="R186">
    <cfRule type="cellIs" dxfId="0" priority="2554" operator="equal">
      <formula>"欠"</formula>
    </cfRule>
  </conditionalFormatting>
  <conditionalFormatting sqref="S186">
    <cfRule type="cellIs" dxfId="0" priority="2347" operator="equal">
      <formula>"欠"</formula>
    </cfRule>
  </conditionalFormatting>
  <conditionalFormatting sqref="T186:U186">
    <cfRule type="containsText" dxfId="0" priority="2301" operator="between" text="欠">
      <formula>NOT(ISERROR(SEARCH("欠",T186)))</formula>
    </cfRule>
    <cfRule type="cellIs" dxfId="0" priority="2324" operator="equal">
      <formula>"欠"</formula>
    </cfRule>
  </conditionalFormatting>
  <conditionalFormatting sqref="AE186">
    <cfRule type="cellIs" dxfId="0" priority="2416" operator="equal">
      <formula>"未完成"</formula>
    </cfRule>
    <cfRule type="cellIs" dxfId="1" priority="2439" operator="equal">
      <formula>"未完成"</formula>
    </cfRule>
  </conditionalFormatting>
  <conditionalFormatting sqref="AF186">
    <cfRule type="cellIs" dxfId="1" priority="2255" operator="equal">
      <formula>"未完成"</formula>
    </cfRule>
    <cfRule type="cellIs" dxfId="0" priority="2278" operator="equal">
      <formula>"未完成"</formula>
    </cfRule>
  </conditionalFormatting>
  <conditionalFormatting sqref="AG186">
    <cfRule type="cellIs" dxfId="1" priority="2715" operator="equal">
      <formula>"未完成"</formula>
    </cfRule>
    <cfRule type="cellIs" dxfId="0" priority="2738" operator="equal">
      <formula>"未完成"</formula>
    </cfRule>
  </conditionalFormatting>
  <conditionalFormatting sqref="AH186">
    <cfRule type="cellIs" dxfId="1" priority="2508" operator="equal">
      <formula>"未完成"</formula>
    </cfRule>
    <cfRule type="cellIs" dxfId="0" priority="2531" operator="equal">
      <formula>"未完成"</formula>
    </cfRule>
  </conditionalFormatting>
  <conditionalFormatting sqref="AI186:AJ186">
    <cfRule type="cellIs" dxfId="1" priority="2462" operator="equal">
      <formula>"未完成"</formula>
    </cfRule>
    <cfRule type="cellIs" dxfId="0" priority="2485" operator="equal">
      <formula>"未完成"</formula>
    </cfRule>
  </conditionalFormatting>
  <conditionalFormatting sqref="AK186">
    <cfRule type="cellIs" dxfId="1" priority="2669" operator="equal">
      <formula>"未完成"</formula>
    </cfRule>
    <cfRule type="cellIs" dxfId="0" priority="2692" operator="equal">
      <formula>"未完成"</formula>
    </cfRule>
  </conditionalFormatting>
  <conditionalFormatting sqref="AL186">
    <cfRule type="cellIs" dxfId="1" priority="2623" operator="equal">
      <formula>"未完成"</formula>
    </cfRule>
    <cfRule type="cellIs" dxfId="0" priority="2646" operator="equal">
      <formula>"未完成"</formula>
    </cfRule>
  </conditionalFormatting>
  <conditionalFormatting sqref="AO186">
    <cfRule type="cellIs" dxfId="1" priority="2577" operator="equal">
      <formula>"未完成"</formula>
    </cfRule>
    <cfRule type="cellIs" dxfId="0" priority="2600" operator="equal">
      <formula>"未完成"</formula>
    </cfRule>
  </conditionalFormatting>
  <conditionalFormatting sqref="AT186">
    <cfRule type="cellIs" dxfId="1" priority="2370" operator="equal">
      <formula>"未完成"</formula>
    </cfRule>
    <cfRule type="cellIs" dxfId="0" priority="2393" operator="equal">
      <formula>"未完成"</formula>
    </cfRule>
  </conditionalFormatting>
  <conditionalFormatting sqref="R187">
    <cfRule type="cellIs" dxfId="0" priority="2553" operator="equal">
      <formula>"欠"</formula>
    </cfRule>
  </conditionalFormatting>
  <conditionalFormatting sqref="S187">
    <cfRule type="cellIs" dxfId="0" priority="2346" operator="equal">
      <formula>"欠"</formula>
    </cfRule>
  </conditionalFormatting>
  <conditionalFormatting sqref="T187:U187">
    <cfRule type="containsText" dxfId="0" priority="2300" operator="between" text="欠">
      <formula>NOT(ISERROR(SEARCH("欠",T187)))</formula>
    </cfRule>
    <cfRule type="cellIs" dxfId="0" priority="2323" operator="equal">
      <formula>"欠"</formula>
    </cfRule>
  </conditionalFormatting>
  <conditionalFormatting sqref="AE187">
    <cfRule type="cellIs" dxfId="0" priority="2415" operator="equal">
      <formula>"未完成"</formula>
    </cfRule>
    <cfRule type="cellIs" dxfId="1" priority="2438" operator="equal">
      <formula>"未完成"</formula>
    </cfRule>
  </conditionalFormatting>
  <conditionalFormatting sqref="AF187">
    <cfRule type="cellIs" dxfId="1" priority="2254" operator="equal">
      <formula>"未完成"</formula>
    </cfRule>
    <cfRule type="cellIs" dxfId="0" priority="2277" operator="equal">
      <formula>"未完成"</formula>
    </cfRule>
  </conditionalFormatting>
  <conditionalFormatting sqref="AG187">
    <cfRule type="cellIs" dxfId="1" priority="2714" operator="equal">
      <formula>"未完成"</formula>
    </cfRule>
    <cfRule type="cellIs" dxfId="0" priority="2737" operator="equal">
      <formula>"未完成"</formula>
    </cfRule>
  </conditionalFormatting>
  <conditionalFormatting sqref="AH187">
    <cfRule type="cellIs" dxfId="1" priority="2507" operator="equal">
      <formula>"未完成"</formula>
    </cfRule>
    <cfRule type="cellIs" dxfId="0" priority="2530" operator="equal">
      <formula>"未完成"</formula>
    </cfRule>
  </conditionalFormatting>
  <conditionalFormatting sqref="AI187:AJ187">
    <cfRule type="cellIs" dxfId="1" priority="2461" operator="equal">
      <formula>"未完成"</formula>
    </cfRule>
    <cfRule type="cellIs" dxfId="0" priority="2484" operator="equal">
      <formula>"未完成"</formula>
    </cfRule>
  </conditionalFormatting>
  <conditionalFormatting sqref="AK187">
    <cfRule type="cellIs" dxfId="1" priority="2668" operator="equal">
      <formula>"未完成"</formula>
    </cfRule>
    <cfRule type="cellIs" dxfId="0" priority="2691" operator="equal">
      <formula>"未完成"</formula>
    </cfRule>
  </conditionalFormatting>
  <conditionalFormatting sqref="AL187">
    <cfRule type="cellIs" dxfId="1" priority="2622" operator="equal">
      <formula>"未完成"</formula>
    </cfRule>
    <cfRule type="cellIs" dxfId="0" priority="2645" operator="equal">
      <formula>"未完成"</formula>
    </cfRule>
  </conditionalFormatting>
  <conditionalFormatting sqref="AO187">
    <cfRule type="cellIs" dxfId="1" priority="2576" operator="equal">
      <formula>"未完成"</formula>
    </cfRule>
    <cfRule type="cellIs" dxfId="0" priority="2599" operator="equal">
      <formula>"未完成"</formula>
    </cfRule>
  </conditionalFormatting>
  <conditionalFormatting sqref="AT187">
    <cfRule type="cellIs" dxfId="1" priority="2369" operator="equal">
      <formula>"未完成"</formula>
    </cfRule>
    <cfRule type="cellIs" dxfId="0" priority="2392" operator="equal">
      <formula>"未完成"</formula>
    </cfRule>
  </conditionalFormatting>
  <conditionalFormatting sqref="R188">
    <cfRule type="cellIs" dxfId="0" priority="2552" operator="equal">
      <formula>"欠"</formula>
    </cfRule>
  </conditionalFormatting>
  <conditionalFormatting sqref="S188">
    <cfRule type="cellIs" dxfId="0" priority="2345" operator="equal">
      <formula>"欠"</formula>
    </cfRule>
  </conditionalFormatting>
  <conditionalFormatting sqref="T188:U188">
    <cfRule type="containsText" dxfId="0" priority="2299" operator="between" text="欠">
      <formula>NOT(ISERROR(SEARCH("欠",T188)))</formula>
    </cfRule>
    <cfRule type="cellIs" dxfId="0" priority="2322" operator="equal">
      <formula>"欠"</formula>
    </cfRule>
  </conditionalFormatting>
  <conditionalFormatting sqref="AE188">
    <cfRule type="cellIs" dxfId="0" priority="2414" operator="equal">
      <formula>"未完成"</formula>
    </cfRule>
    <cfRule type="cellIs" dxfId="1" priority="2437" operator="equal">
      <formula>"未完成"</formula>
    </cfRule>
  </conditionalFormatting>
  <conditionalFormatting sqref="AF188">
    <cfRule type="cellIs" dxfId="1" priority="2253" operator="equal">
      <formula>"未完成"</formula>
    </cfRule>
    <cfRule type="cellIs" dxfId="0" priority="2276" operator="equal">
      <formula>"未完成"</formula>
    </cfRule>
  </conditionalFormatting>
  <conditionalFormatting sqref="AG188">
    <cfRule type="cellIs" dxfId="1" priority="2713" operator="equal">
      <formula>"未完成"</formula>
    </cfRule>
    <cfRule type="cellIs" dxfId="0" priority="2736" operator="equal">
      <formula>"未完成"</formula>
    </cfRule>
  </conditionalFormatting>
  <conditionalFormatting sqref="AH188">
    <cfRule type="cellIs" dxfId="1" priority="2506" operator="equal">
      <formula>"未完成"</formula>
    </cfRule>
    <cfRule type="cellIs" dxfId="0" priority="2529" operator="equal">
      <formula>"未完成"</formula>
    </cfRule>
  </conditionalFormatting>
  <conditionalFormatting sqref="AI188:AJ188">
    <cfRule type="cellIs" dxfId="1" priority="2460" operator="equal">
      <formula>"未完成"</formula>
    </cfRule>
    <cfRule type="cellIs" dxfId="0" priority="2483" operator="equal">
      <formula>"未完成"</formula>
    </cfRule>
  </conditionalFormatting>
  <conditionalFormatting sqref="AK188">
    <cfRule type="cellIs" dxfId="1" priority="2667" operator="equal">
      <formula>"未完成"</formula>
    </cfRule>
    <cfRule type="cellIs" dxfId="0" priority="2690" operator="equal">
      <formula>"未完成"</formula>
    </cfRule>
  </conditionalFormatting>
  <conditionalFormatting sqref="AL188">
    <cfRule type="cellIs" dxfId="1" priority="2621" operator="equal">
      <formula>"未完成"</formula>
    </cfRule>
    <cfRule type="cellIs" dxfId="0" priority="2644" operator="equal">
      <formula>"未完成"</formula>
    </cfRule>
  </conditionalFormatting>
  <conditionalFormatting sqref="AO188">
    <cfRule type="cellIs" dxfId="1" priority="2575" operator="equal">
      <formula>"未完成"</formula>
    </cfRule>
    <cfRule type="cellIs" dxfId="0" priority="2598" operator="equal">
      <formula>"未完成"</formula>
    </cfRule>
  </conditionalFormatting>
  <conditionalFormatting sqref="AT188">
    <cfRule type="cellIs" dxfId="1" priority="2368" operator="equal">
      <formula>"未完成"</formula>
    </cfRule>
    <cfRule type="cellIs" dxfId="0" priority="2391" operator="equal">
      <formula>"未完成"</formula>
    </cfRule>
  </conditionalFormatting>
  <conditionalFormatting sqref="R189">
    <cfRule type="cellIs" dxfId="0" priority="2551" operator="equal">
      <formula>"欠"</formula>
    </cfRule>
  </conditionalFormatting>
  <conditionalFormatting sqref="S189">
    <cfRule type="cellIs" dxfId="0" priority="2344" operator="equal">
      <formula>"欠"</formula>
    </cfRule>
  </conditionalFormatting>
  <conditionalFormatting sqref="T189:U189">
    <cfRule type="containsText" dxfId="0" priority="2298" operator="between" text="欠">
      <formula>NOT(ISERROR(SEARCH("欠",T189)))</formula>
    </cfRule>
    <cfRule type="cellIs" dxfId="0" priority="2321" operator="equal">
      <formula>"欠"</formula>
    </cfRule>
  </conditionalFormatting>
  <conditionalFormatting sqref="AE189">
    <cfRule type="cellIs" dxfId="0" priority="2413" operator="equal">
      <formula>"未完成"</formula>
    </cfRule>
    <cfRule type="cellIs" dxfId="1" priority="2436" operator="equal">
      <formula>"未完成"</formula>
    </cfRule>
  </conditionalFormatting>
  <conditionalFormatting sqref="AF189">
    <cfRule type="cellIs" dxfId="1" priority="2252" operator="equal">
      <formula>"未完成"</formula>
    </cfRule>
    <cfRule type="cellIs" dxfId="0" priority="2275" operator="equal">
      <formula>"未完成"</formula>
    </cfRule>
  </conditionalFormatting>
  <conditionalFormatting sqref="AG189">
    <cfRule type="cellIs" dxfId="1" priority="2712" operator="equal">
      <formula>"未完成"</formula>
    </cfRule>
    <cfRule type="cellIs" dxfId="0" priority="2735" operator="equal">
      <formula>"未完成"</formula>
    </cfRule>
  </conditionalFormatting>
  <conditionalFormatting sqref="AH189">
    <cfRule type="cellIs" dxfId="1" priority="2505" operator="equal">
      <formula>"未完成"</formula>
    </cfRule>
    <cfRule type="cellIs" dxfId="0" priority="2528" operator="equal">
      <formula>"未完成"</formula>
    </cfRule>
  </conditionalFormatting>
  <conditionalFormatting sqref="AI189:AJ189">
    <cfRule type="cellIs" dxfId="1" priority="2459" operator="equal">
      <formula>"未完成"</formula>
    </cfRule>
    <cfRule type="cellIs" dxfId="0" priority="2482" operator="equal">
      <formula>"未完成"</formula>
    </cfRule>
  </conditionalFormatting>
  <conditionalFormatting sqref="AK189">
    <cfRule type="cellIs" dxfId="1" priority="2666" operator="equal">
      <formula>"未完成"</formula>
    </cfRule>
    <cfRule type="cellIs" dxfId="0" priority="2689" operator="equal">
      <formula>"未完成"</formula>
    </cfRule>
  </conditionalFormatting>
  <conditionalFormatting sqref="AL189">
    <cfRule type="cellIs" dxfId="1" priority="2620" operator="equal">
      <formula>"未完成"</formula>
    </cfRule>
    <cfRule type="cellIs" dxfId="0" priority="2643" operator="equal">
      <formula>"未完成"</formula>
    </cfRule>
  </conditionalFormatting>
  <conditionalFormatting sqref="AO189">
    <cfRule type="cellIs" dxfId="1" priority="2574" operator="equal">
      <formula>"未完成"</formula>
    </cfRule>
    <cfRule type="cellIs" dxfId="0" priority="2597" operator="equal">
      <formula>"未完成"</formula>
    </cfRule>
  </conditionalFormatting>
  <conditionalFormatting sqref="AT189">
    <cfRule type="cellIs" dxfId="1" priority="2367" operator="equal">
      <formula>"未完成"</formula>
    </cfRule>
    <cfRule type="cellIs" dxfId="0" priority="2390" operator="equal">
      <formula>"未完成"</formula>
    </cfRule>
  </conditionalFormatting>
  <conditionalFormatting sqref="R190">
    <cfRule type="cellIs" dxfId="0" priority="2550" operator="equal">
      <formula>"欠"</formula>
    </cfRule>
  </conditionalFormatting>
  <conditionalFormatting sqref="S190">
    <cfRule type="cellIs" dxfId="0" priority="2343" operator="equal">
      <formula>"欠"</formula>
    </cfRule>
  </conditionalFormatting>
  <conditionalFormatting sqref="T190:U190">
    <cfRule type="containsText" dxfId="0" priority="2297" operator="between" text="欠">
      <formula>NOT(ISERROR(SEARCH("欠",T190)))</formula>
    </cfRule>
    <cfRule type="cellIs" dxfId="0" priority="2320" operator="equal">
      <formula>"欠"</formula>
    </cfRule>
  </conditionalFormatting>
  <conditionalFormatting sqref="AE190">
    <cfRule type="cellIs" dxfId="0" priority="2412" operator="equal">
      <formula>"未完成"</formula>
    </cfRule>
    <cfRule type="cellIs" dxfId="1" priority="2435" operator="equal">
      <formula>"未完成"</formula>
    </cfRule>
  </conditionalFormatting>
  <conditionalFormatting sqref="AF190">
    <cfRule type="cellIs" dxfId="1" priority="2251" operator="equal">
      <formula>"未完成"</formula>
    </cfRule>
    <cfRule type="cellIs" dxfId="0" priority="2274" operator="equal">
      <formula>"未完成"</formula>
    </cfRule>
  </conditionalFormatting>
  <conditionalFormatting sqref="AG190">
    <cfRule type="cellIs" dxfId="1" priority="2711" operator="equal">
      <formula>"未完成"</formula>
    </cfRule>
    <cfRule type="cellIs" dxfId="0" priority="2734" operator="equal">
      <formula>"未完成"</formula>
    </cfRule>
  </conditionalFormatting>
  <conditionalFormatting sqref="AH190">
    <cfRule type="cellIs" dxfId="1" priority="2504" operator="equal">
      <formula>"未完成"</formula>
    </cfRule>
    <cfRule type="cellIs" dxfId="0" priority="2527" operator="equal">
      <formula>"未完成"</formula>
    </cfRule>
  </conditionalFormatting>
  <conditionalFormatting sqref="AI190:AJ190">
    <cfRule type="cellIs" dxfId="1" priority="2458" operator="equal">
      <formula>"未完成"</formula>
    </cfRule>
    <cfRule type="cellIs" dxfId="0" priority="2481" operator="equal">
      <formula>"未完成"</formula>
    </cfRule>
  </conditionalFormatting>
  <conditionalFormatting sqref="AK190">
    <cfRule type="cellIs" dxfId="1" priority="2665" operator="equal">
      <formula>"未完成"</formula>
    </cfRule>
    <cfRule type="cellIs" dxfId="0" priority="2688" operator="equal">
      <formula>"未完成"</formula>
    </cfRule>
  </conditionalFormatting>
  <conditionalFormatting sqref="AL190">
    <cfRule type="cellIs" dxfId="1" priority="2619" operator="equal">
      <formula>"未完成"</formula>
    </cfRule>
    <cfRule type="cellIs" dxfId="0" priority="2642" operator="equal">
      <formula>"未完成"</formula>
    </cfRule>
  </conditionalFormatting>
  <conditionalFormatting sqref="AO190">
    <cfRule type="cellIs" dxfId="1" priority="2573" operator="equal">
      <formula>"未完成"</formula>
    </cfRule>
    <cfRule type="cellIs" dxfId="0" priority="2596" operator="equal">
      <formula>"未完成"</formula>
    </cfRule>
  </conditionalFormatting>
  <conditionalFormatting sqref="AT190">
    <cfRule type="cellIs" dxfId="1" priority="2366" operator="equal">
      <formula>"未完成"</formula>
    </cfRule>
    <cfRule type="cellIs" dxfId="0" priority="2389" operator="equal">
      <formula>"未完成"</formula>
    </cfRule>
  </conditionalFormatting>
  <conditionalFormatting sqref="R191">
    <cfRule type="cellIs" dxfId="0" priority="2549" operator="equal">
      <formula>"欠"</formula>
    </cfRule>
  </conditionalFormatting>
  <conditionalFormatting sqref="S191">
    <cfRule type="cellIs" dxfId="0" priority="2342" operator="equal">
      <formula>"欠"</formula>
    </cfRule>
  </conditionalFormatting>
  <conditionalFormatting sqref="T191:U191">
    <cfRule type="containsText" dxfId="0" priority="2296" operator="between" text="欠">
      <formula>NOT(ISERROR(SEARCH("欠",T191)))</formula>
    </cfRule>
    <cfRule type="cellIs" dxfId="0" priority="2319" operator="equal">
      <formula>"欠"</formula>
    </cfRule>
  </conditionalFormatting>
  <conditionalFormatting sqref="AE191">
    <cfRule type="cellIs" dxfId="0" priority="2411" operator="equal">
      <formula>"未完成"</formula>
    </cfRule>
    <cfRule type="cellIs" dxfId="1" priority="2434" operator="equal">
      <formula>"未完成"</formula>
    </cfRule>
  </conditionalFormatting>
  <conditionalFormatting sqref="AF191">
    <cfRule type="cellIs" dxfId="1" priority="2250" operator="equal">
      <formula>"未完成"</formula>
    </cfRule>
    <cfRule type="cellIs" dxfId="0" priority="2273" operator="equal">
      <formula>"未完成"</formula>
    </cfRule>
  </conditionalFormatting>
  <conditionalFormatting sqref="AG191">
    <cfRule type="cellIs" dxfId="1" priority="2710" operator="equal">
      <formula>"未完成"</formula>
    </cfRule>
    <cfRule type="cellIs" dxfId="0" priority="2733" operator="equal">
      <formula>"未完成"</formula>
    </cfRule>
  </conditionalFormatting>
  <conditionalFormatting sqref="AH191">
    <cfRule type="cellIs" dxfId="1" priority="2503" operator="equal">
      <formula>"未完成"</formula>
    </cfRule>
    <cfRule type="cellIs" dxfId="0" priority="2526" operator="equal">
      <formula>"未完成"</formula>
    </cfRule>
  </conditionalFormatting>
  <conditionalFormatting sqref="AI191:AJ191">
    <cfRule type="cellIs" dxfId="1" priority="2457" operator="equal">
      <formula>"未完成"</formula>
    </cfRule>
    <cfRule type="cellIs" dxfId="0" priority="2480" operator="equal">
      <formula>"未完成"</formula>
    </cfRule>
  </conditionalFormatting>
  <conditionalFormatting sqref="AK191">
    <cfRule type="cellIs" dxfId="1" priority="2664" operator="equal">
      <formula>"未完成"</formula>
    </cfRule>
    <cfRule type="cellIs" dxfId="0" priority="2687" operator="equal">
      <formula>"未完成"</formula>
    </cfRule>
  </conditionalFormatting>
  <conditionalFormatting sqref="AL191">
    <cfRule type="cellIs" dxfId="1" priority="2618" operator="equal">
      <formula>"未完成"</formula>
    </cfRule>
    <cfRule type="cellIs" dxfId="0" priority="2641" operator="equal">
      <formula>"未完成"</formula>
    </cfRule>
  </conditionalFormatting>
  <conditionalFormatting sqref="AO191">
    <cfRule type="cellIs" dxfId="1" priority="2572" operator="equal">
      <formula>"未完成"</formula>
    </cfRule>
    <cfRule type="cellIs" dxfId="0" priority="2595" operator="equal">
      <formula>"未完成"</formula>
    </cfRule>
  </conditionalFormatting>
  <conditionalFormatting sqref="AT191">
    <cfRule type="cellIs" dxfId="1" priority="2365" operator="equal">
      <formula>"未完成"</formula>
    </cfRule>
    <cfRule type="cellIs" dxfId="0" priority="2388" operator="equal">
      <formula>"未完成"</formula>
    </cfRule>
  </conditionalFormatting>
  <conditionalFormatting sqref="R192">
    <cfRule type="cellIs" dxfId="0" priority="2548" operator="equal">
      <formula>"欠"</formula>
    </cfRule>
  </conditionalFormatting>
  <conditionalFormatting sqref="S192">
    <cfRule type="cellIs" dxfId="0" priority="2341" operator="equal">
      <formula>"欠"</formula>
    </cfRule>
  </conditionalFormatting>
  <conditionalFormatting sqref="T192:U192">
    <cfRule type="containsText" dxfId="0" priority="2295" operator="between" text="欠">
      <formula>NOT(ISERROR(SEARCH("欠",T192)))</formula>
    </cfRule>
    <cfRule type="cellIs" dxfId="0" priority="2318" operator="equal">
      <formula>"欠"</formula>
    </cfRule>
  </conditionalFormatting>
  <conditionalFormatting sqref="AE192">
    <cfRule type="cellIs" dxfId="0" priority="2410" operator="equal">
      <formula>"未完成"</formula>
    </cfRule>
    <cfRule type="cellIs" dxfId="1" priority="2433" operator="equal">
      <formula>"未完成"</formula>
    </cfRule>
  </conditionalFormatting>
  <conditionalFormatting sqref="AF192">
    <cfRule type="cellIs" dxfId="1" priority="2249" operator="equal">
      <formula>"未完成"</formula>
    </cfRule>
    <cfRule type="cellIs" dxfId="0" priority="2272" operator="equal">
      <formula>"未完成"</formula>
    </cfRule>
  </conditionalFormatting>
  <conditionalFormatting sqref="AG192">
    <cfRule type="cellIs" dxfId="1" priority="2709" operator="equal">
      <formula>"未完成"</formula>
    </cfRule>
    <cfRule type="cellIs" dxfId="0" priority="2732" operator="equal">
      <formula>"未完成"</formula>
    </cfRule>
  </conditionalFormatting>
  <conditionalFormatting sqref="AH192">
    <cfRule type="cellIs" dxfId="1" priority="2502" operator="equal">
      <formula>"未完成"</formula>
    </cfRule>
    <cfRule type="cellIs" dxfId="0" priority="2525" operator="equal">
      <formula>"未完成"</formula>
    </cfRule>
  </conditionalFormatting>
  <conditionalFormatting sqref="AI192:AJ192">
    <cfRule type="cellIs" dxfId="1" priority="2456" operator="equal">
      <formula>"未完成"</formula>
    </cfRule>
    <cfRule type="cellIs" dxfId="0" priority="2479" operator="equal">
      <formula>"未完成"</formula>
    </cfRule>
  </conditionalFormatting>
  <conditionalFormatting sqref="AK192">
    <cfRule type="cellIs" dxfId="1" priority="2663" operator="equal">
      <formula>"未完成"</formula>
    </cfRule>
    <cfRule type="cellIs" dxfId="0" priority="2686" operator="equal">
      <formula>"未完成"</formula>
    </cfRule>
  </conditionalFormatting>
  <conditionalFormatting sqref="AL192">
    <cfRule type="cellIs" dxfId="1" priority="2617" operator="equal">
      <formula>"未完成"</formula>
    </cfRule>
    <cfRule type="cellIs" dxfId="0" priority="2640" operator="equal">
      <formula>"未完成"</formula>
    </cfRule>
  </conditionalFormatting>
  <conditionalFormatting sqref="AO192">
    <cfRule type="cellIs" dxfId="1" priority="2571" operator="equal">
      <formula>"未完成"</formula>
    </cfRule>
    <cfRule type="cellIs" dxfId="0" priority="2594" operator="equal">
      <formula>"未完成"</formula>
    </cfRule>
  </conditionalFormatting>
  <conditionalFormatting sqref="AT192">
    <cfRule type="cellIs" dxfId="1" priority="2364" operator="equal">
      <formula>"未完成"</formula>
    </cfRule>
    <cfRule type="cellIs" dxfId="0" priority="2387" operator="equal">
      <formula>"未完成"</formula>
    </cfRule>
  </conditionalFormatting>
  <conditionalFormatting sqref="R193">
    <cfRule type="cellIs" dxfId="0" priority="2547" operator="equal">
      <formula>"欠"</formula>
    </cfRule>
  </conditionalFormatting>
  <conditionalFormatting sqref="S193">
    <cfRule type="cellIs" dxfId="0" priority="2340" operator="equal">
      <formula>"欠"</formula>
    </cfRule>
  </conditionalFormatting>
  <conditionalFormatting sqref="T193:U193">
    <cfRule type="containsText" dxfId="0" priority="2294" operator="between" text="欠">
      <formula>NOT(ISERROR(SEARCH("欠",T193)))</formula>
    </cfRule>
    <cfRule type="cellIs" dxfId="0" priority="2317" operator="equal">
      <formula>"欠"</formula>
    </cfRule>
  </conditionalFormatting>
  <conditionalFormatting sqref="AE193">
    <cfRule type="cellIs" dxfId="0" priority="2409" operator="equal">
      <formula>"未完成"</formula>
    </cfRule>
    <cfRule type="cellIs" dxfId="1" priority="2432" operator="equal">
      <formula>"未完成"</formula>
    </cfRule>
  </conditionalFormatting>
  <conditionalFormatting sqref="AF193">
    <cfRule type="cellIs" dxfId="1" priority="2248" operator="equal">
      <formula>"未完成"</formula>
    </cfRule>
    <cfRule type="cellIs" dxfId="0" priority="2271" operator="equal">
      <formula>"未完成"</formula>
    </cfRule>
  </conditionalFormatting>
  <conditionalFormatting sqref="AG193">
    <cfRule type="cellIs" dxfId="1" priority="2708" operator="equal">
      <formula>"未完成"</formula>
    </cfRule>
    <cfRule type="cellIs" dxfId="0" priority="2731" operator="equal">
      <formula>"未完成"</formula>
    </cfRule>
  </conditionalFormatting>
  <conditionalFormatting sqref="AH193">
    <cfRule type="cellIs" dxfId="1" priority="2501" operator="equal">
      <formula>"未完成"</formula>
    </cfRule>
    <cfRule type="cellIs" dxfId="0" priority="2524" operator="equal">
      <formula>"未完成"</formula>
    </cfRule>
  </conditionalFormatting>
  <conditionalFormatting sqref="AI193:AJ193">
    <cfRule type="cellIs" dxfId="1" priority="2455" operator="equal">
      <formula>"未完成"</formula>
    </cfRule>
    <cfRule type="cellIs" dxfId="0" priority="2478" operator="equal">
      <formula>"未完成"</formula>
    </cfRule>
  </conditionalFormatting>
  <conditionalFormatting sqref="AK193">
    <cfRule type="cellIs" dxfId="1" priority="2662" operator="equal">
      <formula>"未完成"</formula>
    </cfRule>
    <cfRule type="cellIs" dxfId="0" priority="2685" operator="equal">
      <formula>"未完成"</formula>
    </cfRule>
  </conditionalFormatting>
  <conditionalFormatting sqref="AL193">
    <cfRule type="cellIs" dxfId="1" priority="2616" operator="equal">
      <formula>"未完成"</formula>
    </cfRule>
    <cfRule type="cellIs" dxfId="0" priority="2639" operator="equal">
      <formula>"未完成"</formula>
    </cfRule>
  </conditionalFormatting>
  <conditionalFormatting sqref="AO193">
    <cfRule type="cellIs" dxfId="1" priority="2570" operator="equal">
      <formula>"未完成"</formula>
    </cfRule>
    <cfRule type="cellIs" dxfId="0" priority="2593" operator="equal">
      <formula>"未完成"</formula>
    </cfRule>
  </conditionalFormatting>
  <conditionalFormatting sqref="AT193">
    <cfRule type="cellIs" dxfId="1" priority="2363" operator="equal">
      <formula>"未完成"</formula>
    </cfRule>
    <cfRule type="cellIs" dxfId="0" priority="2386" operator="equal">
      <formula>"未完成"</formula>
    </cfRule>
  </conditionalFormatting>
  <conditionalFormatting sqref="R194">
    <cfRule type="cellIs" dxfId="0" priority="2546" operator="equal">
      <formula>"欠"</formula>
    </cfRule>
  </conditionalFormatting>
  <conditionalFormatting sqref="S194">
    <cfRule type="cellIs" dxfId="0" priority="2339" operator="equal">
      <formula>"欠"</formula>
    </cfRule>
  </conditionalFormatting>
  <conditionalFormatting sqref="T194:U194">
    <cfRule type="containsText" dxfId="0" priority="2293" operator="between" text="欠">
      <formula>NOT(ISERROR(SEARCH("欠",T194)))</formula>
    </cfRule>
    <cfRule type="cellIs" dxfId="0" priority="2316" operator="equal">
      <formula>"欠"</formula>
    </cfRule>
  </conditionalFormatting>
  <conditionalFormatting sqref="AE194">
    <cfRule type="cellIs" dxfId="0" priority="2408" operator="equal">
      <formula>"未完成"</formula>
    </cfRule>
    <cfRule type="cellIs" dxfId="1" priority="2431" operator="equal">
      <formula>"未完成"</formula>
    </cfRule>
  </conditionalFormatting>
  <conditionalFormatting sqref="AF194">
    <cfRule type="cellIs" dxfId="1" priority="2247" operator="equal">
      <formula>"未完成"</formula>
    </cfRule>
    <cfRule type="cellIs" dxfId="0" priority="2270" operator="equal">
      <formula>"未完成"</formula>
    </cfRule>
  </conditionalFormatting>
  <conditionalFormatting sqref="AG194">
    <cfRule type="cellIs" dxfId="1" priority="2707" operator="equal">
      <formula>"未完成"</formula>
    </cfRule>
    <cfRule type="cellIs" dxfId="0" priority="2730" operator="equal">
      <formula>"未完成"</formula>
    </cfRule>
  </conditionalFormatting>
  <conditionalFormatting sqref="AH194">
    <cfRule type="cellIs" dxfId="1" priority="2500" operator="equal">
      <formula>"未完成"</formula>
    </cfRule>
    <cfRule type="cellIs" dxfId="0" priority="2523" operator="equal">
      <formula>"未完成"</formula>
    </cfRule>
  </conditionalFormatting>
  <conditionalFormatting sqref="AI194:AJ194">
    <cfRule type="cellIs" dxfId="1" priority="2454" operator="equal">
      <formula>"未完成"</formula>
    </cfRule>
    <cfRule type="cellIs" dxfId="0" priority="2477" operator="equal">
      <formula>"未完成"</formula>
    </cfRule>
  </conditionalFormatting>
  <conditionalFormatting sqref="AL194">
    <cfRule type="cellIs" dxfId="1" priority="2615" operator="equal">
      <formula>"未完成"</formula>
    </cfRule>
    <cfRule type="cellIs" dxfId="0" priority="2638" operator="equal">
      <formula>"未完成"</formula>
    </cfRule>
  </conditionalFormatting>
  <conditionalFormatting sqref="AO194">
    <cfRule type="cellIs" dxfId="1" priority="2569" operator="equal">
      <formula>"未完成"</formula>
    </cfRule>
    <cfRule type="cellIs" dxfId="0" priority="2592" operator="equal">
      <formula>"未完成"</formula>
    </cfRule>
  </conditionalFormatting>
  <conditionalFormatting sqref="AT194">
    <cfRule type="cellIs" dxfId="1" priority="2362" operator="equal">
      <formula>"未完成"</formula>
    </cfRule>
    <cfRule type="cellIs" dxfId="0" priority="2385" operator="equal">
      <formula>"未完成"</formula>
    </cfRule>
  </conditionalFormatting>
  <conditionalFormatting sqref="R195">
    <cfRule type="cellIs" dxfId="0" priority="2545" operator="equal">
      <formula>"欠"</formula>
    </cfRule>
  </conditionalFormatting>
  <conditionalFormatting sqref="S195">
    <cfRule type="cellIs" dxfId="0" priority="2338" operator="equal">
      <formula>"欠"</formula>
    </cfRule>
  </conditionalFormatting>
  <conditionalFormatting sqref="T195:U195">
    <cfRule type="containsText" dxfId="0" priority="2292" operator="between" text="欠">
      <formula>NOT(ISERROR(SEARCH("欠",T195)))</formula>
    </cfRule>
    <cfRule type="cellIs" dxfId="0" priority="2315" operator="equal">
      <formula>"欠"</formula>
    </cfRule>
  </conditionalFormatting>
  <conditionalFormatting sqref="AE195">
    <cfRule type="cellIs" dxfId="0" priority="2407" operator="equal">
      <formula>"未完成"</formula>
    </cfRule>
    <cfRule type="cellIs" dxfId="1" priority="2430" operator="equal">
      <formula>"未完成"</formula>
    </cfRule>
  </conditionalFormatting>
  <conditionalFormatting sqref="AF195">
    <cfRule type="cellIs" dxfId="1" priority="2246" operator="equal">
      <formula>"未完成"</formula>
    </cfRule>
    <cfRule type="cellIs" dxfId="0" priority="2269" operator="equal">
      <formula>"未完成"</formula>
    </cfRule>
  </conditionalFormatting>
  <conditionalFormatting sqref="AG195">
    <cfRule type="cellIs" dxfId="1" priority="2706" operator="equal">
      <formula>"未完成"</formula>
    </cfRule>
    <cfRule type="cellIs" dxfId="0" priority="2729" operator="equal">
      <formula>"未完成"</formula>
    </cfRule>
  </conditionalFormatting>
  <conditionalFormatting sqref="AH195">
    <cfRule type="cellIs" dxfId="1" priority="2499" operator="equal">
      <formula>"未完成"</formula>
    </cfRule>
    <cfRule type="cellIs" dxfId="0" priority="2522" operator="equal">
      <formula>"未完成"</formula>
    </cfRule>
  </conditionalFormatting>
  <conditionalFormatting sqref="AI195:AJ195">
    <cfRule type="cellIs" dxfId="1" priority="2453" operator="equal">
      <formula>"未完成"</formula>
    </cfRule>
    <cfRule type="cellIs" dxfId="0" priority="2476" operator="equal">
      <formula>"未完成"</formula>
    </cfRule>
  </conditionalFormatting>
  <conditionalFormatting sqref="AK195">
    <cfRule type="cellIs" dxfId="1" priority="2660" operator="equal">
      <formula>"未完成"</formula>
    </cfRule>
    <cfRule type="cellIs" dxfId="0" priority="2683" operator="equal">
      <formula>"未完成"</formula>
    </cfRule>
  </conditionalFormatting>
  <conditionalFormatting sqref="AL195">
    <cfRule type="cellIs" dxfId="1" priority="2614" operator="equal">
      <formula>"未完成"</formula>
    </cfRule>
    <cfRule type="cellIs" dxfId="0" priority="2637" operator="equal">
      <formula>"未完成"</formula>
    </cfRule>
  </conditionalFormatting>
  <conditionalFormatting sqref="AO195">
    <cfRule type="cellIs" dxfId="1" priority="2568" operator="equal">
      <formula>"未完成"</formula>
    </cfRule>
    <cfRule type="cellIs" dxfId="0" priority="2591" operator="equal">
      <formula>"未完成"</formula>
    </cfRule>
  </conditionalFormatting>
  <conditionalFormatting sqref="AT195">
    <cfRule type="cellIs" dxfId="1" priority="2361" operator="equal">
      <formula>"未完成"</formula>
    </cfRule>
    <cfRule type="cellIs" dxfId="0" priority="2384" operator="equal">
      <formula>"未完成"</formula>
    </cfRule>
  </conditionalFormatting>
  <conditionalFormatting sqref="R196">
    <cfRule type="cellIs" dxfId="0" priority="2544" operator="equal">
      <formula>"欠"</formula>
    </cfRule>
  </conditionalFormatting>
  <conditionalFormatting sqref="S196">
    <cfRule type="cellIs" dxfId="0" priority="2337" operator="equal">
      <formula>"欠"</formula>
    </cfRule>
  </conditionalFormatting>
  <conditionalFormatting sqref="T196:U196">
    <cfRule type="containsText" dxfId="0" priority="2291" operator="between" text="欠">
      <formula>NOT(ISERROR(SEARCH("欠",T196)))</formula>
    </cfRule>
    <cfRule type="cellIs" dxfId="0" priority="2314" operator="equal">
      <formula>"欠"</formula>
    </cfRule>
  </conditionalFormatting>
  <conditionalFormatting sqref="AE196">
    <cfRule type="cellIs" dxfId="0" priority="2406" operator="equal">
      <formula>"未完成"</formula>
    </cfRule>
    <cfRule type="cellIs" dxfId="1" priority="2429" operator="equal">
      <formula>"未完成"</formula>
    </cfRule>
  </conditionalFormatting>
  <conditionalFormatting sqref="AF196">
    <cfRule type="cellIs" dxfId="1" priority="2245" operator="equal">
      <formula>"未完成"</formula>
    </cfRule>
    <cfRule type="cellIs" dxfId="0" priority="2268" operator="equal">
      <formula>"未完成"</formula>
    </cfRule>
  </conditionalFormatting>
  <conditionalFormatting sqref="AG196">
    <cfRule type="cellIs" dxfId="1" priority="2705" operator="equal">
      <formula>"未完成"</formula>
    </cfRule>
    <cfRule type="cellIs" dxfId="0" priority="2728" operator="equal">
      <formula>"未完成"</formula>
    </cfRule>
  </conditionalFormatting>
  <conditionalFormatting sqref="AH196">
    <cfRule type="cellIs" dxfId="1" priority="2498" operator="equal">
      <formula>"未完成"</formula>
    </cfRule>
    <cfRule type="cellIs" dxfId="0" priority="2521" operator="equal">
      <formula>"未完成"</formula>
    </cfRule>
  </conditionalFormatting>
  <conditionalFormatting sqref="AI196:AJ196">
    <cfRule type="cellIs" dxfId="1" priority="2452" operator="equal">
      <formula>"未完成"</formula>
    </cfRule>
    <cfRule type="cellIs" dxfId="0" priority="2475" operator="equal">
      <formula>"未完成"</formula>
    </cfRule>
  </conditionalFormatting>
  <conditionalFormatting sqref="AK196">
    <cfRule type="cellIs" dxfId="1" priority="2659" operator="equal">
      <formula>"未完成"</formula>
    </cfRule>
    <cfRule type="cellIs" dxfId="0" priority="2682" operator="equal">
      <formula>"未完成"</formula>
    </cfRule>
  </conditionalFormatting>
  <conditionalFormatting sqref="AL196">
    <cfRule type="cellIs" dxfId="1" priority="2613" operator="equal">
      <formula>"未完成"</formula>
    </cfRule>
    <cfRule type="cellIs" dxfId="0" priority="2636" operator="equal">
      <formula>"未完成"</formula>
    </cfRule>
  </conditionalFormatting>
  <conditionalFormatting sqref="AO196">
    <cfRule type="cellIs" dxfId="1" priority="2567" operator="equal">
      <formula>"未完成"</formula>
    </cfRule>
    <cfRule type="cellIs" dxfId="0" priority="2590" operator="equal">
      <formula>"未完成"</formula>
    </cfRule>
  </conditionalFormatting>
  <conditionalFormatting sqref="AT196">
    <cfRule type="cellIs" dxfId="1" priority="2360" operator="equal">
      <formula>"未完成"</formula>
    </cfRule>
    <cfRule type="cellIs" dxfId="0" priority="2383" operator="equal">
      <formula>"未完成"</formula>
    </cfRule>
  </conditionalFormatting>
  <conditionalFormatting sqref="R197">
    <cfRule type="cellIs" dxfId="0" priority="2543" operator="equal">
      <formula>"欠"</formula>
    </cfRule>
  </conditionalFormatting>
  <conditionalFormatting sqref="S197">
    <cfRule type="cellIs" dxfId="0" priority="2336" operator="equal">
      <formula>"欠"</formula>
    </cfRule>
  </conditionalFormatting>
  <conditionalFormatting sqref="T197:U197">
    <cfRule type="containsText" dxfId="0" priority="2290" operator="between" text="欠">
      <formula>NOT(ISERROR(SEARCH("欠",T197)))</formula>
    </cfRule>
    <cfRule type="cellIs" dxfId="0" priority="2313" operator="equal">
      <formula>"欠"</formula>
    </cfRule>
  </conditionalFormatting>
  <conditionalFormatting sqref="AE197">
    <cfRule type="cellIs" dxfId="0" priority="2405" operator="equal">
      <formula>"未完成"</formula>
    </cfRule>
    <cfRule type="cellIs" dxfId="1" priority="2428" operator="equal">
      <formula>"未完成"</formula>
    </cfRule>
  </conditionalFormatting>
  <conditionalFormatting sqref="AF197">
    <cfRule type="cellIs" dxfId="1" priority="2244" operator="equal">
      <formula>"未完成"</formula>
    </cfRule>
    <cfRule type="cellIs" dxfId="0" priority="2267" operator="equal">
      <formula>"未完成"</formula>
    </cfRule>
  </conditionalFormatting>
  <conditionalFormatting sqref="AG197">
    <cfRule type="cellIs" dxfId="1" priority="2704" operator="equal">
      <formula>"未完成"</formula>
    </cfRule>
    <cfRule type="cellIs" dxfId="0" priority="2727" operator="equal">
      <formula>"未完成"</formula>
    </cfRule>
  </conditionalFormatting>
  <conditionalFormatting sqref="AH197">
    <cfRule type="cellIs" dxfId="1" priority="2497" operator="equal">
      <formula>"未完成"</formula>
    </cfRule>
    <cfRule type="cellIs" dxfId="0" priority="2520" operator="equal">
      <formula>"未完成"</formula>
    </cfRule>
  </conditionalFormatting>
  <conditionalFormatting sqref="AI197:AJ197">
    <cfRule type="cellIs" dxfId="1" priority="2451" operator="equal">
      <formula>"未完成"</formula>
    </cfRule>
    <cfRule type="cellIs" dxfId="0" priority="2474" operator="equal">
      <formula>"未完成"</formula>
    </cfRule>
  </conditionalFormatting>
  <conditionalFormatting sqref="AK197">
    <cfRule type="cellIs" dxfId="1" priority="2658" operator="equal">
      <formula>"未完成"</formula>
    </cfRule>
    <cfRule type="cellIs" dxfId="0" priority="2681" operator="equal">
      <formula>"未完成"</formula>
    </cfRule>
  </conditionalFormatting>
  <conditionalFormatting sqref="AL197">
    <cfRule type="cellIs" dxfId="1" priority="2612" operator="equal">
      <formula>"未完成"</formula>
    </cfRule>
    <cfRule type="cellIs" dxfId="0" priority="2635" operator="equal">
      <formula>"未完成"</formula>
    </cfRule>
  </conditionalFormatting>
  <conditionalFormatting sqref="AO197">
    <cfRule type="cellIs" dxfId="1" priority="2566" operator="equal">
      <formula>"未完成"</formula>
    </cfRule>
    <cfRule type="cellIs" dxfId="0" priority="2589" operator="equal">
      <formula>"未完成"</formula>
    </cfRule>
  </conditionalFormatting>
  <conditionalFormatting sqref="AT197">
    <cfRule type="cellIs" dxfId="1" priority="2359" operator="equal">
      <formula>"未完成"</formula>
    </cfRule>
    <cfRule type="cellIs" dxfId="0" priority="2382" operator="equal">
      <formula>"未完成"</formula>
    </cfRule>
  </conditionalFormatting>
  <conditionalFormatting sqref="R198">
    <cfRule type="cellIs" dxfId="0" priority="2542" operator="equal">
      <formula>"欠"</formula>
    </cfRule>
  </conditionalFormatting>
  <conditionalFormatting sqref="S198">
    <cfRule type="cellIs" dxfId="0" priority="2335" operator="equal">
      <formula>"欠"</formula>
    </cfRule>
  </conditionalFormatting>
  <conditionalFormatting sqref="T198:U198">
    <cfRule type="containsText" dxfId="0" priority="2289" operator="between" text="欠">
      <formula>NOT(ISERROR(SEARCH("欠",T198)))</formula>
    </cfRule>
    <cfRule type="cellIs" dxfId="0" priority="2312" operator="equal">
      <formula>"欠"</formula>
    </cfRule>
  </conditionalFormatting>
  <conditionalFormatting sqref="AE198">
    <cfRule type="cellIs" dxfId="0" priority="2404" operator="equal">
      <formula>"未完成"</formula>
    </cfRule>
    <cfRule type="cellIs" dxfId="1" priority="2427" operator="equal">
      <formula>"未完成"</formula>
    </cfRule>
  </conditionalFormatting>
  <conditionalFormatting sqref="AF198">
    <cfRule type="cellIs" dxfId="1" priority="2243" operator="equal">
      <formula>"未完成"</formula>
    </cfRule>
    <cfRule type="cellIs" dxfId="0" priority="2266" operator="equal">
      <formula>"未完成"</formula>
    </cfRule>
  </conditionalFormatting>
  <conditionalFormatting sqref="AG198">
    <cfRule type="cellIs" dxfId="1" priority="2703" operator="equal">
      <formula>"未完成"</formula>
    </cfRule>
    <cfRule type="cellIs" dxfId="0" priority="2726" operator="equal">
      <formula>"未完成"</formula>
    </cfRule>
  </conditionalFormatting>
  <conditionalFormatting sqref="AH198">
    <cfRule type="cellIs" dxfId="1" priority="2496" operator="equal">
      <formula>"未完成"</formula>
    </cfRule>
    <cfRule type="cellIs" dxfId="0" priority="2519" operator="equal">
      <formula>"未完成"</formula>
    </cfRule>
  </conditionalFormatting>
  <conditionalFormatting sqref="AI198:AJ198">
    <cfRule type="cellIs" dxfId="1" priority="2450" operator="equal">
      <formula>"未完成"</formula>
    </cfRule>
    <cfRule type="cellIs" dxfId="0" priority="2473" operator="equal">
      <formula>"未完成"</formula>
    </cfRule>
  </conditionalFormatting>
  <conditionalFormatting sqref="AK198">
    <cfRule type="cellIs" dxfId="1" priority="2657" operator="equal">
      <formula>"未完成"</formula>
    </cfRule>
    <cfRule type="cellIs" dxfId="0" priority="2680" operator="equal">
      <formula>"未完成"</formula>
    </cfRule>
  </conditionalFormatting>
  <conditionalFormatting sqref="AL198">
    <cfRule type="cellIs" dxfId="1" priority="2611" operator="equal">
      <formula>"未完成"</formula>
    </cfRule>
    <cfRule type="cellIs" dxfId="0" priority="2634" operator="equal">
      <formula>"未完成"</formula>
    </cfRule>
  </conditionalFormatting>
  <conditionalFormatting sqref="AO198">
    <cfRule type="cellIs" dxfId="1" priority="2565" operator="equal">
      <formula>"未完成"</formula>
    </cfRule>
    <cfRule type="cellIs" dxfId="0" priority="2588" operator="equal">
      <formula>"未完成"</formula>
    </cfRule>
  </conditionalFormatting>
  <conditionalFormatting sqref="AT198">
    <cfRule type="cellIs" dxfId="1" priority="2358" operator="equal">
      <formula>"未完成"</formula>
    </cfRule>
    <cfRule type="cellIs" dxfId="0" priority="2381" operator="equal">
      <formula>"未完成"</formula>
    </cfRule>
  </conditionalFormatting>
  <conditionalFormatting sqref="R199">
    <cfRule type="cellIs" dxfId="0" priority="2541" operator="equal">
      <formula>"欠"</formula>
    </cfRule>
  </conditionalFormatting>
  <conditionalFormatting sqref="S199">
    <cfRule type="cellIs" dxfId="0" priority="2334" operator="equal">
      <formula>"欠"</formula>
    </cfRule>
  </conditionalFormatting>
  <conditionalFormatting sqref="T199:U199">
    <cfRule type="containsText" dxfId="0" priority="2288" operator="between" text="欠">
      <formula>NOT(ISERROR(SEARCH("欠",T199)))</formula>
    </cfRule>
    <cfRule type="cellIs" dxfId="0" priority="2311" operator="equal">
      <formula>"欠"</formula>
    </cfRule>
  </conditionalFormatting>
  <conditionalFormatting sqref="AE199">
    <cfRule type="cellIs" dxfId="0" priority="2403" operator="equal">
      <formula>"未完成"</formula>
    </cfRule>
    <cfRule type="cellIs" dxfId="1" priority="2426" operator="equal">
      <formula>"未完成"</formula>
    </cfRule>
  </conditionalFormatting>
  <conditionalFormatting sqref="AF199">
    <cfRule type="cellIs" dxfId="1" priority="2242" operator="equal">
      <formula>"未完成"</formula>
    </cfRule>
    <cfRule type="cellIs" dxfId="0" priority="2265" operator="equal">
      <formula>"未完成"</formula>
    </cfRule>
  </conditionalFormatting>
  <conditionalFormatting sqref="AG199">
    <cfRule type="cellIs" dxfId="1" priority="2702" operator="equal">
      <formula>"未完成"</formula>
    </cfRule>
    <cfRule type="cellIs" dxfId="0" priority="2725" operator="equal">
      <formula>"未完成"</formula>
    </cfRule>
  </conditionalFormatting>
  <conditionalFormatting sqref="AH199">
    <cfRule type="cellIs" dxfId="1" priority="2495" operator="equal">
      <formula>"未完成"</formula>
    </cfRule>
    <cfRule type="cellIs" dxfId="0" priority="2518" operator="equal">
      <formula>"未完成"</formula>
    </cfRule>
  </conditionalFormatting>
  <conditionalFormatting sqref="AI199:AJ199">
    <cfRule type="cellIs" dxfId="1" priority="2449" operator="equal">
      <formula>"未完成"</formula>
    </cfRule>
    <cfRule type="cellIs" dxfId="0" priority="2472" operator="equal">
      <formula>"未完成"</formula>
    </cfRule>
  </conditionalFormatting>
  <conditionalFormatting sqref="AK199">
    <cfRule type="cellIs" dxfId="1" priority="2656" operator="equal">
      <formula>"未完成"</formula>
    </cfRule>
    <cfRule type="cellIs" dxfId="0" priority="2679" operator="equal">
      <formula>"未完成"</formula>
    </cfRule>
  </conditionalFormatting>
  <conditionalFormatting sqref="AL199">
    <cfRule type="cellIs" dxfId="1" priority="2610" operator="equal">
      <formula>"未完成"</formula>
    </cfRule>
    <cfRule type="cellIs" dxfId="0" priority="2633" operator="equal">
      <formula>"未完成"</formula>
    </cfRule>
  </conditionalFormatting>
  <conditionalFormatting sqref="AO199">
    <cfRule type="cellIs" dxfId="1" priority="2564" operator="equal">
      <formula>"未完成"</formula>
    </cfRule>
    <cfRule type="cellIs" dxfId="0" priority="2587" operator="equal">
      <formula>"未完成"</formula>
    </cfRule>
  </conditionalFormatting>
  <conditionalFormatting sqref="AT199">
    <cfRule type="cellIs" dxfId="1" priority="2357" operator="equal">
      <formula>"未完成"</formula>
    </cfRule>
    <cfRule type="cellIs" dxfId="0" priority="2380" operator="equal">
      <formula>"未完成"</formula>
    </cfRule>
  </conditionalFormatting>
  <conditionalFormatting sqref="R200">
    <cfRule type="cellIs" dxfId="0" priority="2540" operator="equal">
      <formula>"欠"</formula>
    </cfRule>
  </conditionalFormatting>
  <conditionalFormatting sqref="S200">
    <cfRule type="cellIs" dxfId="0" priority="2333" operator="equal">
      <formula>"欠"</formula>
    </cfRule>
  </conditionalFormatting>
  <conditionalFormatting sqref="T200:U200">
    <cfRule type="containsText" dxfId="0" priority="2287" operator="between" text="欠">
      <formula>NOT(ISERROR(SEARCH("欠",T200)))</formula>
    </cfRule>
    <cfRule type="cellIs" dxfId="0" priority="2310" operator="equal">
      <formula>"欠"</formula>
    </cfRule>
  </conditionalFormatting>
  <conditionalFormatting sqref="AE200">
    <cfRule type="cellIs" dxfId="0" priority="2402" operator="equal">
      <formula>"未完成"</formula>
    </cfRule>
    <cfRule type="cellIs" dxfId="1" priority="2425" operator="equal">
      <formula>"未完成"</formula>
    </cfRule>
  </conditionalFormatting>
  <conditionalFormatting sqref="AF200">
    <cfRule type="cellIs" dxfId="1" priority="2241" operator="equal">
      <formula>"未完成"</formula>
    </cfRule>
    <cfRule type="cellIs" dxfId="0" priority="2264" operator="equal">
      <formula>"未完成"</formula>
    </cfRule>
  </conditionalFormatting>
  <conditionalFormatting sqref="AG200">
    <cfRule type="cellIs" dxfId="1" priority="2701" operator="equal">
      <formula>"未完成"</formula>
    </cfRule>
    <cfRule type="cellIs" dxfId="0" priority="2724" operator="equal">
      <formula>"未完成"</formula>
    </cfRule>
  </conditionalFormatting>
  <conditionalFormatting sqref="AH200">
    <cfRule type="cellIs" dxfId="1" priority="2494" operator="equal">
      <formula>"未完成"</formula>
    </cfRule>
    <cfRule type="cellIs" dxfId="0" priority="2517" operator="equal">
      <formula>"未完成"</formula>
    </cfRule>
  </conditionalFormatting>
  <conditionalFormatting sqref="AI200:AJ200">
    <cfRule type="cellIs" dxfId="1" priority="2448" operator="equal">
      <formula>"未完成"</formula>
    </cfRule>
    <cfRule type="cellIs" dxfId="0" priority="2471" operator="equal">
      <formula>"未完成"</formula>
    </cfRule>
  </conditionalFormatting>
  <conditionalFormatting sqref="AK200">
    <cfRule type="cellIs" dxfId="1" priority="2655" operator="equal">
      <formula>"未完成"</formula>
    </cfRule>
    <cfRule type="cellIs" dxfId="0" priority="2678" operator="equal">
      <formula>"未完成"</formula>
    </cfRule>
  </conditionalFormatting>
  <conditionalFormatting sqref="AL200">
    <cfRule type="cellIs" dxfId="1" priority="2609" operator="equal">
      <formula>"未完成"</formula>
    </cfRule>
    <cfRule type="cellIs" dxfId="0" priority="2632" operator="equal">
      <formula>"未完成"</formula>
    </cfRule>
  </conditionalFormatting>
  <conditionalFormatting sqref="AO200">
    <cfRule type="cellIs" dxfId="1" priority="2563" operator="equal">
      <formula>"未完成"</formula>
    </cfRule>
    <cfRule type="cellIs" dxfId="0" priority="2586" operator="equal">
      <formula>"未完成"</formula>
    </cfRule>
  </conditionalFormatting>
  <conditionalFormatting sqref="AT200">
    <cfRule type="cellIs" dxfId="1" priority="2356" operator="equal">
      <formula>"未完成"</formula>
    </cfRule>
    <cfRule type="cellIs" dxfId="0" priority="2379" operator="equal">
      <formula>"未完成"</formula>
    </cfRule>
  </conditionalFormatting>
  <conditionalFormatting sqref="R201">
    <cfRule type="cellIs" dxfId="0" priority="2539" operator="equal">
      <formula>"欠"</formula>
    </cfRule>
  </conditionalFormatting>
  <conditionalFormatting sqref="S201">
    <cfRule type="cellIs" dxfId="0" priority="2332" operator="equal">
      <formula>"欠"</formula>
    </cfRule>
  </conditionalFormatting>
  <conditionalFormatting sqref="T201:U201">
    <cfRule type="containsText" dxfId="0" priority="2286" operator="between" text="欠">
      <formula>NOT(ISERROR(SEARCH("欠",T201)))</formula>
    </cfRule>
    <cfRule type="cellIs" dxfId="0" priority="2309" operator="equal">
      <formula>"欠"</formula>
    </cfRule>
  </conditionalFormatting>
  <conditionalFormatting sqref="AE201">
    <cfRule type="cellIs" dxfId="0" priority="2401" operator="equal">
      <formula>"未完成"</formula>
    </cfRule>
    <cfRule type="cellIs" dxfId="1" priority="2424" operator="equal">
      <formula>"未完成"</formula>
    </cfRule>
  </conditionalFormatting>
  <conditionalFormatting sqref="AF201">
    <cfRule type="cellIs" dxfId="1" priority="2240" operator="equal">
      <formula>"未完成"</formula>
    </cfRule>
    <cfRule type="cellIs" dxfId="0" priority="2263" operator="equal">
      <formula>"未完成"</formula>
    </cfRule>
  </conditionalFormatting>
  <conditionalFormatting sqref="AG201">
    <cfRule type="cellIs" dxfId="1" priority="2700" operator="equal">
      <formula>"未完成"</formula>
    </cfRule>
    <cfRule type="cellIs" dxfId="0" priority="2723" operator="equal">
      <formula>"未完成"</formula>
    </cfRule>
  </conditionalFormatting>
  <conditionalFormatting sqref="AH201">
    <cfRule type="cellIs" dxfId="1" priority="2493" operator="equal">
      <formula>"未完成"</formula>
    </cfRule>
    <cfRule type="cellIs" dxfId="0" priority="2516" operator="equal">
      <formula>"未完成"</formula>
    </cfRule>
  </conditionalFormatting>
  <conditionalFormatting sqref="AI201:AJ201">
    <cfRule type="cellIs" dxfId="1" priority="2447" operator="equal">
      <formula>"未完成"</formula>
    </cfRule>
    <cfRule type="cellIs" dxfId="0" priority="2470" operator="equal">
      <formula>"未完成"</formula>
    </cfRule>
  </conditionalFormatting>
  <conditionalFormatting sqref="AK201">
    <cfRule type="cellIs" dxfId="1" priority="2654" operator="equal">
      <formula>"未完成"</formula>
    </cfRule>
    <cfRule type="cellIs" dxfId="0" priority="2677" operator="equal">
      <formula>"未完成"</formula>
    </cfRule>
  </conditionalFormatting>
  <conditionalFormatting sqref="AL201">
    <cfRule type="cellIs" dxfId="1" priority="2608" operator="equal">
      <formula>"未完成"</formula>
    </cfRule>
    <cfRule type="cellIs" dxfId="0" priority="2631" operator="equal">
      <formula>"未完成"</formula>
    </cfRule>
  </conditionalFormatting>
  <conditionalFormatting sqref="AO201">
    <cfRule type="cellIs" dxfId="1" priority="2562" operator="equal">
      <formula>"未完成"</formula>
    </cfRule>
    <cfRule type="cellIs" dxfId="0" priority="2585" operator="equal">
      <formula>"未完成"</formula>
    </cfRule>
  </conditionalFormatting>
  <conditionalFormatting sqref="AT201">
    <cfRule type="cellIs" dxfId="1" priority="2355" operator="equal">
      <formula>"未完成"</formula>
    </cfRule>
    <cfRule type="cellIs" dxfId="0" priority="2378" operator="equal">
      <formula>"未完成"</formula>
    </cfRule>
  </conditionalFormatting>
  <conditionalFormatting sqref="R202">
    <cfRule type="cellIs" dxfId="0" priority="2538" operator="equal">
      <formula>"欠"</formula>
    </cfRule>
  </conditionalFormatting>
  <conditionalFormatting sqref="S202">
    <cfRule type="cellIs" dxfId="0" priority="2331" operator="equal">
      <formula>"欠"</formula>
    </cfRule>
  </conditionalFormatting>
  <conditionalFormatting sqref="T202:U202">
    <cfRule type="containsText" dxfId="0" priority="2285" operator="between" text="欠">
      <formula>NOT(ISERROR(SEARCH("欠",T202)))</formula>
    </cfRule>
    <cfRule type="cellIs" dxfId="0" priority="2308" operator="equal">
      <formula>"欠"</formula>
    </cfRule>
  </conditionalFormatting>
  <conditionalFormatting sqref="AE202">
    <cfRule type="cellIs" dxfId="0" priority="2400" operator="equal">
      <formula>"未完成"</formula>
    </cfRule>
    <cfRule type="cellIs" dxfId="1" priority="2423" operator="equal">
      <formula>"未完成"</formula>
    </cfRule>
  </conditionalFormatting>
  <conditionalFormatting sqref="AF202">
    <cfRule type="cellIs" dxfId="1" priority="2239" operator="equal">
      <formula>"未完成"</formula>
    </cfRule>
    <cfRule type="cellIs" dxfId="0" priority="2262" operator="equal">
      <formula>"未完成"</formula>
    </cfRule>
  </conditionalFormatting>
  <conditionalFormatting sqref="AG202">
    <cfRule type="cellIs" dxfId="1" priority="2699" operator="equal">
      <formula>"未完成"</formula>
    </cfRule>
    <cfRule type="cellIs" dxfId="0" priority="2722" operator="equal">
      <formula>"未完成"</formula>
    </cfRule>
  </conditionalFormatting>
  <conditionalFormatting sqref="AH202">
    <cfRule type="cellIs" dxfId="1" priority="2492" operator="equal">
      <formula>"未完成"</formula>
    </cfRule>
    <cfRule type="cellIs" dxfId="0" priority="2515" operator="equal">
      <formula>"未完成"</formula>
    </cfRule>
  </conditionalFormatting>
  <conditionalFormatting sqref="AI202:AJ202">
    <cfRule type="cellIs" dxfId="1" priority="2446" operator="equal">
      <formula>"未完成"</formula>
    </cfRule>
    <cfRule type="cellIs" dxfId="0" priority="2469" operator="equal">
      <formula>"未完成"</formula>
    </cfRule>
  </conditionalFormatting>
  <conditionalFormatting sqref="AK202">
    <cfRule type="cellIs" dxfId="1" priority="2653" operator="equal">
      <formula>"未完成"</formula>
    </cfRule>
    <cfRule type="cellIs" dxfId="0" priority="2676" operator="equal">
      <formula>"未完成"</formula>
    </cfRule>
  </conditionalFormatting>
  <conditionalFormatting sqref="AL202">
    <cfRule type="cellIs" dxfId="1" priority="2607" operator="equal">
      <formula>"未完成"</formula>
    </cfRule>
    <cfRule type="cellIs" dxfId="0" priority="2630" operator="equal">
      <formula>"未完成"</formula>
    </cfRule>
  </conditionalFormatting>
  <conditionalFormatting sqref="AO202">
    <cfRule type="cellIs" dxfId="1" priority="2561" operator="equal">
      <formula>"未完成"</formula>
    </cfRule>
    <cfRule type="cellIs" dxfId="0" priority="2584" operator="equal">
      <formula>"未完成"</formula>
    </cfRule>
  </conditionalFormatting>
  <conditionalFormatting sqref="AT202">
    <cfRule type="cellIs" dxfId="1" priority="2354" operator="equal">
      <formula>"未完成"</formula>
    </cfRule>
    <cfRule type="cellIs" dxfId="0" priority="2377" operator="equal">
      <formula>"未完成"</formula>
    </cfRule>
  </conditionalFormatting>
  <conditionalFormatting sqref="R203">
    <cfRule type="cellIs" dxfId="0" priority="2537" operator="equal">
      <formula>"欠"</formula>
    </cfRule>
  </conditionalFormatting>
  <conditionalFormatting sqref="S203">
    <cfRule type="cellIs" dxfId="0" priority="2330" operator="equal">
      <formula>"欠"</formula>
    </cfRule>
  </conditionalFormatting>
  <conditionalFormatting sqref="T203:U203">
    <cfRule type="containsText" dxfId="0" priority="2284" operator="between" text="欠">
      <formula>NOT(ISERROR(SEARCH("欠",T203)))</formula>
    </cfRule>
    <cfRule type="cellIs" dxfId="0" priority="2307" operator="equal">
      <formula>"欠"</formula>
    </cfRule>
  </conditionalFormatting>
  <conditionalFormatting sqref="AE203">
    <cfRule type="cellIs" dxfId="0" priority="2399" operator="equal">
      <formula>"未完成"</formula>
    </cfRule>
    <cfRule type="cellIs" dxfId="1" priority="2422" operator="equal">
      <formula>"未完成"</formula>
    </cfRule>
  </conditionalFormatting>
  <conditionalFormatting sqref="AF203">
    <cfRule type="cellIs" dxfId="1" priority="2238" operator="equal">
      <formula>"未完成"</formula>
    </cfRule>
    <cfRule type="cellIs" dxfId="0" priority="2261" operator="equal">
      <formula>"未完成"</formula>
    </cfRule>
  </conditionalFormatting>
  <conditionalFormatting sqref="AG203">
    <cfRule type="cellIs" dxfId="1" priority="2698" operator="equal">
      <formula>"未完成"</formula>
    </cfRule>
    <cfRule type="cellIs" dxfId="0" priority="2721" operator="equal">
      <formula>"未完成"</formula>
    </cfRule>
  </conditionalFormatting>
  <conditionalFormatting sqref="AH203">
    <cfRule type="cellIs" dxfId="1" priority="2491" operator="equal">
      <formula>"未完成"</formula>
    </cfRule>
    <cfRule type="cellIs" dxfId="0" priority="2514" operator="equal">
      <formula>"未完成"</formula>
    </cfRule>
  </conditionalFormatting>
  <conditionalFormatting sqref="AI203:AJ203">
    <cfRule type="cellIs" dxfId="1" priority="2445" operator="equal">
      <formula>"未完成"</formula>
    </cfRule>
    <cfRule type="cellIs" dxfId="0" priority="2468" operator="equal">
      <formula>"未完成"</formula>
    </cfRule>
  </conditionalFormatting>
  <conditionalFormatting sqref="AK203">
    <cfRule type="cellIs" dxfId="1" priority="2652" operator="equal">
      <formula>"未完成"</formula>
    </cfRule>
    <cfRule type="cellIs" dxfId="0" priority="2675" operator="equal">
      <formula>"未完成"</formula>
    </cfRule>
  </conditionalFormatting>
  <conditionalFormatting sqref="AL203">
    <cfRule type="cellIs" dxfId="1" priority="2606" operator="equal">
      <formula>"未完成"</formula>
    </cfRule>
    <cfRule type="cellIs" dxfId="0" priority="2629" operator="equal">
      <formula>"未完成"</formula>
    </cfRule>
  </conditionalFormatting>
  <conditionalFormatting sqref="AO203">
    <cfRule type="cellIs" dxfId="1" priority="2560" operator="equal">
      <formula>"未完成"</formula>
    </cfRule>
    <cfRule type="cellIs" dxfId="0" priority="2583" operator="equal">
      <formula>"未完成"</formula>
    </cfRule>
  </conditionalFormatting>
  <conditionalFormatting sqref="AT203">
    <cfRule type="cellIs" dxfId="1" priority="2353" operator="equal">
      <formula>"未完成"</formula>
    </cfRule>
    <cfRule type="cellIs" dxfId="0" priority="2376" operator="equal">
      <formula>"未完成"</formula>
    </cfRule>
  </conditionalFormatting>
  <conditionalFormatting sqref="R204">
    <cfRule type="cellIs" dxfId="0" priority="2536" operator="equal">
      <formula>"欠"</formula>
    </cfRule>
  </conditionalFormatting>
  <conditionalFormatting sqref="S204">
    <cfRule type="cellIs" dxfId="0" priority="2329" operator="equal">
      <formula>"欠"</formula>
    </cfRule>
  </conditionalFormatting>
  <conditionalFormatting sqref="T204:U204">
    <cfRule type="containsText" dxfId="0" priority="2283" operator="between" text="欠">
      <formula>NOT(ISERROR(SEARCH("欠",T204)))</formula>
    </cfRule>
    <cfRule type="cellIs" dxfId="0" priority="2306" operator="equal">
      <formula>"欠"</formula>
    </cfRule>
  </conditionalFormatting>
  <conditionalFormatting sqref="AE204">
    <cfRule type="cellIs" dxfId="0" priority="2398" operator="equal">
      <formula>"未完成"</formula>
    </cfRule>
    <cfRule type="cellIs" dxfId="1" priority="2421" operator="equal">
      <formula>"未完成"</formula>
    </cfRule>
  </conditionalFormatting>
  <conditionalFormatting sqref="AF204">
    <cfRule type="cellIs" dxfId="1" priority="2237" operator="equal">
      <formula>"未完成"</formula>
    </cfRule>
    <cfRule type="cellIs" dxfId="0" priority="2260" operator="equal">
      <formula>"未完成"</formula>
    </cfRule>
  </conditionalFormatting>
  <conditionalFormatting sqref="AG204">
    <cfRule type="cellIs" dxfId="1" priority="2697" operator="equal">
      <formula>"未完成"</formula>
    </cfRule>
    <cfRule type="cellIs" dxfId="0" priority="2720" operator="equal">
      <formula>"未完成"</formula>
    </cfRule>
  </conditionalFormatting>
  <conditionalFormatting sqref="AH204">
    <cfRule type="cellIs" dxfId="1" priority="2490" operator="equal">
      <formula>"未完成"</formula>
    </cfRule>
    <cfRule type="cellIs" dxfId="0" priority="2513" operator="equal">
      <formula>"未完成"</formula>
    </cfRule>
  </conditionalFormatting>
  <conditionalFormatting sqref="AI204:AJ204">
    <cfRule type="cellIs" dxfId="1" priority="2444" operator="equal">
      <formula>"未完成"</formula>
    </cfRule>
    <cfRule type="cellIs" dxfId="0" priority="2467" operator="equal">
      <formula>"未完成"</formula>
    </cfRule>
  </conditionalFormatting>
  <conditionalFormatting sqref="AL204">
    <cfRule type="cellIs" dxfId="1" priority="2605" operator="equal">
      <formula>"未完成"</formula>
    </cfRule>
    <cfRule type="cellIs" dxfId="0" priority="2628" operator="equal">
      <formula>"未完成"</formula>
    </cfRule>
  </conditionalFormatting>
  <conditionalFormatting sqref="AT204">
    <cfRule type="cellIs" dxfId="1" priority="2352" operator="equal">
      <formula>"未完成"</formula>
    </cfRule>
    <cfRule type="cellIs" dxfId="0" priority="2375" operator="equal">
      <formula>"未完成"</formula>
    </cfRule>
  </conditionalFormatting>
  <conditionalFormatting sqref="R205">
    <cfRule type="cellIs" dxfId="0" priority="2535" operator="equal">
      <formula>"欠"</formula>
    </cfRule>
  </conditionalFormatting>
  <conditionalFormatting sqref="S205">
    <cfRule type="cellIs" dxfId="0" priority="2328" operator="equal">
      <formula>"欠"</formula>
    </cfRule>
  </conditionalFormatting>
  <conditionalFormatting sqref="T205:U205">
    <cfRule type="containsText" dxfId="0" priority="2282" operator="between" text="欠">
      <formula>NOT(ISERROR(SEARCH("欠",T205)))</formula>
    </cfRule>
    <cfRule type="cellIs" dxfId="0" priority="2305" operator="equal">
      <formula>"欠"</formula>
    </cfRule>
  </conditionalFormatting>
  <conditionalFormatting sqref="AE205">
    <cfRule type="cellIs" dxfId="0" priority="2397" operator="equal">
      <formula>"未完成"</formula>
    </cfRule>
    <cfRule type="cellIs" dxfId="1" priority="2420" operator="equal">
      <formula>"未完成"</formula>
    </cfRule>
  </conditionalFormatting>
  <conditionalFormatting sqref="AF205">
    <cfRule type="cellIs" dxfId="1" priority="2236" operator="equal">
      <formula>"未完成"</formula>
    </cfRule>
    <cfRule type="cellIs" dxfId="0" priority="2259" operator="equal">
      <formula>"未完成"</formula>
    </cfRule>
  </conditionalFormatting>
  <conditionalFormatting sqref="AG205">
    <cfRule type="cellIs" dxfId="1" priority="2696" operator="equal">
      <formula>"未完成"</formula>
    </cfRule>
    <cfRule type="cellIs" dxfId="0" priority="2719" operator="equal">
      <formula>"未完成"</formula>
    </cfRule>
  </conditionalFormatting>
  <conditionalFormatting sqref="AH205">
    <cfRule type="cellIs" dxfId="1" priority="2489" operator="equal">
      <formula>"未完成"</formula>
    </cfRule>
    <cfRule type="cellIs" dxfId="0" priority="2512" operator="equal">
      <formula>"未完成"</formula>
    </cfRule>
  </conditionalFormatting>
  <conditionalFormatting sqref="AI205:AJ205">
    <cfRule type="cellIs" dxfId="1" priority="2443" operator="equal">
      <formula>"未完成"</formula>
    </cfRule>
    <cfRule type="cellIs" dxfId="0" priority="2466" operator="equal">
      <formula>"未完成"</formula>
    </cfRule>
  </conditionalFormatting>
  <conditionalFormatting sqref="AK205">
    <cfRule type="cellIs" dxfId="1" priority="2650" operator="equal">
      <formula>"未完成"</formula>
    </cfRule>
    <cfRule type="cellIs" dxfId="0" priority="2673" operator="equal">
      <formula>"未完成"</formula>
    </cfRule>
  </conditionalFormatting>
  <conditionalFormatting sqref="AL205">
    <cfRule type="cellIs" dxfId="1" priority="2604" operator="equal">
      <formula>"未完成"</formula>
    </cfRule>
    <cfRule type="cellIs" dxfId="0" priority="2627" operator="equal">
      <formula>"未完成"</formula>
    </cfRule>
  </conditionalFormatting>
  <conditionalFormatting sqref="AO205">
    <cfRule type="cellIs" dxfId="1" priority="2558" operator="equal">
      <formula>"未完成"</formula>
    </cfRule>
    <cfRule type="cellIs" dxfId="0" priority="2581" operator="equal">
      <formula>"未完成"</formula>
    </cfRule>
  </conditionalFormatting>
  <conditionalFormatting sqref="AT205">
    <cfRule type="cellIs" dxfId="1" priority="2351" operator="equal">
      <formula>"未完成"</formula>
    </cfRule>
    <cfRule type="cellIs" dxfId="0" priority="2374" operator="equal">
      <formula>"未完成"</formula>
    </cfRule>
  </conditionalFormatting>
  <conditionalFormatting sqref="R206">
    <cfRule type="cellIs" dxfId="0" priority="2534" operator="equal">
      <formula>"欠"</formula>
    </cfRule>
  </conditionalFormatting>
  <conditionalFormatting sqref="S206">
    <cfRule type="cellIs" dxfId="0" priority="2327" operator="equal">
      <formula>"欠"</formula>
    </cfRule>
  </conditionalFormatting>
  <conditionalFormatting sqref="T206:U206">
    <cfRule type="containsText" dxfId="0" priority="2281" operator="between" text="欠">
      <formula>NOT(ISERROR(SEARCH("欠",T206)))</formula>
    </cfRule>
    <cfRule type="cellIs" dxfId="0" priority="2304" operator="equal">
      <formula>"欠"</formula>
    </cfRule>
  </conditionalFormatting>
  <conditionalFormatting sqref="AE206">
    <cfRule type="cellIs" dxfId="0" priority="2396" operator="equal">
      <formula>"未完成"</formula>
    </cfRule>
    <cfRule type="cellIs" dxfId="1" priority="2419" operator="equal">
      <formula>"未完成"</formula>
    </cfRule>
  </conditionalFormatting>
  <conditionalFormatting sqref="AF206">
    <cfRule type="cellIs" dxfId="1" priority="2235" operator="equal">
      <formula>"未完成"</formula>
    </cfRule>
    <cfRule type="cellIs" dxfId="0" priority="2258" operator="equal">
      <formula>"未完成"</formula>
    </cfRule>
  </conditionalFormatting>
  <conditionalFormatting sqref="AG206">
    <cfRule type="cellIs" dxfId="1" priority="2695" operator="equal">
      <formula>"未完成"</formula>
    </cfRule>
    <cfRule type="cellIs" dxfId="0" priority="2718" operator="equal">
      <formula>"未完成"</formula>
    </cfRule>
  </conditionalFormatting>
  <conditionalFormatting sqref="AH206">
    <cfRule type="cellIs" dxfId="1" priority="2488" operator="equal">
      <formula>"未完成"</formula>
    </cfRule>
    <cfRule type="cellIs" dxfId="0" priority="2511" operator="equal">
      <formula>"未完成"</formula>
    </cfRule>
  </conditionalFormatting>
  <conditionalFormatting sqref="AI206:AJ206">
    <cfRule type="cellIs" dxfId="1" priority="2442" operator="equal">
      <formula>"未完成"</formula>
    </cfRule>
    <cfRule type="cellIs" dxfId="0" priority="2465" operator="equal">
      <formula>"未完成"</formula>
    </cfRule>
  </conditionalFormatting>
  <conditionalFormatting sqref="AK206">
    <cfRule type="cellIs" dxfId="1" priority="2649" operator="equal">
      <formula>"未完成"</formula>
    </cfRule>
    <cfRule type="cellIs" dxfId="0" priority="2672" operator="equal">
      <formula>"未完成"</formula>
    </cfRule>
  </conditionalFormatting>
  <conditionalFormatting sqref="AL206">
    <cfRule type="cellIs" dxfId="1" priority="2603" operator="equal">
      <formula>"未完成"</formula>
    </cfRule>
    <cfRule type="cellIs" dxfId="0" priority="2626" operator="equal">
      <formula>"未完成"</formula>
    </cfRule>
  </conditionalFormatting>
  <conditionalFormatting sqref="AO206">
    <cfRule type="cellIs" dxfId="1" priority="2557" operator="equal">
      <formula>"未完成"</formula>
    </cfRule>
    <cfRule type="cellIs" dxfId="0" priority="2580" operator="equal">
      <formula>"未完成"</formula>
    </cfRule>
  </conditionalFormatting>
  <conditionalFormatting sqref="AT206">
    <cfRule type="cellIs" dxfId="1" priority="2350" operator="equal">
      <formula>"未完成"</formula>
    </cfRule>
    <cfRule type="cellIs" dxfId="0" priority="2373" operator="equal">
      <formula>"未完成"</formula>
    </cfRule>
  </conditionalFormatting>
  <conditionalFormatting sqref="R207">
    <cfRule type="cellIs" dxfId="0" priority="2533" operator="equal">
      <formula>"欠"</formula>
    </cfRule>
  </conditionalFormatting>
  <conditionalFormatting sqref="S207">
    <cfRule type="cellIs" dxfId="0" priority="2326" operator="equal">
      <formula>"欠"</formula>
    </cfRule>
  </conditionalFormatting>
  <conditionalFormatting sqref="T207:U207">
    <cfRule type="containsText" dxfId="0" priority="2280" operator="between" text="欠">
      <formula>NOT(ISERROR(SEARCH("欠",T207)))</formula>
    </cfRule>
    <cfRule type="cellIs" dxfId="0" priority="2303" operator="equal">
      <formula>"欠"</formula>
    </cfRule>
  </conditionalFormatting>
  <conditionalFormatting sqref="AE207">
    <cfRule type="cellIs" dxfId="0" priority="2395" operator="equal">
      <formula>"未完成"</formula>
    </cfRule>
    <cfRule type="cellIs" dxfId="1" priority="2418" operator="equal">
      <formula>"未完成"</formula>
    </cfRule>
  </conditionalFormatting>
  <conditionalFormatting sqref="AF207">
    <cfRule type="cellIs" dxfId="1" priority="2234" operator="equal">
      <formula>"未完成"</formula>
    </cfRule>
    <cfRule type="cellIs" dxfId="0" priority="2257" operator="equal">
      <formula>"未完成"</formula>
    </cfRule>
  </conditionalFormatting>
  <conditionalFormatting sqref="AG207">
    <cfRule type="cellIs" dxfId="1" priority="2694" operator="equal">
      <formula>"未完成"</formula>
    </cfRule>
    <cfRule type="cellIs" dxfId="0" priority="2717" operator="equal">
      <formula>"未完成"</formula>
    </cfRule>
  </conditionalFormatting>
  <conditionalFormatting sqref="AH207">
    <cfRule type="cellIs" dxfId="1" priority="2487" operator="equal">
      <formula>"未完成"</formula>
    </cfRule>
    <cfRule type="cellIs" dxfId="0" priority="2510" operator="equal">
      <formula>"未完成"</formula>
    </cfRule>
  </conditionalFormatting>
  <conditionalFormatting sqref="AI207:AJ207">
    <cfRule type="cellIs" dxfId="1" priority="2441" operator="equal">
      <formula>"未完成"</formula>
    </cfRule>
    <cfRule type="cellIs" dxfId="0" priority="2464" operator="equal">
      <formula>"未完成"</formula>
    </cfRule>
  </conditionalFormatting>
  <conditionalFormatting sqref="AK207">
    <cfRule type="cellIs" dxfId="1" priority="2648" operator="equal">
      <formula>"未完成"</formula>
    </cfRule>
    <cfRule type="cellIs" dxfId="0" priority="2671" operator="equal">
      <formula>"未完成"</formula>
    </cfRule>
  </conditionalFormatting>
  <conditionalFormatting sqref="AL207">
    <cfRule type="cellIs" dxfId="1" priority="2602" operator="equal">
      <formula>"未完成"</formula>
    </cfRule>
    <cfRule type="cellIs" dxfId="0" priority="2625" operator="equal">
      <formula>"未完成"</formula>
    </cfRule>
  </conditionalFormatting>
  <conditionalFormatting sqref="AO207">
    <cfRule type="cellIs" dxfId="1" priority="2556" operator="equal">
      <formula>"未完成"</formula>
    </cfRule>
    <cfRule type="cellIs" dxfId="0" priority="2579" operator="equal">
      <formula>"未完成"</formula>
    </cfRule>
  </conditionalFormatting>
  <conditionalFormatting sqref="AT207">
    <cfRule type="cellIs" dxfId="1" priority="2349" operator="equal">
      <formula>"未完成"</formula>
    </cfRule>
    <cfRule type="cellIs" dxfId="0" priority="2372" operator="equal">
      <formula>"未完成"</formula>
    </cfRule>
  </conditionalFormatting>
  <conditionalFormatting sqref="R208">
    <cfRule type="cellIs" dxfId="0" priority="2061" operator="equal">
      <formula>"欠"</formula>
    </cfRule>
  </conditionalFormatting>
  <conditionalFormatting sqref="S208">
    <cfRule type="cellIs" dxfId="0" priority="1908" operator="equal">
      <formula>"欠"</formula>
    </cfRule>
  </conditionalFormatting>
  <conditionalFormatting sqref="T208:U208">
    <cfRule type="containsText" dxfId="0" priority="1874" operator="between" text="欠">
      <formula>NOT(ISERROR(SEARCH("欠",T208)))</formula>
    </cfRule>
    <cfRule type="cellIs" dxfId="0" priority="1891" operator="equal">
      <formula>"欠"</formula>
    </cfRule>
  </conditionalFormatting>
  <conditionalFormatting sqref="AE208">
    <cfRule type="cellIs" dxfId="0" priority="1959" operator="equal">
      <formula>"未完成"</formula>
    </cfRule>
    <cfRule type="cellIs" dxfId="1" priority="1976" operator="equal">
      <formula>"未完成"</formula>
    </cfRule>
  </conditionalFormatting>
  <conditionalFormatting sqref="AF208">
    <cfRule type="cellIs" dxfId="1" priority="1840" operator="equal">
      <formula>"未完成"</formula>
    </cfRule>
    <cfRule type="cellIs" dxfId="0" priority="1857" operator="equal">
      <formula>"未完成"</formula>
    </cfRule>
  </conditionalFormatting>
  <conditionalFormatting sqref="AG208">
    <cfRule type="cellIs" dxfId="1" priority="2180" operator="equal">
      <formula>"未完成"</formula>
    </cfRule>
    <cfRule type="cellIs" dxfId="0" priority="2197" operator="equal">
      <formula>"未完成"</formula>
    </cfRule>
  </conditionalFormatting>
  <conditionalFormatting sqref="AH208">
    <cfRule type="cellIs" dxfId="1" priority="2027" operator="equal">
      <formula>"未完成"</formula>
    </cfRule>
    <cfRule type="cellIs" dxfId="0" priority="2044" operator="equal">
      <formula>"未完成"</formula>
    </cfRule>
  </conditionalFormatting>
  <conditionalFormatting sqref="AI208:AJ208">
    <cfRule type="cellIs" dxfId="1" priority="1993" operator="equal">
      <formula>"未完成"</formula>
    </cfRule>
    <cfRule type="cellIs" dxfId="0" priority="2010" operator="equal">
      <formula>"未完成"</formula>
    </cfRule>
  </conditionalFormatting>
  <conditionalFormatting sqref="AK208">
    <cfRule type="cellIs" dxfId="1" priority="2146" operator="equal">
      <formula>"未完成"</formula>
    </cfRule>
    <cfRule type="cellIs" dxfId="0" priority="2163" operator="equal">
      <formula>"未完成"</formula>
    </cfRule>
  </conditionalFormatting>
  <conditionalFormatting sqref="AL208">
    <cfRule type="cellIs" dxfId="1" priority="2112" operator="equal">
      <formula>"未完成"</formula>
    </cfRule>
    <cfRule type="cellIs" dxfId="0" priority="2129" operator="equal">
      <formula>"未完成"</formula>
    </cfRule>
  </conditionalFormatting>
  <conditionalFormatting sqref="AO208">
    <cfRule type="cellIs" dxfId="1" priority="2078" operator="equal">
      <formula>"未完成"</formula>
    </cfRule>
    <cfRule type="cellIs" dxfId="0" priority="2095" operator="equal">
      <formula>"未完成"</formula>
    </cfRule>
  </conditionalFormatting>
  <conditionalFormatting sqref="AT208">
    <cfRule type="cellIs" dxfId="1" priority="1925" operator="equal">
      <formula>"未完成"</formula>
    </cfRule>
    <cfRule type="cellIs" dxfId="0" priority="1942" operator="equal">
      <formula>"未完成"</formula>
    </cfRule>
  </conditionalFormatting>
  <conditionalFormatting sqref="R209">
    <cfRule type="cellIs" dxfId="0" priority="2060" operator="equal">
      <formula>"欠"</formula>
    </cfRule>
  </conditionalFormatting>
  <conditionalFormatting sqref="S209">
    <cfRule type="cellIs" dxfId="0" priority="1907" operator="equal">
      <formula>"欠"</formula>
    </cfRule>
  </conditionalFormatting>
  <conditionalFormatting sqref="T209:U209">
    <cfRule type="containsText" dxfId="0" priority="1873" operator="between" text="欠">
      <formula>NOT(ISERROR(SEARCH("欠",T209)))</formula>
    </cfRule>
    <cfRule type="cellIs" dxfId="0" priority="1890" operator="equal">
      <formula>"欠"</formula>
    </cfRule>
  </conditionalFormatting>
  <conditionalFormatting sqref="AE209">
    <cfRule type="cellIs" dxfId="0" priority="1958" operator="equal">
      <formula>"未完成"</formula>
    </cfRule>
    <cfRule type="cellIs" dxfId="1" priority="1975" operator="equal">
      <formula>"未完成"</formula>
    </cfRule>
  </conditionalFormatting>
  <conditionalFormatting sqref="AF209">
    <cfRule type="cellIs" dxfId="1" priority="1839" operator="equal">
      <formula>"未完成"</formula>
    </cfRule>
    <cfRule type="cellIs" dxfId="0" priority="1856" operator="equal">
      <formula>"未完成"</formula>
    </cfRule>
  </conditionalFormatting>
  <conditionalFormatting sqref="AG209">
    <cfRule type="cellIs" dxfId="1" priority="2179" operator="equal">
      <formula>"未完成"</formula>
    </cfRule>
    <cfRule type="cellIs" dxfId="0" priority="2196" operator="equal">
      <formula>"未完成"</formula>
    </cfRule>
  </conditionalFormatting>
  <conditionalFormatting sqref="AH209">
    <cfRule type="cellIs" dxfId="1" priority="2026" operator="equal">
      <formula>"未完成"</formula>
    </cfRule>
    <cfRule type="cellIs" dxfId="0" priority="2043" operator="equal">
      <formula>"未完成"</formula>
    </cfRule>
  </conditionalFormatting>
  <conditionalFormatting sqref="AI209:AJ209">
    <cfRule type="cellIs" dxfId="1" priority="1992" operator="equal">
      <formula>"未完成"</formula>
    </cfRule>
    <cfRule type="cellIs" dxfId="0" priority="2009" operator="equal">
      <formula>"未完成"</formula>
    </cfRule>
  </conditionalFormatting>
  <conditionalFormatting sqref="AK209">
    <cfRule type="cellIs" dxfId="1" priority="2145" operator="equal">
      <formula>"未完成"</formula>
    </cfRule>
    <cfRule type="cellIs" dxfId="0" priority="2162" operator="equal">
      <formula>"未完成"</formula>
    </cfRule>
  </conditionalFormatting>
  <conditionalFormatting sqref="AL209">
    <cfRule type="cellIs" dxfId="1" priority="2111" operator="equal">
      <formula>"未完成"</formula>
    </cfRule>
    <cfRule type="cellIs" dxfId="0" priority="2128" operator="equal">
      <formula>"未完成"</formula>
    </cfRule>
  </conditionalFormatting>
  <conditionalFormatting sqref="AO209">
    <cfRule type="cellIs" dxfId="1" priority="2077" operator="equal">
      <formula>"未完成"</formula>
    </cfRule>
    <cfRule type="cellIs" dxfId="0" priority="2094" operator="equal">
      <formula>"未完成"</formula>
    </cfRule>
  </conditionalFormatting>
  <conditionalFormatting sqref="AT209">
    <cfRule type="cellIs" dxfId="1" priority="1924" operator="equal">
      <formula>"未完成"</formula>
    </cfRule>
    <cfRule type="cellIs" dxfId="0" priority="1941" operator="equal">
      <formula>"未完成"</formula>
    </cfRule>
  </conditionalFormatting>
  <conditionalFormatting sqref="R210">
    <cfRule type="cellIs" dxfId="0" priority="2059" operator="equal">
      <formula>"欠"</formula>
    </cfRule>
  </conditionalFormatting>
  <conditionalFormatting sqref="S210">
    <cfRule type="cellIs" dxfId="0" priority="1906" operator="equal">
      <formula>"欠"</formula>
    </cfRule>
  </conditionalFormatting>
  <conditionalFormatting sqref="T210:U210">
    <cfRule type="containsText" dxfId="0" priority="1872" operator="between" text="欠">
      <formula>NOT(ISERROR(SEARCH("欠",T210)))</formula>
    </cfRule>
    <cfRule type="cellIs" dxfId="0" priority="1889" operator="equal">
      <formula>"欠"</formula>
    </cfRule>
  </conditionalFormatting>
  <conditionalFormatting sqref="AE210">
    <cfRule type="cellIs" dxfId="0" priority="1957" operator="equal">
      <formula>"未完成"</formula>
    </cfRule>
    <cfRule type="cellIs" dxfId="1" priority="1974" operator="equal">
      <formula>"未完成"</formula>
    </cfRule>
  </conditionalFormatting>
  <conditionalFormatting sqref="AF210">
    <cfRule type="cellIs" dxfId="1" priority="1838" operator="equal">
      <formula>"未完成"</formula>
    </cfRule>
    <cfRule type="cellIs" dxfId="0" priority="1855" operator="equal">
      <formula>"未完成"</formula>
    </cfRule>
  </conditionalFormatting>
  <conditionalFormatting sqref="AG210">
    <cfRule type="cellIs" dxfId="1" priority="2178" operator="equal">
      <formula>"未完成"</formula>
    </cfRule>
    <cfRule type="cellIs" dxfId="0" priority="2195" operator="equal">
      <formula>"未完成"</formula>
    </cfRule>
  </conditionalFormatting>
  <conditionalFormatting sqref="AH210">
    <cfRule type="cellIs" dxfId="1" priority="2025" operator="equal">
      <formula>"未完成"</formula>
    </cfRule>
    <cfRule type="cellIs" dxfId="0" priority="2042" operator="equal">
      <formula>"未完成"</formula>
    </cfRule>
  </conditionalFormatting>
  <conditionalFormatting sqref="AI210:AJ210">
    <cfRule type="cellIs" dxfId="1" priority="1991" operator="equal">
      <formula>"未完成"</formula>
    </cfRule>
    <cfRule type="cellIs" dxfId="0" priority="2008" operator="equal">
      <formula>"未完成"</formula>
    </cfRule>
  </conditionalFormatting>
  <conditionalFormatting sqref="AK210">
    <cfRule type="cellIs" dxfId="1" priority="2144" operator="equal">
      <formula>"未完成"</formula>
    </cfRule>
    <cfRule type="cellIs" dxfId="0" priority="2161" operator="equal">
      <formula>"未完成"</formula>
    </cfRule>
  </conditionalFormatting>
  <conditionalFormatting sqref="AL210">
    <cfRule type="cellIs" dxfId="1" priority="2110" operator="equal">
      <formula>"未完成"</formula>
    </cfRule>
    <cfRule type="cellIs" dxfId="0" priority="2127" operator="equal">
      <formula>"未完成"</formula>
    </cfRule>
  </conditionalFormatting>
  <conditionalFormatting sqref="AO210">
    <cfRule type="cellIs" dxfId="1" priority="2076" operator="equal">
      <formula>"未完成"</formula>
    </cfRule>
    <cfRule type="cellIs" dxfId="0" priority="2093" operator="equal">
      <formula>"未完成"</formula>
    </cfRule>
  </conditionalFormatting>
  <conditionalFormatting sqref="AT210">
    <cfRule type="cellIs" dxfId="1" priority="1923" operator="equal">
      <formula>"未完成"</formula>
    </cfRule>
    <cfRule type="cellIs" dxfId="0" priority="1940" operator="equal">
      <formula>"未完成"</formula>
    </cfRule>
  </conditionalFormatting>
  <conditionalFormatting sqref="R211">
    <cfRule type="cellIs" dxfId="0" priority="2058" operator="equal">
      <formula>"欠"</formula>
    </cfRule>
  </conditionalFormatting>
  <conditionalFormatting sqref="S211">
    <cfRule type="cellIs" dxfId="0" priority="1905" operator="equal">
      <formula>"欠"</formula>
    </cfRule>
  </conditionalFormatting>
  <conditionalFormatting sqref="T211:U211">
    <cfRule type="containsText" dxfId="0" priority="1871" operator="between" text="欠">
      <formula>NOT(ISERROR(SEARCH("欠",T211)))</formula>
    </cfRule>
    <cfRule type="cellIs" dxfId="0" priority="1888" operator="equal">
      <formula>"欠"</formula>
    </cfRule>
  </conditionalFormatting>
  <conditionalFormatting sqref="AE211">
    <cfRule type="cellIs" dxfId="0" priority="1956" operator="equal">
      <formula>"未完成"</formula>
    </cfRule>
    <cfRule type="cellIs" dxfId="1" priority="1973" operator="equal">
      <formula>"未完成"</formula>
    </cfRule>
  </conditionalFormatting>
  <conditionalFormatting sqref="AF211">
    <cfRule type="cellIs" dxfId="1" priority="1837" operator="equal">
      <formula>"未完成"</formula>
    </cfRule>
    <cfRule type="cellIs" dxfId="0" priority="1854" operator="equal">
      <formula>"未完成"</formula>
    </cfRule>
  </conditionalFormatting>
  <conditionalFormatting sqref="AG211">
    <cfRule type="cellIs" dxfId="1" priority="2177" operator="equal">
      <formula>"未完成"</formula>
    </cfRule>
    <cfRule type="cellIs" dxfId="0" priority="2194" operator="equal">
      <formula>"未完成"</formula>
    </cfRule>
  </conditionalFormatting>
  <conditionalFormatting sqref="AH211">
    <cfRule type="cellIs" dxfId="1" priority="2024" operator="equal">
      <formula>"未完成"</formula>
    </cfRule>
    <cfRule type="cellIs" dxfId="0" priority="2041" operator="equal">
      <formula>"未完成"</formula>
    </cfRule>
  </conditionalFormatting>
  <conditionalFormatting sqref="AI211:AJ211">
    <cfRule type="cellIs" dxfId="1" priority="1990" operator="equal">
      <formula>"未完成"</formula>
    </cfRule>
    <cfRule type="cellIs" dxfId="0" priority="2007" operator="equal">
      <formula>"未完成"</formula>
    </cfRule>
  </conditionalFormatting>
  <conditionalFormatting sqref="AK211">
    <cfRule type="cellIs" dxfId="1" priority="2143" operator="equal">
      <formula>"未完成"</formula>
    </cfRule>
    <cfRule type="cellIs" dxfId="0" priority="2160" operator="equal">
      <formula>"未完成"</formula>
    </cfRule>
  </conditionalFormatting>
  <conditionalFormatting sqref="AL211">
    <cfRule type="cellIs" dxfId="1" priority="2109" operator="equal">
      <formula>"未完成"</formula>
    </cfRule>
    <cfRule type="cellIs" dxfId="0" priority="2126" operator="equal">
      <formula>"未完成"</formula>
    </cfRule>
  </conditionalFormatting>
  <conditionalFormatting sqref="AO211">
    <cfRule type="cellIs" dxfId="1" priority="2075" operator="equal">
      <formula>"未完成"</formula>
    </cfRule>
    <cfRule type="cellIs" dxfId="0" priority="2092" operator="equal">
      <formula>"未完成"</formula>
    </cfRule>
  </conditionalFormatting>
  <conditionalFormatting sqref="AT211">
    <cfRule type="cellIs" dxfId="1" priority="1922" operator="equal">
      <formula>"未完成"</formula>
    </cfRule>
    <cfRule type="cellIs" dxfId="0" priority="1939" operator="equal">
      <formula>"未完成"</formula>
    </cfRule>
  </conditionalFormatting>
  <conditionalFormatting sqref="R212">
    <cfRule type="cellIs" dxfId="0" priority="2057" operator="equal">
      <formula>"欠"</formula>
    </cfRule>
  </conditionalFormatting>
  <conditionalFormatting sqref="S212">
    <cfRule type="cellIs" dxfId="0" priority="1904" operator="equal">
      <formula>"欠"</formula>
    </cfRule>
  </conditionalFormatting>
  <conditionalFormatting sqref="T212:U212">
    <cfRule type="containsText" dxfId="0" priority="1870" operator="between" text="欠">
      <formula>NOT(ISERROR(SEARCH("欠",T212)))</formula>
    </cfRule>
    <cfRule type="cellIs" dxfId="0" priority="1887" operator="equal">
      <formula>"欠"</formula>
    </cfRule>
  </conditionalFormatting>
  <conditionalFormatting sqref="AE212">
    <cfRule type="cellIs" dxfId="0" priority="1955" operator="equal">
      <formula>"未完成"</formula>
    </cfRule>
    <cfRule type="cellIs" dxfId="1" priority="1972" operator="equal">
      <formula>"未完成"</formula>
    </cfRule>
  </conditionalFormatting>
  <conditionalFormatting sqref="AF212">
    <cfRule type="cellIs" dxfId="1" priority="1836" operator="equal">
      <formula>"未完成"</formula>
    </cfRule>
    <cfRule type="cellIs" dxfId="0" priority="1853" operator="equal">
      <formula>"未完成"</formula>
    </cfRule>
  </conditionalFormatting>
  <conditionalFormatting sqref="AH212">
    <cfRule type="cellIs" dxfId="1" priority="2023" operator="equal">
      <formula>"未完成"</formula>
    </cfRule>
    <cfRule type="cellIs" dxfId="0" priority="2040" operator="equal">
      <formula>"未完成"</formula>
    </cfRule>
  </conditionalFormatting>
  <conditionalFormatting sqref="AI212:AJ212">
    <cfRule type="cellIs" dxfId="1" priority="1989" operator="equal">
      <formula>"未完成"</formula>
    </cfRule>
    <cfRule type="cellIs" dxfId="0" priority="2006" operator="equal">
      <formula>"未完成"</formula>
    </cfRule>
  </conditionalFormatting>
  <conditionalFormatting sqref="AT212">
    <cfRule type="cellIs" dxfId="1" priority="1921" operator="equal">
      <formula>"未完成"</formula>
    </cfRule>
    <cfRule type="cellIs" dxfId="0" priority="1938" operator="equal">
      <formula>"未完成"</formula>
    </cfRule>
  </conditionalFormatting>
  <conditionalFormatting sqref="R213">
    <cfRule type="cellIs" dxfId="0" priority="2056" operator="equal">
      <formula>"欠"</formula>
    </cfRule>
  </conditionalFormatting>
  <conditionalFormatting sqref="S213">
    <cfRule type="cellIs" dxfId="0" priority="1903" operator="equal">
      <formula>"欠"</formula>
    </cfRule>
  </conditionalFormatting>
  <conditionalFormatting sqref="T213:U213">
    <cfRule type="containsText" dxfId="0" priority="1869" operator="between" text="欠">
      <formula>NOT(ISERROR(SEARCH("欠",T213)))</formula>
    </cfRule>
    <cfRule type="cellIs" dxfId="0" priority="1886" operator="equal">
      <formula>"欠"</formula>
    </cfRule>
  </conditionalFormatting>
  <conditionalFormatting sqref="AE213">
    <cfRule type="cellIs" dxfId="0" priority="1954" operator="equal">
      <formula>"未完成"</formula>
    </cfRule>
    <cfRule type="cellIs" dxfId="1" priority="1971" operator="equal">
      <formula>"未完成"</formula>
    </cfRule>
  </conditionalFormatting>
  <conditionalFormatting sqref="AF213">
    <cfRule type="cellIs" dxfId="1" priority="1835" operator="equal">
      <formula>"未完成"</formula>
    </cfRule>
    <cfRule type="cellIs" dxfId="0" priority="1852" operator="equal">
      <formula>"未完成"</formula>
    </cfRule>
  </conditionalFormatting>
  <conditionalFormatting sqref="AG213">
    <cfRule type="cellIs" dxfId="1" priority="2175" operator="equal">
      <formula>"未完成"</formula>
    </cfRule>
    <cfRule type="cellIs" dxfId="0" priority="2192" operator="equal">
      <formula>"未完成"</formula>
    </cfRule>
  </conditionalFormatting>
  <conditionalFormatting sqref="AH213">
    <cfRule type="cellIs" dxfId="1" priority="2022" operator="equal">
      <formula>"未完成"</formula>
    </cfRule>
    <cfRule type="cellIs" dxfId="0" priority="2039" operator="equal">
      <formula>"未完成"</formula>
    </cfRule>
  </conditionalFormatting>
  <conditionalFormatting sqref="AI213:AJ213">
    <cfRule type="cellIs" dxfId="1" priority="1988" operator="equal">
      <formula>"未完成"</formula>
    </cfRule>
    <cfRule type="cellIs" dxfId="0" priority="2005" operator="equal">
      <formula>"未完成"</formula>
    </cfRule>
  </conditionalFormatting>
  <conditionalFormatting sqref="AL213">
    <cfRule type="cellIs" dxfId="1" priority="2107" operator="equal">
      <formula>"未完成"</formula>
    </cfRule>
    <cfRule type="cellIs" dxfId="0" priority="2124" operator="equal">
      <formula>"未完成"</formula>
    </cfRule>
  </conditionalFormatting>
  <conditionalFormatting sqref="AT213">
    <cfRule type="cellIs" dxfId="1" priority="1920" operator="equal">
      <formula>"未完成"</formula>
    </cfRule>
    <cfRule type="cellIs" dxfId="0" priority="1937" operator="equal">
      <formula>"未完成"</formula>
    </cfRule>
  </conditionalFormatting>
  <conditionalFormatting sqref="R214">
    <cfRule type="cellIs" dxfId="0" priority="2055" operator="equal">
      <formula>"欠"</formula>
    </cfRule>
  </conditionalFormatting>
  <conditionalFormatting sqref="S214">
    <cfRule type="cellIs" dxfId="0" priority="1902" operator="equal">
      <formula>"欠"</formula>
    </cfRule>
  </conditionalFormatting>
  <conditionalFormatting sqref="T214:U214">
    <cfRule type="containsText" dxfId="0" priority="1868" operator="between" text="欠">
      <formula>NOT(ISERROR(SEARCH("欠",T214)))</formula>
    </cfRule>
    <cfRule type="cellIs" dxfId="0" priority="1885" operator="equal">
      <formula>"欠"</formula>
    </cfRule>
  </conditionalFormatting>
  <conditionalFormatting sqref="AE214">
    <cfRule type="cellIs" dxfId="0" priority="1953" operator="equal">
      <formula>"未完成"</formula>
    </cfRule>
    <cfRule type="cellIs" dxfId="1" priority="1970" operator="equal">
      <formula>"未完成"</formula>
    </cfRule>
  </conditionalFormatting>
  <conditionalFormatting sqref="AF214">
    <cfRule type="cellIs" dxfId="1" priority="1834" operator="equal">
      <formula>"未完成"</formula>
    </cfRule>
    <cfRule type="cellIs" dxfId="0" priority="1851" operator="equal">
      <formula>"未完成"</formula>
    </cfRule>
  </conditionalFormatting>
  <conditionalFormatting sqref="AG214">
    <cfRule type="cellIs" dxfId="1" priority="2174" operator="equal">
      <formula>"未完成"</formula>
    </cfRule>
    <cfRule type="cellIs" dxfId="0" priority="2191" operator="equal">
      <formula>"未完成"</formula>
    </cfRule>
  </conditionalFormatting>
  <conditionalFormatting sqref="AH214">
    <cfRule type="cellIs" dxfId="1" priority="2021" operator="equal">
      <formula>"未完成"</formula>
    </cfRule>
    <cfRule type="cellIs" dxfId="0" priority="2038" operator="equal">
      <formula>"未完成"</formula>
    </cfRule>
  </conditionalFormatting>
  <conditionalFormatting sqref="AI214:AJ214">
    <cfRule type="cellIs" dxfId="1" priority="1987" operator="equal">
      <formula>"未完成"</formula>
    </cfRule>
    <cfRule type="cellIs" dxfId="0" priority="2004" operator="equal">
      <formula>"未完成"</formula>
    </cfRule>
  </conditionalFormatting>
  <conditionalFormatting sqref="AL214">
    <cfRule type="cellIs" dxfId="1" priority="2106" operator="equal">
      <formula>"未完成"</formula>
    </cfRule>
    <cfRule type="cellIs" dxfId="0" priority="2123" operator="equal">
      <formula>"未完成"</formula>
    </cfRule>
  </conditionalFormatting>
  <conditionalFormatting sqref="AT214">
    <cfRule type="cellIs" dxfId="1" priority="1919" operator="equal">
      <formula>"未完成"</formula>
    </cfRule>
    <cfRule type="cellIs" dxfId="0" priority="1936" operator="equal">
      <formula>"未完成"</formula>
    </cfRule>
  </conditionalFormatting>
  <conditionalFormatting sqref="R215">
    <cfRule type="cellIs" dxfId="0" priority="2054" operator="equal">
      <formula>"欠"</formula>
    </cfRule>
  </conditionalFormatting>
  <conditionalFormatting sqref="S215">
    <cfRule type="cellIs" dxfId="0" priority="1901" operator="equal">
      <formula>"欠"</formula>
    </cfRule>
  </conditionalFormatting>
  <conditionalFormatting sqref="T215:U215">
    <cfRule type="containsText" dxfId="0" priority="1867" operator="between" text="欠">
      <formula>NOT(ISERROR(SEARCH("欠",T215)))</formula>
    </cfRule>
    <cfRule type="cellIs" dxfId="0" priority="1884" operator="equal">
      <formula>"欠"</formula>
    </cfRule>
  </conditionalFormatting>
  <conditionalFormatting sqref="AE215">
    <cfRule type="cellIs" dxfId="0" priority="1952" operator="equal">
      <formula>"未完成"</formula>
    </cfRule>
    <cfRule type="cellIs" dxfId="1" priority="1969" operator="equal">
      <formula>"未完成"</formula>
    </cfRule>
  </conditionalFormatting>
  <conditionalFormatting sqref="AF215">
    <cfRule type="cellIs" dxfId="1" priority="1833" operator="equal">
      <formula>"未完成"</formula>
    </cfRule>
    <cfRule type="cellIs" dxfId="0" priority="1850" operator="equal">
      <formula>"未完成"</formula>
    </cfRule>
  </conditionalFormatting>
  <conditionalFormatting sqref="AG215">
    <cfRule type="cellIs" dxfId="1" priority="2173" operator="equal">
      <formula>"未完成"</formula>
    </cfRule>
    <cfRule type="cellIs" dxfId="0" priority="2190" operator="equal">
      <formula>"未完成"</formula>
    </cfRule>
  </conditionalFormatting>
  <conditionalFormatting sqref="AH215">
    <cfRule type="cellIs" dxfId="1" priority="2020" operator="equal">
      <formula>"未完成"</formula>
    </cfRule>
    <cfRule type="cellIs" dxfId="0" priority="2037" operator="equal">
      <formula>"未完成"</formula>
    </cfRule>
  </conditionalFormatting>
  <conditionalFormatting sqref="AI215:AJ215">
    <cfRule type="cellIs" dxfId="1" priority="1986" operator="equal">
      <formula>"未完成"</formula>
    </cfRule>
    <cfRule type="cellIs" dxfId="0" priority="2003" operator="equal">
      <formula>"未完成"</formula>
    </cfRule>
  </conditionalFormatting>
  <conditionalFormatting sqref="AL215">
    <cfRule type="cellIs" dxfId="1" priority="2105" operator="equal">
      <formula>"未完成"</formula>
    </cfRule>
    <cfRule type="cellIs" dxfId="0" priority="2122" operator="equal">
      <formula>"未完成"</formula>
    </cfRule>
  </conditionalFormatting>
  <conditionalFormatting sqref="AT215">
    <cfRule type="cellIs" dxfId="1" priority="1918" operator="equal">
      <formula>"未完成"</formula>
    </cfRule>
    <cfRule type="cellIs" dxfId="0" priority="1935" operator="equal">
      <formula>"未完成"</formula>
    </cfRule>
  </conditionalFormatting>
  <conditionalFormatting sqref="R216">
    <cfRule type="cellIs" dxfId="0" priority="2053" operator="equal">
      <formula>"欠"</formula>
    </cfRule>
  </conditionalFormatting>
  <conditionalFormatting sqref="S216">
    <cfRule type="cellIs" dxfId="0" priority="1900" operator="equal">
      <formula>"欠"</formula>
    </cfRule>
  </conditionalFormatting>
  <conditionalFormatting sqref="T216:U216">
    <cfRule type="containsText" dxfId="0" priority="1866" operator="between" text="欠">
      <formula>NOT(ISERROR(SEARCH("欠",T216)))</formula>
    </cfRule>
    <cfRule type="cellIs" dxfId="0" priority="1883" operator="equal">
      <formula>"欠"</formula>
    </cfRule>
  </conditionalFormatting>
  <conditionalFormatting sqref="AE216">
    <cfRule type="cellIs" dxfId="0" priority="1951" operator="equal">
      <formula>"未完成"</formula>
    </cfRule>
    <cfRule type="cellIs" dxfId="1" priority="1968" operator="equal">
      <formula>"未完成"</formula>
    </cfRule>
  </conditionalFormatting>
  <conditionalFormatting sqref="AF216">
    <cfRule type="cellIs" dxfId="1" priority="1832" operator="equal">
      <formula>"未完成"</formula>
    </cfRule>
    <cfRule type="cellIs" dxfId="0" priority="1849" operator="equal">
      <formula>"未完成"</formula>
    </cfRule>
  </conditionalFormatting>
  <conditionalFormatting sqref="AG216">
    <cfRule type="cellIs" dxfId="1" priority="2172" operator="equal">
      <formula>"未完成"</formula>
    </cfRule>
    <cfRule type="cellIs" dxfId="0" priority="2189" operator="equal">
      <formula>"未完成"</formula>
    </cfRule>
  </conditionalFormatting>
  <conditionalFormatting sqref="AH216">
    <cfRule type="cellIs" dxfId="1" priority="2019" operator="equal">
      <formula>"未完成"</formula>
    </cfRule>
    <cfRule type="cellIs" dxfId="0" priority="2036" operator="equal">
      <formula>"未完成"</formula>
    </cfRule>
  </conditionalFormatting>
  <conditionalFormatting sqref="AI216:AJ216">
    <cfRule type="cellIs" dxfId="1" priority="1985" operator="equal">
      <formula>"未完成"</formula>
    </cfRule>
    <cfRule type="cellIs" dxfId="0" priority="2002" operator="equal">
      <formula>"未完成"</formula>
    </cfRule>
  </conditionalFormatting>
  <conditionalFormatting sqref="AL216">
    <cfRule type="cellIs" dxfId="1" priority="2104" operator="equal">
      <formula>"未完成"</formula>
    </cfRule>
    <cfRule type="cellIs" dxfId="0" priority="2121" operator="equal">
      <formula>"未完成"</formula>
    </cfRule>
  </conditionalFormatting>
  <conditionalFormatting sqref="AT216">
    <cfRule type="cellIs" dxfId="1" priority="1917" operator="equal">
      <formula>"未完成"</formula>
    </cfRule>
    <cfRule type="cellIs" dxfId="0" priority="1934" operator="equal">
      <formula>"未完成"</formula>
    </cfRule>
  </conditionalFormatting>
  <conditionalFormatting sqref="R217">
    <cfRule type="cellIs" dxfId="0" priority="2052" operator="equal">
      <formula>"欠"</formula>
    </cfRule>
  </conditionalFormatting>
  <conditionalFormatting sqref="S217">
    <cfRule type="cellIs" dxfId="0" priority="1899" operator="equal">
      <formula>"欠"</formula>
    </cfRule>
  </conditionalFormatting>
  <conditionalFormatting sqref="T217:U217">
    <cfRule type="containsText" dxfId="0" priority="1865" operator="between" text="欠">
      <formula>NOT(ISERROR(SEARCH("欠",T217)))</formula>
    </cfRule>
    <cfRule type="cellIs" dxfId="0" priority="1882" operator="equal">
      <formula>"欠"</formula>
    </cfRule>
  </conditionalFormatting>
  <conditionalFormatting sqref="AE217">
    <cfRule type="cellIs" dxfId="0" priority="1950" operator="equal">
      <formula>"未完成"</formula>
    </cfRule>
    <cfRule type="cellIs" dxfId="1" priority="1967" operator="equal">
      <formula>"未完成"</formula>
    </cfRule>
  </conditionalFormatting>
  <conditionalFormatting sqref="AF217">
    <cfRule type="cellIs" dxfId="1" priority="1831" operator="equal">
      <formula>"未完成"</formula>
    </cfRule>
    <cfRule type="cellIs" dxfId="0" priority="1848" operator="equal">
      <formula>"未完成"</formula>
    </cfRule>
  </conditionalFormatting>
  <conditionalFormatting sqref="AG217">
    <cfRule type="cellIs" dxfId="1" priority="2171" operator="equal">
      <formula>"未完成"</formula>
    </cfRule>
    <cfRule type="cellIs" dxfId="0" priority="2188" operator="equal">
      <formula>"未完成"</formula>
    </cfRule>
  </conditionalFormatting>
  <conditionalFormatting sqref="AH217">
    <cfRule type="cellIs" dxfId="1" priority="2018" operator="equal">
      <formula>"未完成"</formula>
    </cfRule>
    <cfRule type="cellIs" dxfId="0" priority="2035" operator="equal">
      <formula>"未完成"</formula>
    </cfRule>
  </conditionalFormatting>
  <conditionalFormatting sqref="AI217:AJ217">
    <cfRule type="cellIs" dxfId="1" priority="1984" operator="equal">
      <formula>"未完成"</formula>
    </cfRule>
    <cfRule type="cellIs" dxfId="0" priority="2001" operator="equal">
      <formula>"未完成"</formula>
    </cfRule>
  </conditionalFormatting>
  <conditionalFormatting sqref="AK217">
    <cfRule type="cellIs" dxfId="1" priority="2137" operator="equal">
      <formula>"未完成"</formula>
    </cfRule>
    <cfRule type="cellIs" dxfId="0" priority="2154" operator="equal">
      <formula>"未完成"</formula>
    </cfRule>
  </conditionalFormatting>
  <conditionalFormatting sqref="AL217">
    <cfRule type="cellIs" dxfId="1" priority="2103" operator="equal">
      <formula>"未完成"</formula>
    </cfRule>
    <cfRule type="cellIs" dxfId="0" priority="2120" operator="equal">
      <formula>"未完成"</formula>
    </cfRule>
  </conditionalFormatting>
  <conditionalFormatting sqref="AO217">
    <cfRule type="cellIs" dxfId="1" priority="2069" operator="equal">
      <formula>"未完成"</formula>
    </cfRule>
    <cfRule type="cellIs" dxfId="0" priority="2086" operator="equal">
      <formula>"未完成"</formula>
    </cfRule>
  </conditionalFormatting>
  <conditionalFormatting sqref="AT217">
    <cfRule type="cellIs" dxfId="1" priority="1916" operator="equal">
      <formula>"未完成"</formula>
    </cfRule>
    <cfRule type="cellIs" dxfId="0" priority="1933" operator="equal">
      <formula>"未完成"</formula>
    </cfRule>
  </conditionalFormatting>
  <conditionalFormatting sqref="R218">
    <cfRule type="cellIs" dxfId="0" priority="2051" operator="equal">
      <formula>"欠"</formula>
    </cfRule>
  </conditionalFormatting>
  <conditionalFormatting sqref="S218">
    <cfRule type="cellIs" dxfId="0" priority="1898" operator="equal">
      <formula>"欠"</formula>
    </cfRule>
  </conditionalFormatting>
  <conditionalFormatting sqref="T218:U218">
    <cfRule type="containsText" dxfId="0" priority="1864" operator="between" text="欠">
      <formula>NOT(ISERROR(SEARCH("欠",T218)))</formula>
    </cfRule>
    <cfRule type="cellIs" dxfId="0" priority="1881" operator="equal">
      <formula>"欠"</formula>
    </cfRule>
  </conditionalFormatting>
  <conditionalFormatting sqref="AE218">
    <cfRule type="cellIs" dxfId="0" priority="1949" operator="equal">
      <formula>"未完成"</formula>
    </cfRule>
    <cfRule type="cellIs" dxfId="1" priority="1966" operator="equal">
      <formula>"未完成"</formula>
    </cfRule>
  </conditionalFormatting>
  <conditionalFormatting sqref="AF218">
    <cfRule type="cellIs" dxfId="1" priority="1830" operator="equal">
      <formula>"未完成"</formula>
    </cfRule>
    <cfRule type="cellIs" dxfId="0" priority="1847" operator="equal">
      <formula>"未完成"</formula>
    </cfRule>
  </conditionalFormatting>
  <conditionalFormatting sqref="AG218">
    <cfRule type="cellIs" dxfId="1" priority="2170" operator="equal">
      <formula>"未完成"</formula>
    </cfRule>
    <cfRule type="cellIs" dxfId="0" priority="2187" operator="equal">
      <formula>"未完成"</formula>
    </cfRule>
  </conditionalFormatting>
  <conditionalFormatting sqref="AH218">
    <cfRule type="cellIs" dxfId="1" priority="2017" operator="equal">
      <formula>"未完成"</formula>
    </cfRule>
    <cfRule type="cellIs" dxfId="0" priority="2034" operator="equal">
      <formula>"未完成"</formula>
    </cfRule>
  </conditionalFormatting>
  <conditionalFormatting sqref="AI218:AJ218">
    <cfRule type="cellIs" dxfId="1" priority="1983" operator="equal">
      <formula>"未完成"</formula>
    </cfRule>
    <cfRule type="cellIs" dxfId="0" priority="2000" operator="equal">
      <formula>"未完成"</formula>
    </cfRule>
  </conditionalFormatting>
  <conditionalFormatting sqref="AK218">
    <cfRule type="cellIs" dxfId="1" priority="2136" operator="equal">
      <formula>"未完成"</formula>
    </cfRule>
    <cfRule type="cellIs" dxfId="0" priority="2153" operator="equal">
      <formula>"未完成"</formula>
    </cfRule>
  </conditionalFormatting>
  <conditionalFormatting sqref="AL218">
    <cfRule type="cellIs" dxfId="1" priority="2102" operator="equal">
      <formula>"未完成"</formula>
    </cfRule>
    <cfRule type="cellIs" dxfId="0" priority="2119" operator="equal">
      <formula>"未完成"</formula>
    </cfRule>
  </conditionalFormatting>
  <conditionalFormatting sqref="AO218">
    <cfRule type="cellIs" dxfId="1" priority="2068" operator="equal">
      <formula>"未完成"</formula>
    </cfRule>
    <cfRule type="cellIs" dxfId="0" priority="2085" operator="equal">
      <formula>"未完成"</formula>
    </cfRule>
  </conditionalFormatting>
  <conditionalFormatting sqref="AT218">
    <cfRule type="cellIs" dxfId="1" priority="1915" operator="equal">
      <formula>"未完成"</formula>
    </cfRule>
    <cfRule type="cellIs" dxfId="0" priority="1932" operator="equal">
      <formula>"未完成"</formula>
    </cfRule>
  </conditionalFormatting>
  <conditionalFormatting sqref="R219">
    <cfRule type="cellIs" dxfId="0" priority="2050" operator="equal">
      <formula>"欠"</formula>
    </cfRule>
  </conditionalFormatting>
  <conditionalFormatting sqref="S219">
    <cfRule type="cellIs" dxfId="0" priority="1897" operator="equal">
      <formula>"欠"</formula>
    </cfRule>
  </conditionalFormatting>
  <conditionalFormatting sqref="T219:U219">
    <cfRule type="containsText" dxfId="0" priority="1863" operator="between" text="欠">
      <formula>NOT(ISERROR(SEARCH("欠",T219)))</formula>
    </cfRule>
    <cfRule type="cellIs" dxfId="0" priority="1880" operator="equal">
      <formula>"欠"</formula>
    </cfRule>
  </conditionalFormatting>
  <conditionalFormatting sqref="AE219">
    <cfRule type="cellIs" dxfId="0" priority="1948" operator="equal">
      <formula>"未完成"</formula>
    </cfRule>
    <cfRule type="cellIs" dxfId="1" priority="1965" operator="equal">
      <formula>"未完成"</formula>
    </cfRule>
  </conditionalFormatting>
  <conditionalFormatting sqref="AF219">
    <cfRule type="cellIs" dxfId="1" priority="1829" operator="equal">
      <formula>"未完成"</formula>
    </cfRule>
    <cfRule type="cellIs" dxfId="0" priority="1846" operator="equal">
      <formula>"未完成"</formula>
    </cfRule>
  </conditionalFormatting>
  <conditionalFormatting sqref="AG219">
    <cfRule type="cellIs" dxfId="1" priority="2169" operator="equal">
      <formula>"未完成"</formula>
    </cfRule>
    <cfRule type="cellIs" dxfId="0" priority="2186" operator="equal">
      <formula>"未完成"</formula>
    </cfRule>
  </conditionalFormatting>
  <conditionalFormatting sqref="AH219">
    <cfRule type="cellIs" dxfId="1" priority="2016" operator="equal">
      <formula>"未完成"</formula>
    </cfRule>
    <cfRule type="cellIs" dxfId="0" priority="2033" operator="equal">
      <formula>"未完成"</formula>
    </cfRule>
  </conditionalFormatting>
  <conditionalFormatting sqref="AI219:AJ219">
    <cfRule type="cellIs" dxfId="1" priority="1982" operator="equal">
      <formula>"未完成"</formula>
    </cfRule>
    <cfRule type="cellIs" dxfId="0" priority="1999" operator="equal">
      <formula>"未完成"</formula>
    </cfRule>
  </conditionalFormatting>
  <conditionalFormatting sqref="AK219">
    <cfRule type="cellIs" dxfId="1" priority="2135" operator="equal">
      <formula>"未完成"</formula>
    </cfRule>
    <cfRule type="cellIs" dxfId="0" priority="2152" operator="equal">
      <formula>"未完成"</formula>
    </cfRule>
  </conditionalFormatting>
  <conditionalFormatting sqref="AL219">
    <cfRule type="cellIs" dxfId="1" priority="2101" operator="equal">
      <formula>"未完成"</formula>
    </cfRule>
    <cfRule type="cellIs" dxfId="0" priority="2118" operator="equal">
      <formula>"未完成"</formula>
    </cfRule>
  </conditionalFormatting>
  <conditionalFormatting sqref="AO219">
    <cfRule type="cellIs" dxfId="1" priority="2067" operator="equal">
      <formula>"未完成"</formula>
    </cfRule>
    <cfRule type="cellIs" dxfId="0" priority="2084" operator="equal">
      <formula>"未完成"</formula>
    </cfRule>
  </conditionalFormatting>
  <conditionalFormatting sqref="AT219">
    <cfRule type="cellIs" dxfId="1" priority="1914" operator="equal">
      <formula>"未完成"</formula>
    </cfRule>
    <cfRule type="cellIs" dxfId="0" priority="1931" operator="equal">
      <formula>"未完成"</formula>
    </cfRule>
  </conditionalFormatting>
  <conditionalFormatting sqref="R220">
    <cfRule type="cellIs" dxfId="0" priority="2049" operator="equal">
      <formula>"欠"</formula>
    </cfRule>
  </conditionalFormatting>
  <conditionalFormatting sqref="S220">
    <cfRule type="cellIs" dxfId="0" priority="1896" operator="equal">
      <formula>"欠"</formula>
    </cfRule>
  </conditionalFormatting>
  <conditionalFormatting sqref="T220:U220">
    <cfRule type="containsText" dxfId="0" priority="1862" operator="between" text="欠">
      <formula>NOT(ISERROR(SEARCH("欠",T220)))</formula>
    </cfRule>
    <cfRule type="cellIs" dxfId="0" priority="1879" operator="equal">
      <formula>"欠"</formula>
    </cfRule>
  </conditionalFormatting>
  <conditionalFormatting sqref="AE220">
    <cfRule type="cellIs" dxfId="0" priority="1947" operator="equal">
      <formula>"未完成"</formula>
    </cfRule>
    <cfRule type="cellIs" dxfId="1" priority="1964" operator="equal">
      <formula>"未完成"</formula>
    </cfRule>
  </conditionalFormatting>
  <conditionalFormatting sqref="AF220">
    <cfRule type="cellIs" dxfId="1" priority="1828" operator="equal">
      <formula>"未完成"</formula>
    </cfRule>
    <cfRule type="cellIs" dxfId="0" priority="1845" operator="equal">
      <formula>"未完成"</formula>
    </cfRule>
  </conditionalFormatting>
  <conditionalFormatting sqref="AG220">
    <cfRule type="cellIs" dxfId="1" priority="2168" operator="equal">
      <formula>"未完成"</formula>
    </cfRule>
    <cfRule type="cellIs" dxfId="0" priority="2185" operator="equal">
      <formula>"未完成"</formula>
    </cfRule>
  </conditionalFormatting>
  <conditionalFormatting sqref="AH220">
    <cfRule type="cellIs" dxfId="1" priority="2015" operator="equal">
      <formula>"未完成"</formula>
    </cfRule>
    <cfRule type="cellIs" dxfId="0" priority="2032" operator="equal">
      <formula>"未完成"</formula>
    </cfRule>
  </conditionalFormatting>
  <conditionalFormatting sqref="AI220:AJ220">
    <cfRule type="cellIs" dxfId="1" priority="1981" operator="equal">
      <formula>"未完成"</formula>
    </cfRule>
    <cfRule type="cellIs" dxfId="0" priority="1998" operator="equal">
      <formula>"未完成"</formula>
    </cfRule>
  </conditionalFormatting>
  <conditionalFormatting sqref="AK220">
    <cfRule type="cellIs" dxfId="1" priority="2134" operator="equal">
      <formula>"未完成"</formula>
    </cfRule>
    <cfRule type="cellIs" dxfId="0" priority="2151" operator="equal">
      <formula>"未完成"</formula>
    </cfRule>
  </conditionalFormatting>
  <conditionalFormatting sqref="AL220">
    <cfRule type="cellIs" dxfId="1" priority="2100" operator="equal">
      <formula>"未完成"</formula>
    </cfRule>
    <cfRule type="cellIs" dxfId="0" priority="2117" operator="equal">
      <formula>"未完成"</formula>
    </cfRule>
  </conditionalFormatting>
  <conditionalFormatting sqref="AO220">
    <cfRule type="cellIs" dxfId="1" priority="2066" operator="equal">
      <formula>"未完成"</formula>
    </cfRule>
    <cfRule type="cellIs" dxfId="0" priority="2083" operator="equal">
      <formula>"未完成"</formula>
    </cfRule>
  </conditionalFormatting>
  <conditionalFormatting sqref="AT220">
    <cfRule type="cellIs" dxfId="1" priority="1913" operator="equal">
      <formula>"未完成"</formula>
    </cfRule>
    <cfRule type="cellIs" dxfId="0" priority="1930" operator="equal">
      <formula>"未完成"</formula>
    </cfRule>
  </conditionalFormatting>
  <conditionalFormatting sqref="R221">
    <cfRule type="cellIs" dxfId="0" priority="2048" operator="equal">
      <formula>"欠"</formula>
    </cfRule>
  </conditionalFormatting>
  <conditionalFormatting sqref="S221">
    <cfRule type="cellIs" dxfId="0" priority="1895" operator="equal">
      <formula>"欠"</formula>
    </cfRule>
  </conditionalFormatting>
  <conditionalFormatting sqref="T221:U221">
    <cfRule type="containsText" dxfId="0" priority="1861" operator="between" text="欠">
      <formula>NOT(ISERROR(SEARCH("欠",T221)))</formula>
    </cfRule>
    <cfRule type="cellIs" dxfId="0" priority="1878" operator="equal">
      <formula>"欠"</formula>
    </cfRule>
  </conditionalFormatting>
  <conditionalFormatting sqref="AE221">
    <cfRule type="cellIs" dxfId="0" priority="1946" operator="equal">
      <formula>"未完成"</formula>
    </cfRule>
    <cfRule type="cellIs" dxfId="1" priority="1963" operator="equal">
      <formula>"未完成"</formula>
    </cfRule>
  </conditionalFormatting>
  <conditionalFormatting sqref="AF221">
    <cfRule type="cellIs" dxfId="1" priority="1827" operator="equal">
      <formula>"未完成"</formula>
    </cfRule>
    <cfRule type="cellIs" dxfId="0" priority="1844" operator="equal">
      <formula>"未完成"</formula>
    </cfRule>
  </conditionalFormatting>
  <conditionalFormatting sqref="AG221">
    <cfRule type="cellIs" dxfId="1" priority="2167" operator="equal">
      <formula>"未完成"</formula>
    </cfRule>
    <cfRule type="cellIs" dxfId="0" priority="2184" operator="equal">
      <formula>"未完成"</formula>
    </cfRule>
  </conditionalFormatting>
  <conditionalFormatting sqref="AH221">
    <cfRule type="cellIs" dxfId="1" priority="2014" operator="equal">
      <formula>"未完成"</formula>
    </cfRule>
    <cfRule type="cellIs" dxfId="0" priority="2031" operator="equal">
      <formula>"未完成"</formula>
    </cfRule>
  </conditionalFormatting>
  <conditionalFormatting sqref="AI221:AJ221">
    <cfRule type="cellIs" dxfId="1" priority="1980" operator="equal">
      <formula>"未完成"</formula>
    </cfRule>
    <cfRule type="cellIs" dxfId="0" priority="1997" operator="equal">
      <formula>"未完成"</formula>
    </cfRule>
  </conditionalFormatting>
  <conditionalFormatting sqref="AK221">
    <cfRule type="cellIs" dxfId="1" priority="2133" operator="equal">
      <formula>"未完成"</formula>
    </cfRule>
    <cfRule type="cellIs" dxfId="0" priority="2150" operator="equal">
      <formula>"未完成"</formula>
    </cfRule>
  </conditionalFormatting>
  <conditionalFormatting sqref="AL221">
    <cfRule type="cellIs" dxfId="1" priority="2099" operator="equal">
      <formula>"未完成"</formula>
    </cfRule>
    <cfRule type="cellIs" dxfId="0" priority="2116" operator="equal">
      <formula>"未完成"</formula>
    </cfRule>
  </conditionalFormatting>
  <conditionalFormatting sqref="AO221">
    <cfRule type="cellIs" dxfId="1" priority="2065" operator="equal">
      <formula>"未完成"</formula>
    </cfRule>
    <cfRule type="cellIs" dxfId="0" priority="2082" operator="equal">
      <formula>"未完成"</formula>
    </cfRule>
  </conditionalFormatting>
  <conditionalFormatting sqref="AT221">
    <cfRule type="cellIs" dxfId="1" priority="1912" operator="equal">
      <formula>"未完成"</formula>
    </cfRule>
    <cfRule type="cellIs" dxfId="0" priority="1929" operator="equal">
      <formula>"未完成"</formula>
    </cfRule>
  </conditionalFormatting>
  <conditionalFormatting sqref="R222">
    <cfRule type="cellIs" dxfId="0" priority="2047" operator="equal">
      <formula>"欠"</formula>
    </cfRule>
  </conditionalFormatting>
  <conditionalFormatting sqref="S222">
    <cfRule type="cellIs" dxfId="0" priority="1894" operator="equal">
      <formula>"欠"</formula>
    </cfRule>
  </conditionalFormatting>
  <conditionalFormatting sqref="T222:U222">
    <cfRule type="containsText" dxfId="0" priority="1860" operator="between" text="欠">
      <formula>NOT(ISERROR(SEARCH("欠",T222)))</formula>
    </cfRule>
    <cfRule type="cellIs" dxfId="0" priority="1877" operator="equal">
      <formula>"欠"</formula>
    </cfRule>
  </conditionalFormatting>
  <conditionalFormatting sqref="AE222">
    <cfRule type="cellIs" dxfId="0" priority="1945" operator="equal">
      <formula>"未完成"</formula>
    </cfRule>
    <cfRule type="cellIs" dxfId="1" priority="1962" operator="equal">
      <formula>"未完成"</formula>
    </cfRule>
  </conditionalFormatting>
  <conditionalFormatting sqref="AF222">
    <cfRule type="cellIs" dxfId="1" priority="1826" operator="equal">
      <formula>"未完成"</formula>
    </cfRule>
    <cfRule type="cellIs" dxfId="0" priority="1843" operator="equal">
      <formula>"未完成"</formula>
    </cfRule>
  </conditionalFormatting>
  <conditionalFormatting sqref="AG222">
    <cfRule type="cellIs" dxfId="1" priority="2166" operator="equal">
      <formula>"未完成"</formula>
    </cfRule>
    <cfRule type="cellIs" dxfId="0" priority="2183" operator="equal">
      <formula>"未完成"</formula>
    </cfRule>
  </conditionalFormatting>
  <conditionalFormatting sqref="AH222">
    <cfRule type="cellIs" dxfId="1" priority="2013" operator="equal">
      <formula>"未完成"</formula>
    </cfRule>
    <cfRule type="cellIs" dxfId="0" priority="2030" operator="equal">
      <formula>"未完成"</formula>
    </cfRule>
  </conditionalFormatting>
  <conditionalFormatting sqref="AJ222">
    <cfRule type="cellIs" dxfId="1" priority="1979" operator="equal">
      <formula>"未完成"</formula>
    </cfRule>
    <cfRule type="cellIs" dxfId="0" priority="1996" operator="equal">
      <formula>"未完成"</formula>
    </cfRule>
  </conditionalFormatting>
  <conditionalFormatting sqref="AK222">
    <cfRule type="cellIs" dxfId="1" priority="2132" operator="equal">
      <formula>"未完成"</formula>
    </cfRule>
    <cfRule type="cellIs" dxfId="0" priority="2149" operator="equal">
      <formula>"未完成"</formula>
    </cfRule>
  </conditionalFormatting>
  <conditionalFormatting sqref="AL222">
    <cfRule type="cellIs" dxfId="1" priority="2098" operator="equal">
      <formula>"未完成"</formula>
    </cfRule>
    <cfRule type="cellIs" dxfId="0" priority="2115" operator="equal">
      <formula>"未完成"</formula>
    </cfRule>
  </conditionalFormatting>
  <conditionalFormatting sqref="AO222">
    <cfRule type="cellIs" dxfId="1" priority="2064" operator="equal">
      <formula>"未完成"</formula>
    </cfRule>
    <cfRule type="cellIs" dxfId="0" priority="2081" operator="equal">
      <formula>"未完成"</formula>
    </cfRule>
  </conditionalFormatting>
  <conditionalFormatting sqref="AT222">
    <cfRule type="cellIs" dxfId="1" priority="1911" operator="equal">
      <formula>"未完成"</formula>
    </cfRule>
    <cfRule type="cellIs" dxfId="0" priority="1928" operator="equal">
      <formula>"未完成"</formula>
    </cfRule>
  </conditionalFormatting>
  <conditionalFormatting sqref="R223">
    <cfRule type="cellIs" dxfId="0" priority="2046" operator="equal">
      <formula>"欠"</formula>
    </cfRule>
  </conditionalFormatting>
  <conditionalFormatting sqref="S223">
    <cfRule type="cellIs" dxfId="0" priority="1893" operator="equal">
      <formula>"欠"</formula>
    </cfRule>
  </conditionalFormatting>
  <conditionalFormatting sqref="T223:U223">
    <cfRule type="containsText" dxfId="0" priority="1859" operator="between" text="欠">
      <formula>NOT(ISERROR(SEARCH("欠",T223)))</formula>
    </cfRule>
    <cfRule type="cellIs" dxfId="0" priority="1876" operator="equal">
      <formula>"欠"</formula>
    </cfRule>
  </conditionalFormatting>
  <conditionalFormatting sqref="AE223">
    <cfRule type="cellIs" dxfId="0" priority="1944" operator="equal">
      <formula>"未完成"</formula>
    </cfRule>
    <cfRule type="cellIs" dxfId="1" priority="1961" operator="equal">
      <formula>"未完成"</formula>
    </cfRule>
  </conditionalFormatting>
  <conditionalFormatting sqref="AF223">
    <cfRule type="cellIs" dxfId="1" priority="1825" operator="equal">
      <formula>"未完成"</formula>
    </cfRule>
    <cfRule type="cellIs" dxfId="0" priority="1842" operator="equal">
      <formula>"未完成"</formula>
    </cfRule>
  </conditionalFormatting>
  <conditionalFormatting sqref="AG223">
    <cfRule type="cellIs" dxfId="1" priority="2165" operator="equal">
      <formula>"未完成"</formula>
    </cfRule>
    <cfRule type="cellIs" dxfId="0" priority="2182" operator="equal">
      <formula>"未完成"</formula>
    </cfRule>
  </conditionalFormatting>
  <conditionalFormatting sqref="AH223">
    <cfRule type="cellIs" dxfId="1" priority="2012" operator="equal">
      <formula>"未完成"</formula>
    </cfRule>
    <cfRule type="cellIs" dxfId="0" priority="2029" operator="equal">
      <formula>"未完成"</formula>
    </cfRule>
  </conditionalFormatting>
  <conditionalFormatting sqref="AJ223">
    <cfRule type="cellIs" dxfId="1" priority="1978" operator="equal">
      <formula>"未完成"</formula>
    </cfRule>
    <cfRule type="cellIs" dxfId="0" priority="1995" operator="equal">
      <formula>"未完成"</formula>
    </cfRule>
  </conditionalFormatting>
  <conditionalFormatting sqref="AK223">
    <cfRule type="cellIs" dxfId="1" priority="2131" operator="equal">
      <formula>"未完成"</formula>
    </cfRule>
    <cfRule type="cellIs" dxfId="0" priority="2148" operator="equal">
      <formula>"未完成"</formula>
    </cfRule>
  </conditionalFormatting>
  <conditionalFormatting sqref="AL223">
    <cfRule type="cellIs" dxfId="1" priority="2097" operator="equal">
      <formula>"未完成"</formula>
    </cfRule>
    <cfRule type="cellIs" dxfId="0" priority="2114" operator="equal">
      <formula>"未完成"</formula>
    </cfRule>
  </conditionalFormatting>
  <conditionalFormatting sqref="AO223">
    <cfRule type="cellIs" dxfId="1" priority="2063" operator="equal">
      <formula>"未完成"</formula>
    </cfRule>
    <cfRule type="cellIs" dxfId="0" priority="2080" operator="equal">
      <formula>"未完成"</formula>
    </cfRule>
  </conditionalFormatting>
  <conditionalFormatting sqref="AT223">
    <cfRule type="cellIs" dxfId="1" priority="1910" operator="equal">
      <formula>"未完成"</formula>
    </cfRule>
    <cfRule type="cellIs" dxfId="0" priority="1927" operator="equal">
      <formula>"未完成"</formula>
    </cfRule>
  </conditionalFormatting>
  <conditionalFormatting sqref="R224">
    <cfRule type="cellIs" dxfId="0" priority="2045" operator="equal">
      <formula>"欠"</formula>
    </cfRule>
  </conditionalFormatting>
  <conditionalFormatting sqref="S224">
    <cfRule type="cellIs" dxfId="0" priority="1892" operator="equal">
      <formula>"欠"</formula>
    </cfRule>
  </conditionalFormatting>
  <conditionalFormatting sqref="T224:U224">
    <cfRule type="containsText" dxfId="0" priority="1858" operator="between" text="欠">
      <formula>NOT(ISERROR(SEARCH("欠",T224)))</formula>
    </cfRule>
    <cfRule type="cellIs" dxfId="0" priority="1875" operator="equal">
      <formula>"欠"</formula>
    </cfRule>
  </conditionalFormatting>
  <conditionalFormatting sqref="AE224">
    <cfRule type="cellIs" dxfId="0" priority="1943" operator="equal">
      <formula>"未完成"</formula>
    </cfRule>
    <cfRule type="cellIs" dxfId="1" priority="1960" operator="equal">
      <formula>"未完成"</formula>
    </cfRule>
  </conditionalFormatting>
  <conditionalFormatting sqref="AF224">
    <cfRule type="cellIs" dxfId="1" priority="1824" operator="equal">
      <formula>"未完成"</formula>
    </cfRule>
    <cfRule type="cellIs" dxfId="0" priority="1841" operator="equal">
      <formula>"未完成"</formula>
    </cfRule>
  </conditionalFormatting>
  <conditionalFormatting sqref="AH224">
    <cfRule type="cellIs" dxfId="1" priority="2011" operator="equal">
      <formula>"未完成"</formula>
    </cfRule>
    <cfRule type="cellIs" dxfId="0" priority="2028" operator="equal">
      <formula>"未完成"</formula>
    </cfRule>
  </conditionalFormatting>
  <conditionalFormatting sqref="AJ224">
    <cfRule type="cellIs" dxfId="1" priority="1977" operator="equal">
      <formula>"未完成"</formula>
    </cfRule>
    <cfRule type="cellIs" dxfId="0" priority="1994" operator="equal">
      <formula>"未完成"</formula>
    </cfRule>
  </conditionalFormatting>
  <conditionalFormatting sqref="AT224">
    <cfRule type="cellIs" dxfId="1" priority="1909" operator="equal">
      <formula>"未完成"</formula>
    </cfRule>
    <cfRule type="cellIs" dxfId="0" priority="1926" operator="equal">
      <formula>"未完成"</formula>
    </cfRule>
  </conditionalFormatting>
  <conditionalFormatting sqref="R225">
    <cfRule type="cellIs" dxfId="0" priority="1769" operator="equal">
      <formula>"欠"</formula>
    </cfRule>
  </conditionalFormatting>
  <conditionalFormatting sqref="S225">
    <cfRule type="cellIs" dxfId="0" priority="1751" operator="equal">
      <formula>"欠"</formula>
    </cfRule>
  </conditionalFormatting>
  <conditionalFormatting sqref="T225:U225">
    <cfRule type="containsText" dxfId="0" priority="1747" operator="between" text="欠">
      <formula>NOT(ISERROR(SEARCH("欠",T225)))</formula>
    </cfRule>
    <cfRule type="cellIs" dxfId="0" priority="1749" operator="equal">
      <formula>"欠"</formula>
    </cfRule>
  </conditionalFormatting>
  <conditionalFormatting sqref="AE225">
    <cfRule type="cellIs" dxfId="0" priority="1757" operator="equal">
      <formula>"未完成"</formula>
    </cfRule>
    <cfRule type="cellIs" dxfId="1" priority="1759" operator="equal">
      <formula>"未完成"</formula>
    </cfRule>
  </conditionalFormatting>
  <conditionalFormatting sqref="AF225">
    <cfRule type="cellIs" dxfId="1" priority="1743" operator="equal">
      <formula>"未完成"</formula>
    </cfRule>
    <cfRule type="cellIs" dxfId="0" priority="1745" operator="equal">
      <formula>"未完成"</formula>
    </cfRule>
  </conditionalFormatting>
  <conditionalFormatting sqref="AG225">
    <cfRule type="cellIs" dxfId="1" priority="1783" operator="equal">
      <formula>"未完成"</formula>
    </cfRule>
    <cfRule type="cellIs" dxfId="0" priority="1785" operator="equal">
      <formula>"未完成"</formula>
    </cfRule>
  </conditionalFormatting>
  <conditionalFormatting sqref="AH225">
    <cfRule type="cellIs" dxfId="1" priority="1765" operator="equal">
      <formula>"未完成"</formula>
    </cfRule>
    <cfRule type="cellIs" dxfId="0" priority="1767" operator="equal">
      <formula>"未完成"</formula>
    </cfRule>
  </conditionalFormatting>
  <conditionalFormatting sqref="AJ225">
    <cfRule type="cellIs" dxfId="1" priority="1761" operator="equal">
      <formula>"未完成"</formula>
    </cfRule>
    <cfRule type="cellIs" dxfId="0" priority="1763" operator="equal">
      <formula>"未完成"</formula>
    </cfRule>
  </conditionalFormatting>
  <conditionalFormatting sqref="AK225">
    <cfRule type="cellIs" dxfId="1" priority="1779" operator="equal">
      <formula>"未完成"</formula>
    </cfRule>
    <cfRule type="cellIs" dxfId="0" priority="1781" operator="equal">
      <formula>"未完成"</formula>
    </cfRule>
  </conditionalFormatting>
  <conditionalFormatting sqref="AL225">
    <cfRule type="cellIs" dxfId="1" priority="1775" operator="equal">
      <formula>"未完成"</formula>
    </cfRule>
    <cfRule type="cellIs" dxfId="0" priority="1777" operator="equal">
      <formula>"未完成"</formula>
    </cfRule>
  </conditionalFormatting>
  <conditionalFormatting sqref="AO225">
    <cfRule type="cellIs" dxfId="1" priority="1771" operator="equal">
      <formula>"未完成"</formula>
    </cfRule>
    <cfRule type="cellIs" dxfId="0" priority="1773" operator="equal">
      <formula>"未完成"</formula>
    </cfRule>
  </conditionalFormatting>
  <conditionalFormatting sqref="AT225">
    <cfRule type="cellIs" dxfId="1" priority="1753" operator="equal">
      <formula>"未完成"</formula>
    </cfRule>
    <cfRule type="cellIs" dxfId="0" priority="1755" operator="equal">
      <formula>"未完成"</formula>
    </cfRule>
  </conditionalFormatting>
  <conditionalFormatting sqref="R226">
    <cfRule type="cellIs" dxfId="0" priority="1768" operator="equal">
      <formula>"欠"</formula>
    </cfRule>
  </conditionalFormatting>
  <conditionalFormatting sqref="S226">
    <cfRule type="cellIs" dxfId="0" priority="1750" operator="equal">
      <formula>"欠"</formula>
    </cfRule>
  </conditionalFormatting>
  <conditionalFormatting sqref="T226:U226">
    <cfRule type="containsText" dxfId="0" priority="1746" operator="between" text="欠">
      <formula>NOT(ISERROR(SEARCH("欠",T226)))</formula>
    </cfRule>
    <cfRule type="cellIs" dxfId="0" priority="1748" operator="equal">
      <formula>"欠"</formula>
    </cfRule>
  </conditionalFormatting>
  <conditionalFormatting sqref="AE226">
    <cfRule type="cellIs" dxfId="0" priority="1756" operator="equal">
      <formula>"未完成"</formula>
    </cfRule>
    <cfRule type="cellIs" dxfId="1" priority="1758" operator="equal">
      <formula>"未完成"</formula>
    </cfRule>
  </conditionalFormatting>
  <conditionalFormatting sqref="AF226">
    <cfRule type="cellIs" dxfId="1" priority="1742" operator="equal">
      <formula>"未完成"</formula>
    </cfRule>
    <cfRule type="cellIs" dxfId="0" priority="1744" operator="equal">
      <formula>"未完成"</formula>
    </cfRule>
  </conditionalFormatting>
  <conditionalFormatting sqref="AG226">
    <cfRule type="cellIs" dxfId="1" priority="1782" operator="equal">
      <formula>"未完成"</formula>
    </cfRule>
    <cfRule type="cellIs" dxfId="0" priority="1784" operator="equal">
      <formula>"未完成"</formula>
    </cfRule>
  </conditionalFormatting>
  <conditionalFormatting sqref="AH226">
    <cfRule type="cellIs" dxfId="1" priority="1764" operator="equal">
      <formula>"未完成"</formula>
    </cfRule>
    <cfRule type="cellIs" dxfId="0" priority="1766" operator="equal">
      <formula>"未完成"</formula>
    </cfRule>
  </conditionalFormatting>
  <conditionalFormatting sqref="AJ226">
    <cfRule type="cellIs" dxfId="1" priority="1760" operator="equal">
      <formula>"未完成"</formula>
    </cfRule>
    <cfRule type="cellIs" dxfId="0" priority="1762" operator="equal">
      <formula>"未完成"</formula>
    </cfRule>
  </conditionalFormatting>
  <conditionalFormatting sqref="AL226">
    <cfRule type="cellIs" dxfId="1" priority="1774" operator="equal">
      <formula>"未完成"</formula>
    </cfRule>
    <cfRule type="cellIs" dxfId="0" priority="1776" operator="equal">
      <formula>"未完成"</formula>
    </cfRule>
  </conditionalFormatting>
  <conditionalFormatting sqref="AT226">
    <cfRule type="cellIs" dxfId="1" priority="1752" operator="equal">
      <formula>"未完成"</formula>
    </cfRule>
    <cfRule type="cellIs" dxfId="0" priority="1754" operator="equal">
      <formula>"未完成"</formula>
    </cfRule>
  </conditionalFormatting>
  <conditionalFormatting sqref="AE227">
    <cfRule type="cellIs" dxfId="0" priority="2987" operator="equal">
      <formula>"未完成"</formula>
    </cfRule>
    <cfRule type="cellIs" dxfId="1" priority="2994" operator="equal">
      <formula>"未完成"</formula>
    </cfRule>
  </conditionalFormatting>
  <conditionalFormatting sqref="AF227">
    <cfRule type="cellIs" dxfId="1" priority="3001" operator="equal">
      <formula>"未完成"</formula>
    </cfRule>
    <cfRule type="cellIs" dxfId="0" priority="3008" operator="equal">
      <formula>"未完成"</formula>
    </cfRule>
  </conditionalFormatting>
  <conditionalFormatting sqref="AH227">
    <cfRule type="cellIs" dxfId="1" priority="3029" operator="equal">
      <formula>"未完成"</formula>
    </cfRule>
    <cfRule type="cellIs" dxfId="0" priority="3036" operator="equal">
      <formula>"未完成"</formula>
    </cfRule>
  </conditionalFormatting>
  <conditionalFormatting sqref="AI227">
    <cfRule type="cellIs" dxfId="1" priority="2752" operator="equal">
      <formula>"未完成"</formula>
    </cfRule>
    <cfRule type="cellIs" dxfId="0" priority="2753" operator="equal">
      <formula>"未完成"</formula>
    </cfRule>
  </conditionalFormatting>
  <conditionalFormatting sqref="AJ227">
    <cfRule type="cellIs" dxfId="1" priority="3015" operator="equal">
      <formula>"未完成"</formula>
    </cfRule>
    <cfRule type="cellIs" dxfId="0" priority="3022" operator="equal">
      <formula>"未完成"</formula>
    </cfRule>
  </conditionalFormatting>
  <conditionalFormatting sqref="AK227">
    <cfRule type="cellIs" dxfId="1" priority="3078" operator="equal">
      <formula>"未完成"</formula>
    </cfRule>
    <cfRule type="cellIs" dxfId="0" priority="3085" operator="equal">
      <formula>"未完成"</formula>
    </cfRule>
  </conditionalFormatting>
  <conditionalFormatting sqref="AT227">
    <cfRule type="cellIs" dxfId="1" priority="2973" operator="equal">
      <formula>"未完成"</formula>
    </cfRule>
    <cfRule type="cellIs" dxfId="0" priority="2980" operator="equal">
      <formula>"未完成"</formula>
    </cfRule>
  </conditionalFormatting>
  <conditionalFormatting sqref="AE228">
    <cfRule type="cellIs" dxfId="0" priority="2986" operator="equal">
      <formula>"未完成"</formula>
    </cfRule>
    <cfRule type="cellIs" dxfId="1" priority="2993" operator="equal">
      <formula>"未完成"</formula>
    </cfRule>
  </conditionalFormatting>
  <conditionalFormatting sqref="AF228">
    <cfRule type="cellIs" dxfId="1" priority="1740" operator="equal">
      <formula>"未完成"</formula>
    </cfRule>
    <cfRule type="cellIs" dxfId="0" priority="1741" operator="equal">
      <formula>"未完成"</formula>
    </cfRule>
  </conditionalFormatting>
  <conditionalFormatting sqref="AH228">
    <cfRule type="cellIs" dxfId="1" priority="3028" operator="equal">
      <formula>"未完成"</formula>
    </cfRule>
    <cfRule type="cellIs" dxfId="0" priority="3035" operator="equal">
      <formula>"未完成"</formula>
    </cfRule>
  </conditionalFormatting>
  <conditionalFormatting sqref="AI228">
    <cfRule type="cellIs" dxfId="1" priority="2750" operator="equal">
      <formula>"未完成"</formula>
    </cfRule>
    <cfRule type="cellIs" dxfId="0" priority="2751" operator="equal">
      <formula>"未完成"</formula>
    </cfRule>
  </conditionalFormatting>
  <conditionalFormatting sqref="AJ228">
    <cfRule type="cellIs" dxfId="1" priority="3014" operator="equal">
      <formula>"未完成"</formula>
    </cfRule>
    <cfRule type="cellIs" dxfId="0" priority="3021" operator="equal">
      <formula>"未完成"</formula>
    </cfRule>
  </conditionalFormatting>
  <conditionalFormatting sqref="AK228">
    <cfRule type="cellIs" dxfId="1" priority="3077" operator="equal">
      <formula>"未完成"</formula>
    </cfRule>
    <cfRule type="cellIs" dxfId="0" priority="3084" operator="equal">
      <formula>"未完成"</formula>
    </cfRule>
  </conditionalFormatting>
  <conditionalFormatting sqref="AT228">
    <cfRule type="cellIs" dxfId="1" priority="2972" operator="equal">
      <formula>"未完成"</formula>
    </cfRule>
    <cfRule type="cellIs" dxfId="0" priority="2979" operator="equal">
      <formula>"未完成"</formula>
    </cfRule>
  </conditionalFormatting>
  <conditionalFormatting sqref="AE229">
    <cfRule type="cellIs" dxfId="0" priority="2985" operator="equal">
      <formula>"未完成"</formula>
    </cfRule>
    <cfRule type="cellIs" dxfId="1" priority="2992" operator="equal">
      <formula>"未完成"</formula>
    </cfRule>
  </conditionalFormatting>
  <conditionalFormatting sqref="AF229">
    <cfRule type="cellIs" dxfId="1" priority="1738" operator="equal">
      <formula>"未完成"</formula>
    </cfRule>
    <cfRule type="cellIs" dxfId="0" priority="1739" operator="equal">
      <formula>"未完成"</formula>
    </cfRule>
  </conditionalFormatting>
  <conditionalFormatting sqref="AH229">
    <cfRule type="cellIs" dxfId="1" priority="3027" operator="equal">
      <formula>"未完成"</formula>
    </cfRule>
    <cfRule type="cellIs" dxfId="0" priority="3034" operator="equal">
      <formula>"未完成"</formula>
    </cfRule>
  </conditionalFormatting>
  <conditionalFormatting sqref="AI229">
    <cfRule type="cellIs" dxfId="1" priority="2748" operator="equal">
      <formula>"未完成"</formula>
    </cfRule>
    <cfRule type="cellIs" dxfId="0" priority="2749" operator="equal">
      <formula>"未完成"</formula>
    </cfRule>
  </conditionalFormatting>
  <conditionalFormatting sqref="AJ229">
    <cfRule type="cellIs" dxfId="1" priority="3013" operator="equal">
      <formula>"未完成"</formula>
    </cfRule>
    <cfRule type="cellIs" dxfId="0" priority="3020" operator="equal">
      <formula>"未完成"</formula>
    </cfRule>
  </conditionalFormatting>
  <conditionalFormatting sqref="AK229">
    <cfRule type="cellIs" dxfId="1" priority="3076" operator="equal">
      <formula>"未完成"</formula>
    </cfRule>
    <cfRule type="cellIs" dxfId="0" priority="3083" operator="equal">
      <formula>"未完成"</formula>
    </cfRule>
  </conditionalFormatting>
  <conditionalFormatting sqref="AT229">
    <cfRule type="cellIs" dxfId="1" priority="2971" operator="equal">
      <formula>"未完成"</formula>
    </cfRule>
    <cfRule type="cellIs" dxfId="0" priority="2978" operator="equal">
      <formula>"未完成"</formula>
    </cfRule>
  </conditionalFormatting>
  <conditionalFormatting sqref="AE230">
    <cfRule type="cellIs" dxfId="0" priority="2984" operator="equal">
      <formula>"未完成"</formula>
    </cfRule>
    <cfRule type="cellIs" dxfId="1" priority="2991" operator="equal">
      <formula>"未完成"</formula>
    </cfRule>
  </conditionalFormatting>
  <conditionalFormatting sqref="AF230">
    <cfRule type="cellIs" dxfId="1" priority="1736" operator="equal">
      <formula>"未完成"</formula>
    </cfRule>
    <cfRule type="cellIs" dxfId="0" priority="1737" operator="equal">
      <formula>"未完成"</formula>
    </cfRule>
  </conditionalFormatting>
  <conditionalFormatting sqref="AH230">
    <cfRule type="cellIs" dxfId="1" priority="3026" operator="equal">
      <formula>"未完成"</formula>
    </cfRule>
    <cfRule type="cellIs" dxfId="0" priority="3033" operator="equal">
      <formula>"未完成"</formula>
    </cfRule>
  </conditionalFormatting>
  <conditionalFormatting sqref="AI230">
    <cfRule type="cellIs" dxfId="1" priority="2746" operator="equal">
      <formula>"未完成"</formula>
    </cfRule>
    <cfRule type="cellIs" dxfId="0" priority="2747" operator="equal">
      <formula>"未完成"</formula>
    </cfRule>
  </conditionalFormatting>
  <conditionalFormatting sqref="AJ230">
    <cfRule type="cellIs" dxfId="1" priority="3012" operator="equal">
      <formula>"未完成"</formula>
    </cfRule>
    <cfRule type="cellIs" dxfId="0" priority="3019" operator="equal">
      <formula>"未完成"</formula>
    </cfRule>
  </conditionalFormatting>
  <conditionalFormatting sqref="AK230">
    <cfRule type="cellIs" dxfId="1" priority="3075" operator="equal">
      <formula>"未完成"</formula>
    </cfRule>
    <cfRule type="cellIs" dxfId="0" priority="3082" operator="equal">
      <formula>"未完成"</formula>
    </cfRule>
  </conditionalFormatting>
  <conditionalFormatting sqref="AT230">
    <cfRule type="cellIs" dxfId="1" priority="2970" operator="equal">
      <formula>"未完成"</formula>
    </cfRule>
    <cfRule type="cellIs" dxfId="0" priority="2977" operator="equal">
      <formula>"未完成"</formula>
    </cfRule>
  </conditionalFormatting>
  <conditionalFormatting sqref="AE231">
    <cfRule type="cellIs" dxfId="0" priority="2983" operator="equal">
      <formula>"未完成"</formula>
    </cfRule>
    <cfRule type="cellIs" dxfId="1" priority="2990" operator="equal">
      <formula>"未完成"</formula>
    </cfRule>
  </conditionalFormatting>
  <conditionalFormatting sqref="AF231">
    <cfRule type="cellIs" dxfId="1" priority="1734" operator="equal">
      <formula>"未完成"</formula>
    </cfRule>
    <cfRule type="cellIs" dxfId="0" priority="1735" operator="equal">
      <formula>"未完成"</formula>
    </cfRule>
  </conditionalFormatting>
  <conditionalFormatting sqref="AH231">
    <cfRule type="cellIs" dxfId="1" priority="3025" operator="equal">
      <formula>"未完成"</formula>
    </cfRule>
    <cfRule type="cellIs" dxfId="0" priority="3032" operator="equal">
      <formula>"未完成"</formula>
    </cfRule>
  </conditionalFormatting>
  <conditionalFormatting sqref="AI231">
    <cfRule type="cellIs" dxfId="1" priority="2744" operator="equal">
      <formula>"未完成"</formula>
    </cfRule>
    <cfRule type="cellIs" dxfId="0" priority="2745" operator="equal">
      <formula>"未完成"</formula>
    </cfRule>
  </conditionalFormatting>
  <conditionalFormatting sqref="AJ231">
    <cfRule type="cellIs" dxfId="1" priority="3011" operator="equal">
      <formula>"未完成"</formula>
    </cfRule>
    <cfRule type="cellIs" dxfId="0" priority="3018" operator="equal">
      <formula>"未完成"</formula>
    </cfRule>
  </conditionalFormatting>
  <conditionalFormatting sqref="AK231">
    <cfRule type="cellIs" dxfId="1" priority="3074" operator="equal">
      <formula>"未完成"</formula>
    </cfRule>
    <cfRule type="cellIs" dxfId="0" priority="3081" operator="equal">
      <formula>"未完成"</formula>
    </cfRule>
  </conditionalFormatting>
  <conditionalFormatting sqref="AT231">
    <cfRule type="cellIs" dxfId="1" priority="2969" operator="equal">
      <formula>"未完成"</formula>
    </cfRule>
    <cfRule type="cellIs" dxfId="0" priority="2976" operator="equal">
      <formula>"未完成"</formula>
    </cfRule>
  </conditionalFormatting>
  <conditionalFormatting sqref="AE232">
    <cfRule type="cellIs" dxfId="0" priority="2982" operator="equal">
      <formula>"未完成"</formula>
    </cfRule>
    <cfRule type="cellIs" dxfId="1" priority="2989" operator="equal">
      <formula>"未完成"</formula>
    </cfRule>
  </conditionalFormatting>
  <conditionalFormatting sqref="AF232">
    <cfRule type="cellIs" dxfId="1" priority="1732" operator="equal">
      <formula>"未完成"</formula>
    </cfRule>
    <cfRule type="cellIs" dxfId="0" priority="1733" operator="equal">
      <formula>"未完成"</formula>
    </cfRule>
  </conditionalFormatting>
  <conditionalFormatting sqref="AH232">
    <cfRule type="cellIs" dxfId="1" priority="3024" operator="equal">
      <formula>"未完成"</formula>
    </cfRule>
    <cfRule type="cellIs" dxfId="0" priority="3031" operator="equal">
      <formula>"未完成"</formula>
    </cfRule>
  </conditionalFormatting>
  <conditionalFormatting sqref="AI232">
    <cfRule type="cellIs" dxfId="1" priority="2742" operator="equal">
      <formula>"未完成"</formula>
    </cfRule>
    <cfRule type="cellIs" dxfId="0" priority="2743" operator="equal">
      <formula>"未完成"</formula>
    </cfRule>
  </conditionalFormatting>
  <conditionalFormatting sqref="AJ232">
    <cfRule type="cellIs" dxfId="1" priority="3010" operator="equal">
      <formula>"未完成"</formula>
    </cfRule>
    <cfRule type="cellIs" dxfId="0" priority="3017" operator="equal">
      <formula>"未完成"</formula>
    </cfRule>
  </conditionalFormatting>
  <conditionalFormatting sqref="AK232">
    <cfRule type="cellIs" dxfId="1" priority="3073" operator="equal">
      <formula>"未完成"</formula>
    </cfRule>
    <cfRule type="cellIs" dxfId="0" priority="3080" operator="equal">
      <formula>"未完成"</formula>
    </cfRule>
  </conditionalFormatting>
  <conditionalFormatting sqref="AT232">
    <cfRule type="cellIs" dxfId="1" priority="2968" operator="equal">
      <formula>"未完成"</formula>
    </cfRule>
    <cfRule type="cellIs" dxfId="0" priority="2975" operator="equal">
      <formula>"未完成"</formula>
    </cfRule>
  </conditionalFormatting>
  <conditionalFormatting sqref="AE233">
    <cfRule type="cellIs" dxfId="0" priority="2981" operator="equal">
      <formula>"未完成"</formula>
    </cfRule>
    <cfRule type="cellIs" dxfId="1" priority="2988" operator="equal">
      <formula>"未完成"</formula>
    </cfRule>
  </conditionalFormatting>
  <conditionalFormatting sqref="AF233">
    <cfRule type="cellIs" dxfId="1" priority="1730" operator="equal">
      <formula>"未完成"</formula>
    </cfRule>
    <cfRule type="cellIs" dxfId="0" priority="1731" operator="equal">
      <formula>"未完成"</formula>
    </cfRule>
  </conditionalFormatting>
  <conditionalFormatting sqref="AH233">
    <cfRule type="cellIs" dxfId="1" priority="3023" operator="equal">
      <formula>"未完成"</formula>
    </cfRule>
    <cfRule type="cellIs" dxfId="0" priority="3030" operator="equal">
      <formula>"未完成"</formula>
    </cfRule>
  </conditionalFormatting>
  <conditionalFormatting sqref="AI233">
    <cfRule type="cellIs" dxfId="1" priority="2740" operator="equal">
      <formula>"未完成"</formula>
    </cfRule>
    <cfRule type="cellIs" dxfId="0" priority="2741" operator="equal">
      <formula>"未完成"</formula>
    </cfRule>
  </conditionalFormatting>
  <conditionalFormatting sqref="AJ233">
    <cfRule type="cellIs" dxfId="1" priority="3009" operator="equal">
      <formula>"未完成"</formula>
    </cfRule>
    <cfRule type="cellIs" dxfId="0" priority="3016" operator="equal">
      <formula>"未完成"</formula>
    </cfRule>
  </conditionalFormatting>
  <conditionalFormatting sqref="AK233">
    <cfRule type="cellIs" dxfId="1" priority="3072" operator="equal">
      <formula>"未完成"</formula>
    </cfRule>
    <cfRule type="cellIs" dxfId="0" priority="3079" operator="equal">
      <formula>"未完成"</formula>
    </cfRule>
  </conditionalFormatting>
  <conditionalFormatting sqref="AT233">
    <cfRule type="cellIs" dxfId="1" priority="2967" operator="equal">
      <formula>"未完成"</formula>
    </cfRule>
    <cfRule type="cellIs" dxfId="0" priority="2974" operator="equal">
      <formula>"未完成"</formula>
    </cfRule>
  </conditionalFormatting>
  <conditionalFormatting sqref="AE234">
    <cfRule type="cellIs" dxfId="0" priority="3242" operator="equal">
      <formula>"未完成"</formula>
    </cfRule>
    <cfRule type="cellIs" dxfId="1" priority="3247" operator="equal">
      <formula>"未完成"</formula>
    </cfRule>
  </conditionalFormatting>
  <conditionalFormatting sqref="AF234">
    <cfRule type="cellIs" dxfId="1" priority="3252" operator="equal">
      <formula>"未完成"</formula>
    </cfRule>
    <cfRule type="cellIs" dxfId="0" priority="3257" operator="equal">
      <formula>"未完成"</formula>
    </cfRule>
  </conditionalFormatting>
  <conditionalFormatting sqref="AH234">
    <cfRule type="cellIs" dxfId="1" priority="3272" operator="equal">
      <formula>"未完成"</formula>
    </cfRule>
    <cfRule type="cellIs" dxfId="0" priority="3277" operator="equal">
      <formula>"未完成"</formula>
    </cfRule>
  </conditionalFormatting>
  <conditionalFormatting sqref="AI234:AJ234">
    <cfRule type="cellIs" dxfId="1" priority="3262" operator="equal">
      <formula>"未完成"</formula>
    </cfRule>
    <cfRule type="cellIs" dxfId="0" priority="3267" operator="equal">
      <formula>"未完成"</formula>
    </cfRule>
  </conditionalFormatting>
  <conditionalFormatting sqref="AK234">
    <cfRule type="cellIs" dxfId="1" priority="3307" operator="equal">
      <formula>"未完成"</formula>
    </cfRule>
    <cfRule type="cellIs" dxfId="0" priority="3312" operator="equal">
      <formula>"未完成"</formula>
    </cfRule>
  </conditionalFormatting>
  <conditionalFormatting sqref="AT234">
    <cfRule type="cellIs" dxfId="1" priority="3232" operator="equal">
      <formula>"未完成"</formula>
    </cfRule>
    <cfRule type="cellIs" dxfId="0" priority="3237" operator="equal">
      <formula>"未完成"</formula>
    </cfRule>
  </conditionalFormatting>
  <conditionalFormatting sqref="AE235">
    <cfRule type="cellIs" dxfId="0" priority="3241" operator="equal">
      <formula>"未完成"</formula>
    </cfRule>
    <cfRule type="cellIs" dxfId="1" priority="3246" operator="equal">
      <formula>"未完成"</formula>
    </cfRule>
  </conditionalFormatting>
  <conditionalFormatting sqref="AF235">
    <cfRule type="cellIs" dxfId="1" priority="1373" operator="equal">
      <formula>"未完成"</formula>
    </cfRule>
    <cfRule type="cellIs" dxfId="0" priority="1374" operator="equal">
      <formula>"未完成"</formula>
    </cfRule>
  </conditionalFormatting>
  <conditionalFormatting sqref="AH235">
    <cfRule type="cellIs" dxfId="1" priority="3271" operator="equal">
      <formula>"未完成"</formula>
    </cfRule>
    <cfRule type="cellIs" dxfId="0" priority="3276" operator="equal">
      <formula>"未完成"</formula>
    </cfRule>
  </conditionalFormatting>
  <conditionalFormatting sqref="AI235">
    <cfRule type="cellIs" dxfId="1" priority="2760" operator="equal">
      <formula>"未完成"</formula>
    </cfRule>
    <cfRule type="cellIs" dxfId="0" priority="2761" operator="equal">
      <formula>"未完成"</formula>
    </cfRule>
  </conditionalFormatting>
  <conditionalFormatting sqref="AJ235">
    <cfRule type="cellIs" dxfId="1" priority="3261" operator="equal">
      <formula>"未完成"</formula>
    </cfRule>
    <cfRule type="cellIs" dxfId="0" priority="3266" operator="equal">
      <formula>"未完成"</formula>
    </cfRule>
  </conditionalFormatting>
  <conditionalFormatting sqref="AK235">
    <cfRule type="cellIs" dxfId="1" priority="3306" operator="equal">
      <formula>"未完成"</formula>
    </cfRule>
    <cfRule type="cellIs" dxfId="0" priority="3311" operator="equal">
      <formula>"未完成"</formula>
    </cfRule>
  </conditionalFormatting>
  <conditionalFormatting sqref="AT235">
    <cfRule type="cellIs" dxfId="1" priority="3231" operator="equal">
      <formula>"未完成"</formula>
    </cfRule>
    <cfRule type="cellIs" dxfId="0" priority="3236" operator="equal">
      <formula>"未完成"</formula>
    </cfRule>
  </conditionalFormatting>
  <conditionalFormatting sqref="AE236">
    <cfRule type="cellIs" dxfId="0" priority="3240" operator="equal">
      <formula>"未完成"</formula>
    </cfRule>
    <cfRule type="cellIs" dxfId="1" priority="3245" operator="equal">
      <formula>"未完成"</formula>
    </cfRule>
  </conditionalFormatting>
  <conditionalFormatting sqref="AF236">
    <cfRule type="cellIs" dxfId="1" priority="1371" operator="equal">
      <formula>"未完成"</formula>
    </cfRule>
    <cfRule type="cellIs" dxfId="0" priority="1372" operator="equal">
      <formula>"未完成"</formula>
    </cfRule>
  </conditionalFormatting>
  <conditionalFormatting sqref="AH236">
    <cfRule type="cellIs" dxfId="1" priority="3270" operator="equal">
      <formula>"未完成"</formula>
    </cfRule>
    <cfRule type="cellIs" dxfId="0" priority="3275" operator="equal">
      <formula>"未完成"</formula>
    </cfRule>
  </conditionalFormatting>
  <conditionalFormatting sqref="AI236">
    <cfRule type="cellIs" dxfId="1" priority="2756" operator="equal">
      <formula>"未完成"</formula>
    </cfRule>
    <cfRule type="cellIs" dxfId="0" priority="2757" operator="equal">
      <formula>"未完成"</formula>
    </cfRule>
  </conditionalFormatting>
  <conditionalFormatting sqref="AJ236">
    <cfRule type="cellIs" dxfId="1" priority="3260" operator="equal">
      <formula>"未完成"</formula>
    </cfRule>
    <cfRule type="cellIs" dxfId="0" priority="3265" operator="equal">
      <formula>"未完成"</formula>
    </cfRule>
  </conditionalFormatting>
  <conditionalFormatting sqref="AK236">
    <cfRule type="cellIs" dxfId="1" priority="3305" operator="equal">
      <formula>"未完成"</formula>
    </cfRule>
    <cfRule type="cellIs" dxfId="0" priority="3310" operator="equal">
      <formula>"未完成"</formula>
    </cfRule>
  </conditionalFormatting>
  <conditionalFormatting sqref="AT236">
    <cfRule type="cellIs" dxfId="1" priority="3230" operator="equal">
      <formula>"未完成"</formula>
    </cfRule>
    <cfRule type="cellIs" dxfId="0" priority="3235" operator="equal">
      <formula>"未完成"</formula>
    </cfRule>
  </conditionalFormatting>
  <conditionalFormatting sqref="AE237">
    <cfRule type="cellIs" dxfId="0" priority="3239" operator="equal">
      <formula>"未完成"</formula>
    </cfRule>
    <cfRule type="cellIs" dxfId="1" priority="3244" operator="equal">
      <formula>"未完成"</formula>
    </cfRule>
  </conditionalFormatting>
  <conditionalFormatting sqref="AF237">
    <cfRule type="cellIs" dxfId="1" priority="1369" operator="equal">
      <formula>"未完成"</formula>
    </cfRule>
    <cfRule type="cellIs" dxfId="0" priority="1370" operator="equal">
      <formula>"未完成"</formula>
    </cfRule>
  </conditionalFormatting>
  <conditionalFormatting sqref="AH237">
    <cfRule type="cellIs" dxfId="1" priority="3269" operator="equal">
      <formula>"未完成"</formula>
    </cfRule>
    <cfRule type="cellIs" dxfId="0" priority="3274" operator="equal">
      <formula>"未完成"</formula>
    </cfRule>
  </conditionalFormatting>
  <conditionalFormatting sqref="AI237">
    <cfRule type="cellIs" dxfId="1" priority="2758" operator="equal">
      <formula>"未完成"</formula>
    </cfRule>
    <cfRule type="cellIs" dxfId="0" priority="2759" operator="equal">
      <formula>"未完成"</formula>
    </cfRule>
  </conditionalFormatting>
  <conditionalFormatting sqref="AJ237">
    <cfRule type="cellIs" dxfId="1" priority="3259" operator="equal">
      <formula>"未完成"</formula>
    </cfRule>
    <cfRule type="cellIs" dxfId="0" priority="3264" operator="equal">
      <formula>"未完成"</formula>
    </cfRule>
  </conditionalFormatting>
  <conditionalFormatting sqref="AK237">
    <cfRule type="cellIs" dxfId="1" priority="3304" operator="equal">
      <formula>"未完成"</formula>
    </cfRule>
    <cfRule type="cellIs" dxfId="0" priority="3309" operator="equal">
      <formula>"未完成"</formula>
    </cfRule>
  </conditionalFormatting>
  <conditionalFormatting sqref="AT237">
    <cfRule type="cellIs" dxfId="1" priority="3229" operator="equal">
      <formula>"未完成"</formula>
    </cfRule>
    <cfRule type="cellIs" dxfId="0" priority="3234" operator="equal">
      <formula>"未完成"</formula>
    </cfRule>
  </conditionalFormatting>
  <conditionalFormatting sqref="AE238">
    <cfRule type="cellIs" dxfId="0" priority="3238" operator="equal">
      <formula>"未完成"</formula>
    </cfRule>
    <cfRule type="cellIs" dxfId="1" priority="3243" operator="equal">
      <formula>"未完成"</formula>
    </cfRule>
  </conditionalFormatting>
  <conditionalFormatting sqref="AF238">
    <cfRule type="cellIs" dxfId="1" priority="1367" operator="equal">
      <formula>"未完成"</formula>
    </cfRule>
    <cfRule type="cellIs" dxfId="0" priority="1368" operator="equal">
      <formula>"未完成"</formula>
    </cfRule>
  </conditionalFormatting>
  <conditionalFormatting sqref="AH238">
    <cfRule type="cellIs" dxfId="1" priority="3268" operator="equal">
      <formula>"未完成"</formula>
    </cfRule>
    <cfRule type="cellIs" dxfId="0" priority="3273" operator="equal">
      <formula>"未完成"</formula>
    </cfRule>
  </conditionalFormatting>
  <conditionalFormatting sqref="AI238">
    <cfRule type="cellIs" dxfId="1" priority="2754" operator="equal">
      <formula>"未完成"</formula>
    </cfRule>
    <cfRule type="cellIs" dxfId="0" priority="2755" operator="equal">
      <formula>"未完成"</formula>
    </cfRule>
  </conditionalFormatting>
  <conditionalFormatting sqref="AJ238">
    <cfRule type="cellIs" dxfId="1" priority="3258" operator="equal">
      <formula>"未完成"</formula>
    </cfRule>
    <cfRule type="cellIs" dxfId="0" priority="3263" operator="equal">
      <formula>"未完成"</formula>
    </cfRule>
  </conditionalFormatting>
  <conditionalFormatting sqref="AK238">
    <cfRule type="cellIs" dxfId="1" priority="3303" operator="equal">
      <formula>"未完成"</formula>
    </cfRule>
    <cfRule type="cellIs" dxfId="0" priority="3308" operator="equal">
      <formula>"未完成"</formula>
    </cfRule>
  </conditionalFormatting>
  <conditionalFormatting sqref="AE239">
    <cfRule type="cellIs" dxfId="0" priority="2802" operator="equal">
      <formula>"未完成"</formula>
    </cfRule>
    <cfRule type="cellIs" dxfId="1" priority="2809" operator="equal">
      <formula>"未完成"</formula>
    </cfRule>
  </conditionalFormatting>
  <conditionalFormatting sqref="AF239">
    <cfRule type="cellIs" dxfId="1" priority="1387" operator="equal">
      <formula>"未完成"</formula>
    </cfRule>
    <cfRule type="cellIs" dxfId="0" priority="1388" operator="equal">
      <formula>"未完成"</formula>
    </cfRule>
  </conditionalFormatting>
  <conditionalFormatting sqref="AH239">
    <cfRule type="cellIs" dxfId="1" priority="2844" operator="equal">
      <formula>"未完成"</formula>
    </cfRule>
    <cfRule type="cellIs" dxfId="0" priority="2851" operator="equal">
      <formula>"未完成"</formula>
    </cfRule>
  </conditionalFormatting>
  <conditionalFormatting sqref="AJ239">
    <cfRule type="cellIs" dxfId="1" priority="2830" operator="equal">
      <formula>"未完成"</formula>
    </cfRule>
    <cfRule type="cellIs" dxfId="0" priority="2837" operator="equal">
      <formula>"未完成"</formula>
    </cfRule>
  </conditionalFormatting>
  <conditionalFormatting sqref="AK239">
    <cfRule type="cellIs" dxfId="1" priority="2893" operator="equal">
      <formula>"未完成"</formula>
    </cfRule>
    <cfRule type="cellIs" dxfId="0" priority="2900" operator="equal">
      <formula>"未完成"</formula>
    </cfRule>
  </conditionalFormatting>
  <conditionalFormatting sqref="AE240">
    <cfRule type="cellIs" dxfId="0" priority="2803" operator="equal">
      <formula>"未完成"</formula>
    </cfRule>
    <cfRule type="cellIs" dxfId="1" priority="2810" operator="equal">
      <formula>"未完成"</formula>
    </cfRule>
  </conditionalFormatting>
  <conditionalFormatting sqref="AF240">
    <cfRule type="cellIs" dxfId="1" priority="2817" operator="equal">
      <formula>"未完成"</formula>
    </cfRule>
    <cfRule type="cellIs" dxfId="0" priority="2824" operator="equal">
      <formula>"未完成"</formula>
    </cfRule>
  </conditionalFormatting>
  <conditionalFormatting sqref="AH240">
    <cfRule type="cellIs" dxfId="1" priority="2845" operator="equal">
      <formula>"未完成"</formula>
    </cfRule>
    <cfRule type="cellIs" dxfId="0" priority="2852" operator="equal">
      <formula>"未完成"</formula>
    </cfRule>
  </conditionalFormatting>
  <conditionalFormatting sqref="AK240">
    <cfRule type="cellIs" dxfId="1" priority="2894" operator="equal">
      <formula>"未完成"</formula>
    </cfRule>
    <cfRule type="cellIs" dxfId="0" priority="2901" operator="equal">
      <formula>"未完成"</formula>
    </cfRule>
  </conditionalFormatting>
  <conditionalFormatting sqref="AE241">
    <cfRule type="cellIs" dxfId="0" priority="2801" operator="equal">
      <formula>"未完成"</formula>
    </cfRule>
    <cfRule type="cellIs" dxfId="1" priority="2808" operator="equal">
      <formula>"未完成"</formula>
    </cfRule>
  </conditionalFormatting>
  <conditionalFormatting sqref="AF241">
    <cfRule type="cellIs" dxfId="1" priority="2815" operator="equal">
      <formula>"未完成"</formula>
    </cfRule>
    <cfRule type="cellIs" dxfId="0" priority="2822" operator="equal">
      <formula>"未完成"</formula>
    </cfRule>
  </conditionalFormatting>
  <conditionalFormatting sqref="AH241">
    <cfRule type="cellIs" dxfId="1" priority="2843" operator="equal">
      <formula>"未完成"</formula>
    </cfRule>
    <cfRule type="cellIs" dxfId="0" priority="2850" operator="equal">
      <formula>"未完成"</formula>
    </cfRule>
  </conditionalFormatting>
  <conditionalFormatting sqref="AI241:AJ241">
    <cfRule type="cellIs" dxfId="1" priority="2829" operator="equal">
      <formula>"未完成"</formula>
    </cfRule>
    <cfRule type="cellIs" dxfId="0" priority="2836" operator="equal">
      <formula>"未完成"</formula>
    </cfRule>
  </conditionalFormatting>
  <conditionalFormatting sqref="AK241">
    <cfRule type="cellIs" dxfId="1" priority="2892" operator="equal">
      <formula>"未完成"</formula>
    </cfRule>
    <cfRule type="cellIs" dxfId="0" priority="2899" operator="equal">
      <formula>"未完成"</formula>
    </cfRule>
  </conditionalFormatting>
  <conditionalFormatting sqref="AE242">
    <cfRule type="cellIs" dxfId="0" priority="2800" operator="equal">
      <formula>"未完成"</formula>
    </cfRule>
    <cfRule type="cellIs" dxfId="1" priority="2807" operator="equal">
      <formula>"未完成"</formula>
    </cfRule>
  </conditionalFormatting>
  <conditionalFormatting sqref="AF242">
    <cfRule type="cellIs" dxfId="1" priority="2814" operator="equal">
      <formula>"未完成"</formula>
    </cfRule>
    <cfRule type="cellIs" dxfId="0" priority="2821" operator="equal">
      <formula>"未完成"</formula>
    </cfRule>
  </conditionalFormatting>
  <conditionalFormatting sqref="AH242">
    <cfRule type="cellIs" dxfId="1" priority="2842" operator="equal">
      <formula>"未完成"</formula>
    </cfRule>
    <cfRule type="cellIs" dxfId="0" priority="2849" operator="equal">
      <formula>"未完成"</formula>
    </cfRule>
  </conditionalFormatting>
  <conditionalFormatting sqref="AI242:AJ242">
    <cfRule type="cellIs" dxfId="1" priority="2828" operator="equal">
      <formula>"未完成"</formula>
    </cfRule>
    <cfRule type="cellIs" dxfId="0" priority="2835" operator="equal">
      <formula>"未完成"</formula>
    </cfRule>
  </conditionalFormatting>
  <conditionalFormatting sqref="AK242">
    <cfRule type="cellIs" dxfId="1" priority="2891" operator="equal">
      <formula>"未完成"</formula>
    </cfRule>
    <cfRule type="cellIs" dxfId="0" priority="2898" operator="equal">
      <formula>"未完成"</formula>
    </cfRule>
  </conditionalFormatting>
  <conditionalFormatting sqref="AE243">
    <cfRule type="cellIs" dxfId="0" priority="2799" operator="equal">
      <formula>"未完成"</formula>
    </cfRule>
    <cfRule type="cellIs" dxfId="1" priority="2806" operator="equal">
      <formula>"未完成"</formula>
    </cfRule>
  </conditionalFormatting>
  <conditionalFormatting sqref="AF243">
    <cfRule type="cellIs" dxfId="1" priority="2813" operator="equal">
      <formula>"未完成"</formula>
    </cfRule>
    <cfRule type="cellIs" dxfId="0" priority="2820" operator="equal">
      <formula>"未完成"</formula>
    </cfRule>
  </conditionalFormatting>
  <conditionalFormatting sqref="AH243">
    <cfRule type="cellIs" dxfId="1" priority="2841" operator="equal">
      <formula>"未完成"</formula>
    </cfRule>
    <cfRule type="cellIs" dxfId="0" priority="2848" operator="equal">
      <formula>"未完成"</formula>
    </cfRule>
  </conditionalFormatting>
  <conditionalFormatting sqref="AI243:AJ243">
    <cfRule type="cellIs" dxfId="1" priority="2827" operator="equal">
      <formula>"未完成"</formula>
    </cfRule>
    <cfRule type="cellIs" dxfId="0" priority="2834" operator="equal">
      <formula>"未完成"</formula>
    </cfRule>
  </conditionalFormatting>
  <conditionalFormatting sqref="AK243">
    <cfRule type="cellIs" dxfId="1" priority="2890" operator="equal">
      <formula>"未完成"</formula>
    </cfRule>
    <cfRule type="cellIs" dxfId="0" priority="2897" operator="equal">
      <formula>"未完成"</formula>
    </cfRule>
  </conditionalFormatting>
  <conditionalFormatting sqref="AE244">
    <cfRule type="cellIs" dxfId="0" priority="2798" operator="equal">
      <formula>"未完成"</formula>
    </cfRule>
    <cfRule type="cellIs" dxfId="1" priority="2805" operator="equal">
      <formula>"未完成"</formula>
    </cfRule>
  </conditionalFormatting>
  <conditionalFormatting sqref="AF244">
    <cfRule type="cellIs" dxfId="1" priority="1385" operator="equal">
      <formula>"未完成"</formula>
    </cfRule>
    <cfRule type="cellIs" dxfId="0" priority="1386" operator="equal">
      <formula>"未完成"</formula>
    </cfRule>
  </conditionalFormatting>
  <conditionalFormatting sqref="AH244">
    <cfRule type="cellIs" dxfId="1" priority="2840" operator="equal">
      <formula>"未完成"</formula>
    </cfRule>
    <cfRule type="cellIs" dxfId="0" priority="2847" operator="equal">
      <formula>"未完成"</formula>
    </cfRule>
  </conditionalFormatting>
  <conditionalFormatting sqref="AI244:AJ244">
    <cfRule type="cellIs" dxfId="1" priority="2826" operator="equal">
      <formula>"未完成"</formula>
    </cfRule>
    <cfRule type="cellIs" dxfId="0" priority="2833" operator="equal">
      <formula>"未完成"</formula>
    </cfRule>
  </conditionalFormatting>
  <conditionalFormatting sqref="AK244">
    <cfRule type="cellIs" dxfId="1" priority="2889" operator="equal">
      <formula>"未完成"</formula>
    </cfRule>
    <cfRule type="cellIs" dxfId="0" priority="2896" operator="equal">
      <formula>"未完成"</formula>
    </cfRule>
  </conditionalFormatting>
  <conditionalFormatting sqref="AE245">
    <cfRule type="cellIs" dxfId="0" priority="2797" operator="equal">
      <formula>"未完成"</formula>
    </cfRule>
    <cfRule type="cellIs" dxfId="1" priority="2804" operator="equal">
      <formula>"未完成"</formula>
    </cfRule>
  </conditionalFormatting>
  <conditionalFormatting sqref="AF245">
    <cfRule type="cellIs" dxfId="1" priority="1383" operator="equal">
      <formula>"未完成"</formula>
    </cfRule>
    <cfRule type="cellIs" dxfId="0" priority="1384" operator="equal">
      <formula>"未完成"</formula>
    </cfRule>
  </conditionalFormatting>
  <conditionalFormatting sqref="AH245">
    <cfRule type="cellIs" dxfId="1" priority="2839" operator="equal">
      <formula>"未完成"</formula>
    </cfRule>
    <cfRule type="cellIs" dxfId="0" priority="2846" operator="equal">
      <formula>"未完成"</formula>
    </cfRule>
  </conditionalFormatting>
  <conditionalFormatting sqref="AI245:AJ245">
    <cfRule type="cellIs" dxfId="1" priority="2825" operator="equal">
      <formula>"未完成"</formula>
    </cfRule>
    <cfRule type="cellIs" dxfId="0" priority="2832" operator="equal">
      <formula>"未完成"</formula>
    </cfRule>
  </conditionalFormatting>
  <conditionalFormatting sqref="AF247">
    <cfRule type="cellIs" dxfId="1" priority="1305" operator="equal">
      <formula>"未完成"</formula>
    </cfRule>
    <cfRule type="cellIs" dxfId="0" priority="1306" operator="equal">
      <formula>"未完成"</formula>
    </cfRule>
  </conditionalFormatting>
  <conditionalFormatting sqref="AF248">
    <cfRule type="cellIs" dxfId="1" priority="1285" operator="equal">
      <formula>"未完成"</formula>
    </cfRule>
    <cfRule type="cellIs" dxfId="0" priority="1286" operator="equal">
      <formula>"未完成"</formula>
    </cfRule>
  </conditionalFormatting>
  <conditionalFormatting sqref="AF249">
    <cfRule type="cellIs" dxfId="1" priority="1283" operator="equal">
      <formula>"未完成"</formula>
    </cfRule>
    <cfRule type="cellIs" dxfId="0" priority="1284" operator="equal">
      <formula>"未完成"</formula>
    </cfRule>
  </conditionalFormatting>
  <conditionalFormatting sqref="AF250">
    <cfRule type="cellIs" dxfId="1" priority="1281" operator="equal">
      <formula>"未完成"</formula>
    </cfRule>
    <cfRule type="cellIs" dxfId="0" priority="1282" operator="equal">
      <formula>"未完成"</formula>
    </cfRule>
  </conditionalFormatting>
  <conditionalFormatting sqref="AF251">
    <cfRule type="cellIs" dxfId="1" priority="1279" operator="equal">
      <formula>"未完成"</formula>
    </cfRule>
    <cfRule type="cellIs" dxfId="0" priority="1280" operator="equal">
      <formula>"未完成"</formula>
    </cfRule>
  </conditionalFormatting>
  <conditionalFormatting sqref="AF253">
    <cfRule type="cellIs" dxfId="1" priority="1277" operator="equal">
      <formula>"未完成"</formula>
    </cfRule>
    <cfRule type="cellIs" dxfId="0" priority="1278" operator="equal">
      <formula>"未完成"</formula>
    </cfRule>
  </conditionalFormatting>
  <conditionalFormatting sqref="AF254">
    <cfRule type="cellIs" dxfId="1" priority="1291" operator="equal">
      <formula>"未完成"</formula>
    </cfRule>
    <cfRule type="cellIs" dxfId="0" priority="1292" operator="equal">
      <formula>"未完成"</formula>
    </cfRule>
  </conditionalFormatting>
  <conditionalFormatting sqref="AF255">
    <cfRule type="cellIs" dxfId="1" priority="1289" operator="equal">
      <formula>"未完成"</formula>
    </cfRule>
    <cfRule type="cellIs" dxfId="0" priority="1290" operator="equal">
      <formula>"未完成"</formula>
    </cfRule>
  </conditionalFormatting>
  <conditionalFormatting sqref="AF256">
    <cfRule type="cellIs" dxfId="1" priority="1287" operator="equal">
      <formula>"未完成"</formula>
    </cfRule>
    <cfRule type="cellIs" dxfId="0" priority="1288" operator="equal">
      <formula>"未完成"</formula>
    </cfRule>
  </conditionalFormatting>
  <conditionalFormatting sqref="AE257">
    <cfRule type="cellIs" dxfId="0" priority="3135" operator="equal">
      <formula>"未完成"</formula>
    </cfRule>
    <cfRule type="cellIs" dxfId="1" priority="3138" operator="equal">
      <formula>"未完成"</formula>
    </cfRule>
  </conditionalFormatting>
  <conditionalFormatting sqref="AF257">
    <cfRule type="cellIs" dxfId="1" priority="1275" operator="equal">
      <formula>"未完成"</formula>
    </cfRule>
    <cfRule type="cellIs" dxfId="0" priority="1276" operator="equal">
      <formula>"未完成"</formula>
    </cfRule>
  </conditionalFormatting>
  <conditionalFormatting sqref="AH257">
    <cfRule type="cellIs" dxfId="1" priority="3153" operator="equal">
      <formula>"未完成"</formula>
    </cfRule>
    <cfRule type="cellIs" dxfId="0" priority="3156" operator="equal">
      <formula>"未完成"</formula>
    </cfRule>
  </conditionalFormatting>
  <conditionalFormatting sqref="AI257">
    <cfRule type="cellIs" dxfId="1" priority="1401" operator="equal">
      <formula>"未完成"</formula>
    </cfRule>
    <cfRule type="cellIs" dxfId="0" priority="1402" operator="equal">
      <formula>"未完成"</formula>
    </cfRule>
  </conditionalFormatting>
  <conditionalFormatting sqref="AJ257">
    <cfRule type="cellIs" dxfId="1" priority="3147" operator="equal">
      <formula>"未完成"</formula>
    </cfRule>
    <cfRule type="cellIs" dxfId="0" priority="3150" operator="equal">
      <formula>"未完成"</formula>
    </cfRule>
  </conditionalFormatting>
  <conditionalFormatting sqref="AL257">
    <cfRule type="cellIs" dxfId="1" priority="3123" operator="equal">
      <formula>"未完成"</formula>
    </cfRule>
    <cfRule type="cellIs" dxfId="0" priority="3126" operator="equal">
      <formula>"未完成"</formula>
    </cfRule>
  </conditionalFormatting>
  <conditionalFormatting sqref="AM257">
    <cfRule type="cellIs" dxfId="1" priority="3102" operator="equal">
      <formula>"未完成"</formula>
    </cfRule>
    <cfRule type="cellIs" dxfId="0" priority="3105" operator="equal">
      <formula>"未完成"</formula>
    </cfRule>
  </conditionalFormatting>
  <conditionalFormatting sqref="AT257">
    <cfRule type="cellIs" dxfId="1" priority="3117" operator="equal">
      <formula>"未完成"</formula>
    </cfRule>
    <cfRule type="cellIs" dxfId="0" priority="3120" operator="equal">
      <formula>"未完成"</formula>
    </cfRule>
  </conditionalFormatting>
  <conditionalFormatting sqref="AE258">
    <cfRule type="cellIs" dxfId="0" priority="3134" operator="equal">
      <formula>"未完成"</formula>
    </cfRule>
    <cfRule type="cellIs" dxfId="1" priority="3137" operator="equal">
      <formula>"未完成"</formula>
    </cfRule>
  </conditionalFormatting>
  <conditionalFormatting sqref="AF258">
    <cfRule type="cellIs" dxfId="1" priority="1273" operator="equal">
      <formula>"未完成"</formula>
    </cfRule>
    <cfRule type="cellIs" dxfId="0" priority="1274" operator="equal">
      <formula>"未完成"</formula>
    </cfRule>
  </conditionalFormatting>
  <conditionalFormatting sqref="AH258">
    <cfRule type="cellIs" dxfId="1" priority="3152" operator="equal">
      <formula>"未完成"</formula>
    </cfRule>
    <cfRule type="cellIs" dxfId="0" priority="3155" operator="equal">
      <formula>"未完成"</formula>
    </cfRule>
  </conditionalFormatting>
  <conditionalFormatting sqref="AI258">
    <cfRule type="cellIs" dxfId="1" priority="1399" operator="equal">
      <formula>"未完成"</formula>
    </cfRule>
    <cfRule type="cellIs" dxfId="0" priority="1400" operator="equal">
      <formula>"未完成"</formula>
    </cfRule>
  </conditionalFormatting>
  <conditionalFormatting sqref="AJ258">
    <cfRule type="cellIs" dxfId="1" priority="3146" operator="equal">
      <formula>"未完成"</formula>
    </cfRule>
    <cfRule type="cellIs" dxfId="0" priority="3149" operator="equal">
      <formula>"未完成"</formula>
    </cfRule>
  </conditionalFormatting>
  <conditionalFormatting sqref="AL258">
    <cfRule type="cellIs" dxfId="1" priority="3122" operator="equal">
      <formula>"未完成"</formula>
    </cfRule>
    <cfRule type="cellIs" dxfId="0" priority="3125" operator="equal">
      <formula>"未完成"</formula>
    </cfRule>
  </conditionalFormatting>
  <conditionalFormatting sqref="AM258">
    <cfRule type="cellIs" dxfId="1" priority="3101" operator="equal">
      <formula>"未完成"</formula>
    </cfRule>
    <cfRule type="cellIs" dxfId="0" priority="3104" operator="equal">
      <formula>"未完成"</formula>
    </cfRule>
  </conditionalFormatting>
  <conditionalFormatting sqref="AT258">
    <cfRule type="cellIs" dxfId="1" priority="3116" operator="equal">
      <formula>"未完成"</formula>
    </cfRule>
    <cfRule type="cellIs" dxfId="0" priority="3119" operator="equal">
      <formula>"未完成"</formula>
    </cfRule>
  </conditionalFormatting>
  <conditionalFormatting sqref="AF259">
    <cfRule type="cellIs" dxfId="1" priority="1271" operator="equal">
      <formula>"未完成"</formula>
    </cfRule>
    <cfRule type="cellIs" dxfId="0" priority="1272" operator="equal">
      <formula>"未完成"</formula>
    </cfRule>
  </conditionalFormatting>
  <conditionalFormatting sqref="AI259">
    <cfRule type="cellIs" dxfId="1" priority="1397" operator="equal">
      <formula>"未完成"</formula>
    </cfRule>
    <cfRule type="cellIs" dxfId="0" priority="1398" operator="equal">
      <formula>"未完成"</formula>
    </cfRule>
  </conditionalFormatting>
  <conditionalFormatting sqref="AE260">
    <cfRule type="cellIs" dxfId="0" priority="1819" operator="equal">
      <formula>"未完成"</formula>
    </cfRule>
  </conditionalFormatting>
  <conditionalFormatting sqref="AI260:AJ260">
    <cfRule type="cellIs" dxfId="1" priority="1820" operator="equal">
      <formula>"未完成"</formula>
    </cfRule>
    <cfRule type="cellIs" dxfId="0" priority="1821" operator="equal">
      <formula>"未完成"</formula>
    </cfRule>
  </conditionalFormatting>
  <conditionalFormatting sqref="AE261">
    <cfRule type="cellIs" dxfId="0" priority="1809" operator="equal">
      <formula>"未完成"</formula>
    </cfRule>
  </conditionalFormatting>
  <conditionalFormatting sqref="AI261">
    <cfRule type="cellIs" dxfId="1" priority="1411" operator="equal">
      <formula>"未完成"</formula>
    </cfRule>
    <cfRule type="cellIs" dxfId="0" priority="1412" operator="equal">
      <formula>"未完成"</formula>
    </cfRule>
  </conditionalFormatting>
  <conditionalFormatting sqref="AJ261">
    <cfRule type="cellIs" dxfId="1" priority="1810" operator="equal">
      <formula>"未完成"</formula>
    </cfRule>
    <cfRule type="cellIs" dxfId="0" priority="1811" operator="equal">
      <formula>"未完成"</formula>
    </cfRule>
  </conditionalFormatting>
  <conditionalFormatting sqref="AE262">
    <cfRule type="cellIs" dxfId="0" priority="1793" operator="equal">
      <formula>"未完成"</formula>
    </cfRule>
  </conditionalFormatting>
  <conditionalFormatting sqref="AI262:AJ262">
    <cfRule type="cellIs" dxfId="1" priority="1794" operator="equal">
      <formula>"未完成"</formula>
    </cfRule>
    <cfRule type="cellIs" dxfId="0" priority="1795" operator="equal">
      <formula>"未完成"</formula>
    </cfRule>
  </conditionalFormatting>
  <conditionalFormatting sqref="AF263">
    <cfRule type="cellIs" dxfId="1" priority="3139" operator="equal">
      <formula>"未完成"</formula>
    </cfRule>
    <cfRule type="cellIs" dxfId="0" priority="3142" operator="equal">
      <formula>"未完成"</formula>
    </cfRule>
  </conditionalFormatting>
  <conditionalFormatting sqref="AE264">
    <cfRule type="cellIs" dxfId="0" priority="1429" operator="equal">
      <formula>"未完成"</formula>
    </cfRule>
  </conditionalFormatting>
  <conditionalFormatting sqref="AI264:AJ264">
    <cfRule type="cellIs" dxfId="1" priority="1430" operator="equal">
      <formula>"未完成"</formula>
    </cfRule>
    <cfRule type="cellIs" dxfId="0" priority="1431" operator="equal">
      <formula>"未完成"</formula>
    </cfRule>
  </conditionalFormatting>
  <conditionalFormatting sqref="AE265">
    <cfRule type="cellIs" dxfId="0" priority="1545" operator="equal">
      <formula>"未完成"</formula>
    </cfRule>
  </conditionalFormatting>
  <conditionalFormatting sqref="AF265">
    <cfRule type="cellIs" dxfId="1" priority="1299" operator="equal">
      <formula>"未完成"</formula>
    </cfRule>
    <cfRule type="cellIs" dxfId="0" priority="1300" operator="equal">
      <formula>"未完成"</formula>
    </cfRule>
  </conditionalFormatting>
  <conditionalFormatting sqref="AI265:AJ265">
    <cfRule type="cellIs" dxfId="1" priority="1543" operator="equal">
      <formula>"未完成"</formula>
    </cfRule>
    <cfRule type="cellIs" dxfId="0" priority="1544" operator="equal">
      <formula>"未完成"</formula>
    </cfRule>
  </conditionalFormatting>
  <conditionalFormatting sqref="AM265">
    <cfRule type="cellIs" dxfId="1" priority="1539" operator="equal">
      <formula>"未完成"</formula>
    </cfRule>
    <cfRule type="cellIs" dxfId="0" priority="1540" operator="equal">
      <formula>"未完成"</formula>
    </cfRule>
  </conditionalFormatting>
  <conditionalFormatting sqref="AP265">
    <cfRule type="cellIs" dxfId="1" priority="1537" operator="equal">
      <formula>"未完成"</formula>
    </cfRule>
    <cfRule type="cellIs" dxfId="0" priority="1538" operator="equal">
      <formula>"未完成"</formula>
    </cfRule>
  </conditionalFormatting>
  <conditionalFormatting sqref="AQ265">
    <cfRule type="cellIs" dxfId="1" priority="1528" operator="equal">
      <formula>"未完成"</formula>
    </cfRule>
    <cfRule type="cellIs" dxfId="0" priority="1529" operator="equal">
      <formula>"未完成"</formula>
    </cfRule>
  </conditionalFormatting>
  <conditionalFormatting sqref="AT265">
    <cfRule type="cellIs" dxfId="1" priority="1535" operator="equal">
      <formula>"未完成"</formula>
    </cfRule>
    <cfRule type="cellIs" dxfId="0" priority="1536" operator="equal">
      <formula>"未完成"</formula>
    </cfRule>
  </conditionalFormatting>
  <conditionalFormatting sqref="AU265:AW265">
    <cfRule type="cellIs" dxfId="1" priority="1541" operator="equal">
      <formula>"未完成"</formula>
    </cfRule>
    <cfRule type="cellIs" dxfId="0" priority="1542" operator="equal">
      <formula>"未完成"</formula>
    </cfRule>
  </conditionalFormatting>
  <conditionalFormatting sqref="AE266">
    <cfRule type="cellIs" dxfId="0" priority="1522" operator="equal">
      <formula>"未完成"</formula>
    </cfRule>
  </conditionalFormatting>
  <conditionalFormatting sqref="AF266">
    <cfRule type="cellIs" dxfId="1" priority="1297" operator="equal">
      <formula>"未完成"</formula>
    </cfRule>
    <cfRule type="cellIs" dxfId="0" priority="1298" operator="equal">
      <formula>"未完成"</formula>
    </cfRule>
  </conditionalFormatting>
  <conditionalFormatting sqref="AI266">
    <cfRule type="cellIs" dxfId="1" priority="1107" operator="equal">
      <formula>"未完成"</formula>
    </cfRule>
    <cfRule type="cellIs" dxfId="0" priority="1108" operator="equal">
      <formula>"未完成"</formula>
    </cfRule>
  </conditionalFormatting>
  <conditionalFormatting sqref="AJ266">
    <cfRule type="cellIs" dxfId="1" priority="1520" operator="equal">
      <formula>"未完成"</formula>
    </cfRule>
    <cfRule type="cellIs" dxfId="0" priority="1521" operator="equal">
      <formula>"未完成"</formula>
    </cfRule>
  </conditionalFormatting>
  <conditionalFormatting sqref="AM266">
    <cfRule type="cellIs" dxfId="1" priority="1516" operator="equal">
      <formula>"未完成"</formula>
    </cfRule>
    <cfRule type="cellIs" dxfId="0" priority="1517" operator="equal">
      <formula>"未完成"</formula>
    </cfRule>
  </conditionalFormatting>
  <conditionalFormatting sqref="AP266">
    <cfRule type="cellIs" dxfId="1" priority="1514" operator="equal">
      <formula>"未完成"</formula>
    </cfRule>
    <cfRule type="cellIs" dxfId="0" priority="1515" operator="equal">
      <formula>"未完成"</formula>
    </cfRule>
  </conditionalFormatting>
  <conditionalFormatting sqref="AQ266">
    <cfRule type="cellIs" dxfId="1" priority="1505" operator="equal">
      <formula>"未完成"</formula>
    </cfRule>
    <cfRule type="cellIs" dxfId="0" priority="1506" operator="equal">
      <formula>"未完成"</formula>
    </cfRule>
  </conditionalFormatting>
  <conditionalFormatting sqref="AT266">
    <cfRule type="cellIs" dxfId="1" priority="1512" operator="equal">
      <formula>"未完成"</formula>
    </cfRule>
    <cfRule type="cellIs" dxfId="0" priority="1513" operator="equal">
      <formula>"未完成"</formula>
    </cfRule>
  </conditionalFormatting>
  <conditionalFormatting sqref="AU266:AW266">
    <cfRule type="cellIs" dxfId="1" priority="1518" operator="equal">
      <formula>"未完成"</formula>
    </cfRule>
    <cfRule type="cellIs" dxfId="0" priority="1519" operator="equal">
      <formula>"未完成"</formula>
    </cfRule>
  </conditionalFormatting>
  <conditionalFormatting sqref="AE267">
    <cfRule type="cellIs" dxfId="0" priority="1499" operator="equal">
      <formula>"未完成"</formula>
    </cfRule>
  </conditionalFormatting>
  <conditionalFormatting sqref="AF267">
    <cfRule type="cellIs" dxfId="1" priority="1295" operator="equal">
      <formula>"未完成"</formula>
    </cfRule>
    <cfRule type="cellIs" dxfId="0" priority="1296" operator="equal">
      <formula>"未完成"</formula>
    </cfRule>
  </conditionalFormatting>
  <conditionalFormatting sqref="AI267">
    <cfRule type="cellIs" dxfId="1" priority="1105" operator="equal">
      <formula>"未完成"</formula>
    </cfRule>
    <cfRule type="cellIs" dxfId="0" priority="1106" operator="equal">
      <formula>"未完成"</formula>
    </cfRule>
  </conditionalFormatting>
  <conditionalFormatting sqref="AJ267">
    <cfRule type="cellIs" dxfId="1" priority="1497" operator="equal">
      <formula>"未完成"</formula>
    </cfRule>
    <cfRule type="cellIs" dxfId="0" priority="1498" operator="equal">
      <formula>"未完成"</formula>
    </cfRule>
  </conditionalFormatting>
  <conditionalFormatting sqref="AM267">
    <cfRule type="cellIs" dxfId="1" priority="1493" operator="equal">
      <formula>"未完成"</formula>
    </cfRule>
    <cfRule type="cellIs" dxfId="0" priority="1494" operator="equal">
      <formula>"未完成"</formula>
    </cfRule>
  </conditionalFormatting>
  <conditionalFormatting sqref="AP267">
    <cfRule type="cellIs" dxfId="1" priority="1491" operator="equal">
      <formula>"未完成"</formula>
    </cfRule>
    <cfRule type="cellIs" dxfId="0" priority="1492" operator="equal">
      <formula>"未完成"</formula>
    </cfRule>
  </conditionalFormatting>
  <conditionalFormatting sqref="AQ267">
    <cfRule type="cellIs" dxfId="1" priority="1482" operator="equal">
      <formula>"未完成"</formula>
    </cfRule>
    <cfRule type="cellIs" dxfId="0" priority="1483" operator="equal">
      <formula>"未完成"</formula>
    </cfRule>
  </conditionalFormatting>
  <conditionalFormatting sqref="AT267">
    <cfRule type="cellIs" dxfId="1" priority="1489" operator="equal">
      <formula>"未完成"</formula>
    </cfRule>
    <cfRule type="cellIs" dxfId="0" priority="1490" operator="equal">
      <formula>"未完成"</formula>
    </cfRule>
  </conditionalFormatting>
  <conditionalFormatting sqref="AU267:AW267">
    <cfRule type="cellIs" dxfId="1" priority="1495" operator="equal">
      <formula>"未完成"</formula>
    </cfRule>
    <cfRule type="cellIs" dxfId="0" priority="1496" operator="equal">
      <formula>"未完成"</formula>
    </cfRule>
  </conditionalFormatting>
  <conditionalFormatting sqref="AF268">
    <cfRule type="cellIs" dxfId="1" priority="2226" operator="equal">
      <formula>"未完成"</formula>
    </cfRule>
    <cfRule type="cellIs" dxfId="0" priority="2227" operator="equal">
      <formula>"未完成"</formula>
    </cfRule>
  </conditionalFormatting>
  <conditionalFormatting sqref="AF269">
    <cfRule type="cellIs" dxfId="1" priority="2222" operator="equal">
      <formula>"未完成"</formula>
    </cfRule>
    <cfRule type="cellIs" dxfId="0" priority="2223" operator="equal">
      <formula>"未完成"</formula>
    </cfRule>
  </conditionalFormatting>
  <conditionalFormatting sqref="R273">
    <cfRule type="cellIs" dxfId="0" priority="3191" operator="equal">
      <formula>"欠"</formula>
    </cfRule>
  </conditionalFormatting>
  <conditionalFormatting sqref="S273">
    <cfRule type="cellIs" dxfId="0" priority="3208" operator="equal">
      <formula>"欠"</formula>
    </cfRule>
  </conditionalFormatting>
  <conditionalFormatting sqref="T273:U273">
    <cfRule type="cellIs" dxfId="0" priority="3202" operator="equal">
      <formula>"欠"</formula>
    </cfRule>
    <cfRule type="containsText" dxfId="0" priority="3203" operator="between" text="欠">
      <formula>NOT(ISERROR(SEARCH("欠",T273)))</formula>
    </cfRule>
  </conditionalFormatting>
  <conditionalFormatting sqref="AE273">
    <cfRule type="cellIs" dxfId="1" priority="3194" operator="equal">
      <formula>"未完成"</formula>
    </cfRule>
    <cfRule type="cellIs" dxfId="0" priority="3195" operator="equal">
      <formula>"未完成"</formula>
    </cfRule>
  </conditionalFormatting>
  <conditionalFormatting sqref="AF273">
    <cfRule type="cellIs" dxfId="1" priority="3196" operator="equal">
      <formula>"未完成"</formula>
    </cfRule>
    <cfRule type="cellIs" dxfId="0" priority="3197" operator="equal">
      <formula>"未完成"</formula>
    </cfRule>
  </conditionalFormatting>
  <conditionalFormatting sqref="AH273">
    <cfRule type="cellIs" dxfId="1" priority="3200" operator="equal">
      <formula>"未完成"</formula>
    </cfRule>
    <cfRule type="cellIs" dxfId="0" priority="3201" operator="equal">
      <formula>"未完成"</formula>
    </cfRule>
  </conditionalFormatting>
  <conditionalFormatting sqref="AI273:AJ273">
    <cfRule type="cellIs" dxfId="1" priority="3198" operator="equal">
      <formula>"未完成"</formula>
    </cfRule>
    <cfRule type="cellIs" dxfId="0" priority="3199" operator="equal">
      <formula>"未完成"</formula>
    </cfRule>
  </conditionalFormatting>
  <conditionalFormatting sqref="AL273">
    <cfRule type="cellIs" dxfId="1" priority="3204" operator="equal">
      <formula>"未完成"</formula>
    </cfRule>
    <cfRule type="cellIs" dxfId="0" priority="3205" operator="equal">
      <formula>"未完成"</formula>
    </cfRule>
  </conditionalFormatting>
  <conditionalFormatting sqref="AQ273">
    <cfRule type="cellIs" dxfId="1" priority="3192" operator="equal">
      <formula>"未完成"</formula>
    </cfRule>
    <cfRule type="cellIs" dxfId="0" priority="3193" operator="equal">
      <formula>"未完成"</formula>
    </cfRule>
  </conditionalFormatting>
  <conditionalFormatting sqref="AE275">
    <cfRule type="cellIs" dxfId="0" priority="1724" operator="equal">
      <formula>"未完成"</formula>
    </cfRule>
  </conditionalFormatting>
  <conditionalFormatting sqref="AI275:AJ275">
    <cfRule type="cellIs" dxfId="1" priority="1722" operator="equal">
      <formula>"未完成"</formula>
    </cfRule>
    <cfRule type="cellIs" dxfId="0" priority="1723" operator="equal">
      <formula>"未完成"</formula>
    </cfRule>
  </conditionalFormatting>
  <conditionalFormatting sqref="AP275">
    <cfRule type="cellIs" dxfId="1" priority="1716" operator="equal">
      <formula>"未完成"</formula>
    </cfRule>
    <cfRule type="cellIs" dxfId="0" priority="1717" operator="equal">
      <formula>"未完成"</formula>
    </cfRule>
  </conditionalFormatting>
  <conditionalFormatting sqref="AQ275">
    <cfRule type="cellIs" dxfId="1" priority="1707" operator="equal">
      <formula>"未完成"</formula>
    </cfRule>
    <cfRule type="cellIs" dxfId="0" priority="1708" operator="equal">
      <formula>"未完成"</formula>
    </cfRule>
  </conditionalFormatting>
  <conditionalFormatting sqref="AT275">
    <cfRule type="cellIs" dxfId="1" priority="1714" operator="equal">
      <formula>"未完成"</formula>
    </cfRule>
    <cfRule type="cellIs" dxfId="0" priority="1715" operator="equal">
      <formula>"未完成"</formula>
    </cfRule>
  </conditionalFormatting>
  <conditionalFormatting sqref="AU275:AW275">
    <cfRule type="cellIs" dxfId="1" priority="1720" operator="equal">
      <formula>"未完成"</formula>
    </cfRule>
    <cfRule type="cellIs" dxfId="0" priority="1721" operator="equal">
      <formula>"未完成"</formula>
    </cfRule>
  </conditionalFormatting>
  <conditionalFormatting sqref="AE276">
    <cfRule type="cellIs" dxfId="0" priority="1578" operator="equal">
      <formula>"未完成"</formula>
    </cfRule>
  </conditionalFormatting>
  <conditionalFormatting sqref="AI276:AJ276">
    <cfRule type="cellIs" dxfId="1" priority="1579" operator="equal">
      <formula>"未完成"</formula>
    </cfRule>
    <cfRule type="cellIs" dxfId="0" priority="1580" operator="equal">
      <formula>"未完成"</formula>
    </cfRule>
  </conditionalFormatting>
  <conditionalFormatting sqref="AO276">
    <cfRule type="cellIs" dxfId="1" priority="1381" operator="equal">
      <formula>"未完成"</formula>
    </cfRule>
    <cfRule type="cellIs" dxfId="0" priority="1382" operator="equal">
      <formula>"未完成"</formula>
    </cfRule>
  </conditionalFormatting>
  <conditionalFormatting sqref="AE277">
    <cfRule type="cellIs" dxfId="0" priority="1568" operator="equal">
      <formula>"未完成"</formula>
    </cfRule>
  </conditionalFormatting>
  <conditionalFormatting sqref="AI277:AJ277">
    <cfRule type="cellIs" dxfId="1" priority="1569" operator="equal">
      <formula>"未完成"</formula>
    </cfRule>
    <cfRule type="cellIs" dxfId="0" priority="1570" operator="equal">
      <formula>"未完成"</formula>
    </cfRule>
  </conditionalFormatting>
  <conditionalFormatting sqref="R279">
    <cfRule type="cellIs" dxfId="0" priority="1477" operator="equal">
      <formula>"欠"</formula>
    </cfRule>
  </conditionalFormatting>
  <conditionalFormatting sqref="S279">
    <cfRule type="cellIs" dxfId="0" priority="1474" operator="equal">
      <formula>"欠"</formula>
    </cfRule>
  </conditionalFormatting>
  <conditionalFormatting sqref="T279:U279">
    <cfRule type="containsText" dxfId="0" priority="1475" operator="between" text="欠">
      <formula>NOT(ISERROR(SEARCH("欠",T279)))</formula>
    </cfRule>
    <cfRule type="cellIs" dxfId="0" priority="1476" operator="equal">
      <formula>"欠"</formula>
    </cfRule>
  </conditionalFormatting>
  <conditionalFormatting sqref="AE279">
    <cfRule type="cellIs" dxfId="0" priority="1464" operator="equal">
      <formula>"未完成"</formula>
    </cfRule>
    <cfRule type="cellIs" dxfId="1" priority="1465" operator="equal">
      <formula>"未完成"</formula>
    </cfRule>
  </conditionalFormatting>
  <conditionalFormatting sqref="AF279">
    <cfRule type="cellIs" dxfId="1" priority="1466" operator="equal">
      <formula>"未完成"</formula>
    </cfRule>
    <cfRule type="cellIs" dxfId="0" priority="1467" operator="equal">
      <formula>"未完成"</formula>
    </cfRule>
  </conditionalFormatting>
  <conditionalFormatting sqref="AH279">
    <cfRule type="cellIs" dxfId="1" priority="1470" operator="equal">
      <formula>"未完成"</formula>
    </cfRule>
    <cfRule type="cellIs" dxfId="0" priority="1471" operator="equal">
      <formula>"未完成"</formula>
    </cfRule>
  </conditionalFormatting>
  <conditionalFormatting sqref="AI279:AJ279">
    <cfRule type="cellIs" dxfId="1" priority="1468" operator="equal">
      <formula>"未完成"</formula>
    </cfRule>
    <cfRule type="cellIs" dxfId="0" priority="1469" operator="equal">
      <formula>"未完成"</formula>
    </cfRule>
  </conditionalFormatting>
  <conditionalFormatting sqref="AL279">
    <cfRule type="cellIs" dxfId="1" priority="1377" operator="equal">
      <formula>"未完成"</formula>
    </cfRule>
    <cfRule type="cellIs" dxfId="0" priority="1378" operator="equal">
      <formula>"未完成"</formula>
    </cfRule>
  </conditionalFormatting>
  <conditionalFormatting sqref="AM279">
    <cfRule type="cellIs" dxfId="1" priority="1472" operator="equal">
      <formula>"未完成"</formula>
    </cfRule>
    <cfRule type="cellIs" dxfId="0" priority="1473" operator="equal">
      <formula>"未完成"</formula>
    </cfRule>
  </conditionalFormatting>
  <conditionalFormatting sqref="AT279">
    <cfRule type="cellIs" dxfId="1" priority="1462" operator="equal">
      <formula>"未完成"</formula>
    </cfRule>
    <cfRule type="cellIs" dxfId="0" priority="1463" operator="equal">
      <formula>"未完成"</formula>
    </cfRule>
  </conditionalFormatting>
  <conditionalFormatting sqref="AE280">
    <cfRule type="cellIs" dxfId="0" priority="1701" operator="equal">
      <formula>"未完成"</formula>
    </cfRule>
  </conditionalFormatting>
  <conditionalFormatting sqref="AI280:AJ280">
    <cfRule type="cellIs" dxfId="1" priority="1699" operator="equal">
      <formula>"未完成"</formula>
    </cfRule>
    <cfRule type="cellIs" dxfId="0" priority="1700" operator="equal">
      <formula>"未完成"</formula>
    </cfRule>
  </conditionalFormatting>
  <conditionalFormatting sqref="AP280">
    <cfRule type="cellIs" dxfId="1" priority="1693" operator="equal">
      <formula>"未完成"</formula>
    </cfRule>
    <cfRule type="cellIs" dxfId="0" priority="1694" operator="equal">
      <formula>"未完成"</formula>
    </cfRule>
  </conditionalFormatting>
  <conditionalFormatting sqref="AQ280">
    <cfRule type="cellIs" dxfId="1" priority="1684" operator="equal">
      <formula>"未完成"</formula>
    </cfRule>
    <cfRule type="cellIs" dxfId="0" priority="1685" operator="equal">
      <formula>"未完成"</formula>
    </cfRule>
  </conditionalFormatting>
  <conditionalFormatting sqref="AT280">
    <cfRule type="cellIs" dxfId="1" priority="1691" operator="equal">
      <formula>"未完成"</formula>
    </cfRule>
    <cfRule type="cellIs" dxfId="0" priority="1692" operator="equal">
      <formula>"未完成"</formula>
    </cfRule>
  </conditionalFormatting>
  <conditionalFormatting sqref="AU280:AW280">
    <cfRule type="cellIs" dxfId="1" priority="1697" operator="equal">
      <formula>"未完成"</formula>
    </cfRule>
    <cfRule type="cellIs" dxfId="0" priority="1698" operator="equal">
      <formula>"未完成"</formula>
    </cfRule>
  </conditionalFormatting>
  <conditionalFormatting sqref="AE281">
    <cfRule type="cellIs" dxfId="0" priority="1219" operator="equal">
      <formula>"未完成"</formula>
    </cfRule>
    <cfRule type="cellIs" dxfId="1" priority="1220" operator="equal">
      <formula>"未完成"</formula>
    </cfRule>
  </conditionalFormatting>
  <conditionalFormatting sqref="AF281">
    <cfRule type="cellIs" dxfId="1" priority="1221" operator="equal">
      <formula>"未完成"</formula>
    </cfRule>
    <cfRule type="cellIs" dxfId="0" priority="1222" operator="equal">
      <formula>"未完成"</formula>
    </cfRule>
  </conditionalFormatting>
  <conditionalFormatting sqref="AH281">
    <cfRule type="cellIs" dxfId="1" priority="1225" operator="equal">
      <formula>"未完成"</formula>
    </cfRule>
    <cfRule type="cellIs" dxfId="0" priority="1226" operator="equal">
      <formula>"未完成"</formula>
    </cfRule>
  </conditionalFormatting>
  <conditionalFormatting sqref="AI281:AJ281">
    <cfRule type="cellIs" dxfId="1" priority="1223" operator="equal">
      <formula>"未完成"</formula>
    </cfRule>
    <cfRule type="cellIs" dxfId="0" priority="1224" operator="equal">
      <formula>"未完成"</formula>
    </cfRule>
  </conditionalFormatting>
  <conditionalFormatting sqref="AK281">
    <cfRule type="cellIs" dxfId="1" priority="1233" operator="equal">
      <formula>"未完成"</formula>
    </cfRule>
    <cfRule type="cellIs" dxfId="0" priority="1234" operator="equal">
      <formula>"未完成"</formula>
    </cfRule>
  </conditionalFormatting>
  <conditionalFormatting sqref="AT281">
    <cfRule type="cellIs" dxfId="1" priority="1217" operator="equal">
      <formula>"未完成"</formula>
    </cfRule>
    <cfRule type="cellIs" dxfId="0" priority="1218" operator="equal">
      <formula>"未完成"</formula>
    </cfRule>
  </conditionalFormatting>
  <conditionalFormatting sqref="AE282">
    <cfRule type="cellIs" dxfId="0" priority="1161" operator="equal">
      <formula>"未完成"</formula>
    </cfRule>
    <cfRule type="cellIs" dxfId="1" priority="1164" operator="equal">
      <formula>"未完成"</formula>
    </cfRule>
  </conditionalFormatting>
  <conditionalFormatting sqref="AF282">
    <cfRule type="cellIs" dxfId="1" priority="841" operator="equal">
      <formula>"未完成"</formula>
    </cfRule>
    <cfRule type="cellIs" dxfId="0" priority="842" operator="equal">
      <formula>"未完成"</formula>
    </cfRule>
  </conditionalFormatting>
  <conditionalFormatting sqref="AH282">
    <cfRule type="cellIs" dxfId="1" priority="1179" operator="equal">
      <formula>"未完成"</formula>
    </cfRule>
    <cfRule type="cellIs" dxfId="0" priority="1182" operator="equal">
      <formula>"未完成"</formula>
    </cfRule>
  </conditionalFormatting>
  <conditionalFormatting sqref="AJ282">
    <cfRule type="cellIs" dxfId="1" priority="1173" operator="equal">
      <formula>"未完成"</formula>
    </cfRule>
    <cfRule type="cellIs" dxfId="0" priority="1176" operator="equal">
      <formula>"未完成"</formula>
    </cfRule>
  </conditionalFormatting>
  <conditionalFormatting sqref="AK282">
    <cfRule type="cellIs" dxfId="1" priority="1203" operator="equal">
      <formula>"未完成"</formula>
    </cfRule>
    <cfRule type="cellIs" dxfId="0" priority="1206" operator="equal">
      <formula>"未完成"</formula>
    </cfRule>
  </conditionalFormatting>
  <conditionalFormatting sqref="AT282">
    <cfRule type="cellIs" dxfId="1" priority="1155" operator="equal">
      <formula>"未完成"</formula>
    </cfRule>
    <cfRule type="cellIs" dxfId="0" priority="1158" operator="equal">
      <formula>"未完成"</formula>
    </cfRule>
  </conditionalFormatting>
  <conditionalFormatting sqref="AE283">
    <cfRule type="cellIs" dxfId="0" priority="1160" operator="equal">
      <formula>"未完成"</formula>
    </cfRule>
    <cfRule type="cellIs" dxfId="1" priority="1163" operator="equal">
      <formula>"未完成"</formula>
    </cfRule>
  </conditionalFormatting>
  <conditionalFormatting sqref="AF283">
    <cfRule type="cellIs" dxfId="1" priority="839" operator="equal">
      <formula>"未完成"</formula>
    </cfRule>
    <cfRule type="cellIs" dxfId="0" priority="840" operator="equal">
      <formula>"未完成"</formula>
    </cfRule>
  </conditionalFormatting>
  <conditionalFormatting sqref="AH283">
    <cfRule type="cellIs" dxfId="1" priority="1178" operator="equal">
      <formula>"未完成"</formula>
    </cfRule>
    <cfRule type="cellIs" dxfId="0" priority="1181" operator="equal">
      <formula>"未完成"</formula>
    </cfRule>
  </conditionalFormatting>
  <conditionalFormatting sqref="AJ283">
    <cfRule type="cellIs" dxfId="1" priority="1172" operator="equal">
      <formula>"未完成"</formula>
    </cfRule>
    <cfRule type="cellIs" dxfId="0" priority="1175" operator="equal">
      <formula>"未完成"</formula>
    </cfRule>
  </conditionalFormatting>
  <conditionalFormatting sqref="AK283">
    <cfRule type="cellIs" dxfId="1" priority="1202" operator="equal">
      <formula>"未完成"</formula>
    </cfRule>
    <cfRule type="cellIs" dxfId="0" priority="1205" operator="equal">
      <formula>"未完成"</formula>
    </cfRule>
  </conditionalFormatting>
  <conditionalFormatting sqref="AT283">
    <cfRule type="cellIs" dxfId="1" priority="1154" operator="equal">
      <formula>"未完成"</formula>
    </cfRule>
    <cfRule type="cellIs" dxfId="0" priority="1157" operator="equal">
      <formula>"未完成"</formula>
    </cfRule>
  </conditionalFormatting>
  <conditionalFormatting sqref="AE284">
    <cfRule type="cellIs" dxfId="0" priority="1159" operator="equal">
      <formula>"未完成"</formula>
    </cfRule>
    <cfRule type="cellIs" dxfId="1" priority="1162" operator="equal">
      <formula>"未完成"</formula>
    </cfRule>
  </conditionalFormatting>
  <conditionalFormatting sqref="AF284">
    <cfRule type="cellIs" dxfId="1" priority="837" operator="equal">
      <formula>"未完成"</formula>
    </cfRule>
    <cfRule type="cellIs" dxfId="0" priority="838" operator="equal">
      <formula>"未完成"</formula>
    </cfRule>
  </conditionalFormatting>
  <conditionalFormatting sqref="AH284">
    <cfRule type="cellIs" dxfId="1" priority="1177" operator="equal">
      <formula>"未完成"</formula>
    </cfRule>
    <cfRule type="cellIs" dxfId="0" priority="1180" operator="equal">
      <formula>"未完成"</formula>
    </cfRule>
  </conditionalFormatting>
  <conditionalFormatting sqref="AJ284">
    <cfRule type="cellIs" dxfId="1" priority="1171" operator="equal">
      <formula>"未完成"</formula>
    </cfRule>
    <cfRule type="cellIs" dxfId="0" priority="1174" operator="equal">
      <formula>"未完成"</formula>
    </cfRule>
  </conditionalFormatting>
  <conditionalFormatting sqref="AK284">
    <cfRule type="cellIs" dxfId="1" priority="1201" operator="equal">
      <formula>"未完成"</formula>
    </cfRule>
    <cfRule type="cellIs" dxfId="0" priority="1204" operator="equal">
      <formula>"未完成"</formula>
    </cfRule>
  </conditionalFormatting>
  <conditionalFormatting sqref="AT284">
    <cfRule type="cellIs" dxfId="1" priority="1153" operator="equal">
      <formula>"未完成"</formula>
    </cfRule>
    <cfRule type="cellIs" dxfId="0" priority="1156" operator="equal">
      <formula>"未完成"</formula>
    </cfRule>
  </conditionalFormatting>
  <conditionalFormatting sqref="S285">
    <cfRule type="cellIs" dxfId="0" priority="1325" operator="equal">
      <formula>"欠"</formula>
    </cfRule>
  </conditionalFormatting>
  <conditionalFormatting sqref="T285:U285">
    <cfRule type="containsText" dxfId="0" priority="1320" operator="between" text="欠">
      <formula>NOT(ISERROR(SEARCH("欠",T285)))</formula>
    </cfRule>
  </conditionalFormatting>
  <conditionalFormatting sqref="AE285">
    <cfRule type="cellIs" dxfId="0" priority="1335" operator="equal">
      <formula>"未完成"</formula>
    </cfRule>
  </conditionalFormatting>
  <conditionalFormatting sqref="AJ285">
    <cfRule type="cellIs" dxfId="1" priority="1340" operator="equal">
      <formula>"未完成"</formula>
    </cfRule>
    <cfRule type="cellIs" dxfId="0" priority="1345" operator="equal">
      <formula>"未完成"</formula>
    </cfRule>
  </conditionalFormatting>
  <conditionalFormatting sqref="S286">
    <cfRule type="cellIs" dxfId="0" priority="1322" operator="equal">
      <formula>"欠"</formula>
    </cfRule>
  </conditionalFormatting>
  <conditionalFormatting sqref="T286:U286">
    <cfRule type="containsText" dxfId="0" priority="1317" operator="between" text="欠">
      <formula>NOT(ISERROR(SEARCH("欠",T286)))</formula>
    </cfRule>
  </conditionalFormatting>
  <conditionalFormatting sqref="AE286">
    <cfRule type="cellIs" dxfId="0" priority="1332" operator="equal">
      <formula>"未完成"</formula>
    </cfRule>
  </conditionalFormatting>
  <conditionalFormatting sqref="AJ286">
    <cfRule type="cellIs" dxfId="1" priority="1337" operator="equal">
      <formula>"未完成"</formula>
    </cfRule>
    <cfRule type="cellIs" dxfId="0" priority="1342" operator="equal">
      <formula>"未完成"</formula>
    </cfRule>
  </conditionalFormatting>
  <conditionalFormatting sqref="S287">
    <cfRule type="cellIs" dxfId="0" priority="1326" operator="equal">
      <formula>"欠"</formula>
    </cfRule>
  </conditionalFormatting>
  <conditionalFormatting sqref="T287:U287">
    <cfRule type="containsText" dxfId="0" priority="1321" operator="between" text="欠">
      <formula>NOT(ISERROR(SEARCH("欠",T287)))</formula>
    </cfRule>
  </conditionalFormatting>
  <conditionalFormatting sqref="AE287">
    <cfRule type="cellIs" dxfId="0" priority="1336" operator="equal">
      <formula>"未完成"</formula>
    </cfRule>
  </conditionalFormatting>
  <conditionalFormatting sqref="AJ287">
    <cfRule type="cellIs" dxfId="1" priority="1341" operator="equal">
      <formula>"未完成"</formula>
    </cfRule>
    <cfRule type="cellIs" dxfId="0" priority="1346" operator="equal">
      <formula>"未完成"</formula>
    </cfRule>
  </conditionalFormatting>
  <conditionalFormatting sqref="S288">
    <cfRule type="cellIs" dxfId="0" priority="1414" operator="equal">
      <formula>"欠"</formula>
    </cfRule>
  </conditionalFormatting>
  <conditionalFormatting sqref="T288:U288">
    <cfRule type="containsText" dxfId="0" priority="1413" operator="between" text="欠">
      <formula>NOT(ISERROR(SEARCH("欠",T288)))</formula>
    </cfRule>
  </conditionalFormatting>
  <conditionalFormatting sqref="AE288">
    <cfRule type="cellIs" dxfId="1" priority="1416" operator="equal">
      <formula>"未完成"</formula>
    </cfRule>
    <cfRule type="cellIs" dxfId="0" priority="1417" operator="equal">
      <formula>"未完成"</formula>
    </cfRule>
  </conditionalFormatting>
  <conditionalFormatting sqref="AF288">
    <cfRule type="cellIs" dxfId="1" priority="1418" operator="equal">
      <formula>"未完成"</formula>
    </cfRule>
    <cfRule type="cellIs" dxfId="0" priority="1419" operator="equal">
      <formula>"未完成"</formula>
    </cfRule>
  </conditionalFormatting>
  <conditionalFormatting sqref="AH288">
    <cfRule type="cellIs" dxfId="1" priority="1422" operator="equal">
      <formula>"未完成"</formula>
    </cfRule>
    <cfRule type="cellIs" dxfId="0" priority="1423" operator="equal">
      <formula>"未完成"</formula>
    </cfRule>
  </conditionalFormatting>
  <conditionalFormatting sqref="AJ288">
    <cfRule type="cellIs" dxfId="1" priority="1420" operator="equal">
      <formula>"未完成"</formula>
    </cfRule>
    <cfRule type="cellIs" dxfId="0" priority="1421" operator="equal">
      <formula>"未完成"</formula>
    </cfRule>
  </conditionalFormatting>
  <conditionalFormatting sqref="S289">
    <cfRule type="cellIs" dxfId="0" priority="239" operator="equal">
      <formula>"欠"</formula>
    </cfRule>
  </conditionalFormatting>
  <conditionalFormatting sqref="AE289">
    <cfRule type="cellIs" dxfId="0" priority="1124" operator="equal">
      <formula>"未完成"</formula>
    </cfRule>
  </conditionalFormatting>
  <conditionalFormatting sqref="AI289:AJ289">
    <cfRule type="cellIs" dxfId="1" priority="1126" operator="equal">
      <formula>"未完成"</formula>
    </cfRule>
    <cfRule type="cellIs" dxfId="0" priority="1128" operator="equal">
      <formula>"未完成"</formula>
    </cfRule>
  </conditionalFormatting>
  <conditionalFormatting sqref="AU289">
    <cfRule type="cellIs" dxfId="1" priority="1110" operator="equal">
      <formula>"未完成"</formula>
    </cfRule>
    <cfRule type="cellIs" dxfId="0" priority="1112" operator="equal">
      <formula>"未完成"</formula>
    </cfRule>
  </conditionalFormatting>
  <conditionalFormatting sqref="S290">
    <cfRule type="cellIs" dxfId="0" priority="1323" operator="equal">
      <formula>"欠"</formula>
    </cfRule>
  </conditionalFormatting>
  <conditionalFormatting sqref="T290:U290">
    <cfRule type="containsText" dxfId="0" priority="1318" operator="between" text="欠">
      <formula>NOT(ISERROR(SEARCH("欠",T290)))</formula>
    </cfRule>
  </conditionalFormatting>
  <conditionalFormatting sqref="AE290">
    <cfRule type="cellIs" dxfId="0" priority="1333" operator="equal">
      <formula>"未完成"</formula>
    </cfRule>
  </conditionalFormatting>
  <conditionalFormatting sqref="AI290:AJ290">
    <cfRule type="cellIs" dxfId="1" priority="1338" operator="equal">
      <formula>"未完成"</formula>
    </cfRule>
    <cfRule type="cellIs" dxfId="0" priority="1343" operator="equal">
      <formula>"未完成"</formula>
    </cfRule>
  </conditionalFormatting>
  <conditionalFormatting sqref="S291">
    <cfRule type="cellIs" dxfId="0" priority="1061" operator="equal">
      <formula>"欠"</formula>
    </cfRule>
  </conditionalFormatting>
  <conditionalFormatting sqref="T291:U291">
    <cfRule type="containsText" dxfId="0" priority="1060" operator="between" text="欠">
      <formula>NOT(ISERROR(SEARCH("欠",T291)))</formula>
    </cfRule>
  </conditionalFormatting>
  <conditionalFormatting sqref="AE291">
    <cfRule type="cellIs" dxfId="0" priority="1063" operator="equal">
      <formula>"未完成"</formula>
    </cfRule>
  </conditionalFormatting>
  <conditionalFormatting sqref="AI291:AJ291">
    <cfRule type="cellIs" dxfId="1" priority="1064" operator="equal">
      <formula>"未完成"</formula>
    </cfRule>
    <cfRule type="cellIs" dxfId="0" priority="1065" operator="equal">
      <formula>"未完成"</formula>
    </cfRule>
  </conditionalFormatting>
  <conditionalFormatting sqref="AK291">
    <cfRule type="cellIs" dxfId="1" priority="1066" operator="equal">
      <formula>"未完成"</formula>
    </cfRule>
    <cfRule type="cellIs" dxfId="0" priority="1067" operator="equal">
      <formula>"未完成"</formula>
    </cfRule>
  </conditionalFormatting>
  <conditionalFormatting sqref="AO292">
    <cfRule type="cellIs" dxfId="1" priority="1269" operator="equal">
      <formula>"未完成"</formula>
    </cfRule>
    <cfRule type="cellIs" dxfId="0" priority="1270" operator="equal">
      <formula>"未完成"</formula>
    </cfRule>
  </conditionalFormatting>
  <conditionalFormatting sqref="S293">
    <cfRule type="cellIs" dxfId="0" priority="1556" operator="equal">
      <formula>"欠"</formula>
    </cfRule>
  </conditionalFormatting>
  <conditionalFormatting sqref="T293:U293">
    <cfRule type="containsText" dxfId="0" priority="1551" operator="between" text="欠">
      <formula>NOT(ISERROR(SEARCH("欠",T293)))</formula>
    </cfRule>
  </conditionalFormatting>
  <conditionalFormatting sqref="AE293">
    <cfRule type="cellIs" dxfId="0" priority="1558" operator="equal">
      <formula>"未完成"</formula>
    </cfRule>
  </conditionalFormatting>
  <conditionalFormatting sqref="AJ293">
    <cfRule type="cellIs" dxfId="1" priority="1559" operator="equal">
      <formula>"未完成"</formula>
    </cfRule>
    <cfRule type="cellIs" dxfId="0" priority="1560" operator="equal">
      <formula>"未完成"</formula>
    </cfRule>
  </conditionalFormatting>
  <conditionalFormatting sqref="S294">
    <cfRule type="cellIs" dxfId="0" priority="1246" operator="equal">
      <formula>"欠"</formula>
    </cfRule>
  </conditionalFormatting>
  <conditionalFormatting sqref="T294:U294">
    <cfRule type="containsText" dxfId="0" priority="1245" operator="between" text="欠">
      <formula>NOT(ISERROR(SEARCH("欠",T294)))</formula>
    </cfRule>
  </conditionalFormatting>
  <conditionalFormatting sqref="AE294">
    <cfRule type="cellIs" dxfId="0" priority="1248" operator="equal">
      <formula>"未完成"</formula>
    </cfRule>
  </conditionalFormatting>
  <conditionalFormatting sqref="AI294:AJ294">
    <cfRule type="cellIs" dxfId="1" priority="1249" operator="equal">
      <formula>"未完成"</formula>
    </cfRule>
    <cfRule type="cellIs" dxfId="0" priority="1250" operator="equal">
      <formula>"未完成"</formula>
    </cfRule>
  </conditionalFormatting>
  <conditionalFormatting sqref="AK294">
    <cfRule type="cellIs" dxfId="1" priority="1251" operator="equal">
      <formula>"未完成"</formula>
    </cfRule>
    <cfRule type="cellIs" dxfId="0" priority="1252" operator="equal">
      <formula>"未完成"</formula>
    </cfRule>
  </conditionalFormatting>
  <conditionalFormatting sqref="AI295:AJ295">
    <cfRule type="cellIs" dxfId="1" priority="1339" operator="equal">
      <formula>"未完成"</formula>
    </cfRule>
    <cfRule type="cellIs" dxfId="0" priority="1344" operator="equal">
      <formula>"未完成"</formula>
    </cfRule>
  </conditionalFormatting>
  <conditionalFormatting sqref="S296">
    <cfRule type="cellIs" dxfId="0" priority="1120" operator="equal">
      <formula>"欠"</formula>
    </cfRule>
  </conditionalFormatting>
  <conditionalFormatting sqref="AE296">
    <cfRule type="cellIs" dxfId="0" priority="1123" operator="equal">
      <formula>"未完成"</formula>
    </cfRule>
  </conditionalFormatting>
  <conditionalFormatting sqref="AI296:AJ296">
    <cfRule type="cellIs" dxfId="1" priority="1125" operator="equal">
      <formula>"未完成"</formula>
    </cfRule>
    <cfRule type="cellIs" dxfId="0" priority="1127" operator="equal">
      <formula>"未完成"</formula>
    </cfRule>
  </conditionalFormatting>
  <conditionalFormatting sqref="AU296">
    <cfRule type="cellIs" dxfId="1" priority="1109" operator="equal">
      <formula>"未完成"</formula>
    </cfRule>
    <cfRule type="cellIs" dxfId="0" priority="1111" operator="equal">
      <formula>"未完成"</formula>
    </cfRule>
  </conditionalFormatting>
  <conditionalFormatting sqref="T297:U297">
    <cfRule type="containsText" dxfId="0" priority="867" operator="between" text="欠">
      <formula>NOT(ISERROR(SEARCH("欠",T297)))</formula>
    </cfRule>
    <cfRule type="cellIs" dxfId="0" priority="869" operator="equal">
      <formula>"欠"</formula>
    </cfRule>
  </conditionalFormatting>
  <conditionalFormatting sqref="AE297">
    <cfRule type="cellIs" dxfId="0" priority="870" operator="equal">
      <formula>"未完成"</formula>
    </cfRule>
  </conditionalFormatting>
  <conditionalFormatting sqref="AI297:AJ297">
    <cfRule type="cellIs" dxfId="1" priority="871" operator="equal">
      <formula>"未完成"</formula>
    </cfRule>
    <cfRule type="cellIs" dxfId="0" priority="872" operator="equal">
      <formula>"未完成"</formula>
    </cfRule>
  </conditionalFormatting>
  <conditionalFormatting sqref="AK297">
    <cfRule type="cellIs" dxfId="1" priority="873" operator="equal">
      <formula>"未完成"</formula>
    </cfRule>
    <cfRule type="cellIs" dxfId="0" priority="874" operator="equal">
      <formula>"未完成"</formula>
    </cfRule>
  </conditionalFormatting>
  <conditionalFormatting sqref="AL297">
    <cfRule type="cellIs" dxfId="1" priority="863" operator="equal">
      <formula>"未完成"</formula>
    </cfRule>
    <cfRule type="cellIs" dxfId="0" priority="864" operator="equal">
      <formula>"未完成"</formula>
    </cfRule>
  </conditionalFormatting>
  <conditionalFormatting sqref="AU297">
    <cfRule type="cellIs" dxfId="1" priority="865" operator="equal">
      <formula>"未完成"</formula>
    </cfRule>
    <cfRule type="cellIs" dxfId="0" priority="866" operator="equal">
      <formula>"未完成"</formula>
    </cfRule>
  </conditionalFormatting>
  <conditionalFormatting sqref="AE298">
    <cfRule type="cellIs" dxfId="0" priority="1047" operator="equal">
      <formula>"未完成"</formula>
    </cfRule>
  </conditionalFormatting>
  <conditionalFormatting sqref="AI298:AJ298">
    <cfRule type="cellIs" dxfId="1" priority="1048" operator="equal">
      <formula>"未完成"</formula>
    </cfRule>
    <cfRule type="cellIs" dxfId="0" priority="1049" operator="equal">
      <formula>"未完成"</formula>
    </cfRule>
  </conditionalFormatting>
  <conditionalFormatting sqref="AU298">
    <cfRule type="cellIs" dxfId="1" priority="1043" operator="equal">
      <formula>"未完成"</formula>
    </cfRule>
    <cfRule type="cellIs" dxfId="0" priority="1044" operator="equal">
      <formula>"未完成"</formula>
    </cfRule>
  </conditionalFormatting>
  <conditionalFormatting sqref="AE299">
    <cfRule type="cellIs" dxfId="0" priority="1011" operator="equal">
      <formula>"未完成"</formula>
    </cfRule>
  </conditionalFormatting>
  <conditionalFormatting sqref="AI299">
    <cfRule type="cellIs" dxfId="1" priority="185" operator="equal">
      <formula>"未完成"</formula>
    </cfRule>
    <cfRule type="cellIs" dxfId="0" priority="186" operator="equal">
      <formula>"未完成"</formula>
    </cfRule>
  </conditionalFormatting>
  <conditionalFormatting sqref="AJ299">
    <cfRule type="cellIs" dxfId="1" priority="1014" operator="equal">
      <formula>"未完成"</formula>
    </cfRule>
    <cfRule type="cellIs" dxfId="0" priority="1017" operator="equal">
      <formula>"未完成"</formula>
    </cfRule>
  </conditionalFormatting>
  <conditionalFormatting sqref="AU299">
    <cfRule type="cellIs" dxfId="1" priority="999" operator="equal">
      <formula>"未完成"</formula>
    </cfRule>
    <cfRule type="cellIs" dxfId="0" priority="1002" operator="equal">
      <formula>"未完成"</formula>
    </cfRule>
  </conditionalFormatting>
  <conditionalFormatting sqref="AE300">
    <cfRule type="cellIs" dxfId="0" priority="1010" operator="equal">
      <formula>"未完成"</formula>
    </cfRule>
  </conditionalFormatting>
  <conditionalFormatting sqref="AI300">
    <cfRule type="cellIs" dxfId="1" priority="183" operator="equal">
      <formula>"未完成"</formula>
    </cfRule>
    <cfRule type="cellIs" dxfId="0" priority="184" operator="equal">
      <formula>"未完成"</formula>
    </cfRule>
  </conditionalFormatting>
  <conditionalFormatting sqref="AJ300">
    <cfRule type="cellIs" dxfId="1" priority="1013" operator="equal">
      <formula>"未完成"</formula>
    </cfRule>
    <cfRule type="cellIs" dxfId="0" priority="1016" operator="equal">
      <formula>"未完成"</formula>
    </cfRule>
  </conditionalFormatting>
  <conditionalFormatting sqref="AU300">
    <cfRule type="cellIs" dxfId="1" priority="998" operator="equal">
      <formula>"未完成"</formula>
    </cfRule>
    <cfRule type="cellIs" dxfId="0" priority="1001" operator="equal">
      <formula>"未完成"</formula>
    </cfRule>
  </conditionalFormatting>
  <conditionalFormatting sqref="AE301">
    <cfRule type="cellIs" dxfId="0" priority="1009" operator="equal">
      <formula>"未完成"</formula>
    </cfRule>
  </conditionalFormatting>
  <conditionalFormatting sqref="AI301">
    <cfRule type="cellIs" dxfId="1" priority="179" operator="equal">
      <formula>"未完成"</formula>
    </cfRule>
    <cfRule type="cellIs" dxfId="0" priority="180" operator="equal">
      <formula>"未完成"</formula>
    </cfRule>
  </conditionalFormatting>
  <conditionalFormatting sqref="AJ301">
    <cfRule type="cellIs" dxfId="1" priority="1012" operator="equal">
      <formula>"未完成"</formula>
    </cfRule>
    <cfRule type="cellIs" dxfId="0" priority="1015" operator="equal">
      <formula>"未完成"</formula>
    </cfRule>
  </conditionalFormatting>
  <conditionalFormatting sqref="AU301">
    <cfRule type="cellIs" dxfId="1" priority="997" operator="equal">
      <formula>"未完成"</formula>
    </cfRule>
    <cfRule type="cellIs" dxfId="0" priority="1000" operator="equal">
      <formula>"未完成"</formula>
    </cfRule>
  </conditionalFormatting>
  <conditionalFormatting sqref="R302">
    <cfRule type="cellIs" dxfId="0" priority="930" operator="equal">
      <formula>"欠"</formula>
    </cfRule>
  </conditionalFormatting>
  <conditionalFormatting sqref="T302:U302">
    <cfRule type="cellIs" dxfId="0" priority="895" operator="equal">
      <formula>"欠"</formula>
    </cfRule>
  </conditionalFormatting>
  <conditionalFormatting sqref="AE302">
    <cfRule type="cellIs" dxfId="0" priority="935" operator="equal">
      <formula>"未完成"</formula>
    </cfRule>
  </conditionalFormatting>
  <conditionalFormatting sqref="AI302:AJ302">
    <cfRule type="cellIs" dxfId="1" priority="940" operator="equal">
      <formula>"未完成"</formula>
    </cfRule>
    <cfRule type="cellIs" dxfId="0" priority="945" operator="equal">
      <formula>"未完成"</formula>
    </cfRule>
  </conditionalFormatting>
  <conditionalFormatting sqref="AK302">
    <cfRule type="cellIs" dxfId="1" priority="950" operator="equal">
      <formula>"未完成"</formula>
    </cfRule>
    <cfRule type="cellIs" dxfId="0" priority="955" operator="equal">
      <formula>"未完成"</formula>
    </cfRule>
  </conditionalFormatting>
  <conditionalFormatting sqref="AL302">
    <cfRule type="cellIs" dxfId="1" priority="900" operator="equal">
      <formula>"未完成"</formula>
    </cfRule>
    <cfRule type="cellIs" dxfId="0" priority="905" operator="equal">
      <formula>"未完成"</formula>
    </cfRule>
  </conditionalFormatting>
  <conditionalFormatting sqref="AU302">
    <cfRule type="cellIs" dxfId="1" priority="910" operator="equal">
      <formula>"未完成"</formula>
    </cfRule>
    <cfRule type="cellIs" dxfId="0" priority="915" operator="equal">
      <formula>"未完成"</formula>
    </cfRule>
  </conditionalFormatting>
  <conditionalFormatting sqref="AE303">
    <cfRule type="cellIs" dxfId="0" priority="934" operator="equal">
      <formula>"未完成"</formula>
    </cfRule>
  </conditionalFormatting>
  <conditionalFormatting sqref="AI303:AJ303">
    <cfRule type="cellIs" dxfId="1" priority="939" operator="equal">
      <formula>"未完成"</formula>
    </cfRule>
    <cfRule type="cellIs" dxfId="0" priority="944" operator="equal">
      <formula>"未完成"</formula>
    </cfRule>
  </conditionalFormatting>
  <conditionalFormatting sqref="AK303">
    <cfRule type="cellIs" dxfId="1" priority="949" operator="equal">
      <formula>"未完成"</formula>
    </cfRule>
    <cfRule type="cellIs" dxfId="0" priority="954" operator="equal">
      <formula>"未完成"</formula>
    </cfRule>
  </conditionalFormatting>
  <conditionalFormatting sqref="AU303">
    <cfRule type="cellIs" dxfId="1" priority="909" operator="equal">
      <formula>"未完成"</formula>
    </cfRule>
    <cfRule type="cellIs" dxfId="0" priority="914" operator="equal">
      <formula>"未完成"</formula>
    </cfRule>
  </conditionalFormatting>
  <conditionalFormatting sqref="AE304">
    <cfRule type="cellIs" dxfId="0" priority="933" operator="equal">
      <formula>"未完成"</formula>
    </cfRule>
  </conditionalFormatting>
  <conditionalFormatting sqref="AI304:AJ304">
    <cfRule type="cellIs" dxfId="1" priority="938" operator="equal">
      <formula>"未完成"</formula>
    </cfRule>
    <cfRule type="cellIs" dxfId="0" priority="943" operator="equal">
      <formula>"未完成"</formula>
    </cfRule>
  </conditionalFormatting>
  <conditionalFormatting sqref="AK304">
    <cfRule type="cellIs" dxfId="1" priority="948" operator="equal">
      <formula>"未完成"</formula>
    </cfRule>
    <cfRule type="cellIs" dxfId="0" priority="953" operator="equal">
      <formula>"未完成"</formula>
    </cfRule>
  </conditionalFormatting>
  <conditionalFormatting sqref="AU304">
    <cfRule type="cellIs" dxfId="1" priority="908" operator="equal">
      <formula>"未完成"</formula>
    </cfRule>
    <cfRule type="cellIs" dxfId="0" priority="913" operator="equal">
      <formula>"未完成"</formula>
    </cfRule>
  </conditionalFormatting>
  <conditionalFormatting sqref="AE305">
    <cfRule type="cellIs" dxfId="0" priority="932" operator="equal">
      <formula>"未完成"</formula>
    </cfRule>
  </conditionalFormatting>
  <conditionalFormatting sqref="AI305:AJ305">
    <cfRule type="cellIs" dxfId="1" priority="937" operator="equal">
      <formula>"未完成"</formula>
    </cfRule>
    <cfRule type="cellIs" dxfId="0" priority="942" operator="equal">
      <formula>"未完成"</formula>
    </cfRule>
  </conditionalFormatting>
  <conditionalFormatting sqref="AK305">
    <cfRule type="cellIs" dxfId="1" priority="947" operator="equal">
      <formula>"未完成"</formula>
    </cfRule>
    <cfRule type="cellIs" dxfId="0" priority="952" operator="equal">
      <formula>"未完成"</formula>
    </cfRule>
  </conditionalFormatting>
  <conditionalFormatting sqref="AU305">
    <cfRule type="cellIs" dxfId="1" priority="907" operator="equal">
      <formula>"未完成"</formula>
    </cfRule>
    <cfRule type="cellIs" dxfId="0" priority="912" operator="equal">
      <formula>"未完成"</formula>
    </cfRule>
  </conditionalFormatting>
  <conditionalFormatting sqref="AE306">
    <cfRule type="cellIs" dxfId="0" priority="931" operator="equal">
      <formula>"未完成"</formula>
    </cfRule>
  </conditionalFormatting>
  <conditionalFormatting sqref="AI306:AJ306">
    <cfRule type="cellIs" dxfId="1" priority="936" operator="equal">
      <formula>"未完成"</formula>
    </cfRule>
    <cfRule type="cellIs" dxfId="0" priority="941" operator="equal">
      <formula>"未完成"</formula>
    </cfRule>
  </conditionalFormatting>
  <conditionalFormatting sqref="AK306">
    <cfRule type="cellIs" dxfId="1" priority="946" operator="equal">
      <formula>"未完成"</formula>
    </cfRule>
    <cfRule type="cellIs" dxfId="0" priority="951" operator="equal">
      <formula>"未完成"</formula>
    </cfRule>
  </conditionalFormatting>
  <conditionalFormatting sqref="AU306">
    <cfRule type="cellIs" dxfId="1" priority="906" operator="equal">
      <formula>"未完成"</formula>
    </cfRule>
    <cfRule type="cellIs" dxfId="0" priority="911" operator="equal">
      <formula>"未完成"</formula>
    </cfRule>
  </conditionalFormatting>
  <conditionalFormatting sqref="R307">
    <cfRule type="cellIs" dxfId="0" priority="778" operator="equal">
      <formula>"欠"</formula>
    </cfRule>
  </conditionalFormatting>
  <conditionalFormatting sqref="T307:U307">
    <cfRule type="containsText" dxfId="0" priority="770" operator="between" text="欠">
      <formula>NOT(ISERROR(SEARCH("欠",T307)))</formula>
    </cfRule>
    <cfRule type="cellIs" dxfId="0" priority="771" operator="equal">
      <formula>"欠"</formula>
    </cfRule>
  </conditionalFormatting>
  <conditionalFormatting sqref="AE307">
    <cfRule type="cellIs" dxfId="0" priority="772" operator="equal">
      <formula>"未完成"</formula>
    </cfRule>
  </conditionalFormatting>
  <conditionalFormatting sqref="AI307:AJ307">
    <cfRule type="cellIs" dxfId="1" priority="773" operator="equal">
      <formula>"未完成"</formula>
    </cfRule>
    <cfRule type="cellIs" dxfId="0" priority="774" operator="equal">
      <formula>"未完成"</formula>
    </cfRule>
  </conditionalFormatting>
  <conditionalFormatting sqref="AK307">
    <cfRule type="cellIs" dxfId="1" priority="775" operator="equal">
      <formula>"未完成"</formula>
    </cfRule>
    <cfRule type="cellIs" dxfId="0" priority="776" operator="equal">
      <formula>"未完成"</formula>
    </cfRule>
  </conditionalFormatting>
  <conditionalFormatting sqref="AU307">
    <cfRule type="cellIs" dxfId="1" priority="768" operator="equal">
      <formula>"未完成"</formula>
    </cfRule>
    <cfRule type="cellIs" dxfId="0" priority="769" operator="equal">
      <formula>"未完成"</formula>
    </cfRule>
  </conditionalFormatting>
  <conditionalFormatting sqref="S308">
    <cfRule type="cellIs" dxfId="0" priority="721" operator="equal">
      <formula>"欠"</formula>
    </cfRule>
  </conditionalFormatting>
  <conditionalFormatting sqref="T308:U308">
    <cfRule type="containsText" dxfId="0" priority="720" operator="between" text="欠">
      <formula>NOT(ISERROR(SEARCH("欠",T308)))</formula>
    </cfRule>
  </conditionalFormatting>
  <conditionalFormatting sqref="AE308">
    <cfRule type="cellIs" dxfId="0" priority="723" operator="equal">
      <formula>"未完成"</formula>
    </cfRule>
  </conditionalFormatting>
  <conditionalFormatting sqref="AI308:AJ308">
    <cfRule type="cellIs" dxfId="1" priority="724" operator="equal">
      <formula>"未完成"</formula>
    </cfRule>
    <cfRule type="cellIs" dxfId="0" priority="725" operator="equal">
      <formula>"未完成"</formula>
    </cfRule>
  </conditionalFormatting>
  <conditionalFormatting sqref="AK308">
    <cfRule type="cellIs" dxfId="1" priority="726" operator="equal">
      <formula>"未完成"</formula>
    </cfRule>
    <cfRule type="cellIs" dxfId="0" priority="727" operator="equal">
      <formula>"未完成"</formula>
    </cfRule>
  </conditionalFormatting>
  <conditionalFormatting sqref="AU308">
    <cfRule type="cellIs" dxfId="1" priority="718" operator="equal">
      <formula>"未完成"</formula>
    </cfRule>
    <cfRule type="cellIs" dxfId="0" priority="719" operator="equal">
      <formula>"未完成"</formula>
    </cfRule>
  </conditionalFormatting>
  <conditionalFormatting sqref="S309">
    <cfRule type="cellIs" dxfId="0" priority="848" operator="equal">
      <formula>"欠"</formula>
    </cfRule>
  </conditionalFormatting>
  <conditionalFormatting sqref="T309:U309">
    <cfRule type="containsText" dxfId="0" priority="847" operator="between" text="欠">
      <formula>NOT(ISERROR(SEARCH("欠",T309)))</formula>
    </cfRule>
  </conditionalFormatting>
  <conditionalFormatting sqref="AE309">
    <cfRule type="cellIs" dxfId="0" priority="850" operator="equal">
      <formula>"未完成"</formula>
    </cfRule>
  </conditionalFormatting>
  <conditionalFormatting sqref="AI309:AJ309">
    <cfRule type="cellIs" dxfId="1" priority="851" operator="equal">
      <formula>"未完成"</formula>
    </cfRule>
    <cfRule type="cellIs" dxfId="0" priority="852" operator="equal">
      <formula>"未完成"</formula>
    </cfRule>
  </conditionalFormatting>
  <conditionalFormatting sqref="AK309">
    <cfRule type="cellIs" dxfId="1" priority="853" operator="equal">
      <formula>"未完成"</formula>
    </cfRule>
    <cfRule type="cellIs" dxfId="0" priority="854" operator="equal">
      <formula>"未完成"</formula>
    </cfRule>
  </conditionalFormatting>
  <conditionalFormatting sqref="AL309">
    <cfRule type="cellIs" dxfId="1" priority="801" operator="equal">
      <formula>"未完成"</formula>
    </cfRule>
    <cfRule type="cellIs" dxfId="0" priority="802" operator="equal">
      <formula>"未完成"</formula>
    </cfRule>
  </conditionalFormatting>
  <conditionalFormatting sqref="AT309">
    <cfRule type="cellIs" dxfId="1" priority="799" operator="equal">
      <formula>"未完成"</formula>
    </cfRule>
    <cfRule type="cellIs" dxfId="0" priority="800" operator="equal">
      <formula>"未完成"</formula>
    </cfRule>
  </conditionalFormatting>
  <conditionalFormatting sqref="AU309">
    <cfRule type="cellIs" dxfId="1" priority="845" operator="equal">
      <formula>"未完成"</formula>
    </cfRule>
    <cfRule type="cellIs" dxfId="0" priority="846" operator="equal">
      <formula>"未完成"</formula>
    </cfRule>
  </conditionalFormatting>
  <conditionalFormatting sqref="AE310">
    <cfRule type="cellIs" dxfId="0" priority="1090" operator="equal">
      <formula>"未完成"</formula>
    </cfRule>
  </conditionalFormatting>
  <conditionalFormatting sqref="AI310:AJ310">
    <cfRule type="cellIs" dxfId="1" priority="1092" operator="equal">
      <formula>"未完成"</formula>
    </cfRule>
    <cfRule type="cellIs" dxfId="0" priority="1094" operator="equal">
      <formula>"未完成"</formula>
    </cfRule>
  </conditionalFormatting>
  <conditionalFormatting sqref="AU310">
    <cfRule type="cellIs" dxfId="1" priority="1076" operator="equal">
      <formula>"未完成"</formula>
    </cfRule>
    <cfRule type="cellIs" dxfId="0" priority="1078" operator="equal">
      <formula>"未完成"</formula>
    </cfRule>
  </conditionalFormatting>
  <conditionalFormatting sqref="AE311">
    <cfRule type="cellIs" dxfId="0" priority="826" operator="equal">
      <formula>"未完成"</formula>
    </cfRule>
  </conditionalFormatting>
  <conditionalFormatting sqref="AI311:AJ311">
    <cfRule type="cellIs" dxfId="1" priority="827" operator="equal">
      <formula>"未完成"</formula>
    </cfRule>
    <cfRule type="cellIs" dxfId="0" priority="828" operator="equal">
      <formula>"未完成"</formula>
    </cfRule>
  </conditionalFormatting>
  <conditionalFormatting sqref="AK311">
    <cfRule type="cellIs" dxfId="1" priority="829" operator="equal">
      <formula>"未完成"</formula>
    </cfRule>
    <cfRule type="cellIs" dxfId="0" priority="830" operator="equal">
      <formula>"未完成"</formula>
    </cfRule>
  </conditionalFormatting>
  <conditionalFormatting sqref="AU311">
    <cfRule type="cellIs" dxfId="1" priority="822" operator="equal">
      <formula>"未完成"</formula>
    </cfRule>
    <cfRule type="cellIs" dxfId="0" priority="823" operator="equal">
      <formula>"未完成"</formula>
    </cfRule>
  </conditionalFormatting>
  <conditionalFormatting sqref="AE312">
    <cfRule type="cellIs" dxfId="0" priority="809" operator="equal">
      <formula>"未完成"</formula>
    </cfRule>
  </conditionalFormatting>
  <conditionalFormatting sqref="AI312:AJ312">
    <cfRule type="cellIs" dxfId="1" priority="810" operator="equal">
      <formula>"未完成"</formula>
    </cfRule>
    <cfRule type="cellIs" dxfId="0" priority="811" operator="equal">
      <formula>"未完成"</formula>
    </cfRule>
  </conditionalFormatting>
  <conditionalFormatting sqref="AK312">
    <cfRule type="cellIs" dxfId="1" priority="812" operator="equal">
      <formula>"未完成"</formula>
    </cfRule>
    <cfRule type="cellIs" dxfId="0" priority="813" operator="equal">
      <formula>"未完成"</formula>
    </cfRule>
  </conditionalFormatting>
  <conditionalFormatting sqref="AU312">
    <cfRule type="cellIs" dxfId="1" priority="805" operator="equal">
      <formula>"未完成"</formula>
    </cfRule>
    <cfRule type="cellIs" dxfId="0" priority="806" operator="equal">
      <formula>"未完成"</formula>
    </cfRule>
  </conditionalFormatting>
  <conditionalFormatting sqref="AL313">
    <cfRule type="cellIs" dxfId="1" priority="1822" operator="equal">
      <formula>"未完成"</formula>
    </cfRule>
    <cfRule type="cellIs" dxfId="0" priority="1823" operator="equal">
      <formula>"未完成"</formula>
    </cfRule>
  </conditionalFormatting>
  <conditionalFormatting sqref="T314:U314">
    <cfRule type="containsText" dxfId="0" priority="883" operator="between" text="欠">
      <formula>NOT(ISERROR(SEARCH("欠",T314)))</formula>
    </cfRule>
  </conditionalFormatting>
  <conditionalFormatting sqref="AE314">
    <cfRule type="cellIs" dxfId="0" priority="886" operator="equal">
      <formula>"未完成"</formula>
    </cfRule>
  </conditionalFormatting>
  <conditionalFormatting sqref="AI314:AJ314">
    <cfRule type="cellIs" dxfId="1" priority="887" operator="equal">
      <formula>"未完成"</formula>
    </cfRule>
    <cfRule type="cellIs" dxfId="0" priority="888" operator="equal">
      <formula>"未完成"</formula>
    </cfRule>
  </conditionalFormatting>
  <conditionalFormatting sqref="AL314">
    <cfRule type="cellIs" dxfId="1" priority="879" operator="equal">
      <formula>"未完成"</formula>
    </cfRule>
    <cfRule type="cellIs" dxfId="0" priority="880" operator="equal">
      <formula>"未完成"</formula>
    </cfRule>
  </conditionalFormatting>
  <conditionalFormatting sqref="AU314">
    <cfRule type="cellIs" dxfId="1" priority="881" operator="equal">
      <formula>"未完成"</formula>
    </cfRule>
    <cfRule type="cellIs" dxfId="0" priority="882" operator="equal">
      <formula>"未完成"</formula>
    </cfRule>
  </conditionalFormatting>
  <conditionalFormatting sqref="R315">
    <cfRule type="cellIs" dxfId="0" priority="739" operator="equal">
      <formula>"欠"</formula>
    </cfRule>
  </conditionalFormatting>
  <conditionalFormatting sqref="S315">
    <cfRule type="cellIs" dxfId="0" priority="738" operator="equal">
      <formula>"欠"</formula>
    </cfRule>
  </conditionalFormatting>
  <conditionalFormatting sqref="AE315">
    <cfRule type="cellIs" dxfId="0" priority="747" operator="equal">
      <formula>"未完成"</formula>
    </cfRule>
    <cfRule type="cellIs" dxfId="1" priority="748" operator="equal">
      <formula>"未完成"</formula>
    </cfRule>
  </conditionalFormatting>
  <conditionalFormatting sqref="AF315">
    <cfRule type="cellIs" dxfId="1" priority="749" operator="equal">
      <formula>"未完成"</formula>
    </cfRule>
    <cfRule type="cellIs" dxfId="0" priority="750" operator="equal">
      <formula>"未完成"</formula>
    </cfRule>
  </conditionalFormatting>
  <conditionalFormatting sqref="AH315">
    <cfRule type="cellIs" dxfId="1" priority="753" operator="equal">
      <formula>"未完成"</formula>
    </cfRule>
    <cfRule type="cellIs" dxfId="0" priority="754" operator="equal">
      <formula>"未完成"</formula>
    </cfRule>
  </conditionalFormatting>
  <conditionalFormatting sqref="AI315:AJ315">
    <cfRule type="cellIs" dxfId="1" priority="751" operator="equal">
      <formula>"未完成"</formula>
    </cfRule>
    <cfRule type="cellIs" dxfId="0" priority="752" operator="equal">
      <formula>"未完成"</formula>
    </cfRule>
  </conditionalFormatting>
  <conditionalFormatting sqref="AL315">
    <cfRule type="cellIs" dxfId="1" priority="745" operator="equal">
      <formula>"未完成"</formula>
    </cfRule>
    <cfRule type="cellIs" dxfId="0" priority="746" operator="equal">
      <formula>"未完成"</formula>
    </cfRule>
  </conditionalFormatting>
  <conditionalFormatting sqref="AM315">
    <cfRule type="cellIs" dxfId="1" priority="740" operator="equal">
      <formula>"未完成"</formula>
    </cfRule>
    <cfRule type="cellIs" dxfId="0" priority="741" operator="equal">
      <formula>"未完成"</formula>
    </cfRule>
  </conditionalFormatting>
  <conditionalFormatting sqref="AT315">
    <cfRule type="cellIs" dxfId="1" priority="760" operator="equal">
      <formula>"未完成"</formula>
    </cfRule>
    <cfRule type="cellIs" dxfId="0" priority="761" operator="equal">
      <formula>"未完成"</formula>
    </cfRule>
  </conditionalFormatting>
  <conditionalFormatting sqref="S316">
    <cfRule type="cellIs" dxfId="0" priority="1256" operator="equal">
      <formula>"欠"</formula>
    </cfRule>
  </conditionalFormatting>
  <conditionalFormatting sqref="T316:U316">
    <cfRule type="containsText" dxfId="0" priority="1255" operator="between" text="欠">
      <formula>NOT(ISERROR(SEARCH("欠",T316)))</formula>
    </cfRule>
  </conditionalFormatting>
  <conditionalFormatting sqref="AE316">
    <cfRule type="cellIs" dxfId="0" priority="1258" operator="equal">
      <formula>"未完成"</formula>
    </cfRule>
  </conditionalFormatting>
  <conditionalFormatting sqref="AI316:AJ316">
    <cfRule type="cellIs" dxfId="1" priority="1259" operator="equal">
      <formula>"未完成"</formula>
    </cfRule>
    <cfRule type="cellIs" dxfId="0" priority="1260" operator="equal">
      <formula>"未完成"</formula>
    </cfRule>
  </conditionalFormatting>
  <conditionalFormatting sqref="AK316">
    <cfRule type="cellIs" dxfId="1" priority="1261" operator="equal">
      <formula>"未完成"</formula>
    </cfRule>
    <cfRule type="cellIs" dxfId="0" priority="1262" operator="equal">
      <formula>"未完成"</formula>
    </cfRule>
  </conditionalFormatting>
  <conditionalFormatting sqref="R317">
    <cfRule type="cellIs" dxfId="0" priority="204" operator="equal">
      <formula>"欠"</formula>
    </cfRule>
  </conditionalFormatting>
  <conditionalFormatting sqref="S317">
    <cfRule type="cellIs" dxfId="0" priority="191" operator="equal">
      <formula>"欠"</formula>
    </cfRule>
    <cfRule type="cellIs" dxfId="0" priority="712" operator="equal">
      <formula>"欠"</formula>
    </cfRule>
  </conditionalFormatting>
  <conditionalFormatting sqref="T317:U317">
    <cfRule type="containsText" dxfId="0" priority="192" operator="between" text="欠">
      <formula>NOT(ISERROR(SEARCH("欠",T317)))</formula>
    </cfRule>
    <cfRule type="cellIs" dxfId="0" priority="193" operator="equal">
      <formula>"欠"</formula>
    </cfRule>
    <cfRule type="containsText" dxfId="0" priority="705" operator="between" text="欠">
      <formula>NOT(ISERROR(SEARCH("欠",T317)))</formula>
    </cfRule>
    <cfRule type="cellIs" dxfId="0" priority="706" operator="equal">
      <formula>"欠"</formula>
    </cfRule>
  </conditionalFormatting>
  <conditionalFormatting sqref="AE317">
    <cfRule type="cellIs" dxfId="0" priority="196" operator="equal">
      <formula>"未完成"</formula>
    </cfRule>
    <cfRule type="cellIs" dxfId="1" priority="197" operator="equal">
      <formula>"未完成"</formula>
    </cfRule>
  </conditionalFormatting>
  <conditionalFormatting sqref="AF317">
    <cfRule type="cellIs" dxfId="1" priority="198" operator="equal">
      <formula>"未完成"</formula>
    </cfRule>
    <cfRule type="cellIs" dxfId="0" priority="199" operator="equal">
      <formula>"未完成"</formula>
    </cfRule>
  </conditionalFormatting>
  <conditionalFormatting sqref="AH317">
    <cfRule type="cellIs" dxfId="1" priority="202" operator="equal">
      <formula>"未完成"</formula>
    </cfRule>
    <cfRule type="cellIs" dxfId="0" priority="203" operator="equal">
      <formula>"未完成"</formula>
    </cfRule>
  </conditionalFormatting>
  <conditionalFormatting sqref="AI317:AJ317">
    <cfRule type="cellIs" dxfId="1" priority="200" operator="equal">
      <formula>"未完成"</formula>
    </cfRule>
    <cfRule type="cellIs" dxfId="0" priority="201" operator="equal">
      <formula>"未完成"</formula>
    </cfRule>
  </conditionalFormatting>
  <conditionalFormatting sqref="AK317">
    <cfRule type="cellIs" dxfId="1" priority="710" operator="equal">
      <formula>"未完成"</formula>
    </cfRule>
    <cfRule type="cellIs" dxfId="0" priority="711" operator="equal">
      <formula>"未完成"</formula>
    </cfRule>
  </conditionalFormatting>
  <conditionalFormatting sqref="AM317">
    <cfRule type="cellIs" dxfId="1" priority="209" operator="equal">
      <formula>"未完成"</formula>
    </cfRule>
    <cfRule type="cellIs" dxfId="0" priority="210" operator="equal">
      <formula>"未完成"</formula>
    </cfRule>
  </conditionalFormatting>
  <conditionalFormatting sqref="AT317">
    <cfRule type="cellIs" dxfId="1" priority="207" operator="equal">
      <formula>"未完成"</formula>
    </cfRule>
    <cfRule type="cellIs" dxfId="0" priority="208" operator="equal">
      <formula>"未完成"</formula>
    </cfRule>
  </conditionalFormatting>
  <conditionalFormatting sqref="T318:U318">
    <cfRule type="containsText" dxfId="0" priority="783" operator="between" text="欠">
      <formula>NOT(ISERROR(SEARCH("欠",T318)))</formula>
    </cfRule>
  </conditionalFormatting>
  <conditionalFormatting sqref="AE318">
    <cfRule type="cellIs" dxfId="0" priority="786" operator="equal">
      <formula>"未完成"</formula>
    </cfRule>
  </conditionalFormatting>
  <conditionalFormatting sqref="AI318:AJ318">
    <cfRule type="cellIs" dxfId="1" priority="787" operator="equal">
      <formula>"未完成"</formula>
    </cfRule>
    <cfRule type="cellIs" dxfId="0" priority="788" operator="equal">
      <formula>"未完成"</formula>
    </cfRule>
  </conditionalFormatting>
  <conditionalFormatting sqref="AK318">
    <cfRule type="cellIs" dxfId="1" priority="789" operator="equal">
      <formula>"未完成"</formula>
    </cfRule>
    <cfRule type="cellIs" dxfId="0" priority="790" operator="equal">
      <formula>"未完成"</formula>
    </cfRule>
  </conditionalFormatting>
  <conditionalFormatting sqref="AL318">
    <cfRule type="cellIs" dxfId="1" priority="793" operator="equal">
      <formula>"未完成"</formula>
    </cfRule>
    <cfRule type="cellIs" dxfId="0" priority="794" operator="equal">
      <formula>"未完成"</formula>
    </cfRule>
  </conditionalFormatting>
  <conditionalFormatting sqref="AT318">
    <cfRule type="cellIs" dxfId="1" priority="791" operator="equal">
      <formula>"未完成"</formula>
    </cfRule>
    <cfRule type="cellIs" dxfId="0" priority="792" operator="equal">
      <formula>"未完成"</formula>
    </cfRule>
  </conditionalFormatting>
  <conditionalFormatting sqref="AE322">
    <cfRule type="cellIs" dxfId="0" priority="533" operator="equal">
      <formula>"未完成"</formula>
    </cfRule>
    <cfRule type="cellIs" dxfId="1" priority="541" operator="equal">
      <formula>"未完成"</formula>
    </cfRule>
  </conditionalFormatting>
  <conditionalFormatting sqref="AF322">
    <cfRule type="cellIs" dxfId="1" priority="549" operator="equal">
      <formula>"未完成"</formula>
    </cfRule>
    <cfRule type="cellIs" dxfId="0" priority="557" operator="equal">
      <formula>"未完成"</formula>
    </cfRule>
  </conditionalFormatting>
  <conditionalFormatting sqref="AH322">
    <cfRule type="cellIs" dxfId="1" priority="581" operator="equal">
      <formula>"未完成"</formula>
    </cfRule>
    <cfRule type="cellIs" dxfId="0" priority="589" operator="equal">
      <formula>"未完成"</formula>
    </cfRule>
  </conditionalFormatting>
  <conditionalFormatting sqref="AI322:AJ322">
    <cfRule type="cellIs" dxfId="1" priority="565" operator="equal">
      <formula>"未完成"</formula>
    </cfRule>
    <cfRule type="cellIs" dxfId="0" priority="573" operator="equal">
      <formula>"未完成"</formula>
    </cfRule>
  </conditionalFormatting>
  <conditionalFormatting sqref="AL322">
    <cfRule type="cellIs" dxfId="1" priority="517" operator="equal">
      <formula>"未完成"</formula>
    </cfRule>
    <cfRule type="cellIs" dxfId="0" priority="525" operator="equal">
      <formula>"未完成"</formula>
    </cfRule>
  </conditionalFormatting>
  <conditionalFormatting sqref="AT322">
    <cfRule type="cellIs" dxfId="1" priority="637" operator="equal">
      <formula>"未完成"</formula>
    </cfRule>
    <cfRule type="cellIs" dxfId="0" priority="645" operator="equal">
      <formula>"未完成"</formula>
    </cfRule>
  </conditionalFormatting>
  <conditionalFormatting sqref="AE323">
    <cfRule type="cellIs" dxfId="0" priority="532" operator="equal">
      <formula>"未完成"</formula>
    </cfRule>
    <cfRule type="cellIs" dxfId="1" priority="540" operator="equal">
      <formula>"未完成"</formula>
    </cfRule>
  </conditionalFormatting>
  <conditionalFormatting sqref="AF323">
    <cfRule type="cellIs" dxfId="1" priority="548" operator="equal">
      <formula>"未完成"</formula>
    </cfRule>
    <cfRule type="cellIs" dxfId="0" priority="556" operator="equal">
      <formula>"未完成"</formula>
    </cfRule>
  </conditionalFormatting>
  <conditionalFormatting sqref="AH323">
    <cfRule type="cellIs" dxfId="1" priority="580" operator="equal">
      <formula>"未完成"</formula>
    </cfRule>
    <cfRule type="cellIs" dxfId="0" priority="588" operator="equal">
      <formula>"未完成"</formula>
    </cfRule>
  </conditionalFormatting>
  <conditionalFormatting sqref="AI323:AJ323">
    <cfRule type="cellIs" dxfId="1" priority="564" operator="equal">
      <formula>"未完成"</formula>
    </cfRule>
    <cfRule type="cellIs" dxfId="0" priority="572" operator="equal">
      <formula>"未完成"</formula>
    </cfRule>
  </conditionalFormatting>
  <conditionalFormatting sqref="AL323">
    <cfRule type="cellIs" dxfId="1" priority="516" operator="equal">
      <formula>"未完成"</formula>
    </cfRule>
    <cfRule type="cellIs" dxfId="0" priority="524" operator="equal">
      <formula>"未完成"</formula>
    </cfRule>
  </conditionalFormatting>
  <conditionalFormatting sqref="AT323">
    <cfRule type="cellIs" dxfId="1" priority="636" operator="equal">
      <formula>"未完成"</formula>
    </cfRule>
    <cfRule type="cellIs" dxfId="0" priority="644" operator="equal">
      <formula>"未完成"</formula>
    </cfRule>
  </conditionalFormatting>
  <conditionalFormatting sqref="AE324">
    <cfRule type="cellIs" dxfId="0" priority="531" operator="equal">
      <formula>"未完成"</formula>
    </cfRule>
    <cfRule type="cellIs" dxfId="1" priority="539" operator="equal">
      <formula>"未完成"</formula>
    </cfRule>
  </conditionalFormatting>
  <conditionalFormatting sqref="AF324">
    <cfRule type="cellIs" dxfId="1" priority="547" operator="equal">
      <formula>"未完成"</formula>
    </cfRule>
    <cfRule type="cellIs" dxfId="0" priority="555" operator="equal">
      <formula>"未完成"</formula>
    </cfRule>
  </conditionalFormatting>
  <conditionalFormatting sqref="AH324">
    <cfRule type="cellIs" dxfId="1" priority="579" operator="equal">
      <formula>"未完成"</formula>
    </cfRule>
    <cfRule type="cellIs" dxfId="0" priority="587" operator="equal">
      <formula>"未完成"</formula>
    </cfRule>
  </conditionalFormatting>
  <conditionalFormatting sqref="AI324:AJ324">
    <cfRule type="cellIs" dxfId="1" priority="563" operator="equal">
      <formula>"未完成"</formula>
    </cfRule>
    <cfRule type="cellIs" dxfId="0" priority="571" operator="equal">
      <formula>"未完成"</formula>
    </cfRule>
  </conditionalFormatting>
  <conditionalFormatting sqref="AL324">
    <cfRule type="cellIs" dxfId="1" priority="515" operator="equal">
      <formula>"未完成"</formula>
    </cfRule>
    <cfRule type="cellIs" dxfId="0" priority="523" operator="equal">
      <formula>"未完成"</formula>
    </cfRule>
  </conditionalFormatting>
  <conditionalFormatting sqref="AT324">
    <cfRule type="cellIs" dxfId="1" priority="635" operator="equal">
      <formula>"未完成"</formula>
    </cfRule>
    <cfRule type="cellIs" dxfId="0" priority="643" operator="equal">
      <formula>"未完成"</formula>
    </cfRule>
  </conditionalFormatting>
  <conditionalFormatting sqref="AE325">
    <cfRule type="cellIs" dxfId="0" priority="530" operator="equal">
      <formula>"未完成"</formula>
    </cfRule>
    <cfRule type="cellIs" dxfId="1" priority="538" operator="equal">
      <formula>"未完成"</formula>
    </cfRule>
  </conditionalFormatting>
  <conditionalFormatting sqref="AF325">
    <cfRule type="cellIs" dxfId="1" priority="546" operator="equal">
      <formula>"未完成"</formula>
    </cfRule>
    <cfRule type="cellIs" dxfId="0" priority="554" operator="equal">
      <formula>"未完成"</formula>
    </cfRule>
  </conditionalFormatting>
  <conditionalFormatting sqref="AH325">
    <cfRule type="cellIs" dxfId="1" priority="578" operator="equal">
      <formula>"未完成"</formula>
    </cfRule>
    <cfRule type="cellIs" dxfId="0" priority="586" operator="equal">
      <formula>"未完成"</formula>
    </cfRule>
  </conditionalFormatting>
  <conditionalFormatting sqref="AI325:AJ325">
    <cfRule type="cellIs" dxfId="1" priority="562" operator="equal">
      <formula>"未完成"</formula>
    </cfRule>
    <cfRule type="cellIs" dxfId="0" priority="570" operator="equal">
      <formula>"未完成"</formula>
    </cfRule>
  </conditionalFormatting>
  <conditionalFormatting sqref="AL325">
    <cfRule type="cellIs" dxfId="1" priority="514" operator="equal">
      <formula>"未完成"</formula>
    </cfRule>
    <cfRule type="cellIs" dxfId="0" priority="522" operator="equal">
      <formula>"未完成"</formula>
    </cfRule>
  </conditionalFormatting>
  <conditionalFormatting sqref="AT325">
    <cfRule type="cellIs" dxfId="1" priority="634" operator="equal">
      <formula>"未完成"</formula>
    </cfRule>
    <cfRule type="cellIs" dxfId="0" priority="642" operator="equal">
      <formula>"未完成"</formula>
    </cfRule>
  </conditionalFormatting>
  <conditionalFormatting sqref="AE326">
    <cfRule type="cellIs" dxfId="0" priority="529" operator="equal">
      <formula>"未完成"</formula>
    </cfRule>
    <cfRule type="cellIs" dxfId="1" priority="537" operator="equal">
      <formula>"未完成"</formula>
    </cfRule>
  </conditionalFormatting>
  <conditionalFormatting sqref="AF326">
    <cfRule type="cellIs" dxfId="1" priority="545" operator="equal">
      <formula>"未完成"</formula>
    </cfRule>
    <cfRule type="cellIs" dxfId="0" priority="553" operator="equal">
      <formula>"未完成"</formula>
    </cfRule>
  </conditionalFormatting>
  <conditionalFormatting sqref="AH326">
    <cfRule type="cellIs" dxfId="1" priority="577" operator="equal">
      <formula>"未完成"</formula>
    </cfRule>
    <cfRule type="cellIs" dxfId="0" priority="585" operator="equal">
      <formula>"未完成"</formula>
    </cfRule>
  </conditionalFormatting>
  <conditionalFormatting sqref="AI326:AJ326">
    <cfRule type="cellIs" dxfId="1" priority="561" operator="equal">
      <formula>"未完成"</formula>
    </cfRule>
    <cfRule type="cellIs" dxfId="0" priority="569" operator="equal">
      <formula>"未完成"</formula>
    </cfRule>
  </conditionalFormatting>
  <conditionalFormatting sqref="AL326">
    <cfRule type="cellIs" dxfId="1" priority="513" operator="equal">
      <formula>"未完成"</formula>
    </cfRule>
    <cfRule type="cellIs" dxfId="0" priority="521" operator="equal">
      <formula>"未完成"</formula>
    </cfRule>
  </conditionalFormatting>
  <conditionalFormatting sqref="AT326">
    <cfRule type="cellIs" dxfId="1" priority="633" operator="equal">
      <formula>"未完成"</formula>
    </cfRule>
    <cfRule type="cellIs" dxfId="0" priority="641" operator="equal">
      <formula>"未完成"</formula>
    </cfRule>
  </conditionalFormatting>
  <conditionalFormatting sqref="AE327">
    <cfRule type="cellIs" dxfId="0" priority="528" operator="equal">
      <formula>"未完成"</formula>
    </cfRule>
    <cfRule type="cellIs" dxfId="1" priority="536" operator="equal">
      <formula>"未完成"</formula>
    </cfRule>
  </conditionalFormatting>
  <conditionalFormatting sqref="AF327">
    <cfRule type="cellIs" dxfId="1" priority="544" operator="equal">
      <formula>"未完成"</formula>
    </cfRule>
    <cfRule type="cellIs" dxfId="0" priority="552" operator="equal">
      <formula>"未完成"</formula>
    </cfRule>
  </conditionalFormatting>
  <conditionalFormatting sqref="AH327">
    <cfRule type="cellIs" dxfId="1" priority="576" operator="equal">
      <formula>"未完成"</formula>
    </cfRule>
    <cfRule type="cellIs" dxfId="0" priority="584" operator="equal">
      <formula>"未完成"</formula>
    </cfRule>
  </conditionalFormatting>
  <conditionalFormatting sqref="AI327:AJ327">
    <cfRule type="cellIs" dxfId="1" priority="560" operator="equal">
      <formula>"未完成"</formula>
    </cfRule>
    <cfRule type="cellIs" dxfId="0" priority="568" operator="equal">
      <formula>"未完成"</formula>
    </cfRule>
  </conditionalFormatting>
  <conditionalFormatting sqref="AL327">
    <cfRule type="cellIs" dxfId="1" priority="512" operator="equal">
      <formula>"未完成"</formula>
    </cfRule>
    <cfRule type="cellIs" dxfId="0" priority="520" operator="equal">
      <formula>"未完成"</formula>
    </cfRule>
  </conditionalFormatting>
  <conditionalFormatting sqref="AT327">
    <cfRule type="cellIs" dxfId="1" priority="632" operator="equal">
      <formula>"未完成"</formula>
    </cfRule>
    <cfRule type="cellIs" dxfId="0" priority="640" operator="equal">
      <formula>"未完成"</formula>
    </cfRule>
  </conditionalFormatting>
  <conditionalFormatting sqref="AE328">
    <cfRule type="cellIs" dxfId="0" priority="527" operator="equal">
      <formula>"未完成"</formula>
    </cfRule>
    <cfRule type="cellIs" dxfId="1" priority="535" operator="equal">
      <formula>"未完成"</formula>
    </cfRule>
  </conditionalFormatting>
  <conditionalFormatting sqref="AF328">
    <cfRule type="cellIs" dxfId="1" priority="543" operator="equal">
      <formula>"未完成"</formula>
    </cfRule>
    <cfRule type="cellIs" dxfId="0" priority="551" operator="equal">
      <formula>"未完成"</formula>
    </cfRule>
  </conditionalFormatting>
  <conditionalFormatting sqref="AH328">
    <cfRule type="cellIs" dxfId="1" priority="575" operator="equal">
      <formula>"未完成"</formula>
    </cfRule>
    <cfRule type="cellIs" dxfId="0" priority="583" operator="equal">
      <formula>"未完成"</formula>
    </cfRule>
  </conditionalFormatting>
  <conditionalFormatting sqref="AI328:AJ328">
    <cfRule type="cellIs" dxfId="1" priority="559" operator="equal">
      <formula>"未完成"</formula>
    </cfRule>
    <cfRule type="cellIs" dxfId="0" priority="567" operator="equal">
      <formula>"未完成"</formula>
    </cfRule>
  </conditionalFormatting>
  <conditionalFormatting sqref="AL328">
    <cfRule type="cellIs" dxfId="1" priority="511" operator="equal">
      <formula>"未完成"</formula>
    </cfRule>
    <cfRule type="cellIs" dxfId="0" priority="519" operator="equal">
      <formula>"未完成"</formula>
    </cfRule>
  </conditionalFormatting>
  <conditionalFormatting sqref="AT328">
    <cfRule type="cellIs" dxfId="1" priority="631" operator="equal">
      <formula>"未完成"</formula>
    </cfRule>
    <cfRule type="cellIs" dxfId="0" priority="639" operator="equal">
      <formula>"未完成"</formula>
    </cfRule>
  </conditionalFormatting>
  <conditionalFormatting sqref="AE329">
    <cfRule type="cellIs" dxfId="0" priority="526" operator="equal">
      <formula>"未完成"</formula>
    </cfRule>
    <cfRule type="cellIs" dxfId="1" priority="534" operator="equal">
      <formula>"未完成"</formula>
    </cfRule>
  </conditionalFormatting>
  <conditionalFormatting sqref="AF329">
    <cfRule type="cellIs" dxfId="1" priority="542" operator="equal">
      <formula>"未完成"</formula>
    </cfRule>
    <cfRule type="cellIs" dxfId="0" priority="550" operator="equal">
      <formula>"未完成"</formula>
    </cfRule>
  </conditionalFormatting>
  <conditionalFormatting sqref="AH329">
    <cfRule type="cellIs" dxfId="1" priority="574" operator="equal">
      <formula>"未完成"</formula>
    </cfRule>
    <cfRule type="cellIs" dxfId="0" priority="582" operator="equal">
      <formula>"未完成"</formula>
    </cfRule>
  </conditionalFormatting>
  <conditionalFormatting sqref="AI329:AJ329">
    <cfRule type="cellIs" dxfId="1" priority="558" operator="equal">
      <formula>"未完成"</formula>
    </cfRule>
    <cfRule type="cellIs" dxfId="0" priority="566" operator="equal">
      <formula>"未完成"</formula>
    </cfRule>
  </conditionalFormatting>
  <conditionalFormatting sqref="AL329">
    <cfRule type="cellIs" dxfId="1" priority="510" operator="equal">
      <formula>"未完成"</formula>
    </cfRule>
    <cfRule type="cellIs" dxfId="0" priority="518" operator="equal">
      <formula>"未完成"</formula>
    </cfRule>
  </conditionalFormatting>
  <conditionalFormatting sqref="AT329">
    <cfRule type="cellIs" dxfId="1" priority="630" operator="equal">
      <formula>"未完成"</formula>
    </cfRule>
    <cfRule type="cellIs" dxfId="0" priority="638" operator="equal">
      <formula>"未完成"</formula>
    </cfRule>
  </conditionalFormatting>
  <conditionalFormatting sqref="R330">
    <cfRule type="cellIs" dxfId="0" priority="396" operator="equal">
      <formula>"欠"</formula>
    </cfRule>
  </conditionalFormatting>
  <conditionalFormatting sqref="S330">
    <cfRule type="cellIs" dxfId="0" priority="374" operator="equal">
      <formula>"欠"</formula>
    </cfRule>
  </conditionalFormatting>
  <conditionalFormatting sqref="T330:U330">
    <cfRule type="containsText" dxfId="0" priority="414" operator="between" text="欠">
      <formula>NOT(ISERROR(SEARCH("欠",T330)))</formula>
    </cfRule>
    <cfRule type="cellIs" dxfId="0" priority="416" operator="equal">
      <formula>"欠"</formula>
    </cfRule>
  </conditionalFormatting>
  <conditionalFormatting sqref="AE330">
    <cfRule type="cellIs" dxfId="0" priority="380" operator="equal">
      <formula>"未完成"</formula>
    </cfRule>
    <cfRule type="cellIs" dxfId="1" priority="382" operator="equal">
      <formula>"未完成"</formula>
    </cfRule>
  </conditionalFormatting>
  <conditionalFormatting sqref="AF330">
    <cfRule type="cellIs" dxfId="1" priority="384" operator="equal">
      <formula>"未完成"</formula>
    </cfRule>
    <cfRule type="cellIs" dxfId="0" priority="386" operator="equal">
      <formula>"未完成"</formula>
    </cfRule>
  </conditionalFormatting>
  <conditionalFormatting sqref="AH330">
    <cfRule type="cellIs" dxfId="1" priority="392" operator="equal">
      <formula>"未完成"</formula>
    </cfRule>
    <cfRule type="cellIs" dxfId="0" priority="394" operator="equal">
      <formula>"未完成"</formula>
    </cfRule>
  </conditionalFormatting>
  <conditionalFormatting sqref="AI330:AJ330">
    <cfRule type="cellIs" dxfId="1" priority="388" operator="equal">
      <formula>"未完成"</formula>
    </cfRule>
    <cfRule type="cellIs" dxfId="0" priority="390" operator="equal">
      <formula>"未完成"</formula>
    </cfRule>
  </conditionalFormatting>
  <conditionalFormatting sqref="AK330">
    <cfRule type="cellIs" dxfId="1" priority="398" operator="equal">
      <formula>"未完成"</formula>
    </cfRule>
    <cfRule type="cellIs" dxfId="0" priority="400" operator="equal">
      <formula>"未完成"</formula>
    </cfRule>
  </conditionalFormatting>
  <conditionalFormatting sqref="AL330">
    <cfRule type="cellIs" dxfId="1" priority="247" operator="equal">
      <formula>"未完成"</formula>
    </cfRule>
    <cfRule type="cellIs" dxfId="0" priority="248" operator="equal">
      <formula>"未完成"</formula>
    </cfRule>
  </conditionalFormatting>
  <conditionalFormatting sqref="AM330">
    <cfRule type="cellIs" dxfId="1" priority="370" operator="equal">
      <formula>"未完成"</formula>
    </cfRule>
    <cfRule type="cellIs" dxfId="0" priority="372" operator="equal">
      <formula>"未完成"</formula>
    </cfRule>
  </conditionalFormatting>
  <conditionalFormatting sqref="AT330">
    <cfRule type="cellIs" dxfId="1" priority="245" operator="equal">
      <formula>"未完成"</formula>
    </cfRule>
    <cfRule type="cellIs" dxfId="0" priority="246" operator="equal">
      <formula>"未完成"</formula>
    </cfRule>
  </conditionalFormatting>
  <conditionalFormatting sqref="AU330">
    <cfRule type="cellIs" dxfId="1" priority="406" operator="equal">
      <formula>"未完成"</formula>
    </cfRule>
    <cfRule type="cellIs" dxfId="0" priority="408" operator="equal">
      <formula>"未完成"</formula>
    </cfRule>
  </conditionalFormatting>
  <conditionalFormatting sqref="AE331">
    <cfRule type="cellIs" dxfId="0" priority="1089" operator="equal">
      <formula>"未完成"</formula>
    </cfRule>
  </conditionalFormatting>
  <conditionalFormatting sqref="AI331:AJ331">
    <cfRule type="cellIs" dxfId="1" priority="1091" operator="equal">
      <formula>"未完成"</formula>
    </cfRule>
    <cfRule type="cellIs" dxfId="0" priority="1093" operator="equal">
      <formula>"未完成"</formula>
    </cfRule>
  </conditionalFormatting>
  <conditionalFormatting sqref="AU331">
    <cfRule type="cellIs" dxfId="1" priority="1075" operator="equal">
      <formula>"未完成"</formula>
    </cfRule>
    <cfRule type="cellIs" dxfId="0" priority="1077" operator="equal">
      <formula>"未完成"</formula>
    </cfRule>
  </conditionalFormatting>
  <conditionalFormatting sqref="AE332">
    <cfRule type="cellIs" dxfId="0" priority="692" operator="equal">
      <formula>"未完成"</formula>
    </cfRule>
  </conditionalFormatting>
  <conditionalFormatting sqref="AI332:AJ332">
    <cfRule type="cellIs" dxfId="1" priority="693" operator="equal">
      <formula>"未完成"</formula>
    </cfRule>
    <cfRule type="cellIs" dxfId="0" priority="694" operator="equal">
      <formula>"未完成"</formula>
    </cfRule>
  </conditionalFormatting>
  <conditionalFormatting sqref="AE334">
    <cfRule type="cellIs" dxfId="0" priority="142" operator="equal">
      <formula>"未完成"</formula>
    </cfRule>
    <cfRule type="cellIs" dxfId="1" priority="144" operator="equal">
      <formula>"未完成"</formula>
    </cfRule>
  </conditionalFormatting>
  <conditionalFormatting sqref="AF334">
    <cfRule type="cellIs" dxfId="1" priority="146" operator="equal">
      <formula>"未完成"</formula>
    </cfRule>
    <cfRule type="cellIs" dxfId="0" priority="148" operator="equal">
      <formula>"未完成"</formula>
    </cfRule>
  </conditionalFormatting>
  <conditionalFormatting sqref="AH334">
    <cfRule type="cellIs" dxfId="1" priority="154" operator="equal">
      <formula>"未完成"</formula>
    </cfRule>
    <cfRule type="cellIs" dxfId="0" priority="156" operator="equal">
      <formula>"未完成"</formula>
    </cfRule>
  </conditionalFormatting>
  <conditionalFormatting sqref="AI334:AJ334">
    <cfRule type="cellIs" dxfId="1" priority="150" operator="equal">
      <formula>"未完成"</formula>
    </cfRule>
    <cfRule type="cellIs" dxfId="0" priority="152" operator="equal">
      <formula>"未完成"</formula>
    </cfRule>
  </conditionalFormatting>
  <conditionalFormatting sqref="AK334">
    <cfRule type="cellIs" dxfId="1" priority="160" operator="equal">
      <formula>"未完成"</formula>
    </cfRule>
    <cfRule type="cellIs" dxfId="0" priority="162" operator="equal">
      <formula>"未完成"</formula>
    </cfRule>
  </conditionalFormatting>
  <conditionalFormatting sqref="AL334">
    <cfRule type="cellIs" dxfId="1" priority="138" operator="equal">
      <formula>"未完成"</formula>
    </cfRule>
    <cfRule type="cellIs" dxfId="0" priority="140" operator="equal">
      <formula>"未完成"</formula>
    </cfRule>
  </conditionalFormatting>
  <conditionalFormatting sqref="AM334">
    <cfRule type="cellIs" dxfId="1" priority="168" operator="equal">
      <formula>"未完成"</formula>
    </cfRule>
    <cfRule type="cellIs" dxfId="0" priority="170" operator="equal">
      <formula>"未完成"</formula>
    </cfRule>
  </conditionalFormatting>
  <conditionalFormatting sqref="AT334">
    <cfRule type="cellIs" dxfId="1" priority="164" operator="equal">
      <formula>"未完成"</formula>
    </cfRule>
    <cfRule type="cellIs" dxfId="0" priority="166" operator="equal">
      <formula>"未完成"</formula>
    </cfRule>
  </conditionalFormatting>
  <conditionalFormatting sqref="AU334">
    <cfRule type="cellIs" dxfId="1" priority="29" operator="equal">
      <formula>"未完成"</formula>
    </cfRule>
    <cfRule type="cellIs" dxfId="0" priority="30" operator="equal">
      <formula>"未完成"</formula>
    </cfRule>
  </conditionalFormatting>
  <conditionalFormatting sqref="AE335">
    <cfRule type="cellIs" dxfId="0" priority="58" operator="equal">
      <formula>"未完成"</formula>
    </cfRule>
    <cfRule type="cellIs" dxfId="1" priority="62" operator="equal">
      <formula>"未完成"</formula>
    </cfRule>
  </conditionalFormatting>
  <conditionalFormatting sqref="AF335">
    <cfRule type="cellIs" dxfId="1" priority="66" operator="equal">
      <formula>"未完成"</formula>
    </cfRule>
    <cfRule type="cellIs" dxfId="0" priority="70" operator="equal">
      <formula>"未完成"</formula>
    </cfRule>
  </conditionalFormatting>
  <conditionalFormatting sqref="AH335">
    <cfRule type="cellIs" dxfId="1" priority="82" operator="equal">
      <formula>"未完成"</formula>
    </cfRule>
    <cfRule type="cellIs" dxfId="0" priority="86" operator="equal">
      <formula>"未完成"</formula>
    </cfRule>
  </conditionalFormatting>
  <conditionalFormatting sqref="AI335:AJ335">
    <cfRule type="cellIs" dxfId="1" priority="74" operator="equal">
      <formula>"未完成"</formula>
    </cfRule>
    <cfRule type="cellIs" dxfId="0" priority="78" operator="equal">
      <formula>"未完成"</formula>
    </cfRule>
  </conditionalFormatting>
  <conditionalFormatting sqref="AL335">
    <cfRule type="cellIs" dxfId="1" priority="50" operator="equal">
      <formula>"未完成"</formula>
    </cfRule>
    <cfRule type="cellIs" dxfId="0" priority="54" operator="equal">
      <formula>"未完成"</formula>
    </cfRule>
  </conditionalFormatting>
  <conditionalFormatting sqref="AT335">
    <cfRule type="cellIs" dxfId="1" priority="102" operator="equal">
      <formula>"未完成"</formula>
    </cfRule>
    <cfRule type="cellIs" dxfId="0" priority="106" operator="equal">
      <formula>"未完成"</formula>
    </cfRule>
  </conditionalFormatting>
  <conditionalFormatting sqref="AE336">
    <cfRule type="cellIs" dxfId="0" priority="57" operator="equal">
      <formula>"未完成"</formula>
    </cfRule>
    <cfRule type="cellIs" dxfId="1" priority="61" operator="equal">
      <formula>"未完成"</formula>
    </cfRule>
  </conditionalFormatting>
  <conditionalFormatting sqref="AF336">
    <cfRule type="cellIs" dxfId="1" priority="65" operator="equal">
      <formula>"未完成"</formula>
    </cfRule>
    <cfRule type="cellIs" dxfId="0" priority="69" operator="equal">
      <formula>"未完成"</formula>
    </cfRule>
  </conditionalFormatting>
  <conditionalFormatting sqref="AH336">
    <cfRule type="cellIs" dxfId="1" priority="81" operator="equal">
      <formula>"未完成"</formula>
    </cfRule>
    <cfRule type="cellIs" dxfId="0" priority="85" operator="equal">
      <formula>"未完成"</formula>
    </cfRule>
  </conditionalFormatting>
  <conditionalFormatting sqref="AI336:AJ336">
    <cfRule type="cellIs" dxfId="1" priority="73" operator="equal">
      <formula>"未完成"</formula>
    </cfRule>
    <cfRule type="cellIs" dxfId="0" priority="77" operator="equal">
      <formula>"未完成"</formula>
    </cfRule>
  </conditionalFormatting>
  <conditionalFormatting sqref="AL336">
    <cfRule type="cellIs" dxfId="1" priority="49" operator="equal">
      <formula>"未完成"</formula>
    </cfRule>
    <cfRule type="cellIs" dxfId="0" priority="53" operator="equal">
      <formula>"未完成"</formula>
    </cfRule>
  </conditionalFormatting>
  <conditionalFormatting sqref="AT336">
    <cfRule type="cellIs" dxfId="1" priority="101" operator="equal">
      <formula>"未完成"</formula>
    </cfRule>
    <cfRule type="cellIs" dxfId="0" priority="105" operator="equal">
      <formula>"未完成"</formula>
    </cfRule>
  </conditionalFormatting>
  <conditionalFormatting sqref="R340">
    <cfRule type="cellIs" dxfId="0" priority="157" operator="equal">
      <formula>"欠"</formula>
    </cfRule>
  </conditionalFormatting>
  <conditionalFormatting sqref="S340">
    <cfRule type="cellIs" dxfId="0" priority="131" operator="equal">
      <formula>"欠"</formula>
    </cfRule>
  </conditionalFormatting>
  <conditionalFormatting sqref="T340:U340">
    <cfRule type="containsText" dxfId="0" priority="133" operator="between" text="欠">
      <formula>NOT(ISERROR(SEARCH("欠",T340)))</formula>
    </cfRule>
    <cfRule type="cellIs" dxfId="0" priority="135" operator="equal">
      <formula>"欠"</formula>
    </cfRule>
  </conditionalFormatting>
  <conditionalFormatting sqref="AE340">
    <cfRule type="cellIs" dxfId="0" priority="141" operator="equal">
      <formula>"未完成"</formula>
    </cfRule>
    <cfRule type="cellIs" dxfId="1" priority="143" operator="equal">
      <formula>"未完成"</formula>
    </cfRule>
  </conditionalFormatting>
  <conditionalFormatting sqref="AF340">
    <cfRule type="cellIs" dxfId="1" priority="145" operator="equal">
      <formula>"未完成"</formula>
    </cfRule>
    <cfRule type="cellIs" dxfId="0" priority="147" operator="equal">
      <formula>"未完成"</formula>
    </cfRule>
  </conditionalFormatting>
  <conditionalFormatting sqref="AH340">
    <cfRule type="cellIs" dxfId="1" priority="153" operator="equal">
      <formula>"未完成"</formula>
    </cfRule>
    <cfRule type="cellIs" dxfId="0" priority="155" operator="equal">
      <formula>"未完成"</formula>
    </cfRule>
  </conditionalFormatting>
  <conditionalFormatting sqref="AI340:AJ340">
    <cfRule type="cellIs" dxfId="1" priority="149" operator="equal">
      <formula>"未完成"</formula>
    </cfRule>
    <cfRule type="cellIs" dxfId="0" priority="151" operator="equal">
      <formula>"未完成"</formula>
    </cfRule>
  </conditionalFormatting>
  <conditionalFormatting sqref="AK340">
    <cfRule type="cellIs" dxfId="1" priority="159" operator="equal">
      <formula>"未完成"</formula>
    </cfRule>
    <cfRule type="cellIs" dxfId="0" priority="161" operator="equal">
      <formula>"未完成"</formula>
    </cfRule>
  </conditionalFormatting>
  <conditionalFormatting sqref="AL340">
    <cfRule type="cellIs" dxfId="1" priority="33" operator="equal">
      <formula>"未完成"</formula>
    </cfRule>
    <cfRule type="cellIs" dxfId="0" priority="34" operator="equal">
      <formula>"未完成"</formula>
    </cfRule>
  </conditionalFormatting>
  <conditionalFormatting sqref="AM340">
    <cfRule type="cellIs" dxfId="1" priority="167" operator="equal">
      <formula>"未完成"</formula>
    </cfRule>
    <cfRule type="cellIs" dxfId="0" priority="169" operator="equal">
      <formula>"未完成"</formula>
    </cfRule>
  </conditionalFormatting>
  <conditionalFormatting sqref="AT340">
    <cfRule type="cellIs" dxfId="1" priority="31" operator="equal">
      <formula>"未完成"</formula>
    </cfRule>
    <cfRule type="cellIs" dxfId="0" priority="32" operator="equal">
      <formula>"未完成"</formula>
    </cfRule>
  </conditionalFormatting>
  <conditionalFormatting sqref="AE341">
    <cfRule type="cellIs" dxfId="0" priority="315" operator="equal">
      <formula>"未完成"</formula>
    </cfRule>
    <cfRule type="cellIs" dxfId="1" priority="318" operator="equal">
      <formula>"未完成"</formula>
    </cfRule>
  </conditionalFormatting>
  <conditionalFormatting sqref="AF341">
    <cfRule type="cellIs" dxfId="1" priority="321" operator="equal">
      <formula>"未完成"</formula>
    </cfRule>
    <cfRule type="cellIs" dxfId="0" priority="324" operator="equal">
      <formula>"未完成"</formula>
    </cfRule>
  </conditionalFormatting>
  <conditionalFormatting sqref="AH341">
    <cfRule type="cellIs" dxfId="1" priority="333" operator="equal">
      <formula>"未完成"</formula>
    </cfRule>
    <cfRule type="cellIs" dxfId="0" priority="336" operator="equal">
      <formula>"未完成"</formula>
    </cfRule>
  </conditionalFormatting>
  <conditionalFormatting sqref="AI341:AJ341">
    <cfRule type="cellIs" dxfId="1" priority="327" operator="equal">
      <formula>"未完成"</formula>
    </cfRule>
    <cfRule type="cellIs" dxfId="0" priority="330" operator="equal">
      <formula>"未完成"</formula>
    </cfRule>
  </conditionalFormatting>
  <conditionalFormatting sqref="AL341">
    <cfRule type="cellIs" dxfId="1" priority="309" operator="equal">
      <formula>"未完成"</formula>
    </cfRule>
    <cfRule type="cellIs" dxfId="0" priority="312" operator="equal">
      <formula>"未完成"</formula>
    </cfRule>
  </conditionalFormatting>
  <conditionalFormatting sqref="AT341">
    <cfRule type="cellIs" dxfId="1" priority="348" operator="equal">
      <formula>"未完成"</formula>
    </cfRule>
    <cfRule type="cellIs" dxfId="0" priority="351" operator="equal">
      <formula>"未完成"</formula>
    </cfRule>
  </conditionalFormatting>
  <conditionalFormatting sqref="R342">
    <cfRule type="cellIs" dxfId="0" priority="713" operator="equal">
      <formula>"欠"</formula>
    </cfRule>
  </conditionalFormatting>
  <conditionalFormatting sqref="AE342">
    <cfRule type="cellIs" dxfId="0" priority="707" operator="equal">
      <formula>"未完成"</formula>
    </cfRule>
  </conditionalFormatting>
  <conditionalFormatting sqref="AI342:AJ342">
    <cfRule type="cellIs" dxfId="1" priority="708" operator="equal">
      <formula>"未完成"</formula>
    </cfRule>
    <cfRule type="cellIs" dxfId="0" priority="709" operator="equal">
      <formula>"未完成"</formula>
    </cfRule>
  </conditionalFormatting>
  <conditionalFormatting sqref="AU342">
    <cfRule type="cellIs" dxfId="1" priority="703" operator="equal">
      <formula>"未完成"</formula>
    </cfRule>
    <cfRule type="cellIs" dxfId="0" priority="704" operator="equal">
      <formula>"未完成"</formula>
    </cfRule>
  </conditionalFormatting>
  <conditionalFormatting sqref="S344">
    <cfRule type="cellIs" dxfId="0" priority="985" operator="equal">
      <formula>"欠"</formula>
    </cfRule>
  </conditionalFormatting>
  <conditionalFormatting sqref="T344:U344">
    <cfRule type="containsText" dxfId="0" priority="984" operator="between" text="欠">
      <formula>NOT(ISERROR(SEARCH("欠",T344)))</formula>
    </cfRule>
  </conditionalFormatting>
  <conditionalFormatting sqref="AE344">
    <cfRule type="cellIs" dxfId="0" priority="987" operator="equal">
      <formula>"未完成"</formula>
    </cfRule>
  </conditionalFormatting>
  <conditionalFormatting sqref="AI344:AJ344">
    <cfRule type="cellIs" dxfId="1" priority="988" operator="equal">
      <formula>"未完成"</formula>
    </cfRule>
    <cfRule type="cellIs" dxfId="0" priority="989" operator="equal">
      <formula>"未完成"</formula>
    </cfRule>
  </conditionalFormatting>
  <conditionalFormatting sqref="AK344">
    <cfRule type="cellIs" dxfId="1" priority="990" operator="equal">
      <formula>"未完成"</formula>
    </cfRule>
    <cfRule type="cellIs" dxfId="0" priority="991" operator="equal">
      <formula>"未完成"</formula>
    </cfRule>
  </conditionalFormatting>
  <conditionalFormatting sqref="AU344">
    <cfRule type="cellIs" dxfId="1" priority="976" operator="equal">
      <formula>"未完成"</formula>
    </cfRule>
    <cfRule type="cellIs" dxfId="0" priority="977" operator="equal">
      <formula>"未完成"</formula>
    </cfRule>
  </conditionalFormatting>
  <conditionalFormatting sqref="T345:U345">
    <cfRule type="containsText" dxfId="0" priority="266" operator="between" text="欠">
      <formula>NOT(ISERROR(SEARCH("欠",T345)))</formula>
    </cfRule>
    <cfRule type="cellIs" dxfId="0" priority="267" operator="equal">
      <formula>"欠"</formula>
    </cfRule>
  </conditionalFormatting>
  <conditionalFormatting sqref="AE345">
    <cfRule type="cellIs" dxfId="0" priority="255" operator="equal">
      <formula>"未完成"</formula>
    </cfRule>
    <cfRule type="cellIs" dxfId="1" priority="256" operator="equal">
      <formula>"未完成"</formula>
    </cfRule>
  </conditionalFormatting>
  <conditionalFormatting sqref="AF345">
    <cfRule type="cellIs" dxfId="1" priority="257" operator="equal">
      <formula>"未完成"</formula>
    </cfRule>
    <cfRule type="cellIs" dxfId="0" priority="258" operator="equal">
      <formula>"未完成"</formula>
    </cfRule>
  </conditionalFormatting>
  <conditionalFormatting sqref="AH345">
    <cfRule type="cellIs" dxfId="1" priority="261" operator="equal">
      <formula>"未完成"</formula>
    </cfRule>
    <cfRule type="cellIs" dxfId="0" priority="262" operator="equal">
      <formula>"未完成"</formula>
    </cfRule>
  </conditionalFormatting>
  <conditionalFormatting sqref="AI345:AJ345">
    <cfRule type="cellIs" dxfId="1" priority="259" operator="equal">
      <formula>"未完成"</formula>
    </cfRule>
    <cfRule type="cellIs" dxfId="0" priority="260" operator="equal">
      <formula>"未完成"</formula>
    </cfRule>
  </conditionalFormatting>
  <conditionalFormatting sqref="AL345">
    <cfRule type="cellIs" dxfId="1" priority="249" operator="equal">
      <formula>"未完成"</formula>
    </cfRule>
    <cfRule type="cellIs" dxfId="0" priority="250" operator="equal">
      <formula>"未完成"</formula>
    </cfRule>
  </conditionalFormatting>
  <conditionalFormatting sqref="AM345">
    <cfRule type="cellIs" dxfId="1" priority="263" operator="equal">
      <formula>"未完成"</formula>
    </cfRule>
    <cfRule type="cellIs" dxfId="0" priority="264" operator="equal">
      <formula>"未完成"</formula>
    </cfRule>
  </conditionalFormatting>
  <conditionalFormatting sqref="AT345">
    <cfRule type="cellIs" dxfId="1" priority="253" operator="equal">
      <formula>"未完成"</formula>
    </cfRule>
    <cfRule type="cellIs" dxfId="0" priority="254" operator="equal">
      <formula>"未完成"</formula>
    </cfRule>
  </conditionalFormatting>
  <conditionalFormatting sqref="AE346">
    <cfRule type="cellIs" dxfId="0" priority="669" operator="equal">
      <formula>"未完成"</formula>
    </cfRule>
    <cfRule type="cellIs" dxfId="1" priority="670" operator="equal">
      <formula>"未完成"</formula>
    </cfRule>
  </conditionalFormatting>
  <conditionalFormatting sqref="AF346">
    <cfRule type="cellIs" dxfId="1" priority="671" operator="equal">
      <formula>"未完成"</formula>
    </cfRule>
    <cfRule type="cellIs" dxfId="0" priority="672" operator="equal">
      <formula>"未完成"</formula>
    </cfRule>
  </conditionalFormatting>
  <conditionalFormatting sqref="AH346">
    <cfRule type="cellIs" dxfId="1" priority="675" operator="equal">
      <formula>"未完成"</formula>
    </cfRule>
    <cfRule type="cellIs" dxfId="0" priority="676" operator="equal">
      <formula>"未完成"</formula>
    </cfRule>
  </conditionalFormatting>
  <conditionalFormatting sqref="AI346:AJ346">
    <cfRule type="cellIs" dxfId="1" priority="673" operator="equal">
      <formula>"未完成"</formula>
    </cfRule>
    <cfRule type="cellIs" dxfId="0" priority="674" operator="equal">
      <formula>"未完成"</formula>
    </cfRule>
  </conditionalFormatting>
  <conditionalFormatting sqref="AL346">
    <cfRule type="cellIs" dxfId="1" priority="667" operator="equal">
      <formula>"未完成"</formula>
    </cfRule>
    <cfRule type="cellIs" dxfId="0" priority="668" operator="equal">
      <formula>"未完成"</formula>
    </cfRule>
  </conditionalFormatting>
  <conditionalFormatting sqref="AM346">
    <cfRule type="cellIs" dxfId="1" priority="662" operator="equal">
      <formula>"未完成"</formula>
    </cfRule>
    <cfRule type="cellIs" dxfId="0" priority="663" operator="equal">
      <formula>"未完成"</formula>
    </cfRule>
  </conditionalFormatting>
  <conditionalFormatting sqref="AT346">
    <cfRule type="cellIs" dxfId="1" priority="682" operator="equal">
      <formula>"未完成"</formula>
    </cfRule>
    <cfRule type="cellIs" dxfId="0" priority="683" operator="equal">
      <formula>"未完成"</formula>
    </cfRule>
  </conditionalFormatting>
  <conditionalFormatting sqref="R355">
    <cfRule type="cellIs" dxfId="0" priority="7873" operator="equal">
      <formula>"欠"</formula>
    </cfRule>
  </conditionalFormatting>
  <conditionalFormatting sqref="S355">
    <cfRule type="cellIs" dxfId="0" priority="7872" operator="equal">
      <formula>"欠"</formula>
    </cfRule>
  </conditionalFormatting>
  <conditionalFormatting sqref="U355">
    <cfRule type="cellIs" dxfId="0" priority="7871" operator="equal">
      <formula>"欠"</formula>
    </cfRule>
  </conditionalFormatting>
  <conditionalFormatting sqref="AE355">
    <cfRule type="cellIs" dxfId="0" priority="7874" operator="equal">
      <formula>"未完成"</formula>
    </cfRule>
    <cfRule type="cellIs" dxfId="1" priority="7875" operator="equal">
      <formula>"未完成"</formula>
    </cfRule>
  </conditionalFormatting>
  <conditionalFormatting sqref="AF355">
    <cfRule type="cellIs" dxfId="1" priority="7877" operator="equal">
      <formula>"未完成"</formula>
    </cfRule>
    <cfRule type="cellIs" dxfId="0" priority="7878" operator="equal">
      <formula>"未完成"</formula>
    </cfRule>
  </conditionalFormatting>
  <conditionalFormatting sqref="AH355">
    <cfRule type="cellIs" dxfId="1" priority="7881" operator="equal">
      <formula>"未完成"</formula>
    </cfRule>
    <cfRule type="cellIs" dxfId="0" priority="7882" operator="equal">
      <formula>"未完成"</formula>
    </cfRule>
  </conditionalFormatting>
  <conditionalFormatting sqref="AI355:AJ355">
    <cfRule type="cellIs" dxfId="1" priority="7879" operator="equal">
      <formula>"未完成"</formula>
    </cfRule>
    <cfRule type="cellIs" dxfId="0" priority="7880" operator="equal">
      <formula>"未完成"</formula>
    </cfRule>
  </conditionalFormatting>
  <conditionalFormatting sqref="AE356">
    <cfRule type="cellIs" dxfId="0" priority="55" operator="equal">
      <formula>"未完成"</formula>
    </cfRule>
    <cfRule type="cellIs" dxfId="1" priority="59" operator="equal">
      <formula>"未完成"</formula>
    </cfRule>
  </conditionalFormatting>
  <conditionalFormatting sqref="AF356">
    <cfRule type="cellIs" dxfId="1" priority="63" operator="equal">
      <formula>"未完成"</formula>
    </cfRule>
    <cfRule type="cellIs" dxfId="0" priority="67" operator="equal">
      <formula>"未完成"</formula>
    </cfRule>
  </conditionalFormatting>
  <conditionalFormatting sqref="AH356">
    <cfRule type="cellIs" dxfId="1" priority="79" operator="equal">
      <formula>"未完成"</formula>
    </cfRule>
    <cfRule type="cellIs" dxfId="0" priority="83" operator="equal">
      <formula>"未完成"</formula>
    </cfRule>
  </conditionalFormatting>
  <conditionalFormatting sqref="AI356:AJ356">
    <cfRule type="cellIs" dxfId="1" priority="71" operator="equal">
      <formula>"未完成"</formula>
    </cfRule>
    <cfRule type="cellIs" dxfId="0" priority="75" operator="equal">
      <formula>"未完成"</formula>
    </cfRule>
  </conditionalFormatting>
  <conditionalFormatting sqref="AL356">
    <cfRule type="cellIs" dxfId="1" priority="47" operator="equal">
      <formula>"未完成"</formula>
    </cfRule>
    <cfRule type="cellIs" dxfId="0" priority="51" operator="equal">
      <formula>"未完成"</formula>
    </cfRule>
  </conditionalFormatting>
  <conditionalFormatting sqref="AT356">
    <cfRule type="cellIs" dxfId="1" priority="99" operator="equal">
      <formula>"未完成"</formula>
    </cfRule>
    <cfRule type="cellIs" dxfId="0" priority="103" operator="equal">
      <formula>"未完成"</formula>
    </cfRule>
  </conditionalFormatting>
  <conditionalFormatting sqref="AE360">
    <cfRule type="cellIs" dxfId="1" priority="282" operator="equal">
      <formula>"未完成"</formula>
    </cfRule>
    <cfRule type="cellIs" dxfId="0" priority="283" operator="equal">
      <formula>"未完成"</formula>
    </cfRule>
  </conditionalFormatting>
  <conditionalFormatting sqref="AF360">
    <cfRule type="cellIs" dxfId="1" priority="284" operator="equal">
      <formula>"未完成"</formula>
    </cfRule>
    <cfRule type="cellIs" dxfId="0" priority="285" operator="equal">
      <formula>"未完成"</formula>
    </cfRule>
  </conditionalFormatting>
  <conditionalFormatting sqref="AH360">
    <cfRule type="cellIs" dxfId="1" priority="288" operator="equal">
      <formula>"未完成"</formula>
    </cfRule>
    <cfRule type="cellIs" dxfId="0" priority="289" operator="equal">
      <formula>"未完成"</formula>
    </cfRule>
  </conditionalFormatting>
  <conditionalFormatting sqref="AI360">
    <cfRule type="cellIs" dxfId="1" priority="286" operator="equal">
      <formula>"未完成"</formula>
    </cfRule>
    <cfRule type="cellIs" dxfId="0" priority="287" operator="equal">
      <formula>"未完成"</formula>
    </cfRule>
  </conditionalFormatting>
  <conditionalFormatting sqref="AJ360:AK360">
    <cfRule type="cellIs" dxfId="1" priority="294" operator="equal">
      <formula>"未完成"</formula>
    </cfRule>
    <cfRule type="cellIs" dxfId="0" priority="295" operator="equal">
      <formula>"未完成"</formula>
    </cfRule>
  </conditionalFormatting>
  <conditionalFormatting sqref="AL360">
    <cfRule type="cellIs" dxfId="1" priority="277" operator="equal">
      <formula>"未完成"</formula>
    </cfRule>
    <cfRule type="cellIs" dxfId="0" priority="278" operator="equal">
      <formula>"未完成"</formula>
    </cfRule>
  </conditionalFormatting>
  <conditionalFormatting sqref="AN360">
    <cfRule type="cellIs" dxfId="1" priority="241" operator="equal">
      <formula>"未完成"</formula>
    </cfRule>
    <cfRule type="cellIs" dxfId="0" priority="242" operator="equal">
      <formula>"未完成"</formula>
    </cfRule>
  </conditionalFormatting>
  <conditionalFormatting sqref="AO360">
    <cfRule type="cellIs" dxfId="1" priority="243" operator="equal">
      <formula>"未完成"</formula>
    </cfRule>
    <cfRule type="cellIs" dxfId="0" priority="244" operator="equal">
      <formula>"未完成"</formula>
    </cfRule>
  </conditionalFormatting>
  <conditionalFormatting sqref="AQ360">
    <cfRule type="cellIs" dxfId="1" priority="280" operator="equal">
      <formula>"未完成"</formula>
    </cfRule>
    <cfRule type="cellIs" dxfId="0" priority="281" operator="equal">
      <formula>"未完成"</formula>
    </cfRule>
  </conditionalFormatting>
  <conditionalFormatting sqref="AT360">
    <cfRule type="cellIs" dxfId="1" priority="275" operator="equal">
      <formula>"未完成"</formula>
    </cfRule>
    <cfRule type="cellIs" dxfId="0" priority="276" operator="equal">
      <formula>"未完成"</formula>
    </cfRule>
  </conditionalFormatting>
  <conditionalFormatting sqref="AU360">
    <cfRule type="cellIs" dxfId="1" priority="292" operator="equal">
      <formula>"未完成"</formula>
    </cfRule>
    <cfRule type="cellIs" dxfId="0" priority="293" operator="equal">
      <formula>"未完成"</formula>
    </cfRule>
  </conditionalFormatting>
  <conditionalFormatting sqref="AE363">
    <cfRule type="cellIs" dxfId="0" priority="56" operator="equal">
      <formula>"未完成"</formula>
    </cfRule>
    <cfRule type="cellIs" dxfId="1" priority="60" operator="equal">
      <formula>"未完成"</formula>
    </cfRule>
  </conditionalFormatting>
  <conditionalFormatting sqref="AF363">
    <cfRule type="cellIs" dxfId="1" priority="64" operator="equal">
      <formula>"未完成"</formula>
    </cfRule>
    <cfRule type="cellIs" dxfId="0" priority="68" operator="equal">
      <formula>"未完成"</formula>
    </cfRule>
  </conditionalFormatting>
  <conditionalFormatting sqref="AH363">
    <cfRule type="cellIs" dxfId="1" priority="80" operator="equal">
      <formula>"未完成"</formula>
    </cfRule>
    <cfRule type="cellIs" dxfId="0" priority="84" operator="equal">
      <formula>"未完成"</formula>
    </cfRule>
  </conditionalFormatting>
  <conditionalFormatting sqref="AI363:AJ363">
    <cfRule type="cellIs" dxfId="1" priority="72" operator="equal">
      <formula>"未完成"</formula>
    </cfRule>
    <cfRule type="cellIs" dxfId="0" priority="76" operator="equal">
      <formula>"未完成"</formula>
    </cfRule>
  </conditionalFormatting>
  <conditionalFormatting sqref="AL363">
    <cfRule type="cellIs" dxfId="1" priority="48" operator="equal">
      <formula>"未完成"</formula>
    </cfRule>
    <cfRule type="cellIs" dxfId="0" priority="52" operator="equal">
      <formula>"未完成"</formula>
    </cfRule>
  </conditionalFormatting>
  <conditionalFormatting sqref="AT363">
    <cfRule type="cellIs" dxfId="1" priority="100" operator="equal">
      <formula>"未完成"</formula>
    </cfRule>
    <cfRule type="cellIs" dxfId="0" priority="104" operator="equal">
      <formula>"未完成"</formula>
    </cfRule>
  </conditionalFormatting>
  <conditionalFormatting sqref="R369">
    <cfRule type="cellIs" dxfId="0" priority="18" operator="equal">
      <formula>"欠"</formula>
    </cfRule>
  </conditionalFormatting>
  <conditionalFormatting sqref="T369:U369">
    <cfRule type="containsText" dxfId="0" priority="6" operator="between" text="欠">
      <formula>NOT(ISERROR(SEARCH("欠",T369)))</formula>
    </cfRule>
    <cfRule type="cellIs" dxfId="0" priority="7" operator="equal">
      <formula>"欠"</formula>
    </cfRule>
  </conditionalFormatting>
  <conditionalFormatting sqref="AE369">
    <cfRule type="cellIs" dxfId="0" priority="10" operator="equal">
      <formula>"未完成"</formula>
    </cfRule>
    <cfRule type="cellIs" dxfId="1" priority="11" operator="equal">
      <formula>"未完成"</formula>
    </cfRule>
  </conditionalFormatting>
  <conditionalFormatting sqref="AF369">
    <cfRule type="cellIs" dxfId="1" priority="12" operator="equal">
      <formula>"未完成"</formula>
    </cfRule>
    <cfRule type="cellIs" dxfId="0" priority="13" operator="equal">
      <formula>"未完成"</formula>
    </cfRule>
  </conditionalFormatting>
  <conditionalFormatting sqref="AH369">
    <cfRule type="cellIs" dxfId="1" priority="16" operator="equal">
      <formula>"未完成"</formula>
    </cfRule>
    <cfRule type="cellIs" dxfId="0" priority="17" operator="equal">
      <formula>"未完成"</formula>
    </cfRule>
  </conditionalFormatting>
  <conditionalFormatting sqref="AI369:AJ369">
    <cfRule type="cellIs" dxfId="1" priority="14" operator="equal">
      <formula>"未完成"</formula>
    </cfRule>
    <cfRule type="cellIs" dxfId="0" priority="15" operator="equal">
      <formula>"未完成"</formula>
    </cfRule>
  </conditionalFormatting>
  <conditionalFormatting sqref="AM369">
    <cfRule type="cellIs" dxfId="1" priority="23" operator="equal">
      <formula>"未完成"</formula>
    </cfRule>
    <cfRule type="cellIs" dxfId="0" priority="24" operator="equal">
      <formula>"未完成"</formula>
    </cfRule>
  </conditionalFormatting>
  <conditionalFormatting sqref="AT369">
    <cfRule type="cellIs" dxfId="1" priority="21" operator="equal">
      <formula>"未完成"</formula>
    </cfRule>
    <cfRule type="cellIs" dxfId="0" priority="22" operator="equal">
      <formula>"未完成"</formula>
    </cfRule>
  </conditionalFormatting>
  <conditionalFormatting sqref="AE370">
    <cfRule type="cellIs" dxfId="0" priority="7907" operator="equal">
      <formula>"未完成"</formula>
    </cfRule>
  </conditionalFormatting>
  <conditionalFormatting sqref="R$1:R$1048576">
    <cfRule type="containsText" dxfId="2" priority="1" operator="between" text="欠">
      <formula>NOT(ISERROR(SEARCH("欠",R1)))</formula>
    </cfRule>
  </conditionalFormatting>
  <conditionalFormatting sqref="R26:R28">
    <cfRule type="cellIs" dxfId="0" priority="5329" operator="equal">
      <formula>"欠"</formula>
    </cfRule>
  </conditionalFormatting>
  <conditionalFormatting sqref="R48:R49">
    <cfRule type="cellIs" dxfId="0" priority="5253" operator="equal">
      <formula>"欠"</formula>
    </cfRule>
  </conditionalFormatting>
  <conditionalFormatting sqref="R71:R72">
    <cfRule type="cellIs" dxfId="0" priority="5238" operator="equal">
      <formula>"欠"</formula>
    </cfRule>
  </conditionalFormatting>
  <conditionalFormatting sqref="R95:R96">
    <cfRule type="cellIs" dxfId="0" priority="5022" operator="equal">
      <formula>"欠"</formula>
    </cfRule>
  </conditionalFormatting>
  <conditionalFormatting sqref="R141:R142">
    <cfRule type="cellIs" dxfId="0" priority="4828" operator="equal">
      <formula>"欠"</formula>
    </cfRule>
  </conditionalFormatting>
  <conditionalFormatting sqref="R152:R153">
    <cfRule type="cellIs" dxfId="0" priority="4779" operator="equal">
      <formula>"欠"</formula>
    </cfRule>
  </conditionalFormatting>
  <conditionalFormatting sqref="R265:R267">
    <cfRule type="cellIs" dxfId="0" priority="1531" operator="equal">
      <formula>"欠"</formula>
    </cfRule>
  </conditionalFormatting>
  <conditionalFormatting sqref="R281:R284">
    <cfRule type="cellIs" dxfId="0" priority="1232" operator="equal">
      <formula>"欠"</formula>
    </cfRule>
  </conditionalFormatting>
  <conditionalFormatting sqref="R298:R301">
    <cfRule type="cellIs" dxfId="0" priority="1046" operator="equal">
      <formula>"欠"</formula>
    </cfRule>
  </conditionalFormatting>
  <conditionalFormatting sqref="R311:R312">
    <cfRule type="cellIs" dxfId="0" priority="832" operator="equal">
      <formula>"欠"</formula>
    </cfRule>
  </conditionalFormatting>
  <conditionalFormatting sqref="R322:R329">
    <cfRule type="cellIs" dxfId="0" priority="597" operator="equal">
      <formula>"欠"</formula>
    </cfRule>
  </conditionalFormatting>
  <conditionalFormatting sqref="R341:R343">
    <cfRule type="cellIs" dxfId="0" priority="1451" operator="equal">
      <formula>"欠"</formula>
    </cfRule>
  </conditionalFormatting>
  <conditionalFormatting sqref="S82:S85">
    <cfRule type="cellIs" dxfId="0" priority="5040" operator="equal">
      <formula>"欠"</formula>
    </cfRule>
  </conditionalFormatting>
  <conditionalFormatting sqref="S95:S96">
    <cfRule type="cellIs" dxfId="0" priority="4999" operator="equal">
      <formula>"欠"</formula>
    </cfRule>
  </conditionalFormatting>
  <conditionalFormatting sqref="S129:S133">
    <cfRule type="cellIs" dxfId="0" priority="4749" operator="equal">
      <formula>"欠"</formula>
    </cfRule>
  </conditionalFormatting>
  <conditionalFormatting sqref="S152:S153">
    <cfRule type="cellIs" dxfId="0" priority="4822" operator="equal">
      <formula>"欠"</formula>
    </cfRule>
  </conditionalFormatting>
  <conditionalFormatting sqref="S276:S277">
    <cfRule type="cellIs" dxfId="0" priority="1576" operator="equal">
      <formula>"欠"</formula>
    </cfRule>
  </conditionalFormatting>
  <conditionalFormatting sqref="S281:S284">
    <cfRule type="cellIs" dxfId="0" priority="1229" operator="equal">
      <formula>"欠"</formula>
    </cfRule>
  </conditionalFormatting>
  <conditionalFormatting sqref="S298:S301">
    <cfRule type="cellIs" dxfId="0" priority="1045" operator="equal">
      <formula>"欠"</formula>
    </cfRule>
  </conditionalFormatting>
  <conditionalFormatting sqref="S302:S306">
    <cfRule type="cellIs" dxfId="0" priority="925" operator="equal">
      <formula>"欠"</formula>
    </cfRule>
  </conditionalFormatting>
  <conditionalFormatting sqref="S311:S312">
    <cfRule type="cellIs" dxfId="0" priority="831" operator="equal">
      <formula>"欠"</formula>
    </cfRule>
  </conditionalFormatting>
  <conditionalFormatting sqref="S322:S329">
    <cfRule type="cellIs" dxfId="0" priority="493" operator="equal">
      <formula>"欠"</formula>
    </cfRule>
  </conditionalFormatting>
  <conditionalFormatting sqref="S341:S343">
    <cfRule type="cellIs" dxfId="0" priority="1436" operator="equal">
      <formula>"欠"</formula>
    </cfRule>
  </conditionalFormatting>
  <conditionalFormatting sqref="S369:S370">
    <cfRule type="cellIs" dxfId="0" priority="7886" operator="equal">
      <formula>"欠"</formula>
    </cfRule>
  </conditionalFormatting>
  <conditionalFormatting sqref="S371:S373">
    <cfRule type="cellIs" dxfId="0" priority="7902" operator="equal">
      <formula>"欠"</formula>
    </cfRule>
  </conditionalFormatting>
  <conditionalFormatting sqref="S374:S380">
    <cfRule type="cellIs" dxfId="0" priority="7901" operator="equal">
      <formula>"欠"</formula>
    </cfRule>
  </conditionalFormatting>
  <conditionalFormatting sqref="S381:S398">
    <cfRule type="cellIs" dxfId="0" priority="7845" operator="equal">
      <formula>"欠"</formula>
    </cfRule>
  </conditionalFormatting>
  <conditionalFormatting sqref="U$1:U$1048576">
    <cfRule type="containsText" dxfId="2" priority="2" operator="between" text="欠">
      <formula>NOT(ISERROR(SEARCH("欠",U1)))</formula>
    </cfRule>
  </conditionalFormatting>
  <conditionalFormatting sqref="Z$1:Z$1048576">
    <cfRule type="containsText" dxfId="2" priority="4" operator="between" text="否">
      <formula>NOT(ISERROR(SEARCH("否",Z1)))</formula>
    </cfRule>
  </conditionalFormatting>
  <conditionalFormatting sqref="AE99:AE101">
    <cfRule type="cellIs" dxfId="0" priority="5128" operator="equal">
      <formula>"未完成"</formula>
    </cfRule>
    <cfRule type="cellIs" dxfId="1" priority="5132" operator="equal">
      <formula>"未完成"</formula>
    </cfRule>
  </conditionalFormatting>
  <conditionalFormatting sqref="AE164:AE165">
    <cfRule type="cellIs" dxfId="0" priority="4658" operator="equal">
      <formula>"未完成"</formula>
    </cfRule>
    <cfRule type="cellIs" dxfId="1" priority="4659" operator="equal">
      <formula>"未完成"</formula>
    </cfRule>
  </conditionalFormatting>
  <conditionalFormatting sqref="AE246:AE256">
    <cfRule type="cellIs" dxfId="0" priority="2929" operator="equal">
      <formula>"未完成"</formula>
    </cfRule>
    <cfRule type="cellIs" dxfId="1" priority="2930" operator="equal">
      <formula>"未完成"</formula>
    </cfRule>
  </conditionalFormatting>
  <conditionalFormatting sqref="AE268:AE272">
    <cfRule type="cellIs" dxfId="0" priority="4395" operator="equal">
      <formula>"未完成"</formula>
    </cfRule>
    <cfRule type="cellIs" dxfId="1" priority="4396" operator="equal">
      <formula>"未完成"</formula>
    </cfRule>
  </conditionalFormatting>
  <conditionalFormatting sqref="AE341:AE343">
    <cfRule type="cellIs" dxfId="0" priority="1443" operator="equal">
      <formula>"未完成"</formula>
    </cfRule>
    <cfRule type="cellIs" dxfId="1" priority="1444" operator="equal">
      <formula>"未完成"</formula>
    </cfRule>
  </conditionalFormatting>
  <conditionalFormatting sqref="AE353:AE367">
    <cfRule type="cellIs" dxfId="0" priority="313" operator="equal">
      <formula>"未完成"</formula>
    </cfRule>
    <cfRule type="cellIs" dxfId="1" priority="316" operator="equal">
      <formula>"未完成"</formula>
    </cfRule>
  </conditionalFormatting>
  <conditionalFormatting sqref="AE360:AE361">
    <cfRule type="cellIs" dxfId="0" priority="381" operator="equal">
      <formula>"未完成"</formula>
    </cfRule>
    <cfRule type="cellIs" dxfId="1" priority="383" operator="equal">
      <formula>"未完成"</formula>
    </cfRule>
  </conditionalFormatting>
  <conditionalFormatting sqref="AE372:AE373">
    <cfRule type="cellIs" dxfId="0" priority="7906" operator="equal">
      <formula>"未完成"</formula>
    </cfRule>
  </conditionalFormatting>
  <conditionalFormatting sqref="AE374:AE380">
    <cfRule type="cellIs" dxfId="0" priority="7905" operator="equal">
      <formula>"未完成"</formula>
    </cfRule>
  </conditionalFormatting>
  <conditionalFormatting sqref="AF10:AF13">
    <cfRule type="cellIs" dxfId="1" priority="5418" operator="equal">
      <formula>"未完成"</formula>
    </cfRule>
    <cfRule type="cellIs" dxfId="0" priority="5419" operator="equal">
      <formula>"未完成"</formula>
    </cfRule>
  </conditionalFormatting>
  <conditionalFormatting sqref="AF100:AF101">
    <cfRule type="cellIs" dxfId="1" priority="5140" operator="equal">
      <formula>"未完成"</formula>
    </cfRule>
    <cfRule type="cellIs" dxfId="0" priority="5144" operator="equal">
      <formula>"未完成"</formula>
    </cfRule>
  </conditionalFormatting>
  <conditionalFormatting sqref="AF129:AF133">
    <cfRule type="cellIs" dxfId="1" priority="4892" operator="equal">
      <formula>"未完成"</formula>
    </cfRule>
    <cfRule type="cellIs" dxfId="0" priority="4893" operator="equal">
      <formula>"未完成"</formula>
    </cfRule>
  </conditionalFormatting>
  <conditionalFormatting sqref="AF270:AF272">
    <cfRule type="cellIs" dxfId="1" priority="4397" operator="equal">
      <formula>"未完成"</formula>
    </cfRule>
    <cfRule type="cellIs" dxfId="0" priority="4398" operator="equal">
      <formula>"未完成"</formula>
    </cfRule>
  </conditionalFormatting>
  <conditionalFormatting sqref="AF341:AF343">
    <cfRule type="cellIs" dxfId="1" priority="1445" operator="equal">
      <formula>"未完成"</formula>
    </cfRule>
    <cfRule type="cellIs" dxfId="0" priority="1446" operator="equal">
      <formula>"未完成"</formula>
    </cfRule>
  </conditionalFormatting>
  <conditionalFormatting sqref="AF353:AF367">
    <cfRule type="cellIs" dxfId="1" priority="319" operator="equal">
      <formula>"未完成"</formula>
    </cfRule>
    <cfRule type="cellIs" dxfId="0" priority="322" operator="equal">
      <formula>"未完成"</formula>
    </cfRule>
  </conditionalFormatting>
  <conditionalFormatting sqref="AF360:AF361">
    <cfRule type="cellIs" dxfId="1" priority="385" operator="equal">
      <formula>"未完成"</formula>
    </cfRule>
    <cfRule type="cellIs" dxfId="0" priority="387" operator="equal">
      <formula>"未完成"</formula>
    </cfRule>
  </conditionalFormatting>
  <conditionalFormatting sqref="AG15:AG16">
    <cfRule type="cellIs" dxfId="1" priority="5391" operator="equal">
      <formula>"未完成"</formula>
    </cfRule>
    <cfRule type="cellIs" dxfId="0" priority="5392" operator="equal">
      <formula>"未完成"</formula>
    </cfRule>
  </conditionalFormatting>
  <conditionalFormatting sqref="AG95:AG96">
    <cfRule type="cellIs" dxfId="1" priority="4996" operator="equal">
      <formula>"未完成"</formula>
    </cfRule>
    <cfRule type="cellIs" dxfId="0" priority="4997" operator="equal">
      <formula>"未完成"</formula>
    </cfRule>
  </conditionalFormatting>
  <conditionalFormatting sqref="AH99:AH101">
    <cfRule type="cellIs" dxfId="1" priority="5156" operator="equal">
      <formula>"未完成"</formula>
    </cfRule>
    <cfRule type="cellIs" dxfId="0" priority="5160" operator="equal">
      <formula>"未完成"</formula>
    </cfRule>
  </conditionalFormatting>
  <conditionalFormatting sqref="AH164:AH165">
    <cfRule type="cellIs" dxfId="1" priority="4664" operator="equal">
      <formula>"未完成"</formula>
    </cfRule>
    <cfRule type="cellIs" dxfId="0" priority="4665" operator="equal">
      <formula>"未完成"</formula>
    </cfRule>
  </conditionalFormatting>
  <conditionalFormatting sqref="AH246:AH256">
    <cfRule type="cellIs" dxfId="1" priority="2935" operator="equal">
      <formula>"未完成"</formula>
    </cfRule>
    <cfRule type="cellIs" dxfId="0" priority="2936" operator="equal">
      <formula>"未完成"</formula>
    </cfRule>
  </conditionalFormatting>
  <conditionalFormatting sqref="AH268:AH272">
    <cfRule type="cellIs" dxfId="1" priority="4401" operator="equal">
      <formula>"未完成"</formula>
    </cfRule>
    <cfRule type="cellIs" dxfId="0" priority="4402" operator="equal">
      <formula>"未完成"</formula>
    </cfRule>
  </conditionalFormatting>
  <conditionalFormatting sqref="AH341:AH343">
    <cfRule type="cellIs" dxfId="1" priority="1449" operator="equal">
      <formula>"未完成"</formula>
    </cfRule>
    <cfRule type="cellIs" dxfId="0" priority="1450" operator="equal">
      <formula>"未完成"</formula>
    </cfRule>
  </conditionalFormatting>
  <conditionalFormatting sqref="AH353:AH367">
    <cfRule type="cellIs" dxfId="1" priority="331" operator="equal">
      <formula>"未完成"</formula>
    </cfRule>
    <cfRule type="cellIs" dxfId="0" priority="334" operator="equal">
      <formula>"未完成"</formula>
    </cfRule>
  </conditionalFormatting>
  <conditionalFormatting sqref="AH360:AH361">
    <cfRule type="cellIs" dxfId="1" priority="393" operator="equal">
      <formula>"未完成"</formula>
    </cfRule>
    <cfRule type="cellIs" dxfId="0" priority="395" operator="equal">
      <formula>"未完成"</formula>
    </cfRule>
  </conditionalFormatting>
  <conditionalFormatting sqref="AI135:AI137">
    <cfRule type="cellIs" dxfId="1" priority="4543" operator="equal">
      <formula>"未完成"</formula>
    </cfRule>
    <cfRule type="cellIs" dxfId="0" priority="4544" operator="equal">
      <formula>"未完成"</formula>
    </cfRule>
  </conditionalFormatting>
  <conditionalFormatting sqref="AL95:AL96">
    <cfRule type="cellIs" dxfId="1" priority="4994" operator="equal">
      <formula>"未完成"</formula>
    </cfRule>
    <cfRule type="cellIs" dxfId="0" priority="4995" operator="equal">
      <formula>"未完成"</formula>
    </cfRule>
  </conditionalFormatting>
  <conditionalFormatting sqref="AL99:AL101">
    <cfRule type="cellIs" dxfId="1" priority="5120" operator="equal">
      <formula>"未完成"</formula>
    </cfRule>
    <cfRule type="cellIs" dxfId="0" priority="5124" operator="equal">
      <formula>"未完成"</formula>
    </cfRule>
  </conditionalFormatting>
  <conditionalFormatting sqref="AL149:AL151">
    <cfRule type="cellIs" dxfId="1" priority="4788" operator="equal">
      <formula>"未完成"</formula>
    </cfRule>
    <cfRule type="cellIs" dxfId="0" priority="4789" operator="equal">
      <formula>"未完成"</formula>
    </cfRule>
  </conditionalFormatting>
  <conditionalFormatting sqref="AM341:AM343">
    <cfRule type="cellIs" dxfId="1" priority="1434" operator="equal">
      <formula>"未完成"</formula>
    </cfRule>
    <cfRule type="cellIs" dxfId="0" priority="1435" operator="equal">
      <formula>"未完成"</formula>
    </cfRule>
  </conditionalFormatting>
  <conditionalFormatting sqref="AM360:AM361">
    <cfRule type="cellIs" dxfId="1" priority="371" operator="equal">
      <formula>"未完成"</formula>
    </cfRule>
    <cfRule type="cellIs" dxfId="0" priority="373" operator="equal">
      <formula>"未完成"</formula>
    </cfRule>
  </conditionalFormatting>
  <conditionalFormatting sqref="AO327:AO329">
    <cfRule type="cellIs" dxfId="1" priority="1239" operator="equal">
      <formula>"未完成"</formula>
    </cfRule>
    <cfRule type="cellIs" dxfId="0" priority="1240" operator="equal">
      <formula>"未完成"</formula>
    </cfRule>
  </conditionalFormatting>
  <conditionalFormatting sqref="AT164:AT165">
    <cfRule type="cellIs" dxfId="1" priority="4644" operator="equal">
      <formula>"未完成"</formula>
    </cfRule>
    <cfRule type="cellIs" dxfId="0" priority="4645" operator="equal">
      <formula>"未完成"</formula>
    </cfRule>
  </conditionalFormatting>
  <conditionalFormatting sqref="AT268:AT272">
    <cfRule type="cellIs" dxfId="1" priority="4382" operator="equal">
      <formula>"未完成"</formula>
    </cfRule>
    <cfRule type="cellIs" dxfId="0" priority="4383" operator="equal">
      <formula>"未完成"</formula>
    </cfRule>
  </conditionalFormatting>
  <conditionalFormatting sqref="AT353:AT367">
    <cfRule type="cellIs" dxfId="1" priority="346" operator="equal">
      <formula>"未完成"</formula>
    </cfRule>
    <cfRule type="cellIs" dxfId="0" priority="349" operator="equal">
      <formula>"未完成"</formula>
    </cfRule>
  </conditionalFormatting>
  <conditionalFormatting sqref="AT360:AT361">
    <cfRule type="cellIs" dxfId="1" priority="403" operator="equal">
      <formula>"未完成"</formula>
    </cfRule>
    <cfRule type="cellIs" dxfId="0" priority="405" operator="equal">
      <formula>"未完成"</formula>
    </cfRule>
  </conditionalFormatting>
  <conditionalFormatting sqref="AU141:AU142">
    <cfRule type="cellIs" dxfId="1" priority="4826" operator="equal">
      <formula>"未完成"</formula>
    </cfRule>
    <cfRule type="cellIs" dxfId="0" priority="4827" operator="equal">
      <formula>"未完成"</formula>
    </cfRule>
  </conditionalFormatting>
  <conditionalFormatting sqref="AU328:AU329">
    <cfRule type="cellIs" dxfId="1" priority="1237" operator="equal">
      <formula>"未完成"</formula>
    </cfRule>
    <cfRule type="cellIs" dxfId="0" priority="1238" operator="equal">
      <formula>"未完成"</formula>
    </cfRule>
  </conditionalFormatting>
  <conditionalFormatting sqref="T$1:U$1048576">
    <cfRule type="containsText" dxfId="2" priority="3" operator="between" text="欠">
      <formula>NOT(ISERROR(SEARCH("欠",T1)))</formula>
    </cfRule>
  </conditionalFormatting>
  <conditionalFormatting sqref="T1:U18 T20:U23 T25:U29 T34:U36 T38:U38 T40:U40 T42:U47 T50:U59 T64:U67 T69:U69 T79:U80 T82:U91 T93:U93 T98:U101 T109:U111 T118:U118 T125:U128 T134:U134 T147:U147 T149:U151 T155:U156 T162:U162 U355:U358 T361:U399">
    <cfRule type="containsText" dxfId="0" priority="5388" operator="between" text="欠">
      <formula>NOT(ISERROR(SEARCH("欠",T1)))</formula>
    </cfRule>
  </conditionalFormatting>
  <conditionalFormatting sqref="AE1 AE381:AE399">
    <cfRule type="cellIs" dxfId="0" priority="7909" operator="equal">
      <formula>"未完成"</formula>
    </cfRule>
  </conditionalFormatting>
  <conditionalFormatting sqref="R2 T2:U2">
    <cfRule type="cellIs" dxfId="0" priority="5425" operator="equal">
      <formula>"欠"</formula>
    </cfRule>
  </conditionalFormatting>
  <conditionalFormatting sqref="AG2:AH2 AG3:AG14 AG20:AG24 AG53 AG68 AG86 AG123">
    <cfRule type="cellIs" dxfId="1" priority="5433" operator="equal">
      <formula>"未完成"</formula>
    </cfRule>
    <cfRule type="cellIs" dxfId="0" priority="5434" operator="equal">
      <formula>"未完成"</formula>
    </cfRule>
  </conditionalFormatting>
  <conditionalFormatting sqref="AI2:AK2 AK3:AK57 AK59:AK90 AK92:AK97 AK100:AK101 AK104:AK118 AK120:AK128 AK134 AK380">
    <cfRule type="cellIs" dxfId="1" priority="5431" operator="equal">
      <formula>"未完成"</formula>
    </cfRule>
    <cfRule type="cellIs" dxfId="0" priority="5432" operator="equal">
      <formula>"未完成"</formula>
    </cfRule>
  </conditionalFormatting>
  <conditionalFormatting sqref="R3:R6 T3:U6 T20:U21">
    <cfRule type="cellIs" dxfId="0" priority="7889" operator="equal">
      <formula>"欠"</formula>
    </cfRule>
  </conditionalFormatting>
  <conditionalFormatting sqref="S3:S6 S20:S21">
    <cfRule type="cellIs" dxfId="0" priority="7888" operator="equal">
      <formula>"欠"</formula>
    </cfRule>
  </conditionalFormatting>
  <conditionalFormatting sqref="AE3:AE4 AE6 AE69 AE154:AE163 AE369:AE370">
    <cfRule type="cellIs" dxfId="0" priority="7890" operator="equal">
      <formula>"未完成"</formula>
    </cfRule>
    <cfRule type="cellIs" dxfId="1" priority="7891" operator="equal">
      <formula>"未完成"</formula>
    </cfRule>
  </conditionalFormatting>
  <conditionalFormatting sqref="AF3:AF4 AF6 AF69 AF154:AF163 AF369:AF370">
    <cfRule type="cellIs" dxfId="1" priority="7893" operator="equal">
      <formula>"未完成"</formula>
    </cfRule>
    <cfRule type="cellIs" dxfId="0" priority="7894" operator="equal">
      <formula>"未完成"</formula>
    </cfRule>
  </conditionalFormatting>
  <conditionalFormatting sqref="AH3:AH4 AH6 AH69 AH154:AH163 AH369:AH370">
    <cfRule type="cellIs" dxfId="1" priority="7897" operator="equal">
      <formula>"未完成"</formula>
    </cfRule>
    <cfRule type="cellIs" dxfId="0" priority="7898" operator="equal">
      <formula>"未完成"</formula>
    </cfRule>
  </conditionalFormatting>
  <conditionalFormatting sqref="AI3:AJ4 AI6:AJ6 AI69:AJ69 AI154:AJ154 AJ155:AJ156 AI157:AJ163 AI369:AJ370">
    <cfRule type="cellIs" dxfId="1" priority="7895" operator="equal">
      <formula>"未完成"</formula>
    </cfRule>
    <cfRule type="cellIs" dxfId="0" priority="7896" operator="equal">
      <formula>"未完成"</formula>
    </cfRule>
  </conditionalFormatting>
  <conditionalFormatting sqref="AI5:AJ5 AF370:AJ370 AI372:AJ373 AF374 AH374:AJ374 AF375 AH375:AJ375 AF376 AH376:AJ376 AF377 AH377:AJ377 AF378 AH378:AJ378 AF379 AH379:AJ379 AF380 AH380:AJ380 AF381:AK396">
    <cfRule type="cellIs" dxfId="1" priority="7912" operator="equal">
      <formula>"未完成"</formula>
    </cfRule>
    <cfRule type="cellIs" dxfId="0" priority="7913" operator="equal">
      <formula>"未完成"</formula>
    </cfRule>
  </conditionalFormatting>
  <conditionalFormatting sqref="T7:T9 R7:R9 T14 R20:R21 R23 R14 T43:T47 R43:R44 T58 T17 R50:R51 T34:T36 R34:R35 R17 T50:T52 R29 T23 T26:T29 T64 R79 T82:T86 T79:T80 T98:T101 T90:T91">
    <cfRule type="cellIs" dxfId="0" priority="5436" operator="equal">
      <formula>"欠"</formula>
    </cfRule>
  </conditionalFormatting>
  <conditionalFormatting sqref="S7:S19 S22:S23 S25:S31 S34:S36 S38 S43:S47 S50:S52 S64:S67 S69 S79:S80 S86:S89 S93 S97 S109:S111 S116 S118 S125:S128 S134 S147 S149:S151 S155:S160 S162 S227:S238 S260:S261 S268:S272">
    <cfRule type="cellIs" dxfId="0" priority="5435" operator="equal">
      <formula>"欠"</formula>
    </cfRule>
  </conditionalFormatting>
  <conditionalFormatting sqref="AE7:AE9 AE14:AE21 AE23 AE25:AE31 AE34:AE36 AE38 AE43:AE44 AE47 AE50:AE52 AE56:AE57 AE59:AE67 AE72 AE75 AE79:AE80 AE82:AE94 AE96">
    <cfRule type="cellIs" dxfId="0" priority="5437" operator="equal">
      <formula>"未完成"</formula>
    </cfRule>
    <cfRule type="cellIs" dxfId="1" priority="5438" operator="equal">
      <formula>"未完成"</formula>
    </cfRule>
  </conditionalFormatting>
  <conditionalFormatting sqref="AF7:AF9 AF14:AF21 AF25:AF31 AF34:AF36 AF38 AF43:AF44 AF47 AF50:AF52 AF56:AF57 AF60:AF67 AF75 AF79:AF80 AF82:AF85 AF87:AF94">
    <cfRule type="cellIs" dxfId="1" priority="5440" operator="equal">
      <formula>"未完成"</formula>
    </cfRule>
    <cfRule type="cellIs" dxfId="0" priority="5441" operator="equal">
      <formula>"未完成"</formula>
    </cfRule>
  </conditionalFormatting>
  <conditionalFormatting sqref="AH7:AH9 AH14:AH16 AG17:AH19 AH20:AH21 AH23 AG25:AH31 AG32:AG40 AG42:AG46 AG47:AH47 AG48:AG49 AG50:AH52 AG54:AG55 AG56:AH57 AG58 AG59:AH67 AG69:AG71 AG72:AH72 AG73:AG74 AG75:AH75 AG76:AG78 AG79:AH80 AG81 AG82:AH85 AH86 AG87:AH94 AH96 AG97:AG122 AG124:AG139 AG141:AG165 AG227:AG257 AG260:AG264 AG268:AG273 AG276:AG277 AG286:AG288 AG290 AG293 AG295 AG338:AG339 AG357 AG380">
    <cfRule type="cellIs" dxfId="1" priority="5444" operator="equal">
      <formula>"未完成"</formula>
    </cfRule>
    <cfRule type="cellIs" dxfId="0" priority="5445" operator="equal">
      <formula>"未完成"</formula>
    </cfRule>
  </conditionalFormatting>
  <conditionalFormatting sqref="AI7:AJ9 AI14:AJ16 AJ17 AI18:AJ21 AI23:AJ23 AI25:AJ31 AI34:AJ36 AI38:AJ38 AI43:AJ44 AI47:AJ47 AI50:AJ52 AI56:AJ57 AK58 AI59:AJ62 AJ63 AI64:AJ67 AJ72 AI75:AJ75 AI79:AJ80 AI82:AJ82 AJ83:AJ85 AI86:AJ90 AI91:AK91 AI92:AJ94 AJ96 AK98:AK99 AK102:AK103 AK119 AK129:AK133 AJ134 AK135:AK151 AJ152:AK153 AK154:AK165 AK171 AK176 AK204 AK212:AK216 AK226 AK253:AK259 AK265:AK272 AK274:AK275 AK280 AK285 AK289 AK296:AK300 AK302:AK303 AK309 AK324 AK326:AK334 AK337:AK338 AK349:AK358 AK362 AK369">
    <cfRule type="cellIs" dxfId="1" priority="5442" operator="equal">
      <formula>"未完成"</formula>
    </cfRule>
    <cfRule type="cellIs" dxfId="0" priority="5443" operator="equal">
      <formula>"未完成"</formula>
    </cfRule>
  </conditionalFormatting>
  <conditionalFormatting sqref="R10:R13 T10:U13 R22 T22:U22">
    <cfRule type="cellIs" dxfId="0" priority="5414" operator="equal">
      <formula>"欠"</formula>
    </cfRule>
  </conditionalFormatting>
  <conditionalFormatting sqref="AE10:AE13 AE22">
    <cfRule type="cellIs" dxfId="0" priority="5415" operator="equal">
      <formula>"未完成"</formula>
    </cfRule>
    <cfRule type="cellIs" dxfId="1" priority="5416" operator="equal">
      <formula>"未完成"</formula>
    </cfRule>
  </conditionalFormatting>
  <conditionalFormatting sqref="AH10:AH13 AH22">
    <cfRule type="cellIs" dxfId="1" priority="5422" operator="equal">
      <formula>"未完成"</formula>
    </cfRule>
    <cfRule type="cellIs" dxfId="0" priority="5423" operator="equal">
      <formula>"未完成"</formula>
    </cfRule>
  </conditionalFormatting>
  <conditionalFormatting sqref="AI10:AJ13 AI22:AJ22">
    <cfRule type="cellIs" dxfId="1" priority="5420" operator="equal">
      <formula>"未完成"</formula>
    </cfRule>
    <cfRule type="cellIs" dxfId="0" priority="5421" operator="equal">
      <formula>"未完成"</formula>
    </cfRule>
  </conditionalFormatting>
  <conditionalFormatting sqref="R30:R31 R25 R18:R19 R15:R16 R38">
    <cfRule type="cellIs" dxfId="0" priority="5412" operator="equal">
      <formula>"欠"</formula>
    </cfRule>
  </conditionalFormatting>
  <conditionalFormatting sqref="T15:U16 T18:U18 T25:U25 T38:U38">
    <cfRule type="cellIs" dxfId="0" priority="5411" operator="equal">
      <formula>"欠"</formula>
    </cfRule>
  </conditionalFormatting>
  <conditionalFormatting sqref="AF23 AF86">
    <cfRule type="cellIs" dxfId="1" priority="5225" operator="equal">
      <formula>"未完成"</formula>
    </cfRule>
    <cfRule type="cellIs" dxfId="0" priority="5226" operator="equal">
      <formula>"未完成"</formula>
    </cfRule>
  </conditionalFormatting>
  <conditionalFormatting sqref="R32 R39">
    <cfRule type="cellIs" dxfId="0" priority="5328" operator="equal">
      <formula>"欠"</formula>
    </cfRule>
  </conditionalFormatting>
  <conditionalFormatting sqref="S32:S33 S39">
    <cfRule type="cellIs" dxfId="0" priority="5326" operator="equal">
      <formula>"欠"</formula>
    </cfRule>
  </conditionalFormatting>
  <conditionalFormatting sqref="T32:U33">
    <cfRule type="containsText" dxfId="0" priority="5347" operator="between" text="欠">
      <formula>NOT(ISERROR(SEARCH("欠",T32)))</formula>
    </cfRule>
    <cfRule type="cellIs" dxfId="0" priority="5349" operator="equal">
      <formula>"欠"</formula>
    </cfRule>
  </conditionalFormatting>
  <conditionalFormatting sqref="R33 R37 T37:U37">
    <cfRule type="cellIs" dxfId="0" priority="5335" operator="equal">
      <formula>"欠"</formula>
    </cfRule>
  </conditionalFormatting>
  <conditionalFormatting sqref="AE33 AE37">
    <cfRule type="cellIs" dxfId="0" priority="5336" operator="equal">
      <formula>"未完成"</formula>
    </cfRule>
    <cfRule type="cellIs" dxfId="1" priority="5337" operator="equal">
      <formula>"未完成"</formula>
    </cfRule>
  </conditionalFormatting>
  <conditionalFormatting sqref="AF33 AF37">
    <cfRule type="cellIs" dxfId="1" priority="5339" operator="equal">
      <formula>"未完成"</formula>
    </cfRule>
    <cfRule type="cellIs" dxfId="0" priority="5340" operator="equal">
      <formula>"未完成"</formula>
    </cfRule>
  </conditionalFormatting>
  <conditionalFormatting sqref="AJ33 AI37:AJ37">
    <cfRule type="cellIs" dxfId="1" priority="5341" operator="equal">
      <formula>"未完成"</formula>
    </cfRule>
    <cfRule type="cellIs" dxfId="0" priority="5342" operator="equal">
      <formula>"未完成"</formula>
    </cfRule>
  </conditionalFormatting>
  <conditionalFormatting sqref="R40 T40:U40 R42 T42:U42 S53:U53 R54:U55 R56:R57 R59:R63 R73:R75 R92 R94 R115 R124 S146 S148">
    <cfRule type="cellIs" dxfId="0" priority="5395" operator="equal">
      <formula>"欠"</formula>
    </cfRule>
  </conditionalFormatting>
  <conditionalFormatting sqref="S40 S42">
    <cfRule type="cellIs" dxfId="0" priority="5298" operator="equal">
      <formula>"欠"</formula>
    </cfRule>
  </conditionalFormatting>
  <conditionalFormatting sqref="AE40 AE42 AE45:AE46 AE53:AE55 AE58">
    <cfRule type="cellIs" dxfId="0" priority="5410" operator="equal">
      <formula>"未完成"</formula>
    </cfRule>
  </conditionalFormatting>
  <conditionalFormatting sqref="AI40:AJ40 AI42:AJ42 AI45:AJ46 AI53:AJ55 AI58:AJ58">
    <cfRule type="cellIs" dxfId="1" priority="5408" operator="equal">
      <formula>"未完成"</formula>
    </cfRule>
    <cfRule type="cellIs" dxfId="0" priority="5409" operator="equal">
      <formula>"未完成"</formula>
    </cfRule>
  </conditionalFormatting>
  <conditionalFormatting sqref="AL40 AL42 AL45:AL46 AL48:AL49 AL53:AL57 AL59 AL61:AL63 AL65:AL67 AL69:AL78 AL81 AL87:AL89 AL92:AL94 AL105:AL106 AL109:AL111 AL115 AL118 AL121:AL122 AL124:AL128 AL134 AL147 AL155:AL160 AL162:AL163 AL165 AL227:AL256 AL260:AL262 AL264 AL268:AL272 AL276:AL277 AL286 AL338:AL339 AL364:AL366 AL375:AL380">
    <cfRule type="cellIs" dxfId="1" priority="5404" operator="equal">
      <formula>"未完成"</formula>
    </cfRule>
    <cfRule type="cellIs" dxfId="0" priority="5405" operator="equal">
      <formula>"未完成"</formula>
    </cfRule>
  </conditionalFormatting>
  <conditionalFormatting sqref="AM40 AM42 AM45:AM46 AM53:AM55 AM58 AM91 AM98:AM99 AM102:AM103 AM119 AM129:AM133 AM144 AM164 AM314 AM362">
    <cfRule type="cellIs" dxfId="1" priority="5402" operator="equal">
      <formula>"未完成"</formula>
    </cfRule>
    <cfRule type="cellIs" dxfId="0" priority="5403" operator="equal">
      <formula>"未完成"</formula>
    </cfRule>
  </conditionalFormatting>
  <conditionalFormatting sqref="AO40 AO42 AO45:AO46 AO48:AO49 AO53:AO63 AO65:AO67 AO69:AO78 AO81:AO85 AO87:AO89 AO91:AO94 AO96 AO98:AO99 AO101:AO106 AO109:AO111 AO114:AO115 AO117:AO134 AO139 AO141:AO144 AO146:AO165 AO176 AO204 AO212:AO216 AO226:AO259 AO262 AO265:AO269 AO274:AO275 AO280 AO285 AO289:AO290 AO295:AO300 AO302:AO303 AO309 AO324 AO326:AO334 AO337:AO338 AO346:AO356 AO361 AO369:AO370">
    <cfRule type="cellIs" dxfId="1" priority="5393" operator="equal">
      <formula>"未完成"</formula>
    </cfRule>
    <cfRule type="cellIs" dxfId="0" priority="5394" operator="equal">
      <formula>"未完成"</formula>
    </cfRule>
  </conditionalFormatting>
  <conditionalFormatting sqref="AP40 AP42 AP45:AP46 AP53:AP55 AP58">
    <cfRule type="cellIs" dxfId="1" priority="5398" operator="equal">
      <formula>"未完成"</formula>
    </cfRule>
    <cfRule type="cellIs" dxfId="0" priority="5399" operator="equal">
      <formula>"未完成"</formula>
    </cfRule>
  </conditionalFormatting>
  <conditionalFormatting sqref="AQ40 AQ42 AQ45:AQ46 AQ48:AQ49 AQ53:AQ63 AQ65:AQ67 AQ70:AQ78 AQ81:AQ85 AQ87:AQ89 AQ91:AQ94 AQ96 AQ98:AQ105 AQ114:AQ115 AQ117:AQ122 AQ124 AQ146 AQ148 AQ246 AQ252:AQ256 AQ262 AQ264">
    <cfRule type="cellIs" dxfId="1" priority="5056" operator="equal">
      <formula>"未完成"</formula>
    </cfRule>
    <cfRule type="cellIs" dxfId="0" priority="5057" operator="equal">
      <formula>"未完成"</formula>
    </cfRule>
  </conditionalFormatting>
  <conditionalFormatting sqref="AT40 AT42 AT45:AT46 AT53:AT63 AT65:AT68 AT70 AT72 AT75:AT78">
    <cfRule type="cellIs" dxfId="1" priority="5396" operator="equal">
      <formula>"未完成"</formula>
    </cfRule>
    <cfRule type="cellIs" dxfId="0" priority="5397" operator="equal">
      <formula>"未完成"</formula>
    </cfRule>
  </conditionalFormatting>
  <conditionalFormatting sqref="AU40:AW40 AU42:AW42 AU45:AW46 AU53:AW55 AU58:AW58 AU104:AU105 AU114 AU117:AU118 AU120:AU123 AU125:AU134 AU139 AU143 AU147 AU149:AU153 AU252:AU256 AU295">
    <cfRule type="cellIs" dxfId="1" priority="5406" operator="equal">
      <formula>"未完成"</formula>
    </cfRule>
    <cfRule type="cellIs" dxfId="0" priority="5407" operator="equal">
      <formula>"未完成"</formula>
    </cfRule>
  </conditionalFormatting>
  <conditionalFormatting sqref="R41 T41:U41 R53 R69 R146 R148 R154 R157:R165">
    <cfRule type="cellIs" dxfId="0" priority="5302" operator="equal">
      <formula>"欠"</formula>
    </cfRule>
  </conditionalFormatting>
  <conditionalFormatting sqref="R46 R58">
    <cfRule type="cellIs" dxfId="0" priority="5320" operator="equal">
      <formula>"欠"</formula>
    </cfRule>
  </conditionalFormatting>
  <conditionalFormatting sqref="R47 R52 R64:R67 R87:R89 R93 R104:R105 R109:R111 R118 R125:R128 R134 R147 R149:R151 R155:R156">
    <cfRule type="cellIs" dxfId="0" priority="5319" operator="equal">
      <formula>"欠"</formula>
    </cfRule>
  </conditionalFormatting>
  <conditionalFormatting sqref="S48:S49 S56:S57 S73:S74">
    <cfRule type="cellIs" dxfId="0" priority="5271" operator="equal">
      <formula>"欠"</formula>
    </cfRule>
  </conditionalFormatting>
  <conditionalFormatting sqref="T48:U49">
    <cfRule type="cellIs" dxfId="0" priority="5204" operator="equal">
      <formula>"欠"</formula>
    </cfRule>
    <cfRule type="containsText" dxfId="0" priority="5205" operator="between" text="欠">
      <formula>NOT(ISERROR(SEARCH("欠",T48)))</formula>
    </cfRule>
  </conditionalFormatting>
  <conditionalFormatting sqref="T56:U57 T59:U59 T65:U67 T69:U69 T87:U89 T93:U93 T109:U111 T118:U118 T125:U128 T134:U134 T147:U147 T149:U151 T155:U156 T162:U162">
    <cfRule type="cellIs" dxfId="0" priority="5316" operator="equal">
      <formula>"欠"</formula>
    </cfRule>
  </conditionalFormatting>
  <conditionalFormatting sqref="S59:S63 S75 S94 S92">
    <cfRule type="cellIs" dxfId="0" priority="5299" operator="equal">
      <formula>"欠"</formula>
    </cfRule>
  </conditionalFormatting>
  <conditionalFormatting sqref="T60:U63 T75:U75 T92:U92 T94:U94">
    <cfRule type="cellIs" dxfId="0" priority="5183" operator="equal">
      <formula>"欠"</formula>
    </cfRule>
  </conditionalFormatting>
  <conditionalFormatting sqref="AI63 AI68:AJ68 AI70:AJ70 AI76:AJ78 AI81:AJ81">
    <cfRule type="cellIs" dxfId="1" priority="5221" operator="equal">
      <formula>"未完成"</formula>
    </cfRule>
    <cfRule type="cellIs" dxfId="0" priority="5222" operator="equal">
      <formula>"未完成"</formula>
    </cfRule>
  </conditionalFormatting>
  <conditionalFormatting sqref="R68 R70 R76:R78">
    <cfRule type="cellIs" dxfId="0" priority="5201" operator="equal">
      <formula>"欠"</formula>
    </cfRule>
  </conditionalFormatting>
  <conditionalFormatting sqref="T68:U68 T70:U70 T76:U78">
    <cfRule type="cellIs" dxfId="0" priority="5207" operator="equal">
      <formula>"欠"</formula>
    </cfRule>
    <cfRule type="containsText" dxfId="0" priority="5208" operator="between" text="欠">
      <formula>NOT(ISERROR(SEARCH("欠",T68)))</formula>
    </cfRule>
  </conditionalFormatting>
  <conditionalFormatting sqref="AE68 AE70 AE76:AE78 AE81">
    <cfRule type="cellIs" dxfId="0" priority="5216" operator="equal">
      <formula>"未完成"</formula>
    </cfRule>
    <cfRule type="cellIs" dxfId="1" priority="5217" operator="equal">
      <formula>"未完成"</formula>
    </cfRule>
  </conditionalFormatting>
  <conditionalFormatting sqref="AF68 AF70 AF77:AF78 AF81">
    <cfRule type="cellIs" dxfId="1" priority="5219" operator="equal">
      <formula>"未完成"</formula>
    </cfRule>
    <cfRule type="cellIs" dxfId="0" priority="5220" operator="equal">
      <formula>"未完成"</formula>
    </cfRule>
  </conditionalFormatting>
  <conditionalFormatting sqref="AH68 AH70 AH76:AH78 AH81">
    <cfRule type="cellIs" dxfId="1" priority="5223" operator="equal">
      <formula>"未完成"</formula>
    </cfRule>
    <cfRule type="cellIs" dxfId="0" priority="5224" operator="equal">
      <formula>"未完成"</formula>
    </cfRule>
  </conditionalFormatting>
  <conditionalFormatting sqref="AT69 AT155:AT160 AT162:AT163">
    <cfRule type="cellIs" dxfId="1" priority="5041" operator="equal">
      <formula>"未完成"</formula>
    </cfRule>
    <cfRule type="cellIs" dxfId="0" priority="5042" operator="equal">
      <formula>"未完成"</formula>
    </cfRule>
  </conditionalFormatting>
  <conditionalFormatting sqref="S70 S76:S78">
    <cfRule type="cellIs" dxfId="0" priority="5200" operator="equal">
      <formula>"欠"</formula>
    </cfRule>
  </conditionalFormatting>
  <conditionalFormatting sqref="T71:U72">
    <cfRule type="cellIs" dxfId="0" priority="5230" operator="equal">
      <formula>"欠"</formula>
    </cfRule>
  </conditionalFormatting>
  <conditionalFormatting sqref="AI71:AJ71 AI72">
    <cfRule type="cellIs" dxfId="1" priority="5248" operator="equal">
      <formula>"未完成"</formula>
    </cfRule>
    <cfRule type="cellIs" dxfId="0" priority="5249" operator="equal">
      <formula>"未完成"</formula>
    </cfRule>
  </conditionalFormatting>
  <conditionalFormatting sqref="T73:U74 T115:U115 T124:U124">
    <cfRule type="containsText" dxfId="0" priority="5184" operator="between" text="欠">
      <formula>NOT(ISERROR(SEARCH("欠",T73)))</formula>
    </cfRule>
    <cfRule type="cellIs" dxfId="0" priority="5186" operator="equal">
      <formula>"欠"</formula>
    </cfRule>
  </conditionalFormatting>
  <conditionalFormatting sqref="AE73:AE74 AE115">
    <cfRule type="cellIs" dxfId="0" priority="5187" operator="equal">
      <formula>"未完成"</formula>
    </cfRule>
    <cfRule type="cellIs" dxfId="1" priority="5188" operator="equal">
      <formula>"未完成"</formula>
    </cfRule>
  </conditionalFormatting>
  <conditionalFormatting sqref="AF73:AF74 AF115">
    <cfRule type="cellIs" dxfId="1" priority="5190" operator="equal">
      <formula>"未完成"</formula>
    </cfRule>
    <cfRule type="cellIs" dxfId="0" priority="5191" operator="equal">
      <formula>"未完成"</formula>
    </cfRule>
  </conditionalFormatting>
  <conditionalFormatting sqref="AH73:AH74 AH115">
    <cfRule type="cellIs" dxfId="1" priority="5194" operator="equal">
      <formula>"未完成"</formula>
    </cfRule>
    <cfRule type="cellIs" dxfId="0" priority="5195" operator="equal">
      <formula>"未完成"</formula>
    </cfRule>
  </conditionalFormatting>
  <conditionalFormatting sqref="AI73:AJ74 AI115:AJ115">
    <cfRule type="cellIs" dxfId="1" priority="5192" operator="equal">
      <formula>"未完成"</formula>
    </cfRule>
    <cfRule type="cellIs" dxfId="0" priority="5193" operator="equal">
      <formula>"未完成"</formula>
    </cfRule>
  </conditionalFormatting>
  <conditionalFormatting sqref="R90:R91 R82:R86 R80 R98:R103 R119">
    <cfRule type="cellIs" dxfId="0" priority="5178" operator="equal">
      <formula>"欠"</formula>
    </cfRule>
  </conditionalFormatting>
  <conditionalFormatting sqref="S117 S90 S138">
    <cfRule type="cellIs" dxfId="0" priority="5051" operator="equal">
      <formula>"欠"</formula>
    </cfRule>
  </conditionalFormatting>
  <conditionalFormatting sqref="AL90 AL117 AL138">
    <cfRule type="cellIs" dxfId="1" priority="5049" operator="equal">
      <formula>"未完成"</formula>
    </cfRule>
    <cfRule type="cellIs" dxfId="0" priority="5050" operator="equal">
      <formula>"未完成"</formula>
    </cfRule>
  </conditionalFormatting>
  <conditionalFormatting sqref="AT90 AT117:AT118 AT138">
    <cfRule type="cellIs" dxfId="1" priority="5047" operator="equal">
      <formula>"未完成"</formula>
    </cfRule>
    <cfRule type="cellIs" dxfId="0" priority="5048" operator="equal">
      <formula>"未完成"</formula>
    </cfRule>
  </conditionalFormatting>
  <conditionalFormatting sqref="S98:S99 S102:S103 S91 S119">
    <cfRule type="cellIs" dxfId="0" priority="5081" operator="equal">
      <formula>"欠"</formula>
    </cfRule>
  </conditionalFormatting>
  <conditionalFormatting sqref="T95:U96">
    <cfRule type="cellIs" dxfId="0" priority="4998" operator="equal">
      <formula>"欠"</formula>
    </cfRule>
  </conditionalFormatting>
  <conditionalFormatting sqref="AI95:AJ95 AI96">
    <cfRule type="cellIs" dxfId="1" priority="5029" operator="equal">
      <formula>"未完成"</formula>
    </cfRule>
    <cfRule type="cellIs" dxfId="0" priority="5030" operator="equal">
      <formula>"未完成"</formula>
    </cfRule>
  </conditionalFormatting>
  <conditionalFormatting sqref="AO97 AO100">
    <cfRule type="cellIs" dxfId="1" priority="5084" operator="equal">
      <formula>"未完成"</formula>
    </cfRule>
    <cfRule type="cellIs" dxfId="0" priority="5085" operator="equal">
      <formula>"未完成"</formula>
    </cfRule>
  </conditionalFormatting>
  <conditionalFormatting sqref="AJ99 AI100:AJ100 AJ101">
    <cfRule type="cellIs" dxfId="1" priority="5148" operator="equal">
      <formula>"未完成"</formula>
    </cfRule>
    <cfRule type="cellIs" dxfId="0" priority="5152" operator="equal">
      <formula>"未完成"</formula>
    </cfRule>
  </conditionalFormatting>
  <conditionalFormatting sqref="S100:S101 S122">
    <cfRule type="cellIs" dxfId="0" priority="5038" operator="equal">
      <formula>"欠"</formula>
    </cfRule>
  </conditionalFormatting>
  <conditionalFormatting sqref="AN101 AN122">
    <cfRule type="cellIs" dxfId="1" priority="5036" operator="equal">
      <formula>"未完成"</formula>
    </cfRule>
    <cfRule type="cellIs" dxfId="0" priority="5037" operator="equal">
      <formula>"未完成"</formula>
    </cfRule>
  </conditionalFormatting>
  <conditionalFormatting sqref="T102:U103 T119:U119">
    <cfRule type="cellIs" dxfId="0" priority="5099" operator="equal">
      <formula>"欠"</formula>
    </cfRule>
  </conditionalFormatting>
  <conditionalFormatting sqref="T104:U105">
    <cfRule type="cellIs" dxfId="0" priority="4831" operator="equal">
      <formula>"欠"</formula>
    </cfRule>
  </conditionalFormatting>
  <conditionalFormatting sqref="AE104:AE105 AE114 AE117:AE118 AE120:AE122">
    <cfRule type="cellIs" dxfId="0" priority="5165" operator="equal">
      <formula>"未完成"</formula>
    </cfRule>
    <cfRule type="cellIs" dxfId="1" priority="5166" operator="equal">
      <formula>"未完成"</formula>
    </cfRule>
  </conditionalFormatting>
  <conditionalFormatting sqref="AF104:AF105 AF117:AF118 AF120:AF122">
    <cfRule type="cellIs" dxfId="1" priority="5168" operator="equal">
      <formula>"未完成"</formula>
    </cfRule>
    <cfRule type="cellIs" dxfId="0" priority="5169" operator="equal">
      <formula>"未完成"</formula>
    </cfRule>
  </conditionalFormatting>
  <conditionalFormatting sqref="AH104:AH105 AH114 AH117:AH118 AH120:AH122">
    <cfRule type="cellIs" dxfId="1" priority="5172" operator="equal">
      <formula>"未完成"</formula>
    </cfRule>
    <cfRule type="cellIs" dxfId="0" priority="5173" operator="equal">
      <formula>"未完成"</formula>
    </cfRule>
  </conditionalFormatting>
  <conditionalFormatting sqref="AI104:AJ105 AJ114 AI117:AJ117 AJ118 AI120:AJ121 AJ122">
    <cfRule type="cellIs" dxfId="1" priority="5170" operator="equal">
      <formula>"未完成"</formula>
    </cfRule>
    <cfRule type="cellIs" dxfId="0" priority="5171" operator="equal">
      <formula>"未完成"</formula>
    </cfRule>
  </conditionalFormatting>
  <conditionalFormatting sqref="S105 S114 S123 S139 S141:S142 S144:S145">
    <cfRule type="cellIs" dxfId="0" priority="5080" operator="equal">
      <formula>"欠"</formula>
    </cfRule>
  </conditionalFormatting>
  <conditionalFormatting sqref="AT105 AT137 AT153:AT154 AT161 AT290 AT341:AT343">
    <cfRule type="cellIs" dxfId="1" priority="4829" operator="equal">
      <formula>"未完成"</formula>
    </cfRule>
    <cfRule type="cellIs" dxfId="0" priority="4830" operator="equal">
      <formula>"未完成"</formula>
    </cfRule>
  </conditionalFormatting>
  <conditionalFormatting sqref="R106 R120:R122">
    <cfRule type="cellIs" dxfId="0" priority="5006" operator="equal">
      <formula>"欠"</formula>
    </cfRule>
  </conditionalFormatting>
  <conditionalFormatting sqref="S106 S120">
    <cfRule type="cellIs" dxfId="0" priority="5003" operator="equal">
      <formula>"欠"</formula>
    </cfRule>
  </conditionalFormatting>
  <conditionalFormatting sqref="AE106 AE124">
    <cfRule type="cellIs" dxfId="0" priority="5009" operator="equal">
      <formula>"未完成"</formula>
    </cfRule>
    <cfRule type="cellIs" dxfId="1" priority="5010" operator="equal">
      <formula>"未完成"</formula>
    </cfRule>
  </conditionalFormatting>
  <conditionalFormatting sqref="AF106 AF124">
    <cfRule type="cellIs" dxfId="1" priority="5011" operator="equal">
      <formula>"未完成"</formula>
    </cfRule>
    <cfRule type="cellIs" dxfId="0" priority="5012" operator="equal">
      <formula>"未完成"</formula>
    </cfRule>
  </conditionalFormatting>
  <conditionalFormatting sqref="AH106 AH124">
    <cfRule type="cellIs" dxfId="1" priority="5015" operator="equal">
      <formula>"未完成"</formula>
    </cfRule>
    <cfRule type="cellIs" dxfId="0" priority="5016" operator="equal">
      <formula>"未完成"</formula>
    </cfRule>
  </conditionalFormatting>
  <conditionalFormatting sqref="AI106:AJ106 AI124:AJ124">
    <cfRule type="cellIs" dxfId="1" priority="5013" operator="equal">
      <formula>"未完成"</formula>
    </cfRule>
    <cfRule type="cellIs" dxfId="0" priority="5014" operator="equal">
      <formula>"未完成"</formula>
    </cfRule>
  </conditionalFormatting>
  <conditionalFormatting sqref="R107:R108 T107:U108 R113 T113:U113 T146:U146 T148:U148">
    <cfRule type="cellIs" dxfId="0" priority="5288" operator="equal">
      <formula>"欠"</formula>
    </cfRule>
  </conditionalFormatting>
  <conditionalFormatting sqref="T107:U108 T113:U113 T146:U146 T148:U148">
    <cfRule type="containsText" dxfId="0" priority="5284" operator="between" text="欠">
      <formula>NOT(ISERROR(SEARCH("欠",T107)))</formula>
    </cfRule>
  </conditionalFormatting>
  <conditionalFormatting sqref="AE107:AE111 AE113 AE119 AE146 AE148">
    <cfRule type="cellIs" dxfId="0" priority="5289" operator="equal">
      <formula>"未完成"</formula>
    </cfRule>
    <cfRule type="cellIs" dxfId="1" priority="5290" operator="equal">
      <formula>"未完成"</formula>
    </cfRule>
  </conditionalFormatting>
  <conditionalFormatting sqref="AF107:AF111 AF146 AF148">
    <cfRule type="cellIs" dxfId="1" priority="5292" operator="equal">
      <formula>"未完成"</formula>
    </cfRule>
    <cfRule type="cellIs" dxfId="0" priority="5293" operator="equal">
      <formula>"未完成"</formula>
    </cfRule>
  </conditionalFormatting>
  <conditionalFormatting sqref="AH107:AH111 AH113 AH119 AH146 AH148">
    <cfRule type="cellIs" dxfId="1" priority="5296" operator="equal">
      <formula>"未完成"</formula>
    </cfRule>
    <cfRule type="cellIs" dxfId="0" priority="5297" operator="equal">
      <formula>"未完成"</formula>
    </cfRule>
  </conditionalFormatting>
  <conditionalFormatting sqref="AI107:AJ111 AI113:AJ113 AI119:AJ119 AJ146 AJ148">
    <cfRule type="cellIs" dxfId="1" priority="5294" operator="equal">
      <formula>"未完成"</formula>
    </cfRule>
    <cfRule type="cellIs" dxfId="0" priority="5295" operator="equal">
      <formula>"未完成"</formula>
    </cfRule>
  </conditionalFormatting>
  <conditionalFormatting sqref="S112:S113 S108 S121">
    <cfRule type="cellIs" dxfId="0" priority="5287" operator="equal">
      <formula>"欠"</formula>
    </cfRule>
  </conditionalFormatting>
  <conditionalFormatting sqref="R112 T112:U112">
    <cfRule type="cellIs" dxfId="0" priority="4938" operator="equal">
      <formula>"欠"</formula>
    </cfRule>
  </conditionalFormatting>
  <conditionalFormatting sqref="R114 T114:U114 T117:U117 T120:U122 R138 T138:U139">
    <cfRule type="cellIs" dxfId="0" priority="5164" operator="equal">
      <formula>"欠"</formula>
    </cfRule>
  </conditionalFormatting>
  <conditionalFormatting sqref="T114:U114 T117:U117 T120:U122 T138:U139">
    <cfRule type="containsText" dxfId="0" priority="5162" operator="between" text="欠">
      <formula>NOT(ISERROR(SEARCH("欠",T114)))</formula>
    </cfRule>
  </conditionalFormatting>
  <conditionalFormatting sqref="S115 S124">
    <cfRule type="cellIs" dxfId="0" priority="5185" operator="equal">
      <formula>"欠"</formula>
    </cfRule>
  </conditionalFormatting>
  <conditionalFormatting sqref="R123 R129:R133 R139 R143">
    <cfRule type="cellIs" dxfId="0" priority="4953" operator="equal">
      <formula>"欠"</formula>
    </cfRule>
  </conditionalFormatting>
  <conditionalFormatting sqref="AE123 AE125:AE128 AE134 AE139 AE147 AE149:AE153">
    <cfRule type="cellIs" dxfId="1" priority="4978" operator="equal">
      <formula>"未完成"</formula>
    </cfRule>
    <cfRule type="cellIs" dxfId="0" priority="4979" operator="equal">
      <formula>"未完成"</formula>
    </cfRule>
  </conditionalFormatting>
  <conditionalFormatting sqref="AF123 AF125:AF128 AF134 AF139 AF147 AF149:AF153">
    <cfRule type="cellIs" dxfId="1" priority="4980" operator="equal">
      <formula>"未完成"</formula>
    </cfRule>
    <cfRule type="cellIs" dxfId="0" priority="4981" operator="equal">
      <formula>"未完成"</formula>
    </cfRule>
  </conditionalFormatting>
  <conditionalFormatting sqref="AH123 AH125:AH128 AH134 AH139 AH147 AH149:AH153">
    <cfRule type="cellIs" dxfId="1" priority="4984" operator="equal">
      <formula>"未完成"</formula>
    </cfRule>
    <cfRule type="cellIs" dxfId="0" priority="4985" operator="equal">
      <formula>"未完成"</formula>
    </cfRule>
  </conditionalFormatting>
  <conditionalFormatting sqref="AI123:AJ123 AJ125:AJ128 AI139:AJ139 AI147:AJ147 AI149:AJ151 AI152:AI153">
    <cfRule type="cellIs" dxfId="1" priority="4982" operator="equal">
      <formula>"未完成"</formula>
    </cfRule>
    <cfRule type="cellIs" dxfId="0" priority="4983" operator="equal">
      <formula>"未完成"</formula>
    </cfRule>
  </conditionalFormatting>
  <conditionalFormatting sqref="AQ123 AQ125:AQ128 AQ134 AQ139 AQ147 AQ149:AQ153">
    <cfRule type="cellIs" dxfId="1" priority="4974" operator="equal">
      <formula>"未完成"</formula>
    </cfRule>
    <cfRule type="cellIs" dxfId="0" priority="4975" operator="equal">
      <formula>"未完成"</formula>
    </cfRule>
  </conditionalFormatting>
  <conditionalFormatting sqref="T129:U133 T143:U143">
    <cfRule type="cellIs" dxfId="0" priority="4823" operator="equal">
      <formula>"欠"</formula>
    </cfRule>
    <cfRule type="containsText" dxfId="0" priority="4824" operator="between" text="欠">
      <formula>NOT(ISERROR(SEARCH("欠",T129)))</formula>
    </cfRule>
  </conditionalFormatting>
  <conditionalFormatting sqref="AE129:AE133 AE143">
    <cfRule type="cellIs" dxfId="0" priority="4890" operator="equal">
      <formula>"未完成"</formula>
    </cfRule>
    <cfRule type="cellIs" dxfId="1" priority="4891" operator="equal">
      <formula>"未完成"</formula>
    </cfRule>
  </conditionalFormatting>
  <conditionalFormatting sqref="AH129:AH133 AH143">
    <cfRule type="cellIs" dxfId="1" priority="4896" operator="equal">
      <formula>"未完成"</formula>
    </cfRule>
    <cfRule type="cellIs" dxfId="0" priority="4897" operator="equal">
      <formula>"未完成"</formula>
    </cfRule>
  </conditionalFormatting>
  <conditionalFormatting sqref="AI129:AJ133 AJ143">
    <cfRule type="cellIs" dxfId="1" priority="4894" operator="equal">
      <formula>"未完成"</formula>
    </cfRule>
    <cfRule type="cellIs" dxfId="0" priority="4895" operator="equal">
      <formula>"未完成"</formula>
    </cfRule>
  </conditionalFormatting>
  <conditionalFormatting sqref="AL129:AL133 AL143">
    <cfRule type="cellIs" dxfId="1" priority="4901" operator="equal">
      <formula>"未完成"</formula>
    </cfRule>
    <cfRule type="cellIs" dxfId="0" priority="4902" operator="equal">
      <formula>"未完成"</formula>
    </cfRule>
  </conditionalFormatting>
  <conditionalFormatting sqref="AQ129:AQ133 AQ143">
    <cfRule type="cellIs" dxfId="1" priority="4886" operator="equal">
      <formula>"未完成"</formula>
    </cfRule>
    <cfRule type="cellIs" dxfId="0" priority="4887" operator="equal">
      <formula>"未完成"</formula>
    </cfRule>
  </conditionalFormatting>
  <conditionalFormatting sqref="AL135:AL137 AL152:AL153">
    <cfRule type="cellIs" dxfId="1" priority="4819" operator="equal">
      <formula>"未完成"</formula>
    </cfRule>
    <cfRule type="cellIs" dxfId="0" priority="4820" operator="equal">
      <formula>"未完成"</formula>
    </cfRule>
  </conditionalFormatting>
  <conditionalFormatting sqref="AO135:AO137 AO145 AO263 AO273 AO278 AO288 AO302:AO306 AO310:AO314 AO334 AO337 AO345 AO359:AO360 AO362:AO363 AO365:AO368 AO372:AO374">
    <cfRule type="cellIs" dxfId="1" priority="5071" operator="equal">
      <formula>"未完成"</formula>
    </cfRule>
    <cfRule type="cellIs" dxfId="0" priority="5072" operator="equal">
      <formula>"未完成"</formula>
    </cfRule>
  </conditionalFormatting>
  <conditionalFormatting sqref="T141:U142">
    <cfRule type="cellIs" dxfId="0" priority="4871" operator="equal">
      <formula>"欠"</formula>
    </cfRule>
    <cfRule type="containsText" dxfId="0" priority="4873" operator="between" text="欠">
      <formula>NOT(ISERROR(SEARCH("欠",T141)))</formula>
    </cfRule>
  </conditionalFormatting>
  <conditionalFormatting sqref="AI146 AI148">
    <cfRule type="cellIs" dxfId="1" priority="4743" operator="equal">
      <formula>"未完成"</formula>
    </cfRule>
    <cfRule type="cellIs" dxfId="0" priority="4744" operator="equal">
      <formula>"未完成"</formula>
    </cfRule>
  </conditionalFormatting>
  <conditionalFormatting sqref="T152:U153">
    <cfRule type="cellIs" dxfId="0" priority="4778" operator="equal">
      <formula>"欠"</formula>
    </cfRule>
  </conditionalFormatting>
  <conditionalFormatting sqref="S154 S161">
    <cfRule type="cellIs" dxfId="0" priority="5046" operator="equal">
      <formula>"欠"</formula>
    </cfRule>
  </conditionalFormatting>
  <conditionalFormatting sqref="AL154 AL161 AL290">
    <cfRule type="cellIs" dxfId="1" priority="5043" operator="equal">
      <formula>"未完成"</formula>
    </cfRule>
    <cfRule type="cellIs" dxfId="0" priority="5044" operator="equal">
      <formula>"未完成"</formula>
    </cfRule>
  </conditionalFormatting>
  <conditionalFormatting sqref="T157:U161">
    <cfRule type="containsText" dxfId="0" priority="4707" operator="between" text="欠">
      <formula>NOT(ISERROR(SEARCH("欠",T157)))</formula>
    </cfRule>
    <cfRule type="cellIs" dxfId="0" priority="4708" operator="equal">
      <formula>"欠"</formula>
    </cfRule>
  </conditionalFormatting>
  <conditionalFormatting sqref="S163 S165">
    <cfRule type="cellIs" dxfId="0" priority="4641" operator="equal">
      <formula>"欠"</formula>
    </cfRule>
  </conditionalFormatting>
  <conditionalFormatting sqref="T163:U165">
    <cfRule type="containsText" dxfId="0" priority="4639" operator="between" text="欠">
      <formula>NOT(ISERROR(SEARCH("欠",T163)))</formula>
    </cfRule>
    <cfRule type="cellIs" dxfId="0" priority="4640" operator="equal">
      <formula>"欠"</formula>
    </cfRule>
  </conditionalFormatting>
  <conditionalFormatting sqref="AI164:AJ165">
    <cfRule type="cellIs" dxfId="1" priority="4662" operator="equal">
      <formula>"未完成"</formula>
    </cfRule>
    <cfRule type="cellIs" dxfId="0" priority="4663" operator="equal">
      <formula>"未完成"</formula>
    </cfRule>
  </conditionalFormatting>
  <conditionalFormatting sqref="AG171 AG360">
    <cfRule type="cellIs" dxfId="1" priority="3838" operator="equal">
      <formula>"未完成"</formula>
    </cfRule>
    <cfRule type="cellIs" dxfId="0" priority="3856" operator="equal">
      <formula>"未完成"</formula>
    </cfRule>
  </conditionalFormatting>
  <conditionalFormatting sqref="AG174 AG317">
    <cfRule type="cellIs" dxfId="1" priority="3835" operator="equal">
      <formula>"未完成"</formula>
    </cfRule>
    <cfRule type="cellIs" dxfId="0" priority="3853" operator="equal">
      <formula>"未完成"</formula>
    </cfRule>
  </conditionalFormatting>
  <conditionalFormatting sqref="AK194 AK315">
    <cfRule type="cellIs" dxfId="1" priority="2661" operator="equal">
      <formula>"未完成"</formula>
    </cfRule>
    <cfRule type="cellIs" dxfId="0" priority="2684" operator="equal">
      <formula>"未完成"</formula>
    </cfRule>
  </conditionalFormatting>
  <conditionalFormatting sqref="AG212 AG285">
    <cfRule type="cellIs" dxfId="1" priority="2176" operator="equal">
      <formula>"未完成"</formula>
    </cfRule>
    <cfRule type="cellIs" dxfId="0" priority="2193" operator="equal">
      <formula>"未完成"</formula>
    </cfRule>
  </conditionalFormatting>
  <conditionalFormatting sqref="AL212 AL285">
    <cfRule type="cellIs" dxfId="1" priority="2108" operator="equal">
      <formula>"未完成"</formula>
    </cfRule>
    <cfRule type="cellIs" dxfId="0" priority="2125" operator="equal">
      <formula>"未完成"</formula>
    </cfRule>
  </conditionalFormatting>
  <conditionalFormatting sqref="AG224 AG278:AG279 AG281:AG284 AG291:AG292 AG294 AG345 AG361 AG363:AG364 AG368 AG371:AG379">
    <cfRule type="cellIs" dxfId="1" priority="2164" operator="equal">
      <formula>"未完成"</formula>
    </cfRule>
    <cfRule type="cellIs" dxfId="0" priority="2181" operator="equal">
      <formula>"未完成"</formula>
    </cfRule>
  </conditionalFormatting>
  <conditionalFormatting sqref="AK224 AK278:AK279 AK292 AK313">
    <cfRule type="cellIs" dxfId="1" priority="2130" operator="equal">
      <formula>"未完成"</formula>
    </cfRule>
    <cfRule type="cellIs" dxfId="0" priority="2147" operator="equal">
      <formula>"未完成"</formula>
    </cfRule>
  </conditionalFormatting>
  <conditionalFormatting sqref="AL224 AL281:AL284">
    <cfRule type="cellIs" dxfId="1" priority="2096" operator="equal">
      <formula>"未完成"</formula>
    </cfRule>
    <cfRule type="cellIs" dxfId="0" priority="2113" operator="equal">
      <formula>"未完成"</formula>
    </cfRule>
  </conditionalFormatting>
  <conditionalFormatting sqref="AO224 AO281:AO284">
    <cfRule type="cellIs" dxfId="1" priority="2062" operator="equal">
      <formula>"未完成"</formula>
    </cfRule>
    <cfRule type="cellIs" dxfId="0" priority="2079" operator="equal">
      <formula>"未完成"</formula>
    </cfRule>
  </conditionalFormatting>
  <conditionalFormatting sqref="R227:R238 R260:R261 R268:R272">
    <cfRule type="cellIs" dxfId="0" priority="4167" operator="equal">
      <formula>"欠"</formula>
    </cfRule>
  </conditionalFormatting>
  <conditionalFormatting sqref="T227:U238 T260:U261 T268:U272">
    <cfRule type="containsText" dxfId="0" priority="4143" operator="between" text="欠">
      <formula>NOT(ISERROR(SEARCH("欠",T227)))</formula>
    </cfRule>
    <cfRule type="cellIs" dxfId="0" priority="4149" operator="equal">
      <formula>"欠"</formula>
    </cfRule>
  </conditionalFormatting>
  <conditionalFormatting sqref="AT238:AT245 AT247:AT251">
    <cfRule type="cellIs" dxfId="1" priority="3228" operator="equal">
      <formula>"未完成"</formula>
    </cfRule>
    <cfRule type="cellIs" dxfId="0" priority="3233" operator="equal">
      <formula>"未完成"</formula>
    </cfRule>
  </conditionalFormatting>
  <conditionalFormatting sqref="R239:R245 R247:R251">
    <cfRule type="cellIs" dxfId="0" priority="2782" operator="equal">
      <formula>"欠"</formula>
    </cfRule>
  </conditionalFormatting>
  <conditionalFormatting sqref="S239:S245 S247:S251">
    <cfRule type="cellIs" dxfId="0" priority="2887" operator="equal">
      <formula>"欠"</formula>
    </cfRule>
  </conditionalFormatting>
  <conditionalFormatting sqref="T239:U245 T247:U251">
    <cfRule type="containsText" dxfId="0" priority="2768" operator="between" text="欠">
      <formula>NOT(ISERROR(SEARCH("欠",T239)))</formula>
    </cfRule>
    <cfRule type="cellIs" dxfId="0" priority="2775" operator="equal">
      <formula>"欠"</formula>
    </cfRule>
  </conditionalFormatting>
  <conditionalFormatting sqref="AI239 AI240:AJ240">
    <cfRule type="cellIs" dxfId="1" priority="2831" operator="equal">
      <formula>"未完成"</formula>
    </cfRule>
    <cfRule type="cellIs" dxfId="0" priority="2838" operator="equal">
      <formula>"未完成"</formula>
    </cfRule>
  </conditionalFormatting>
  <conditionalFormatting sqref="AK245 AK247:AK251">
    <cfRule type="cellIs" dxfId="1" priority="2888" operator="equal">
      <formula>"未完成"</formula>
    </cfRule>
    <cfRule type="cellIs" dxfId="0" priority="2895" operator="equal">
      <formula>"未完成"</formula>
    </cfRule>
  </conditionalFormatting>
  <conditionalFormatting sqref="R246 R252:R256 R262 R264">
    <cfRule type="cellIs" dxfId="0" priority="2926" operator="equal">
      <formula>"欠"</formula>
    </cfRule>
  </conditionalFormatting>
  <conditionalFormatting sqref="S246 S252:S256">
    <cfRule type="cellIs" dxfId="0" priority="2941" operator="equal">
      <formula>"欠"</formula>
    </cfRule>
  </conditionalFormatting>
  <conditionalFormatting sqref="T246:U246 T252:U256 T262:U262 T264:U264">
    <cfRule type="containsText" dxfId="0" priority="2924" operator="between" text="欠">
      <formula>NOT(ISERROR(SEARCH("欠",T246)))</formula>
    </cfRule>
    <cfRule type="cellIs" dxfId="0" priority="2925" operator="equal">
      <formula>"欠"</formula>
    </cfRule>
  </conditionalFormatting>
  <conditionalFormatting sqref="AF246 AF252">
    <cfRule type="cellIs" dxfId="1" priority="2931" operator="equal">
      <formula>"未完成"</formula>
    </cfRule>
    <cfRule type="cellIs" dxfId="0" priority="2932" operator="equal">
      <formula>"未完成"</formula>
    </cfRule>
  </conditionalFormatting>
  <conditionalFormatting sqref="AI246:AJ256">
    <cfRule type="cellIs" dxfId="1" priority="2933" operator="equal">
      <formula>"未完成"</formula>
    </cfRule>
    <cfRule type="cellIs" dxfId="0" priority="2934" operator="equal">
      <formula>"未完成"</formula>
    </cfRule>
  </conditionalFormatting>
  <conditionalFormatting sqref="AK246 AK260:AK262 AK264 AK276:AK277 AK286 AK293">
    <cfRule type="cellIs" dxfId="1" priority="2942" operator="equal">
      <formula>"未完成"</formula>
    </cfRule>
    <cfRule type="cellIs" dxfId="0" priority="2943" operator="equal">
      <formula>"未完成"</formula>
    </cfRule>
  </conditionalFormatting>
  <conditionalFormatting sqref="AT246 AT252:AT256">
    <cfRule type="cellIs" dxfId="1" priority="2927" operator="equal">
      <formula>"未完成"</formula>
    </cfRule>
    <cfRule type="cellIs" dxfId="0" priority="2928" operator="equal">
      <formula>"未完成"</formula>
    </cfRule>
  </conditionalFormatting>
  <conditionalFormatting sqref="AK252 AK263 AK288 AK290 AK295 AK337 AK343">
    <cfRule type="cellIs" dxfId="1" priority="3880" operator="equal">
      <formula>"未完成"</formula>
    </cfRule>
    <cfRule type="cellIs" dxfId="0" priority="3881" operator="equal">
      <formula>"未完成"</formula>
    </cfRule>
  </conditionalFormatting>
  <conditionalFormatting sqref="R257:R259 R263">
    <cfRule type="cellIs" dxfId="0" priority="3159" operator="equal">
      <formula>"欠"</formula>
    </cfRule>
  </conditionalFormatting>
  <conditionalFormatting sqref="S263 S257:S259 S265:S267">
    <cfRule type="cellIs" dxfId="0" priority="3108" operator="equal">
      <formula>"欠"</formula>
    </cfRule>
  </conditionalFormatting>
  <conditionalFormatting sqref="T257:U259 T263:U263">
    <cfRule type="containsText" dxfId="0" priority="3111" operator="between" text="欠">
      <formula>NOT(ISERROR(SEARCH("欠",T257)))</formula>
    </cfRule>
    <cfRule type="cellIs" dxfId="0" priority="3114" operator="equal">
      <formula>"欠"</formula>
    </cfRule>
  </conditionalFormatting>
  <conditionalFormatting sqref="AG258:AG259 AG265:AG267 AG274:AG275 AG280 AG289 AG296:AG316 AG318:AG335 AG338 AG340:AG352 AG358:AG360 AG362:AG363 AG365:AG367 AG372:AG374">
    <cfRule type="cellIs" dxfId="1" priority="4377" operator="equal">
      <formula>"未完成"</formula>
    </cfRule>
    <cfRule type="cellIs" dxfId="0" priority="4378" operator="equal">
      <formula>"未完成"</formula>
    </cfRule>
  </conditionalFormatting>
  <conditionalFormatting sqref="AE259 AE263">
    <cfRule type="cellIs" dxfId="0" priority="3133" operator="equal">
      <formula>"未完成"</formula>
    </cfRule>
    <cfRule type="cellIs" dxfId="1" priority="3136" operator="equal">
      <formula>"未完成"</formula>
    </cfRule>
  </conditionalFormatting>
  <conditionalFormatting sqref="AH259 AH263">
    <cfRule type="cellIs" dxfId="1" priority="3151" operator="equal">
      <formula>"未完成"</formula>
    </cfRule>
    <cfRule type="cellIs" dxfId="0" priority="3154" operator="equal">
      <formula>"未完成"</formula>
    </cfRule>
  </conditionalFormatting>
  <conditionalFormatting sqref="AJ259 AI263:AJ263">
    <cfRule type="cellIs" dxfId="1" priority="3145" operator="equal">
      <formula>"未完成"</formula>
    </cfRule>
    <cfRule type="cellIs" dxfId="0" priority="3148" operator="equal">
      <formula>"未完成"</formula>
    </cfRule>
  </conditionalFormatting>
  <conditionalFormatting sqref="AL259 AL263">
    <cfRule type="cellIs" dxfId="1" priority="3121" operator="equal">
      <formula>"未完成"</formula>
    </cfRule>
    <cfRule type="cellIs" dxfId="0" priority="3124" operator="equal">
      <formula>"未完成"</formula>
    </cfRule>
  </conditionalFormatting>
  <conditionalFormatting sqref="AM259 AM263">
    <cfRule type="cellIs" dxfId="1" priority="3100" operator="equal">
      <formula>"未完成"</formula>
    </cfRule>
    <cfRule type="cellIs" dxfId="0" priority="3103" operator="equal">
      <formula>"未完成"</formula>
    </cfRule>
  </conditionalFormatting>
  <conditionalFormatting sqref="AT259 AT263">
    <cfRule type="cellIs" dxfId="1" priority="3115" operator="equal">
      <formula>"未完成"</formula>
    </cfRule>
    <cfRule type="cellIs" dxfId="0" priority="3118" operator="equal">
      <formula>"未完成"</formula>
    </cfRule>
  </conditionalFormatting>
  <conditionalFormatting sqref="AO260:AO261 AO270:AO272">
    <cfRule type="cellIs" dxfId="1" priority="4406" operator="equal">
      <formula>"未完成"</formula>
    </cfRule>
    <cfRule type="cellIs" dxfId="0" priority="4407" operator="equal">
      <formula>"未完成"</formula>
    </cfRule>
  </conditionalFormatting>
  <conditionalFormatting sqref="S262 S264">
    <cfRule type="cellIs" dxfId="0" priority="1791" operator="equal">
      <formula>"欠"</formula>
    </cfRule>
  </conditionalFormatting>
  <conditionalFormatting sqref="T265:U267">
    <cfRule type="containsText" dxfId="0" priority="1532" operator="between" text="欠">
      <formula>NOT(ISERROR(SEARCH("欠",T265)))</formula>
    </cfRule>
    <cfRule type="cellIs" dxfId="0" priority="1546" operator="equal">
      <formula>"欠"</formula>
    </cfRule>
  </conditionalFormatting>
  <conditionalFormatting sqref="AI268:AJ272">
    <cfRule type="cellIs" dxfId="1" priority="4399" operator="equal">
      <formula>"未完成"</formula>
    </cfRule>
    <cfRule type="cellIs" dxfId="0" priority="4400" operator="equal">
      <formula>"未完成"</formula>
    </cfRule>
  </conditionalFormatting>
  <conditionalFormatting sqref="AK273 AK287">
    <cfRule type="cellIs" dxfId="1" priority="3209" operator="equal">
      <formula>"未完成"</formula>
    </cfRule>
    <cfRule type="cellIs" dxfId="0" priority="3210" operator="equal">
      <formula>"未完成"</formula>
    </cfRule>
  </conditionalFormatting>
  <conditionalFormatting sqref="R274:R275 R278 R280 R313 R345">
    <cfRule type="cellIs" dxfId="0" priority="3862" operator="equal">
      <formula>"欠"</formula>
    </cfRule>
  </conditionalFormatting>
  <conditionalFormatting sqref="S274:S275 S278 S280 S313 S345">
    <cfRule type="cellIs" dxfId="0" priority="3370" operator="equal">
      <formula>"欠"</formula>
    </cfRule>
  </conditionalFormatting>
  <conditionalFormatting sqref="T274:U275 T278:U278 T280:U280 T313:U313">
    <cfRule type="containsText" dxfId="0" priority="3371" operator="between" text="欠">
      <formula>NOT(ISERROR(SEARCH("欠",T274)))</formula>
    </cfRule>
    <cfRule type="cellIs" dxfId="0" priority="3372" operator="equal">
      <formula>"欠"</formula>
    </cfRule>
  </conditionalFormatting>
  <conditionalFormatting sqref="AE274 AE278 AE313">
    <cfRule type="cellIs" dxfId="0" priority="2209" operator="equal">
      <formula>"未完成"</formula>
    </cfRule>
    <cfRule type="cellIs" dxfId="1" priority="2210" operator="equal">
      <formula>"未完成"</formula>
    </cfRule>
  </conditionalFormatting>
  <conditionalFormatting sqref="AF274 AF278 AF313">
    <cfRule type="cellIs" dxfId="1" priority="2211" operator="equal">
      <formula>"未完成"</formula>
    </cfRule>
    <cfRule type="cellIs" dxfId="0" priority="2212" operator="equal">
      <formula>"未完成"</formula>
    </cfRule>
  </conditionalFormatting>
  <conditionalFormatting sqref="AH274 AH278 AH313">
    <cfRule type="cellIs" dxfId="1" priority="2215" operator="equal">
      <formula>"未完成"</formula>
    </cfRule>
    <cfRule type="cellIs" dxfId="0" priority="2216" operator="equal">
      <formula>"未完成"</formula>
    </cfRule>
  </conditionalFormatting>
  <conditionalFormatting sqref="AI274:AJ274 AI278:AJ278 AI313:AJ313">
    <cfRule type="cellIs" dxfId="1" priority="2213" operator="equal">
      <formula>"未完成"</formula>
    </cfRule>
    <cfRule type="cellIs" dxfId="0" priority="2214" operator="equal">
      <formula>"未完成"</formula>
    </cfRule>
  </conditionalFormatting>
  <conditionalFormatting sqref="AL274 AL278">
    <cfRule type="cellIs" dxfId="1" priority="2205" operator="equal">
      <formula>"未完成"</formula>
    </cfRule>
    <cfRule type="cellIs" dxfId="0" priority="2206" operator="equal">
      <formula>"未完成"</formula>
    </cfRule>
  </conditionalFormatting>
  <conditionalFormatting sqref="AM274:AM275 AM278 AM280 AM289 AM296:AM302 AM313:AM314 AM322:AM329 AM334 AM345:AM357 AM362">
    <cfRule type="cellIs" dxfId="1" priority="3368" operator="equal">
      <formula>"未完成"</formula>
    </cfRule>
    <cfRule type="cellIs" dxfId="0" priority="3369" operator="equal">
      <formula>"未完成"</formula>
    </cfRule>
  </conditionalFormatting>
  <conditionalFormatting sqref="AT274 AT278 AT313">
    <cfRule type="cellIs" dxfId="1" priority="2203" operator="equal">
      <formula>"未完成"</formula>
    </cfRule>
    <cfRule type="cellIs" dxfId="0" priority="2204" operator="equal">
      <formula>"未完成"</formula>
    </cfRule>
  </conditionalFormatting>
  <conditionalFormatting sqref="R276:R277 T276:U277">
    <cfRule type="cellIs" dxfId="0" priority="1577" operator="equal">
      <formula>"欠"</formula>
    </cfRule>
  </conditionalFormatting>
  <conditionalFormatting sqref="T276:U277">
    <cfRule type="containsText" dxfId="0" priority="1571" operator="between" text="欠">
      <formula>NOT(ISERROR(SEARCH("欠",T276)))</formula>
    </cfRule>
  </conditionalFormatting>
  <conditionalFormatting sqref="AO277 AO286 AO293 AO308:AO309 AO338:AO339 AO342 AO364 AO375:AO380">
    <cfRule type="cellIs" dxfId="1" priority="1379" operator="equal">
      <formula>"未完成"</formula>
    </cfRule>
    <cfRule type="cellIs" dxfId="0" priority="1380" operator="equal">
      <formula>"未完成"</formula>
    </cfRule>
  </conditionalFormatting>
  <conditionalFormatting sqref="AO279 AO291 AO294">
    <cfRule type="cellIs" dxfId="1" priority="1375" operator="equal">
      <formula>"未完成"</formula>
    </cfRule>
    <cfRule type="cellIs" dxfId="0" priority="1376" operator="equal">
      <formula>"未完成"</formula>
    </cfRule>
  </conditionalFormatting>
  <conditionalFormatting sqref="T281:U284">
    <cfRule type="containsText" dxfId="0" priority="1230" operator="between" text="欠">
      <formula>NOT(ISERROR(SEARCH("欠",T281)))</formula>
    </cfRule>
    <cfRule type="cellIs" dxfId="0" priority="1231" operator="equal">
      <formula>"欠"</formula>
    </cfRule>
  </conditionalFormatting>
  <conditionalFormatting sqref="R285 T285:U285">
    <cfRule type="cellIs" dxfId="0" priority="1330" operator="equal">
      <formula>"欠"</formula>
    </cfRule>
  </conditionalFormatting>
  <conditionalFormatting sqref="AI285:AI288 AI292:AI293">
    <cfRule type="cellIs" dxfId="1" priority="1676" operator="equal">
      <formula>"未完成"</formula>
    </cfRule>
    <cfRule type="cellIs" dxfId="0" priority="1677" operator="equal">
      <formula>"未完成"</formula>
    </cfRule>
  </conditionalFormatting>
  <conditionalFormatting sqref="R286 T286:U286">
    <cfRule type="cellIs" dxfId="0" priority="1327" operator="equal">
      <formula>"欠"</formula>
    </cfRule>
  </conditionalFormatting>
  <conditionalFormatting sqref="R287 T287:U287">
    <cfRule type="cellIs" dxfId="0" priority="1331" operator="equal">
      <formula>"欠"</formula>
    </cfRule>
  </conditionalFormatting>
  <conditionalFormatting sqref="R288 T288:U288">
    <cfRule type="cellIs" dxfId="0" priority="1415" operator="equal">
      <formula>"欠"</formula>
    </cfRule>
  </conditionalFormatting>
  <conditionalFormatting sqref="R289 R296">
    <cfRule type="cellIs" dxfId="0" priority="1122" operator="equal">
      <formula>"欠"</formula>
    </cfRule>
  </conditionalFormatting>
  <conditionalFormatting sqref="T289:U289 T296:U296">
    <cfRule type="cellIs" dxfId="0" priority="1074" operator="equal">
      <formula>"欠"</formula>
    </cfRule>
  </conditionalFormatting>
  <conditionalFormatting sqref="R290 T290:U290">
    <cfRule type="cellIs" dxfId="0" priority="1328" operator="equal">
      <formula>"欠"</formula>
    </cfRule>
  </conditionalFormatting>
  <conditionalFormatting sqref="R291 T291:U291">
    <cfRule type="cellIs" dxfId="0" priority="1062" operator="equal">
      <formula>"欠"</formula>
    </cfRule>
  </conditionalFormatting>
  <conditionalFormatting sqref="AL291 AL294">
    <cfRule type="cellIs" dxfId="1" priority="1241" operator="equal">
      <formula>"未完成"</formula>
    </cfRule>
    <cfRule type="cellIs" dxfId="0" priority="1242" operator="equal">
      <formula>"未完成"</formula>
    </cfRule>
  </conditionalFormatting>
  <conditionalFormatting sqref="R292 T292:U292 R295 T295:U295">
    <cfRule type="cellIs" dxfId="0" priority="1329" operator="equal">
      <formula>"欠"</formula>
    </cfRule>
  </conditionalFormatting>
  <conditionalFormatting sqref="S292 S295">
    <cfRule type="cellIs" dxfId="0" priority="1324" operator="equal">
      <formula>"欠"</formula>
    </cfRule>
  </conditionalFormatting>
  <conditionalFormatting sqref="T292:U292 T295:U295">
    <cfRule type="containsText" dxfId="0" priority="1319" operator="between" text="欠">
      <formula>NOT(ISERROR(SEARCH("欠",T292)))</formula>
    </cfRule>
  </conditionalFormatting>
  <conditionalFormatting sqref="AE292 AE295">
    <cfRule type="cellIs" dxfId="0" priority="1334" operator="equal">
      <formula>"未完成"</formula>
    </cfRule>
  </conditionalFormatting>
  <conditionalFormatting sqref="R293 T293:U293">
    <cfRule type="cellIs" dxfId="0" priority="1557" operator="equal">
      <formula>"欠"</formula>
    </cfRule>
  </conditionalFormatting>
  <conditionalFormatting sqref="R294 T294:U294">
    <cfRule type="cellIs" dxfId="0" priority="1247" operator="equal">
      <formula>"欠"</formula>
    </cfRule>
  </conditionalFormatting>
  <conditionalFormatting sqref="T298:U301">
    <cfRule type="containsText" dxfId="0" priority="978" operator="between" text="欠">
      <formula>NOT(ISERROR(SEARCH("欠",T298)))</formula>
    </cfRule>
    <cfRule type="cellIs" dxfId="0" priority="979" operator="equal">
      <formula>"欠"</formula>
    </cfRule>
  </conditionalFormatting>
  <conditionalFormatting sqref="R303:R306 T303:U306">
    <cfRule type="cellIs" dxfId="0" priority="929" operator="equal">
      <formula>"欠"</formula>
    </cfRule>
  </conditionalFormatting>
  <conditionalFormatting sqref="T303:U306">
    <cfRule type="containsText" dxfId="0" priority="919" operator="between" text="欠">
      <formula>NOT(ISERROR(SEARCH("欠",T303)))</formula>
    </cfRule>
  </conditionalFormatting>
  <conditionalFormatting sqref="R304:R305 T304 R324 T324">
    <cfRule type="cellIs" dxfId="0" priority="1088" operator="equal">
      <formula>"欠"</formula>
    </cfRule>
  </conditionalFormatting>
  <conditionalFormatting sqref="AL306:AL312 AL337">
    <cfRule type="cellIs" dxfId="1" priority="1441" operator="equal">
      <formula>"未完成"</formula>
    </cfRule>
    <cfRule type="cellIs" dxfId="0" priority="1442" operator="equal">
      <formula>"未完成"</formula>
    </cfRule>
  </conditionalFormatting>
  <conditionalFormatting sqref="S307 S318">
    <cfRule type="cellIs" dxfId="0" priority="777" operator="equal">
      <formula>"欠"</formula>
    </cfRule>
  </conditionalFormatting>
  <conditionalFormatting sqref="AL307 AL342">
    <cfRule type="cellIs" dxfId="1" priority="764" operator="equal">
      <formula>"未完成"</formula>
    </cfRule>
    <cfRule type="cellIs" dxfId="0" priority="765" operator="equal">
      <formula>"未完成"</formula>
    </cfRule>
  </conditionalFormatting>
  <conditionalFormatting sqref="R308 T308:U308">
    <cfRule type="cellIs" dxfId="0" priority="722" operator="equal">
      <formula>"欠"</formula>
    </cfRule>
  </conditionalFormatting>
  <conditionalFormatting sqref="R309 T309:U309">
    <cfRule type="cellIs" dxfId="0" priority="849" operator="equal">
      <formula>"欠"</formula>
    </cfRule>
  </conditionalFormatting>
  <conditionalFormatting sqref="S310:S311 S331 S369:S370">
    <cfRule type="cellIs" dxfId="0" priority="1086" operator="equal">
      <formula>"欠"</formula>
    </cfRule>
  </conditionalFormatting>
  <conditionalFormatting sqref="T310:U310 T331:U331">
    <cfRule type="containsText" dxfId="0" priority="1084" operator="between" text="欠">
      <formula>NOT(ISERROR(SEARCH("欠",T310)))</formula>
    </cfRule>
  </conditionalFormatting>
  <conditionalFormatting sqref="AL310 AL331 AL369">
    <cfRule type="cellIs" dxfId="1" priority="1072" operator="equal">
      <formula>"未完成"</formula>
    </cfRule>
    <cfRule type="cellIs" dxfId="0" priority="1073" operator="equal">
      <formula>"未完成"</formula>
    </cfRule>
  </conditionalFormatting>
  <conditionalFormatting sqref="T311:U312">
    <cfRule type="containsText" dxfId="0" priority="824" operator="between" text="欠">
      <formula>NOT(ISERROR(SEARCH("欠",T311)))</formula>
    </cfRule>
    <cfRule type="cellIs" dxfId="0" priority="825" operator="equal">
      <formula>"欠"</formula>
    </cfRule>
  </conditionalFormatting>
  <conditionalFormatting sqref="R314 T314:U314">
    <cfRule type="cellIs" dxfId="0" priority="885" operator="equal">
      <formula>"欠"</formula>
    </cfRule>
  </conditionalFormatting>
  <conditionalFormatting sqref="S314 S362">
    <cfRule type="cellIs" dxfId="0" priority="884" operator="equal">
      <formula>"欠"</formula>
    </cfRule>
  </conditionalFormatting>
  <conditionalFormatting sqref="T315:U315 T332:U332 T334:U334 T346:U346 U357:U358 T359:U359">
    <cfRule type="containsText" dxfId="0" priority="743" operator="between" text="欠">
      <formula>NOT(ISERROR(SEARCH("欠",T315)))</formula>
    </cfRule>
    <cfRule type="cellIs" dxfId="0" priority="744" operator="equal">
      <formula>"欠"</formula>
    </cfRule>
  </conditionalFormatting>
  <conditionalFormatting sqref="AO315 AO332 AO334:AO335 AO346:AO347 AO358 AO360 AO365:AO368">
    <cfRule type="cellIs" dxfId="1" priority="736" operator="equal">
      <formula>"未完成"</formula>
    </cfRule>
    <cfRule type="cellIs" dxfId="0" priority="737" operator="equal">
      <formula>"未完成"</formula>
    </cfRule>
  </conditionalFormatting>
  <conditionalFormatting sqref="AU315 AU332 AU346:AU347 AU358 AU365:AU367">
    <cfRule type="cellIs" dxfId="1" priority="734" operator="equal">
      <formula>"未完成"</formula>
    </cfRule>
    <cfRule type="cellIs" dxfId="0" priority="735" operator="equal">
      <formula>"未完成"</formula>
    </cfRule>
  </conditionalFormatting>
  <conditionalFormatting sqref="R316 T316:U316">
    <cfRule type="cellIs" dxfId="0" priority="1257" operator="equal">
      <formula>"欠"</formula>
    </cfRule>
  </conditionalFormatting>
  <conditionalFormatting sqref="AK317 AK320:AK321">
    <cfRule type="cellIs" dxfId="1" priority="205" operator="equal">
      <formula>"未完成"</formula>
    </cfRule>
    <cfRule type="cellIs" dxfId="0" priority="206" operator="equal">
      <formula>"未完成"</formula>
    </cfRule>
  </conditionalFormatting>
  <conditionalFormatting sqref="AL317 AL320:AL321">
    <cfRule type="cellIs" dxfId="1" priority="189" operator="equal">
      <formula>"未完成"</formula>
    </cfRule>
    <cfRule type="cellIs" dxfId="0" priority="190" operator="equal">
      <formula>"未完成"</formula>
    </cfRule>
  </conditionalFormatting>
  <conditionalFormatting sqref="AO317 AO320:AO321">
    <cfRule type="cellIs" dxfId="1" priority="187" operator="equal">
      <formula>"未完成"</formula>
    </cfRule>
    <cfRule type="cellIs" dxfId="0" priority="188" operator="equal">
      <formula>"未完成"</formula>
    </cfRule>
  </conditionalFormatting>
  <conditionalFormatting sqref="R318 T318:U318">
    <cfRule type="cellIs" dxfId="0" priority="785" operator="equal">
      <formula>"欠"</formula>
    </cfRule>
  </conditionalFormatting>
  <conditionalFormatting sqref="AK318 AK339:AK342 AK364 AK375:AK379">
    <cfRule type="cellIs" dxfId="1" priority="695" operator="equal">
      <formula>"未完成"</formula>
    </cfRule>
    <cfRule type="cellIs" dxfId="0" priority="696" operator="equal">
      <formula>"未完成"</formula>
    </cfRule>
  </conditionalFormatting>
  <conditionalFormatting sqref="AK319 AK356 AK360:AK363 AK365:AK368 AK370:AK374">
    <cfRule type="cellIs" dxfId="1" priority="340" operator="equal">
      <formula>"未完成"</formula>
    </cfRule>
    <cfRule type="cellIs" dxfId="0" priority="343" operator="equal">
      <formula>"未完成"</formula>
    </cfRule>
  </conditionalFormatting>
  <conditionalFormatting sqref="T322:U329">
    <cfRule type="containsText" dxfId="0" priority="501" operator="between" text="欠">
      <formula>NOT(ISERROR(SEARCH("欠",T322)))</formula>
    </cfRule>
    <cfRule type="cellIs" dxfId="0" priority="509" operator="equal">
      <formula>"欠"</formula>
    </cfRule>
  </conditionalFormatting>
  <conditionalFormatting sqref="R332 R334">
    <cfRule type="cellIs" dxfId="0" priority="691" operator="equal">
      <formula>"欠"</formula>
    </cfRule>
  </conditionalFormatting>
  <conditionalFormatting sqref="S332 S334">
    <cfRule type="cellIs" dxfId="0" priority="690" operator="equal">
      <formula>"欠"</formula>
    </cfRule>
  </conditionalFormatting>
  <conditionalFormatting sqref="R335:R336 R357:R358">
    <cfRule type="cellIs" dxfId="0" priority="90" operator="equal">
      <formula>"欠"</formula>
    </cfRule>
  </conditionalFormatting>
  <conditionalFormatting sqref="S335:S336 S357:S358">
    <cfRule type="cellIs" dxfId="0" priority="38" operator="equal">
      <formula>"欠"</formula>
    </cfRule>
  </conditionalFormatting>
  <conditionalFormatting sqref="T335:U336 U357:U358">
    <cfRule type="containsText" dxfId="0" priority="42" operator="between" text="欠">
      <formula>NOT(ISERROR(SEARCH("欠",T335)))</formula>
    </cfRule>
    <cfRule type="cellIs" dxfId="0" priority="46" operator="equal">
      <formula>"欠"</formula>
    </cfRule>
  </conditionalFormatting>
  <conditionalFormatting sqref="U339 T341:U343">
    <cfRule type="containsText" dxfId="0" priority="1437" operator="between" text="欠">
      <formula>NOT(ISERROR(SEARCH("欠",T339)))</formula>
    </cfRule>
    <cfRule type="cellIs" dxfId="0" priority="1438" operator="equal">
      <formula>"欠"</formula>
    </cfRule>
  </conditionalFormatting>
  <conditionalFormatting sqref="R341 R351 R353:R367">
    <cfRule type="cellIs" dxfId="0" priority="339" operator="equal">
      <formula>"欠"</formula>
    </cfRule>
  </conditionalFormatting>
  <conditionalFormatting sqref="S341 S351 S353:S361 S363:S367">
    <cfRule type="cellIs" dxfId="0" priority="240" operator="equal">
      <formula>"欠"</formula>
    </cfRule>
  </conditionalFormatting>
  <conditionalFormatting sqref="T341:U341 T351:U351 T352 T353:U367">
    <cfRule type="containsText" dxfId="0" priority="303" operator="between" text="欠">
      <formula>NOT(ISERROR(SEARCH("欠",T341)))</formula>
    </cfRule>
    <cfRule type="cellIs" dxfId="0" priority="306" operator="equal">
      <formula>"欠"</formula>
    </cfRule>
  </conditionalFormatting>
  <conditionalFormatting sqref="AI341:AJ343">
    <cfRule type="cellIs" dxfId="1" priority="1447" operator="equal">
      <formula>"未完成"</formula>
    </cfRule>
    <cfRule type="cellIs" dxfId="0" priority="1448" operator="equal">
      <formula>"未完成"</formula>
    </cfRule>
  </conditionalFormatting>
  <conditionalFormatting sqref="R344 T344:U344">
    <cfRule type="cellIs" dxfId="0" priority="986" operator="equal">
      <formula>"欠"</formula>
    </cfRule>
  </conditionalFormatting>
  <conditionalFormatting sqref="AK345 AK359 AK372 AK374">
    <cfRule type="cellIs" dxfId="1" priority="251" operator="equal">
      <formula>"未完成"</formula>
    </cfRule>
    <cfRule type="cellIs" dxfId="0" priority="252" operator="equal">
      <formula>"未完成"</formula>
    </cfRule>
  </conditionalFormatting>
  <conditionalFormatting sqref="R346:R347 R360:R361">
    <cfRule type="cellIs" dxfId="0" priority="677" operator="equal">
      <formula>"欠"</formula>
    </cfRule>
  </conditionalFormatting>
  <conditionalFormatting sqref="S346:S347 S360:S361">
    <cfRule type="cellIs" dxfId="0" priority="664" operator="equal">
      <formula>"欠"</formula>
    </cfRule>
  </conditionalFormatting>
  <conditionalFormatting sqref="AI353:AJ367">
    <cfRule type="cellIs" dxfId="1" priority="325" operator="equal">
      <formula>"未完成"</formula>
    </cfRule>
    <cfRule type="cellIs" dxfId="0" priority="328" operator="equal">
      <formula>"未完成"</formula>
    </cfRule>
  </conditionalFormatting>
  <conditionalFormatting sqref="AL353:AL363 AL368 AL372:AL374">
    <cfRule type="cellIs" dxfId="1" priority="307" operator="equal">
      <formula>"未完成"</formula>
    </cfRule>
    <cfRule type="cellIs" dxfId="0" priority="310" operator="equal">
      <formula>"未完成"</formula>
    </cfRule>
  </conditionalFormatting>
  <conditionalFormatting sqref="AK358:AK362 AK365:AK368 AK370:AK374">
    <cfRule type="cellIs" dxfId="1" priority="678" operator="equal">
      <formula>"未完成"</formula>
    </cfRule>
    <cfRule type="cellIs" dxfId="0" priority="679" operator="equal">
      <formula>"未完成"</formula>
    </cfRule>
  </conditionalFormatting>
  <conditionalFormatting sqref="AI360:AJ361">
    <cfRule type="cellIs" dxfId="1" priority="389" operator="equal">
      <formula>"未完成"</formula>
    </cfRule>
    <cfRule type="cellIs" dxfId="0" priority="391" operator="equal">
      <formula>"未完成"</formula>
    </cfRule>
  </conditionalFormatting>
  <conditionalFormatting sqref="AL360:AL361 AL372:AL374">
    <cfRule type="cellIs" dxfId="1" priority="377" operator="equal">
      <formula>"未完成"</formula>
    </cfRule>
    <cfRule type="cellIs" dxfId="0" priority="379" operator="equal">
      <formula>"未完成"</formula>
    </cfRule>
  </conditionalFormatting>
  <conditionalFormatting sqref="R371 T371:U371">
    <cfRule type="cellIs" dxfId="0" priority="7887" operator="equal">
      <formula>"欠"</formula>
    </cfRule>
  </conditionalFormatting>
  <conditionalFormatting sqref="R371:R373 T371:U373 R374:R378">
    <cfRule type="cellIs" dxfId="0" priority="7910" operator="equal">
      <formula>"欠"</formula>
    </cfRule>
  </conditionalFormatting>
  <conditionalFormatting sqref="R381:R398 T381:U398">
    <cfRule type="cellIs" dxfId="0" priority="7911" operator="equal">
      <formula>"欠"</formula>
    </cfRule>
  </conditionalFormatting>
  <dataValidations count="1">
    <dataValidation type="list" allowBlank="1" showInputMessage="1" showErrorMessage="1" sqref="AE309 AE317 AE330 AE2:AE258 AE260:AE262 AE268:AE273 AE319:AE321 AE333:AE336 AE340:AE341 AE347:AE358 AE361:AE399">
      <formula1>"未完成,已完成,OK"</formula1>
    </dataValidation>
  </dataValidations>
  <pageMargins left="0.75" right="0.75" top="1" bottom="1" header="0.5" footer="0.5"/>
  <pageSetup paperSize="9" orientation="portrait"/>
  <headerFooter/>
  <ignoredErrors>
    <ignoredError sqref="D357 E375:E378 E363:E369 E356:E357 D363:D366 D368:D378"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453"/>
  <sheetViews>
    <sheetView workbookViewId="0">
      <pane xSplit="14" ySplit="1" topLeftCell="O3" activePane="bottomRight" state="frozen"/>
      <selection/>
      <selection pane="topRight"/>
      <selection pane="bottomLeft"/>
      <selection pane="bottomRight" activeCell="E3" sqref="E3"/>
    </sheetView>
  </sheetViews>
  <sheetFormatPr defaultColWidth="9" defaultRowHeight="14.25"/>
  <cols>
    <col min="1" max="1" width="14.9166666666667" style="861" customWidth="1"/>
    <col min="2" max="2" width="12" style="860" customWidth="1"/>
    <col min="3" max="3" width="11.0583333333333" style="860" customWidth="1"/>
    <col min="4" max="4" width="14.7583333333333" style="860" customWidth="1"/>
    <col min="5" max="5" width="11.575" style="862" customWidth="1"/>
    <col min="6" max="6" width="16.8916666666667" style="860" customWidth="1"/>
    <col min="7" max="7" width="16.0333333333333" style="860" customWidth="1"/>
    <col min="8" max="8" width="15.8583333333333" style="860" customWidth="1"/>
    <col min="9" max="9" width="13.5583333333333" style="860" customWidth="1"/>
    <col min="10" max="10" width="10.1416666666667" style="860" customWidth="1"/>
    <col min="11" max="11" width="9.2" style="860" customWidth="1"/>
    <col min="12" max="12" width="8.75833333333333" style="860" customWidth="1"/>
    <col min="13" max="14" width="16" style="860" customWidth="1"/>
    <col min="15" max="15" width="14.6083333333333" style="860" customWidth="1"/>
    <col min="16" max="16" width="10.7166666666667" style="860" customWidth="1"/>
    <col min="17" max="17" width="14.6083333333333" style="860" customWidth="1"/>
    <col min="18" max="18" width="13.1833333333333" style="860" customWidth="1"/>
    <col min="19" max="19" width="9.55833333333333" style="860" customWidth="1"/>
    <col min="20" max="21" width="11.5916666666667" style="860" customWidth="1"/>
    <col min="22" max="22" width="37.1166666666667" style="863" customWidth="1"/>
    <col min="23" max="23" width="12.2583333333333" style="860" customWidth="1"/>
    <col min="24" max="24" width="12.675" style="864" customWidth="1"/>
    <col min="25" max="26" width="10.525" style="865" customWidth="1"/>
    <col min="27" max="27" width="16.425" style="866" customWidth="1"/>
    <col min="28" max="28" width="17.5916666666667" style="867" customWidth="1"/>
    <col min="29" max="29" width="9.99166666666667" style="868" customWidth="1"/>
    <col min="30" max="30" width="12.225" style="866" customWidth="1"/>
    <col min="31" max="31" width="9.28333333333333" style="860" customWidth="1"/>
    <col min="32" max="32" width="10.35" style="869" customWidth="1"/>
    <col min="33" max="33" width="8.96666666666667" style="869" customWidth="1"/>
    <col min="34" max="34" width="10.35" style="870" customWidth="1"/>
    <col min="35" max="35" width="7.85833333333333" style="871" customWidth="1"/>
    <col min="36" max="36" width="6.6" style="870" customWidth="1"/>
    <col min="37" max="37" width="9.86666666666667" style="870" customWidth="1"/>
    <col min="38" max="43" width="9" style="860" customWidth="1"/>
    <col min="44" max="44" width="14.4666666666667" style="860" customWidth="1"/>
    <col min="45" max="45" width="9" style="860"/>
    <col min="46" max="47" width="11.5916666666667" style="860" customWidth="1"/>
    <col min="48" max="54" width="10.9416666666667" style="860" customWidth="1"/>
    <col min="55" max="57" width="9" style="860" customWidth="1"/>
    <col min="58" max="60" width="9" style="860"/>
    <col min="61" max="65" width="11.8916666666667" style="860"/>
    <col min="66" max="66" width="11.8916666666667" style="872"/>
    <col min="67" max="67" width="14.3333333333333" style="872"/>
    <col min="68" max="68" width="11.2666666666667" style="872" customWidth="1"/>
    <col min="69" max="70" width="13.55" style="860"/>
    <col min="71" max="71" width="10.6666666666667" style="872"/>
    <col min="72" max="72" width="9.38333333333333" style="872"/>
    <col min="73" max="73" width="9" style="872"/>
    <col min="74" max="16384" width="9" style="860"/>
  </cols>
  <sheetData>
    <row r="1" s="855" customFormat="1" ht="63" customHeight="1" spans="1:99">
      <c r="A1" s="873" t="s">
        <v>42</v>
      </c>
      <c r="B1" s="874" t="s">
        <v>43</v>
      </c>
      <c r="C1" s="874" t="s">
        <v>44</v>
      </c>
      <c r="D1" s="874" t="s">
        <v>45</v>
      </c>
      <c r="E1" s="875" t="s">
        <v>46</v>
      </c>
      <c r="F1" s="875" t="s">
        <v>47</v>
      </c>
      <c r="G1" s="874" t="s">
        <v>48</v>
      </c>
      <c r="H1" s="874" t="s">
        <v>49</v>
      </c>
      <c r="I1" s="874" t="s">
        <v>50</v>
      </c>
      <c r="J1" s="874" t="s">
        <v>51</v>
      </c>
      <c r="K1" s="874" t="s">
        <v>52</v>
      </c>
      <c r="L1" s="874" t="s">
        <v>53</v>
      </c>
      <c r="M1" s="876" t="s">
        <v>54</v>
      </c>
      <c r="N1" s="876" t="s">
        <v>55</v>
      </c>
      <c r="O1" s="874" t="s">
        <v>56</v>
      </c>
      <c r="P1" s="877" t="s">
        <v>57</v>
      </c>
      <c r="Q1" s="874" t="s">
        <v>58</v>
      </c>
      <c r="R1" s="878" t="s">
        <v>59</v>
      </c>
      <c r="S1" s="878" t="s">
        <v>60</v>
      </c>
      <c r="T1" s="878" t="s">
        <v>61</v>
      </c>
      <c r="U1" s="879" t="s">
        <v>143</v>
      </c>
      <c r="V1" s="880" t="s">
        <v>12</v>
      </c>
      <c r="W1" s="874" t="s">
        <v>62</v>
      </c>
      <c r="X1" s="881" t="s">
        <v>63</v>
      </c>
      <c r="Y1" s="882" t="s">
        <v>64</v>
      </c>
      <c r="Z1" s="883" t="s">
        <v>144</v>
      </c>
      <c r="AA1" s="884" t="s">
        <v>65</v>
      </c>
      <c r="AB1" s="884" t="s">
        <v>66</v>
      </c>
      <c r="AC1" s="877" t="s">
        <v>67</v>
      </c>
      <c r="AD1" s="877" t="s">
        <v>68</v>
      </c>
      <c r="AE1" s="877" t="s">
        <v>69</v>
      </c>
      <c r="AF1" s="885" t="s">
        <v>70</v>
      </c>
      <c r="AG1" s="885" t="s">
        <v>40</v>
      </c>
      <c r="AH1" s="886" t="s">
        <v>71</v>
      </c>
      <c r="AI1" s="887" t="s">
        <v>72</v>
      </c>
      <c r="AJ1" s="886" t="s">
        <v>73</v>
      </c>
      <c r="AK1" s="886" t="s">
        <v>1505</v>
      </c>
      <c r="AL1" s="888" t="s">
        <v>1506</v>
      </c>
      <c r="AM1" s="889" t="s">
        <v>149</v>
      </c>
      <c r="AN1" s="890" t="s">
        <v>150</v>
      </c>
      <c r="AO1" s="888" t="s">
        <v>152</v>
      </c>
      <c r="AP1" s="890" t="s">
        <v>155</v>
      </c>
      <c r="AQ1" s="888" t="s">
        <v>1507</v>
      </c>
      <c r="AR1" s="891" t="s">
        <v>2940</v>
      </c>
      <c r="AS1" s="892" t="s">
        <v>2941</v>
      </c>
      <c r="AT1" s="888" t="s">
        <v>1510</v>
      </c>
      <c r="AU1" s="890" t="s">
        <v>1511</v>
      </c>
      <c r="AV1" s="888" t="s">
        <v>159</v>
      </c>
      <c r="AW1" s="888" t="s">
        <v>160</v>
      </c>
      <c r="AX1" s="890" t="s">
        <v>161</v>
      </c>
      <c r="AY1" s="893" t="s">
        <v>1512</v>
      </c>
      <c r="AZ1" s="888" t="s">
        <v>163</v>
      </c>
      <c r="BA1" s="890" t="s">
        <v>164</v>
      </c>
      <c r="BB1" s="893" t="s">
        <v>1513</v>
      </c>
      <c r="BC1" s="890" t="s">
        <v>166</v>
      </c>
      <c r="BD1" s="888" t="s">
        <v>167</v>
      </c>
      <c r="BE1" s="890" t="s">
        <v>168</v>
      </c>
      <c r="BF1" s="894" t="s">
        <v>169</v>
      </c>
      <c r="BG1" s="890" t="s">
        <v>1514</v>
      </c>
      <c r="BH1" s="890" t="s">
        <v>1515</v>
      </c>
      <c r="BI1" s="890" t="s">
        <v>1516</v>
      </c>
      <c r="BJ1" s="895" t="s">
        <v>1517</v>
      </c>
      <c r="BK1" s="888" t="s">
        <v>1518</v>
      </c>
      <c r="BL1" s="890" t="s">
        <v>1519</v>
      </c>
      <c r="BM1" s="888"/>
      <c r="BN1" s="896" t="s">
        <v>181</v>
      </c>
      <c r="BO1" s="896" t="s">
        <v>182</v>
      </c>
      <c r="BP1" s="896" t="s">
        <v>183</v>
      </c>
      <c r="BQ1" s="895" t="s">
        <v>1520</v>
      </c>
      <c r="BR1" s="895" t="s">
        <v>1521</v>
      </c>
      <c r="BS1" s="897" t="s">
        <v>182</v>
      </c>
      <c r="BT1" s="896" t="s">
        <v>183</v>
      </c>
      <c r="BU1" s="898"/>
    </row>
    <row r="2" s="856" customFormat="1" ht="31" customHeight="1" spans="1:99">
      <c r="A2" s="899">
        <v>46211</v>
      </c>
      <c r="B2" s="900" t="s">
        <v>2942</v>
      </c>
      <c r="C2" s="901" t="s">
        <v>81</v>
      </c>
      <c r="D2" s="902" t="s">
        <v>2943</v>
      </c>
      <c r="E2" s="901"/>
      <c r="F2" s="902" t="s">
        <v>2944</v>
      </c>
      <c r="G2" s="903" t="s">
        <v>2945</v>
      </c>
      <c r="H2" s="904" t="s">
        <v>2946</v>
      </c>
      <c r="I2" s="905">
        <v>304</v>
      </c>
      <c r="J2" s="905">
        <v>0</v>
      </c>
      <c r="K2" s="905">
        <v>76</v>
      </c>
      <c r="L2" s="906">
        <f>I2/K2</f>
        <v>4</v>
      </c>
      <c r="M2" s="907">
        <v>46253</v>
      </c>
      <c r="N2" s="907">
        <v>46249</v>
      </c>
      <c r="O2" s="908" t="s">
        <v>2947</v>
      </c>
      <c r="P2" s="909"/>
      <c r="Q2" s="910"/>
      <c r="R2" s="911">
        <v>46219</v>
      </c>
      <c r="S2" s="912" t="s">
        <v>98</v>
      </c>
      <c r="T2" s="911" t="s">
        <v>2948</v>
      </c>
      <c r="U2" s="913"/>
      <c r="V2" s="914" t="s">
        <v>2949</v>
      </c>
      <c r="W2" s="915" t="s">
        <v>2950</v>
      </c>
      <c r="X2" s="916">
        <v>1.23</v>
      </c>
      <c r="Y2" s="910">
        <f>X2*I2</f>
        <v>373.92</v>
      </c>
      <c r="Z2" s="903"/>
      <c r="AA2" s="910"/>
      <c r="AB2" s="910"/>
      <c r="AC2" s="901"/>
      <c r="AD2" s="917"/>
      <c r="AE2" s="918"/>
      <c r="AF2" s="919"/>
      <c r="AG2" s="901"/>
      <c r="AH2" s="910"/>
      <c r="AI2" s="920"/>
      <c r="AJ2" s="856"/>
      <c r="AK2" s="856">
        <f>I2</f>
        <v>304</v>
      </c>
      <c r="AL2" s="920"/>
      <c r="AN2" s="856">
        <f>I2</f>
        <v>304</v>
      </c>
      <c r="AO2" s="856">
        <f>I2</f>
        <v>304</v>
      </c>
      <c r="AS2" s="856">
        <f>I2/19</f>
        <v>16</v>
      </c>
    </row>
    <row r="3" s="856" customFormat="1" ht="31" customHeight="1" spans="1:99">
      <c r="A3" s="899">
        <v>46214</v>
      </c>
      <c r="B3" s="900"/>
      <c r="C3" s="901" t="s">
        <v>2951</v>
      </c>
      <c r="D3" s="902" t="s">
        <v>2952</v>
      </c>
      <c r="E3" s="901"/>
      <c r="F3" s="902" t="s">
        <v>2953</v>
      </c>
      <c r="G3" s="903" t="s">
        <v>2954</v>
      </c>
      <c r="H3" s="905"/>
      <c r="I3" s="905">
        <v>458</v>
      </c>
      <c r="J3" s="905"/>
      <c r="K3" s="905"/>
      <c r="L3" s="906"/>
      <c r="M3" s="907"/>
      <c r="N3" s="907"/>
      <c r="O3" s="918"/>
      <c r="P3" s="909"/>
      <c r="Q3" s="910"/>
      <c r="R3" s="921"/>
      <c r="S3" s="922"/>
      <c r="T3" s="921"/>
      <c r="U3" s="913"/>
      <c r="V3" s="914"/>
      <c r="W3" s="915" t="s">
        <v>1526</v>
      </c>
      <c r="X3" s="916"/>
      <c r="Y3" s="910"/>
      <c r="Z3" s="903"/>
      <c r="AA3" s="910"/>
      <c r="AB3" s="910"/>
      <c r="AC3" s="901"/>
      <c r="AD3" s="917"/>
      <c r="AE3" s="918"/>
      <c r="AF3" s="919"/>
      <c r="AG3" s="901"/>
      <c r="AH3" s="910"/>
      <c r="AI3" s="920"/>
      <c r="AJ3" s="856"/>
      <c r="AK3" s="856"/>
      <c r="AL3" s="920"/>
    </row>
    <row r="4" s="857" customFormat="1" ht="31" customHeight="1" spans="1:99">
      <c r="A4" s="923"/>
      <c r="B4" s="924"/>
      <c r="C4" s="925"/>
      <c r="D4" s="924"/>
      <c r="E4" s="926"/>
      <c r="G4" s="927"/>
      <c r="H4" s="928"/>
      <c r="I4" s="928"/>
      <c r="J4" s="928"/>
      <c r="K4" s="928"/>
      <c r="L4" s="929"/>
      <c r="M4" s="930"/>
      <c r="N4" s="930"/>
      <c r="O4" s="926"/>
      <c r="P4" s="931"/>
      <c r="Q4" s="926"/>
      <c r="R4" s="932"/>
      <c r="S4" s="932"/>
      <c r="T4" s="932"/>
      <c r="U4" s="932"/>
      <c r="V4" s="933"/>
      <c r="W4" s="934"/>
      <c r="X4" s="935"/>
      <c r="Y4" s="936"/>
      <c r="Z4" s="936"/>
      <c r="AA4" s="926"/>
      <c r="AB4" s="926"/>
      <c r="AC4" s="926"/>
      <c r="AD4" s="928"/>
      <c r="AE4" s="926"/>
      <c r="AF4" s="937"/>
      <c r="AG4" s="937"/>
      <c r="AH4" s="938"/>
      <c r="AI4" s="926"/>
      <c r="AJ4" s="926"/>
      <c r="AK4" s="926"/>
      <c r="AL4" s="858"/>
      <c r="AM4" s="858"/>
      <c r="AN4" s="858"/>
      <c r="BE4" s="925"/>
      <c r="BF4" s="925"/>
      <c r="BG4" s="925"/>
      <c r="BH4" s="925"/>
      <c r="BI4" s="925"/>
      <c r="BN4" s="939"/>
      <c r="BO4" s="939"/>
      <c r="BP4" s="939"/>
      <c r="BS4" s="939"/>
      <c r="BT4" s="939"/>
      <c r="BU4" s="939"/>
      <c r="BZ4" s="940"/>
      <c r="CA4" s="940"/>
      <c r="CB4" s="940"/>
      <c r="CC4" s="940"/>
      <c r="CD4" s="940"/>
      <c r="CE4" s="940"/>
      <c r="CF4" s="940"/>
      <c r="CG4" s="940"/>
      <c r="CH4" s="940"/>
      <c r="CI4" s="940"/>
      <c r="CJ4" s="940"/>
      <c r="CK4" s="940"/>
      <c r="CL4" s="940"/>
      <c r="CM4" s="940"/>
      <c r="CN4" s="940"/>
      <c r="CO4" s="940"/>
      <c r="CP4" s="940"/>
      <c r="CQ4" s="940"/>
      <c r="CR4" s="940"/>
      <c r="CS4" s="940"/>
      <c r="CT4" s="940"/>
      <c r="CU4" s="940"/>
    </row>
    <row r="5" s="858" customFormat="1" ht="31" customHeight="1" spans="1:99">
      <c r="A5" s="923"/>
      <c r="B5" s="924"/>
      <c r="C5" s="941"/>
      <c r="D5" s="924"/>
      <c r="E5" s="928"/>
      <c r="F5" s="857"/>
      <c r="G5" s="927"/>
      <c r="H5" s="928"/>
      <c r="I5" s="928"/>
      <c r="J5" s="928"/>
      <c r="K5" s="928"/>
      <c r="L5" s="929"/>
      <c r="M5" s="930"/>
      <c r="N5" s="930"/>
      <c r="O5" s="928"/>
      <c r="P5" s="931"/>
      <c r="Q5" s="928"/>
      <c r="R5" s="932"/>
      <c r="S5" s="932"/>
      <c r="T5" s="932"/>
      <c r="U5" s="932"/>
      <c r="V5" s="942"/>
      <c r="W5" s="934"/>
      <c r="X5" s="935"/>
      <c r="Y5" s="936"/>
      <c r="Z5" s="936"/>
      <c r="AA5" s="928"/>
      <c r="AB5" s="926"/>
      <c r="AC5" s="926"/>
      <c r="AD5" s="928"/>
      <c r="AE5" s="928"/>
      <c r="AF5" s="943"/>
      <c r="AG5" s="937"/>
      <c r="AH5" s="944"/>
      <c r="AI5" s="928"/>
      <c r="AJ5" s="928"/>
      <c r="AK5" s="926"/>
      <c r="BN5" s="945"/>
      <c r="BO5" s="945"/>
      <c r="BP5" s="945"/>
      <c r="BQ5" s="857"/>
      <c r="BR5" s="857"/>
      <c r="BS5" s="939"/>
      <c r="BT5" s="945"/>
      <c r="BU5" s="945"/>
    </row>
    <row r="6" s="857" customFormat="1" ht="31" customHeight="1" spans="1:99">
      <c r="A6" s="923"/>
      <c r="B6" s="924"/>
      <c r="C6" s="925"/>
      <c r="D6" s="924"/>
      <c r="E6" s="926"/>
      <c r="F6" s="933"/>
      <c r="G6" s="927"/>
      <c r="H6" s="928"/>
      <c r="I6" s="928"/>
      <c r="J6" s="928"/>
      <c r="K6" s="928"/>
      <c r="L6" s="929"/>
      <c r="M6" s="930"/>
      <c r="N6" s="930"/>
      <c r="O6" s="926"/>
      <c r="P6" s="931"/>
      <c r="Q6" s="926"/>
      <c r="R6" s="932"/>
      <c r="S6" s="932"/>
      <c r="T6" s="932"/>
      <c r="U6" s="932"/>
      <c r="V6" s="933"/>
      <c r="W6" s="934"/>
      <c r="X6" s="935"/>
      <c r="Y6" s="936"/>
      <c r="Z6" s="936"/>
      <c r="AA6" s="926"/>
      <c r="AB6" s="926"/>
      <c r="AC6" s="926"/>
      <c r="AD6" s="928"/>
      <c r="AE6" s="926"/>
      <c r="AF6" s="946"/>
      <c r="AG6" s="937"/>
      <c r="AH6" s="947"/>
      <c r="AI6" s="926"/>
      <c r="AJ6" s="926"/>
      <c r="AK6" s="926"/>
      <c r="AL6" s="858"/>
      <c r="AM6" s="858"/>
      <c r="AN6" s="858"/>
      <c r="BE6" s="925"/>
      <c r="BF6" s="925"/>
      <c r="BG6" s="925"/>
      <c r="BH6" s="925"/>
      <c r="BI6" s="925"/>
      <c r="BN6" s="939"/>
      <c r="BO6" s="939"/>
      <c r="BP6" s="939"/>
      <c r="BS6" s="939"/>
      <c r="BT6" s="939"/>
      <c r="BU6" s="939"/>
      <c r="BZ6" s="940"/>
      <c r="CA6" s="940"/>
      <c r="CB6" s="940"/>
      <c r="CC6" s="940"/>
      <c r="CD6" s="940"/>
      <c r="CE6" s="940"/>
      <c r="CF6" s="940"/>
      <c r="CG6" s="940"/>
      <c r="CH6" s="940"/>
      <c r="CI6" s="940"/>
      <c r="CJ6" s="940"/>
      <c r="CK6" s="940"/>
      <c r="CL6" s="940"/>
      <c r="CM6" s="940"/>
      <c r="CN6" s="940"/>
      <c r="CO6" s="940"/>
      <c r="CP6" s="940"/>
      <c r="CQ6" s="940"/>
      <c r="CR6" s="940"/>
      <c r="CS6" s="940"/>
      <c r="CT6" s="940"/>
      <c r="CU6" s="940"/>
    </row>
    <row r="7" s="859" customFormat="1" ht="31" customHeight="1" spans="1:99">
      <c r="A7" s="948"/>
      <c r="B7" s="949"/>
      <c r="C7" s="950"/>
      <c r="D7" s="949"/>
      <c r="E7" s="951"/>
      <c r="F7" s="952"/>
      <c r="G7" s="953"/>
      <c r="H7" s="954"/>
      <c r="I7" s="954"/>
      <c r="J7" s="954"/>
      <c r="K7" s="954"/>
      <c r="L7" s="955"/>
      <c r="M7" s="956"/>
      <c r="N7" s="956"/>
      <c r="O7" s="951"/>
      <c r="P7" s="957"/>
      <c r="Q7" s="951"/>
      <c r="R7" s="958"/>
      <c r="S7" s="958"/>
      <c r="T7" s="958"/>
      <c r="U7" s="958"/>
      <c r="V7" s="952"/>
      <c r="W7" s="959"/>
      <c r="X7" s="960"/>
      <c r="Y7" s="961"/>
      <c r="Z7" s="961"/>
      <c r="AA7" s="951"/>
      <c r="AB7" s="953"/>
      <c r="AC7" s="954"/>
      <c r="AD7" s="954"/>
      <c r="AE7" s="951"/>
      <c r="AF7" s="946"/>
      <c r="AG7" s="946"/>
      <c r="AH7" s="946"/>
      <c r="AI7" s="946"/>
      <c r="AJ7" s="951"/>
      <c r="AK7" s="926"/>
      <c r="AL7" s="962"/>
      <c r="AM7" s="962"/>
      <c r="AN7" s="962"/>
      <c r="AO7" s="859"/>
      <c r="BE7" s="950"/>
      <c r="BF7" s="950"/>
      <c r="BG7" s="950"/>
      <c r="BH7" s="950"/>
      <c r="BI7" s="950"/>
      <c r="BN7" s="963"/>
      <c r="BO7" s="963"/>
      <c r="BP7" s="963"/>
      <c r="BQ7" s="964"/>
      <c r="BR7" s="964"/>
      <c r="BS7" s="308"/>
      <c r="BT7" s="963"/>
      <c r="BU7" s="963"/>
      <c r="BZ7" s="965"/>
      <c r="CA7" s="965"/>
      <c r="CB7" s="965"/>
      <c r="CC7" s="965"/>
      <c r="CD7" s="965"/>
      <c r="CE7" s="965"/>
      <c r="CF7" s="965"/>
      <c r="CG7" s="965"/>
      <c r="CH7" s="965"/>
      <c r="CI7" s="965"/>
      <c r="CJ7" s="965"/>
      <c r="CK7" s="965"/>
      <c r="CL7" s="965"/>
      <c r="CM7" s="965"/>
      <c r="CN7" s="965"/>
      <c r="CO7" s="965"/>
      <c r="CP7" s="965"/>
      <c r="CQ7" s="965"/>
      <c r="CR7" s="965"/>
      <c r="CS7" s="965"/>
      <c r="CT7" s="965"/>
      <c r="CU7" s="965"/>
    </row>
    <row r="8" s="859" customFormat="1" ht="31" customHeight="1" spans="1:99">
      <c r="A8" s="948"/>
      <c r="B8" s="949"/>
      <c r="C8" s="950"/>
      <c r="D8" s="949"/>
      <c r="E8" s="951"/>
      <c r="F8" s="952"/>
      <c r="G8" s="953"/>
      <c r="H8" s="954"/>
      <c r="I8" s="954"/>
      <c r="J8" s="954"/>
      <c r="K8" s="954"/>
      <c r="L8" s="955"/>
      <c r="M8" s="956"/>
      <c r="N8" s="956"/>
      <c r="O8" s="951"/>
      <c r="P8" s="957"/>
      <c r="Q8" s="951"/>
      <c r="R8" s="958"/>
      <c r="S8" s="958"/>
      <c r="T8" s="958"/>
      <c r="U8" s="958"/>
      <c r="V8" s="952"/>
      <c r="W8" s="959"/>
      <c r="X8" s="960"/>
      <c r="Y8" s="961"/>
      <c r="Z8" s="961"/>
      <c r="AA8" s="951"/>
      <c r="AB8" s="953"/>
      <c r="AC8" s="954"/>
      <c r="AD8" s="954"/>
      <c r="AE8" s="951"/>
      <c r="AF8" s="946"/>
      <c r="AG8" s="946"/>
      <c r="AH8" s="946"/>
      <c r="AI8" s="946"/>
      <c r="AJ8" s="951"/>
      <c r="AK8" s="926"/>
      <c r="AL8" s="962"/>
      <c r="AM8" s="962"/>
      <c r="AN8" s="962"/>
      <c r="AO8" s="859"/>
      <c r="BE8" s="950"/>
      <c r="BF8" s="950"/>
      <c r="BG8" s="950"/>
      <c r="BH8" s="950"/>
      <c r="BI8" s="950"/>
      <c r="BN8" s="963"/>
      <c r="BO8" s="963"/>
      <c r="BP8" s="963"/>
      <c r="BQ8" s="964"/>
      <c r="BR8" s="964"/>
      <c r="BS8" s="308"/>
      <c r="BT8" s="963"/>
      <c r="BU8" s="963"/>
      <c r="BZ8" s="965"/>
      <c r="CA8" s="965"/>
      <c r="CB8" s="965"/>
      <c r="CC8" s="965"/>
      <c r="CD8" s="965"/>
      <c r="CE8" s="965"/>
      <c r="CF8" s="965"/>
      <c r="CG8" s="965"/>
      <c r="CH8" s="965"/>
      <c r="CI8" s="965"/>
      <c r="CJ8" s="965"/>
      <c r="CK8" s="965"/>
      <c r="CL8" s="965"/>
      <c r="CM8" s="965"/>
      <c r="CN8" s="965"/>
      <c r="CO8" s="965"/>
      <c r="CP8" s="965"/>
      <c r="CQ8" s="965"/>
      <c r="CR8" s="965"/>
      <c r="CS8" s="965"/>
      <c r="CT8" s="965"/>
      <c r="CU8" s="965"/>
    </row>
    <row r="9" s="859" customFormat="1" ht="31" customHeight="1" spans="1:99">
      <c r="A9" s="948"/>
      <c r="B9" s="949"/>
      <c r="C9" s="950"/>
      <c r="D9" s="949"/>
      <c r="E9" s="951"/>
      <c r="F9" s="952"/>
      <c r="G9" s="953"/>
      <c r="H9" s="954"/>
      <c r="I9" s="954"/>
      <c r="J9" s="954"/>
      <c r="K9" s="954"/>
      <c r="L9" s="955"/>
      <c r="M9" s="956"/>
      <c r="N9" s="956"/>
      <c r="O9" s="951"/>
      <c r="P9" s="957"/>
      <c r="Q9" s="951"/>
      <c r="R9" s="958"/>
      <c r="S9" s="958"/>
      <c r="T9" s="958"/>
      <c r="U9" s="958"/>
      <c r="V9" s="952"/>
      <c r="W9" s="959"/>
      <c r="X9" s="960"/>
      <c r="Y9" s="961"/>
      <c r="Z9" s="961"/>
      <c r="AA9" s="966"/>
      <c r="AB9" s="951"/>
      <c r="AC9" s="954"/>
      <c r="AD9" s="954"/>
      <c r="AE9" s="951"/>
      <c r="AF9" s="946"/>
      <c r="AG9" s="946"/>
      <c r="AH9" s="946"/>
      <c r="AI9" s="946"/>
      <c r="AJ9" s="951"/>
      <c r="AK9" s="926"/>
      <c r="AL9" s="962"/>
      <c r="AM9" s="962"/>
      <c r="AN9" s="962"/>
      <c r="AO9" s="859"/>
      <c r="BE9" s="950"/>
      <c r="BF9" s="950"/>
      <c r="BG9" s="950"/>
      <c r="BH9" s="950"/>
      <c r="BI9" s="950"/>
      <c r="BN9" s="963"/>
      <c r="BO9" s="963"/>
      <c r="BP9" s="963"/>
      <c r="BQ9" s="964"/>
      <c r="BR9" s="964"/>
      <c r="BS9" s="308"/>
      <c r="BT9" s="963"/>
      <c r="BU9" s="963"/>
      <c r="BZ9" s="965"/>
      <c r="CA9" s="965"/>
      <c r="CB9" s="965"/>
      <c r="CC9" s="965"/>
      <c r="CD9" s="965"/>
      <c r="CE9" s="965"/>
      <c r="CF9" s="965"/>
      <c r="CG9" s="965"/>
      <c r="CH9" s="965"/>
      <c r="CI9" s="965"/>
      <c r="CJ9" s="965"/>
      <c r="CK9" s="965"/>
      <c r="CL9" s="965"/>
      <c r="CM9" s="965"/>
      <c r="CN9" s="965"/>
      <c r="CO9" s="965"/>
      <c r="CP9" s="965"/>
      <c r="CQ9" s="965"/>
      <c r="CR9" s="965"/>
      <c r="CS9" s="965"/>
      <c r="CT9" s="965"/>
      <c r="CU9" s="965"/>
    </row>
    <row r="10" s="859" customFormat="1" ht="31" customHeight="1" spans="1:99">
      <c r="A10" s="948"/>
      <c r="B10" s="949"/>
      <c r="C10" s="950"/>
      <c r="D10" s="949"/>
      <c r="E10" s="951"/>
      <c r="F10" s="952"/>
      <c r="G10" s="953"/>
      <c r="H10" s="954"/>
      <c r="I10" s="954"/>
      <c r="J10" s="954"/>
      <c r="K10" s="954"/>
      <c r="L10" s="955"/>
      <c r="M10" s="956"/>
      <c r="N10" s="956"/>
      <c r="O10" s="967"/>
      <c r="P10" s="968"/>
      <c r="Q10" s="967"/>
      <c r="R10" s="958"/>
      <c r="S10" s="958"/>
      <c r="T10" s="958"/>
      <c r="U10" s="958"/>
      <c r="V10" s="952"/>
      <c r="W10" s="959"/>
      <c r="X10" s="960"/>
      <c r="Y10" s="961"/>
      <c r="Z10" s="961"/>
      <c r="AA10" s="951"/>
      <c r="AB10" s="953"/>
      <c r="AC10" s="954"/>
      <c r="AD10" s="954"/>
      <c r="AE10" s="951"/>
      <c r="AF10" s="946"/>
      <c r="AG10" s="946"/>
      <c r="AH10" s="946"/>
      <c r="AI10" s="946"/>
      <c r="AJ10" s="951"/>
      <c r="AK10" s="926"/>
      <c r="AL10" s="962"/>
      <c r="AM10" s="962"/>
      <c r="AN10" s="962"/>
      <c r="AO10" s="859"/>
      <c r="BE10" s="950"/>
      <c r="BF10" s="950"/>
      <c r="BG10" s="950"/>
      <c r="BH10" s="950"/>
      <c r="BI10" s="950"/>
      <c r="BN10" s="963"/>
      <c r="BO10" s="963"/>
      <c r="BP10" s="963"/>
      <c r="BQ10" s="964"/>
      <c r="BR10" s="964"/>
      <c r="BS10" s="308"/>
      <c r="BT10" s="963"/>
      <c r="BU10" s="963"/>
      <c r="BZ10" s="965"/>
      <c r="CA10" s="965"/>
      <c r="CB10" s="965"/>
      <c r="CC10" s="965"/>
      <c r="CD10" s="965"/>
      <c r="CE10" s="965"/>
      <c r="CF10" s="965"/>
      <c r="CG10" s="965"/>
      <c r="CH10" s="965"/>
      <c r="CI10" s="965"/>
      <c r="CJ10" s="965"/>
      <c r="CK10" s="965"/>
      <c r="CL10" s="965"/>
      <c r="CM10" s="965"/>
      <c r="CN10" s="965"/>
      <c r="CO10" s="965"/>
      <c r="CP10" s="965"/>
      <c r="CQ10" s="965"/>
      <c r="CR10" s="965"/>
      <c r="CS10" s="965"/>
      <c r="CT10" s="965"/>
      <c r="CU10" s="965"/>
    </row>
    <row r="11" s="859" customFormat="1" ht="31" customHeight="1" spans="1:99">
      <c r="A11" s="948"/>
      <c r="B11" s="949"/>
      <c r="C11" s="950"/>
      <c r="D11" s="949"/>
      <c r="E11" s="951"/>
      <c r="F11" s="952"/>
      <c r="G11" s="953"/>
      <c r="H11" s="954"/>
      <c r="I11" s="954"/>
      <c r="J11" s="954"/>
      <c r="K11" s="954"/>
      <c r="L11" s="955"/>
      <c r="M11" s="956"/>
      <c r="N11" s="956"/>
      <c r="O11" s="967"/>
      <c r="P11" s="968"/>
      <c r="Q11" s="967"/>
      <c r="R11" s="958"/>
      <c r="S11" s="958"/>
      <c r="T11" s="958"/>
      <c r="U11" s="958"/>
      <c r="V11" s="952"/>
      <c r="W11" s="959"/>
      <c r="X11" s="960"/>
      <c r="Y11" s="961"/>
      <c r="Z11" s="961"/>
      <c r="AA11" s="951"/>
      <c r="AB11" s="953"/>
      <c r="AC11" s="954"/>
      <c r="AD11" s="954"/>
      <c r="AE11" s="951"/>
      <c r="AF11" s="946"/>
      <c r="AG11" s="946"/>
      <c r="AH11" s="946"/>
      <c r="AI11" s="946"/>
      <c r="AJ11" s="951"/>
      <c r="AK11" s="926"/>
      <c r="AL11" s="962"/>
      <c r="AM11" s="962"/>
      <c r="AN11" s="962"/>
      <c r="AO11" s="859"/>
      <c r="BE11" s="950"/>
      <c r="BF11" s="950"/>
      <c r="BG11" s="950"/>
      <c r="BH11" s="950"/>
      <c r="BI11" s="950"/>
      <c r="BN11" s="963"/>
      <c r="BO11" s="963"/>
      <c r="BP11" s="963"/>
      <c r="BQ11" s="964"/>
      <c r="BR11" s="964"/>
      <c r="BS11" s="308"/>
      <c r="BT11" s="963"/>
      <c r="BU11" s="963"/>
      <c r="BZ11" s="965"/>
      <c r="CA11" s="965"/>
      <c r="CB11" s="965"/>
      <c r="CC11" s="965"/>
      <c r="CD11" s="965"/>
      <c r="CE11" s="965"/>
      <c r="CF11" s="965"/>
      <c r="CG11" s="965"/>
      <c r="CH11" s="965"/>
      <c r="CI11" s="965"/>
      <c r="CJ11" s="965"/>
      <c r="CK11" s="965"/>
      <c r="CL11" s="965"/>
      <c r="CM11" s="965"/>
      <c r="CN11" s="965"/>
      <c r="CO11" s="965"/>
      <c r="CP11" s="965"/>
      <c r="CQ11" s="965"/>
      <c r="CR11" s="965"/>
      <c r="CS11" s="965"/>
      <c r="CT11" s="965"/>
      <c r="CU11" s="965"/>
    </row>
    <row r="12" s="859" customFormat="1" ht="31" customHeight="1" spans="1:99">
      <c r="A12" s="948"/>
      <c r="B12" s="949"/>
      <c r="C12" s="950"/>
      <c r="D12" s="949"/>
      <c r="E12" s="951"/>
      <c r="F12" s="952"/>
      <c r="G12" s="953"/>
      <c r="H12" s="954"/>
      <c r="I12" s="954"/>
      <c r="J12" s="954"/>
      <c r="K12" s="954"/>
      <c r="L12" s="955"/>
      <c r="M12" s="956"/>
      <c r="N12" s="956"/>
      <c r="O12" s="967"/>
      <c r="P12" s="968"/>
      <c r="Q12" s="967"/>
      <c r="R12" s="958"/>
      <c r="S12" s="958"/>
      <c r="T12" s="958"/>
      <c r="U12" s="958"/>
      <c r="V12" s="952"/>
      <c r="W12" s="959"/>
      <c r="X12" s="960"/>
      <c r="Y12" s="961"/>
      <c r="Z12" s="961"/>
      <c r="AA12" s="951"/>
      <c r="AB12" s="953"/>
      <c r="AC12" s="954"/>
      <c r="AD12" s="954"/>
      <c r="AE12" s="951"/>
      <c r="AF12" s="946"/>
      <c r="AG12" s="946"/>
      <c r="AH12" s="946"/>
      <c r="AI12" s="946"/>
      <c r="AJ12" s="951"/>
      <c r="AK12" s="926"/>
      <c r="AL12" s="962"/>
      <c r="AM12" s="962"/>
      <c r="AN12" s="962"/>
      <c r="AO12" s="859"/>
      <c r="BE12" s="950"/>
      <c r="BF12" s="950"/>
      <c r="BG12" s="950"/>
      <c r="BH12" s="950"/>
      <c r="BI12" s="950"/>
      <c r="BN12" s="963"/>
      <c r="BO12" s="963"/>
      <c r="BP12" s="963"/>
      <c r="BQ12" s="964"/>
      <c r="BR12" s="964"/>
      <c r="BS12" s="308"/>
      <c r="BT12" s="963"/>
      <c r="BU12" s="963"/>
      <c r="BZ12" s="965"/>
      <c r="CA12" s="965"/>
      <c r="CB12" s="965"/>
      <c r="CC12" s="965"/>
      <c r="CD12" s="965"/>
      <c r="CE12" s="965"/>
      <c r="CF12" s="965"/>
      <c r="CG12" s="965"/>
      <c r="CH12" s="965"/>
      <c r="CI12" s="965"/>
      <c r="CJ12" s="965"/>
      <c r="CK12" s="965"/>
      <c r="CL12" s="965"/>
      <c r="CM12" s="965"/>
      <c r="CN12" s="965"/>
      <c r="CO12" s="965"/>
      <c r="CP12" s="965"/>
      <c r="CQ12" s="965"/>
      <c r="CR12" s="965"/>
      <c r="CS12" s="965"/>
      <c r="CT12" s="965"/>
      <c r="CU12" s="965"/>
    </row>
    <row r="13" s="859" customFormat="1" ht="31" customHeight="1" spans="1:99">
      <c r="A13" s="948"/>
      <c r="B13" s="949"/>
      <c r="C13" s="950"/>
      <c r="D13" s="949"/>
      <c r="E13" s="951"/>
      <c r="F13" s="952"/>
      <c r="G13" s="953"/>
      <c r="H13" s="954"/>
      <c r="I13" s="954"/>
      <c r="J13" s="954"/>
      <c r="K13" s="954"/>
      <c r="L13" s="955"/>
      <c r="M13" s="956"/>
      <c r="N13" s="956"/>
      <c r="O13" s="951"/>
      <c r="P13" s="968"/>
      <c r="Q13" s="951"/>
      <c r="R13" s="958"/>
      <c r="S13" s="958"/>
      <c r="T13" s="958"/>
      <c r="U13" s="958"/>
      <c r="V13" s="952"/>
      <c r="W13" s="959"/>
      <c r="X13" s="960"/>
      <c r="Y13" s="961"/>
      <c r="Z13" s="961"/>
      <c r="AA13" s="951"/>
      <c r="AB13" s="951"/>
      <c r="AC13" s="954"/>
      <c r="AD13" s="954"/>
      <c r="AE13" s="951"/>
      <c r="AF13" s="946"/>
      <c r="AG13" s="946"/>
      <c r="AH13" s="946"/>
      <c r="AI13" s="946"/>
      <c r="AJ13" s="951"/>
      <c r="AK13" s="926"/>
      <c r="AL13" s="962"/>
      <c r="AM13" s="962"/>
      <c r="AN13" s="962"/>
      <c r="AO13" s="962"/>
      <c r="AQ13" s="962"/>
      <c r="BE13" s="950"/>
      <c r="BF13" s="950"/>
      <c r="BG13" s="950"/>
      <c r="BH13" s="950"/>
      <c r="BI13" s="950"/>
      <c r="BN13" s="963"/>
      <c r="BO13" s="963"/>
      <c r="BP13" s="963"/>
      <c r="BQ13" s="964"/>
      <c r="BR13" s="964"/>
      <c r="BS13" s="308"/>
      <c r="BT13" s="963"/>
      <c r="BU13" s="963"/>
      <c r="BZ13" s="965"/>
      <c r="CA13" s="965"/>
      <c r="CB13" s="965"/>
      <c r="CC13" s="965"/>
      <c r="CD13" s="965"/>
      <c r="CE13" s="965"/>
      <c r="CF13" s="965"/>
      <c r="CG13" s="965"/>
      <c r="CH13" s="965"/>
      <c r="CI13" s="965"/>
      <c r="CJ13" s="965"/>
      <c r="CK13" s="965"/>
      <c r="CL13" s="965"/>
      <c r="CM13" s="965"/>
      <c r="CN13" s="965"/>
      <c r="CO13" s="965"/>
      <c r="CP13" s="965"/>
      <c r="CQ13" s="965"/>
      <c r="CR13" s="965"/>
      <c r="CS13" s="965"/>
      <c r="CT13" s="965"/>
      <c r="CU13" s="965"/>
    </row>
    <row r="14" s="859" customFormat="1" ht="31" customHeight="1" spans="1:99">
      <c r="A14" s="948"/>
      <c r="B14" s="949"/>
      <c r="C14" s="950"/>
      <c r="D14" s="949"/>
      <c r="E14" s="951"/>
      <c r="F14" s="952"/>
      <c r="G14" s="953"/>
      <c r="H14" s="954"/>
      <c r="I14" s="954"/>
      <c r="J14" s="954"/>
      <c r="K14" s="954"/>
      <c r="L14" s="955"/>
      <c r="M14" s="956"/>
      <c r="N14" s="956"/>
      <c r="O14" s="951"/>
      <c r="P14" s="968"/>
      <c r="Q14" s="951"/>
      <c r="R14" s="958"/>
      <c r="S14" s="958"/>
      <c r="T14" s="958"/>
      <c r="U14" s="958"/>
      <c r="V14" s="952"/>
      <c r="W14" s="959"/>
      <c r="X14" s="960"/>
      <c r="Y14" s="961"/>
      <c r="Z14" s="961"/>
      <c r="AA14" s="951"/>
      <c r="AB14" s="953"/>
      <c r="AC14" s="954"/>
      <c r="AD14" s="954"/>
      <c r="AE14" s="951"/>
      <c r="AF14" s="946"/>
      <c r="AG14" s="946"/>
      <c r="AH14" s="946"/>
      <c r="AI14" s="946"/>
      <c r="AJ14" s="951"/>
      <c r="AK14" s="926"/>
      <c r="AL14" s="962"/>
      <c r="AM14" s="962"/>
      <c r="AN14" s="962"/>
      <c r="AO14" s="859"/>
      <c r="BE14" s="950"/>
      <c r="BF14" s="950"/>
      <c r="BG14" s="950"/>
      <c r="BH14" s="950"/>
      <c r="BI14" s="950"/>
      <c r="BN14" s="963"/>
      <c r="BO14" s="963"/>
      <c r="BP14" s="963"/>
      <c r="BQ14" s="964"/>
      <c r="BR14" s="964"/>
      <c r="BS14" s="308"/>
      <c r="BT14" s="963"/>
      <c r="BU14" s="963"/>
      <c r="BZ14" s="965"/>
      <c r="CA14" s="965"/>
      <c r="CB14" s="965"/>
      <c r="CC14" s="965"/>
      <c r="CD14" s="965"/>
      <c r="CE14" s="965"/>
      <c r="CF14" s="965"/>
      <c r="CG14" s="965"/>
      <c r="CH14" s="965"/>
      <c r="CI14" s="965"/>
      <c r="CJ14" s="965"/>
      <c r="CK14" s="965"/>
      <c r="CL14" s="965"/>
      <c r="CM14" s="965"/>
      <c r="CN14" s="965"/>
      <c r="CO14" s="965"/>
      <c r="CP14" s="965"/>
      <c r="CQ14" s="965"/>
      <c r="CR14" s="965"/>
      <c r="CS14" s="965"/>
      <c r="CT14" s="965"/>
      <c r="CU14" s="965"/>
    </row>
    <row r="15" s="859" customFormat="1" ht="31" customHeight="1" spans="1:99">
      <c r="A15" s="948"/>
      <c r="B15" s="949"/>
      <c r="C15" s="950"/>
      <c r="D15" s="949"/>
      <c r="E15" s="951"/>
      <c r="F15" s="952"/>
      <c r="G15" s="953"/>
      <c r="H15" s="954"/>
      <c r="I15" s="954"/>
      <c r="J15" s="954"/>
      <c r="K15" s="954"/>
      <c r="L15" s="955"/>
      <c r="M15" s="956"/>
      <c r="N15" s="956"/>
      <c r="O15" s="967"/>
      <c r="P15" s="968"/>
      <c r="Q15" s="967"/>
      <c r="R15" s="958"/>
      <c r="S15" s="958"/>
      <c r="T15" s="958"/>
      <c r="U15" s="958"/>
      <c r="V15" s="952"/>
      <c r="W15" s="959"/>
      <c r="X15" s="960"/>
      <c r="Y15" s="961"/>
      <c r="Z15" s="961"/>
      <c r="AA15" s="951"/>
      <c r="AB15" s="953"/>
      <c r="AC15" s="954"/>
      <c r="AD15" s="954"/>
      <c r="AE15" s="951"/>
      <c r="AF15" s="946"/>
      <c r="AG15" s="946"/>
      <c r="AH15" s="946"/>
      <c r="AI15" s="946"/>
      <c r="AJ15" s="951"/>
      <c r="AK15" s="926"/>
      <c r="AL15" s="962"/>
      <c r="AN15" s="962"/>
      <c r="AO15" s="859"/>
      <c r="BE15" s="950"/>
      <c r="BF15" s="950"/>
      <c r="BG15" s="950"/>
      <c r="BH15" s="950"/>
      <c r="BI15" s="950"/>
      <c r="BN15" s="963"/>
      <c r="BO15" s="963"/>
      <c r="BP15" s="963"/>
      <c r="BQ15" s="964"/>
      <c r="BR15" s="964"/>
      <c r="BS15" s="308"/>
      <c r="BT15" s="963"/>
      <c r="BU15" s="963"/>
      <c r="BZ15" s="965"/>
      <c r="CA15" s="965"/>
      <c r="CB15" s="965"/>
      <c r="CC15" s="965"/>
      <c r="CD15" s="965"/>
      <c r="CE15" s="965"/>
      <c r="CF15" s="965"/>
      <c r="CG15" s="965"/>
      <c r="CH15" s="965"/>
      <c r="CI15" s="965"/>
      <c r="CJ15" s="965"/>
      <c r="CK15" s="965"/>
      <c r="CL15" s="965"/>
      <c r="CM15" s="965"/>
      <c r="CN15" s="965"/>
      <c r="CO15" s="965"/>
      <c r="CP15" s="965"/>
      <c r="CQ15" s="965"/>
      <c r="CR15" s="965"/>
      <c r="CS15" s="965"/>
      <c r="CT15" s="965"/>
      <c r="CU15" s="965"/>
    </row>
    <row r="16" s="859" customFormat="1" ht="31" customHeight="1" spans="1:99">
      <c r="A16" s="969"/>
      <c r="B16" s="970"/>
      <c r="C16" s="971"/>
      <c r="D16" s="970"/>
      <c r="E16" s="972"/>
      <c r="F16" s="952"/>
      <c r="G16" s="953"/>
      <c r="H16" s="954"/>
      <c r="I16" s="954"/>
      <c r="J16" s="954"/>
      <c r="K16" s="954"/>
      <c r="L16" s="955"/>
      <c r="M16" s="956"/>
      <c r="N16" s="956"/>
      <c r="O16" s="967"/>
      <c r="P16" s="968"/>
      <c r="Q16" s="967"/>
      <c r="R16" s="958"/>
      <c r="S16" s="958"/>
      <c r="T16" s="958"/>
      <c r="U16" s="958"/>
      <c r="V16" s="952"/>
      <c r="W16" s="959"/>
      <c r="X16" s="960"/>
      <c r="Y16" s="961"/>
      <c r="Z16" s="961"/>
      <c r="AA16" s="951"/>
      <c r="AB16" s="953"/>
      <c r="AC16" s="954"/>
      <c r="AD16" s="954"/>
      <c r="AE16" s="951"/>
      <c r="AF16" s="946"/>
      <c r="AG16" s="946"/>
      <c r="AH16" s="946"/>
      <c r="AI16" s="946"/>
      <c r="AJ16" s="951"/>
      <c r="AK16" s="926"/>
      <c r="AL16" s="962"/>
      <c r="AN16" s="962"/>
      <c r="AO16" s="859"/>
      <c r="BE16" s="950"/>
      <c r="BF16" s="950"/>
      <c r="BG16" s="950"/>
      <c r="BH16" s="950"/>
      <c r="BI16" s="950"/>
      <c r="BN16" s="963"/>
      <c r="BO16" s="963"/>
      <c r="BP16" s="963"/>
      <c r="BQ16" s="964"/>
      <c r="BR16" s="964"/>
      <c r="BS16" s="308"/>
      <c r="BT16" s="963"/>
      <c r="BU16" s="963"/>
      <c r="BZ16" s="965"/>
      <c r="CA16" s="965"/>
      <c r="CB16" s="965"/>
      <c r="CC16" s="965"/>
      <c r="CD16" s="965"/>
      <c r="CE16" s="965"/>
      <c r="CF16" s="965"/>
      <c r="CG16" s="965"/>
      <c r="CH16" s="965"/>
      <c r="CI16" s="965"/>
      <c r="CJ16" s="965"/>
      <c r="CK16" s="965"/>
      <c r="CL16" s="965"/>
      <c r="CM16" s="965"/>
      <c r="CN16" s="965"/>
      <c r="CO16" s="965"/>
      <c r="CP16" s="965"/>
      <c r="CQ16" s="965"/>
      <c r="CR16" s="965"/>
      <c r="CS16" s="965"/>
      <c r="CT16" s="965"/>
      <c r="CU16" s="965"/>
    </row>
    <row r="17" s="860" customFormat="1" ht="33" customHeight="1" spans="1:73">
      <c r="A17" s="861"/>
      <c r="E17" s="862"/>
      <c r="I17" s="973">
        <f>SUM(I4:I16)</f>
        <v>0</v>
      </c>
      <c r="X17" s="864"/>
      <c r="Y17" s="865"/>
      <c r="Z17" s="865"/>
      <c r="AA17" s="866"/>
      <c r="AB17" s="867"/>
      <c r="AC17" s="868"/>
      <c r="AD17" s="866"/>
      <c r="AF17" s="869">
        <f>SUM(AF1:AF16)</f>
        <v>0</v>
      </c>
      <c r="AG17" s="869"/>
      <c r="AH17" s="870"/>
      <c r="AI17" s="871"/>
      <c r="AJ17" s="870"/>
      <c r="AK17" s="973">
        <f>SUM(AK2:AK16)</f>
        <v>304</v>
      </c>
      <c r="AL17" s="973">
        <f t="shared" ref="AL17:BL17" si="0">SUM(AL2:AL16)</f>
        <v>0</v>
      </c>
      <c r="AM17" s="973">
        <f t="shared" si="0"/>
        <v>0</v>
      </c>
      <c r="AN17" s="973">
        <f t="shared" si="0"/>
        <v>304</v>
      </c>
      <c r="AO17" s="973">
        <f t="shared" si="0"/>
        <v>304</v>
      </c>
      <c r="AP17" s="973">
        <f t="shared" si="0"/>
        <v>0</v>
      </c>
      <c r="AQ17" s="973">
        <f t="shared" si="0"/>
        <v>0</v>
      </c>
      <c r="AR17" s="973">
        <f t="shared" si="0"/>
        <v>0</v>
      </c>
      <c r="AS17" s="973">
        <f t="shared" si="0"/>
        <v>16</v>
      </c>
      <c r="AT17" s="973">
        <f t="shared" si="0"/>
        <v>0</v>
      </c>
      <c r="AU17" s="973">
        <f t="shared" si="0"/>
        <v>0</v>
      </c>
      <c r="AV17" s="973">
        <f t="shared" si="0"/>
        <v>0</v>
      </c>
      <c r="AW17" s="973">
        <f t="shared" si="0"/>
        <v>0</v>
      </c>
      <c r="AX17" s="973">
        <f t="shared" si="0"/>
        <v>0</v>
      </c>
      <c r="AY17" s="973">
        <f t="shared" si="0"/>
        <v>0</v>
      </c>
      <c r="AZ17" s="973">
        <f t="shared" si="0"/>
        <v>0</v>
      </c>
      <c r="BA17" s="973">
        <f t="shared" si="0"/>
        <v>0</v>
      </c>
      <c r="BB17" s="973">
        <f t="shared" si="0"/>
        <v>0</v>
      </c>
      <c r="BC17" s="973">
        <f t="shared" si="0"/>
        <v>0</v>
      </c>
      <c r="BD17" s="973">
        <f t="shared" si="0"/>
        <v>0</v>
      </c>
      <c r="BE17" s="973">
        <f t="shared" si="0"/>
        <v>0</v>
      </c>
      <c r="BF17" s="973">
        <f t="shared" si="0"/>
        <v>0</v>
      </c>
      <c r="BG17" s="973">
        <f t="shared" si="0"/>
        <v>0</v>
      </c>
      <c r="BH17" s="973">
        <f t="shared" si="0"/>
        <v>0</v>
      </c>
      <c r="BI17" s="973">
        <f t="shared" si="0"/>
        <v>0</v>
      </c>
      <c r="BJ17" s="973">
        <f t="shared" si="0"/>
        <v>0</v>
      </c>
      <c r="BK17" s="973">
        <f t="shared" si="0"/>
        <v>0</v>
      </c>
      <c r="BL17" s="973">
        <f t="shared" si="0"/>
        <v>0</v>
      </c>
      <c r="BN17" s="872"/>
      <c r="BO17" s="872"/>
      <c r="BP17" s="872"/>
      <c r="BQ17" s="860">
        <f>SUM(BQ1:BQ16)</f>
        <v>0</v>
      </c>
      <c r="BR17" s="860">
        <f>SUM(BR1:BR16)</f>
        <v>0</v>
      </c>
      <c r="BS17" s="872"/>
      <c r="BT17" s="872"/>
      <c r="BU17" s="872"/>
    </row>
    <row r="18" s="860" customFormat="1" ht="13.5" spans="1:73">
      <c r="A18" s="861"/>
      <c r="E18" s="862"/>
      <c r="X18" s="864"/>
      <c r="Y18" s="865"/>
      <c r="Z18" s="865"/>
      <c r="AA18" s="866"/>
      <c r="AB18" s="867"/>
      <c r="AC18" s="868"/>
      <c r="AD18" s="866"/>
      <c r="AF18" s="869"/>
      <c r="AG18" s="869"/>
      <c r="AH18" s="870"/>
      <c r="AI18" s="871"/>
      <c r="AJ18" s="870"/>
      <c r="AK18" s="870"/>
      <c r="BN18" s="872"/>
      <c r="BO18" s="872"/>
      <c r="BP18" s="872"/>
      <c r="BS18" s="872"/>
      <c r="BT18" s="872"/>
      <c r="BU18" s="872"/>
    </row>
    <row r="19" s="860" customFormat="1" ht="13.5" spans="1:73">
      <c r="A19" s="861"/>
      <c r="E19" s="862"/>
      <c r="X19" s="864"/>
      <c r="Y19" s="865"/>
      <c r="Z19" s="865"/>
      <c r="AA19" s="866"/>
      <c r="AB19" s="867"/>
      <c r="AC19" s="868"/>
      <c r="AD19" s="866"/>
      <c r="AF19" s="869"/>
      <c r="AG19" s="869"/>
      <c r="AH19" s="870"/>
      <c r="AI19" s="871"/>
      <c r="AJ19" s="870"/>
      <c r="AK19" s="870"/>
      <c r="BN19" s="872"/>
      <c r="BO19" s="872"/>
      <c r="BP19" s="872"/>
      <c r="BS19" s="872"/>
      <c r="BT19" s="872"/>
      <c r="BU19" s="872"/>
    </row>
    <row r="20" s="860" customFormat="1" ht="13.5" spans="1:73">
      <c r="A20" s="861"/>
      <c r="E20" s="862"/>
      <c r="X20" s="864"/>
      <c r="Y20" s="865"/>
      <c r="Z20" s="865"/>
      <c r="AA20" s="866"/>
      <c r="AB20" s="867"/>
      <c r="AC20" s="868"/>
      <c r="AD20" s="866"/>
      <c r="AF20" s="869"/>
      <c r="AG20" s="869"/>
      <c r="AH20" s="870"/>
      <c r="AI20" s="871"/>
      <c r="AJ20" s="870"/>
      <c r="AK20" s="870"/>
      <c r="BN20" s="872"/>
      <c r="BO20" s="872"/>
      <c r="BP20" s="872"/>
      <c r="BS20" s="872"/>
      <c r="BT20" s="872"/>
      <c r="BU20" s="872"/>
    </row>
    <row r="21" s="860" customFormat="1" ht="13.5" spans="1:73">
      <c r="A21" s="861"/>
      <c r="E21" s="862"/>
      <c r="X21" s="864"/>
      <c r="Y21" s="865"/>
      <c r="Z21" s="865"/>
      <c r="AA21" s="866"/>
      <c r="AB21" s="867"/>
      <c r="AC21" s="868"/>
      <c r="AD21" s="866"/>
      <c r="AF21" s="869"/>
      <c r="AG21" s="869"/>
      <c r="AH21" s="870"/>
      <c r="AI21" s="871"/>
      <c r="AJ21" s="870"/>
      <c r="AK21" s="870"/>
      <c r="BN21" s="872"/>
      <c r="BO21" s="872"/>
      <c r="BP21" s="872"/>
      <c r="BS21" s="872"/>
      <c r="BT21" s="872"/>
      <c r="BU21" s="872"/>
    </row>
    <row r="22" s="860" customFormat="1" ht="13.5" spans="1:73">
      <c r="A22" s="861"/>
      <c r="E22" s="862"/>
      <c r="X22" s="864"/>
      <c r="Y22" s="865"/>
      <c r="Z22" s="865"/>
      <c r="AA22" s="866"/>
      <c r="AB22" s="867"/>
      <c r="AC22" s="868"/>
      <c r="AD22" s="866"/>
      <c r="AF22" s="869"/>
      <c r="AG22" s="869"/>
      <c r="AH22" s="870"/>
      <c r="AI22" s="871"/>
      <c r="AJ22" s="870"/>
      <c r="AK22" s="870"/>
      <c r="BN22" s="872"/>
      <c r="BO22" s="872"/>
      <c r="BP22" s="872"/>
      <c r="BS22" s="872"/>
      <c r="BT22" s="872"/>
      <c r="BU22" s="872"/>
    </row>
    <row r="23" s="860" customFormat="1" ht="13.5" spans="1:73">
      <c r="A23" s="861"/>
      <c r="E23" s="862"/>
      <c r="X23" s="864"/>
      <c r="Y23" s="865"/>
      <c r="Z23" s="865"/>
      <c r="AA23" s="866"/>
      <c r="AB23" s="867"/>
      <c r="AC23" s="868"/>
      <c r="AD23" s="866"/>
      <c r="AF23" s="869"/>
      <c r="AG23" s="869"/>
      <c r="AH23" s="870"/>
      <c r="AI23" s="871"/>
      <c r="AJ23" s="870"/>
      <c r="AK23" s="870"/>
      <c r="BN23" s="872"/>
      <c r="BO23" s="872"/>
      <c r="BP23" s="872"/>
      <c r="BS23" s="872"/>
      <c r="BT23" s="872"/>
      <c r="BU23" s="872"/>
    </row>
    <row r="24" s="860" customFormat="1" ht="13.5" spans="1:73">
      <c r="A24" s="861"/>
      <c r="E24" s="862"/>
      <c r="X24" s="864"/>
      <c r="Y24" s="865"/>
      <c r="Z24" s="865"/>
      <c r="AA24" s="866"/>
      <c r="AB24" s="867"/>
      <c r="AC24" s="868"/>
      <c r="AD24" s="866"/>
      <c r="AF24" s="869"/>
      <c r="AG24" s="869"/>
      <c r="AH24" s="870"/>
      <c r="AI24" s="871"/>
      <c r="AJ24" s="870"/>
      <c r="AK24" s="870"/>
      <c r="BN24" s="872"/>
      <c r="BO24" s="872"/>
      <c r="BP24" s="872"/>
      <c r="BS24" s="872"/>
      <c r="BT24" s="872"/>
      <c r="BU24" s="872"/>
    </row>
    <row r="25" s="860" customFormat="1" ht="13.5" spans="1:73">
      <c r="A25" s="861"/>
      <c r="E25" s="862"/>
      <c r="X25" s="864"/>
      <c r="Y25" s="865"/>
      <c r="Z25" s="865"/>
      <c r="AA25" s="866"/>
      <c r="AB25" s="867"/>
      <c r="AC25" s="868"/>
      <c r="AD25" s="866"/>
      <c r="AF25" s="869"/>
      <c r="AG25" s="869"/>
      <c r="AH25" s="870"/>
      <c r="AI25" s="871"/>
      <c r="AJ25" s="870"/>
      <c r="AK25" s="870"/>
      <c r="BN25" s="872"/>
      <c r="BO25" s="872"/>
      <c r="BP25" s="872"/>
      <c r="BS25" s="872"/>
      <c r="BT25" s="872"/>
      <c r="BU25" s="872"/>
    </row>
    <row r="26" s="860" customFormat="1" ht="13.5" spans="1:73">
      <c r="A26" s="861"/>
      <c r="E26" s="862"/>
      <c r="X26" s="864"/>
      <c r="Y26" s="865"/>
      <c r="Z26" s="865"/>
      <c r="AA26" s="866"/>
      <c r="AB26" s="867"/>
      <c r="AC26" s="868"/>
      <c r="AD26" s="866"/>
      <c r="AF26" s="869"/>
      <c r="AG26" s="869"/>
      <c r="AH26" s="870"/>
      <c r="AI26" s="871"/>
      <c r="AJ26" s="870"/>
      <c r="AK26" s="870"/>
      <c r="BN26" s="872"/>
      <c r="BO26" s="872"/>
      <c r="BP26" s="872"/>
      <c r="BS26" s="872"/>
      <c r="BT26" s="872"/>
      <c r="BU26" s="872"/>
    </row>
    <row r="27" s="860" customFormat="1" ht="13.5" spans="1:73">
      <c r="A27" s="861"/>
      <c r="E27" s="862"/>
      <c r="X27" s="864"/>
      <c r="Y27" s="865"/>
      <c r="Z27" s="865"/>
      <c r="AA27" s="866"/>
      <c r="AB27" s="867"/>
      <c r="AC27" s="868"/>
      <c r="AD27" s="866"/>
      <c r="AF27" s="869"/>
      <c r="AG27" s="869"/>
      <c r="AH27" s="870"/>
      <c r="AI27" s="871"/>
      <c r="AJ27" s="870"/>
      <c r="AK27" s="870"/>
      <c r="BN27" s="872"/>
      <c r="BO27" s="872"/>
      <c r="BP27" s="872"/>
      <c r="BS27" s="872"/>
      <c r="BT27" s="872"/>
      <c r="BU27" s="872"/>
    </row>
    <row r="28" s="860" customFormat="1" ht="13.5" spans="1:73">
      <c r="A28" s="861"/>
      <c r="E28" s="862"/>
      <c r="X28" s="864"/>
      <c r="Y28" s="865"/>
      <c r="Z28" s="865"/>
      <c r="AA28" s="866"/>
      <c r="AB28" s="867"/>
      <c r="AC28" s="868"/>
      <c r="AD28" s="866"/>
      <c r="AF28" s="869"/>
      <c r="AG28" s="869"/>
      <c r="AH28" s="870"/>
      <c r="AI28" s="871"/>
      <c r="AJ28" s="870"/>
      <c r="AK28" s="870"/>
      <c r="BN28" s="872"/>
      <c r="BO28" s="872"/>
      <c r="BP28" s="872"/>
      <c r="BS28" s="872"/>
      <c r="BT28" s="872"/>
      <c r="BU28" s="872"/>
    </row>
    <row r="29" s="860" customFormat="1" ht="13.5" spans="1:73">
      <c r="A29" s="861"/>
      <c r="E29" s="862"/>
      <c r="X29" s="864"/>
      <c r="Y29" s="865"/>
      <c r="Z29" s="865"/>
      <c r="AA29" s="866"/>
      <c r="AB29" s="867"/>
      <c r="AC29" s="868"/>
      <c r="AD29" s="866"/>
      <c r="AF29" s="869"/>
      <c r="AG29" s="869"/>
      <c r="AH29" s="870"/>
      <c r="AI29" s="871"/>
      <c r="AJ29" s="870"/>
      <c r="AK29" s="870"/>
      <c r="BN29" s="872"/>
      <c r="BO29" s="872"/>
      <c r="BP29" s="872"/>
      <c r="BS29" s="872"/>
      <c r="BT29" s="872"/>
      <c r="BU29" s="872"/>
    </row>
    <row r="30" s="860" customFormat="1" ht="13.5" spans="1:73">
      <c r="A30" s="861"/>
      <c r="E30" s="862"/>
      <c r="X30" s="864"/>
      <c r="Y30" s="865"/>
      <c r="Z30" s="865"/>
      <c r="AA30" s="866"/>
      <c r="AB30" s="867"/>
      <c r="AC30" s="868"/>
      <c r="AD30" s="866"/>
      <c r="AF30" s="869"/>
      <c r="AG30" s="869"/>
      <c r="AH30" s="870"/>
      <c r="AI30" s="871"/>
      <c r="AJ30" s="870"/>
      <c r="AK30" s="870"/>
      <c r="BN30" s="872"/>
      <c r="BO30" s="872"/>
      <c r="BP30" s="872"/>
      <c r="BS30" s="872"/>
      <c r="BT30" s="872"/>
      <c r="BU30" s="872"/>
    </row>
    <row r="31" s="860" customFormat="1" ht="13.5" spans="1:73">
      <c r="A31" s="861"/>
      <c r="E31" s="862"/>
      <c r="X31" s="864"/>
      <c r="Y31" s="865"/>
      <c r="Z31" s="865"/>
      <c r="AA31" s="866"/>
      <c r="AB31" s="867"/>
      <c r="AC31" s="868"/>
      <c r="AD31" s="866"/>
      <c r="AF31" s="869"/>
      <c r="AG31" s="869"/>
      <c r="AH31" s="870"/>
      <c r="AI31" s="871"/>
      <c r="AJ31" s="870"/>
      <c r="AK31" s="870"/>
      <c r="BN31" s="872"/>
      <c r="BO31" s="872"/>
      <c r="BP31" s="872"/>
      <c r="BS31" s="872"/>
      <c r="BT31" s="872"/>
      <c r="BU31" s="872"/>
    </row>
    <row r="32" s="860" customFormat="1" ht="13.5" spans="1:73">
      <c r="A32" s="861"/>
      <c r="E32" s="862"/>
      <c r="X32" s="864"/>
      <c r="Y32" s="865"/>
      <c r="Z32" s="865"/>
      <c r="AA32" s="866"/>
      <c r="AB32" s="867"/>
      <c r="AC32" s="868"/>
      <c r="AD32" s="866"/>
      <c r="AF32" s="869"/>
      <c r="AG32" s="869"/>
      <c r="AH32" s="870"/>
      <c r="AI32" s="871"/>
      <c r="AJ32" s="870"/>
      <c r="AK32" s="870"/>
      <c r="BN32" s="872"/>
      <c r="BO32" s="872"/>
      <c r="BP32" s="872"/>
      <c r="BS32" s="872"/>
      <c r="BT32" s="872"/>
      <c r="BU32" s="872"/>
    </row>
    <row r="33" s="860" customFormat="1" ht="13.5" spans="1:73">
      <c r="A33" s="861"/>
      <c r="E33" s="862"/>
      <c r="X33" s="864"/>
      <c r="Y33" s="865"/>
      <c r="Z33" s="865"/>
      <c r="AA33" s="866"/>
      <c r="AB33" s="867"/>
      <c r="AC33" s="868"/>
      <c r="AD33" s="866"/>
      <c r="AF33" s="869"/>
      <c r="AG33" s="869"/>
      <c r="AH33" s="870"/>
      <c r="AI33" s="871"/>
      <c r="AJ33" s="870"/>
      <c r="AK33" s="870"/>
      <c r="BN33" s="872"/>
      <c r="BO33" s="872"/>
      <c r="BP33" s="872"/>
      <c r="BS33" s="872"/>
      <c r="BT33" s="872"/>
      <c r="BU33" s="872"/>
    </row>
    <row r="34" s="860" customFormat="1" ht="13.5" spans="1:73">
      <c r="A34" s="861"/>
      <c r="E34" s="862"/>
      <c r="X34" s="864"/>
      <c r="Y34" s="865"/>
      <c r="Z34" s="865"/>
      <c r="AA34" s="866"/>
      <c r="AB34" s="867"/>
      <c r="AC34" s="868"/>
      <c r="AD34" s="866"/>
      <c r="AF34" s="869"/>
      <c r="AG34" s="869"/>
      <c r="AH34" s="870"/>
      <c r="AI34" s="871"/>
      <c r="AJ34" s="870"/>
      <c r="AK34" s="870"/>
      <c r="BN34" s="872"/>
      <c r="BO34" s="872"/>
      <c r="BP34" s="872"/>
      <c r="BS34" s="872"/>
      <c r="BT34" s="872"/>
      <c r="BU34" s="872"/>
    </row>
    <row r="35" s="860" customFormat="1" ht="13.5" spans="1:73">
      <c r="A35" s="861"/>
      <c r="E35" s="862"/>
      <c r="X35" s="864"/>
      <c r="Y35" s="865"/>
      <c r="Z35" s="865"/>
      <c r="AA35" s="866"/>
      <c r="AB35" s="867"/>
      <c r="AC35" s="868"/>
      <c r="AD35" s="866"/>
      <c r="AF35" s="869"/>
      <c r="AG35" s="869"/>
      <c r="AH35" s="870"/>
      <c r="AI35" s="871"/>
      <c r="AJ35" s="870"/>
      <c r="AK35" s="870"/>
      <c r="BN35" s="872"/>
      <c r="BO35" s="872"/>
      <c r="BP35" s="872"/>
      <c r="BS35" s="872"/>
      <c r="BT35" s="872"/>
      <c r="BU35" s="872"/>
    </row>
    <row r="36" s="860" customFormat="1" ht="13.5" spans="1:73">
      <c r="A36" s="861"/>
      <c r="E36" s="862"/>
      <c r="X36" s="864"/>
      <c r="Y36" s="865"/>
      <c r="Z36" s="865"/>
      <c r="AA36" s="866"/>
      <c r="AB36" s="867"/>
      <c r="AC36" s="868"/>
      <c r="AD36" s="866"/>
      <c r="AF36" s="869"/>
      <c r="AG36" s="869"/>
      <c r="AH36" s="870"/>
      <c r="AI36" s="871"/>
      <c r="AJ36" s="870"/>
      <c r="AK36" s="870"/>
      <c r="BN36" s="872"/>
      <c r="BO36" s="872"/>
      <c r="BP36" s="872"/>
      <c r="BS36" s="872"/>
      <c r="BT36" s="872"/>
      <c r="BU36" s="872"/>
    </row>
    <row r="37" s="860" customFormat="1" ht="13.5" spans="1:73">
      <c r="A37" s="861"/>
      <c r="E37" s="862"/>
      <c r="X37" s="864"/>
      <c r="Y37" s="865"/>
      <c r="Z37" s="865"/>
      <c r="AA37" s="866"/>
      <c r="AB37" s="867"/>
      <c r="AC37" s="868"/>
      <c r="AD37" s="866"/>
      <c r="AF37" s="869"/>
      <c r="AG37" s="869"/>
      <c r="AH37" s="870"/>
      <c r="AI37" s="871"/>
      <c r="AJ37" s="870"/>
      <c r="AK37" s="870"/>
      <c r="BN37" s="872"/>
      <c r="BO37" s="872"/>
      <c r="BP37" s="872"/>
      <c r="BS37" s="872"/>
      <c r="BT37" s="872"/>
      <c r="BU37" s="872"/>
    </row>
    <row r="38" s="860" customFormat="1" ht="13.5" spans="1:73">
      <c r="A38" s="861"/>
      <c r="E38" s="862"/>
      <c r="X38" s="864"/>
      <c r="Y38" s="865"/>
      <c r="Z38" s="865"/>
      <c r="AA38" s="866"/>
      <c r="AB38" s="867"/>
      <c r="AC38" s="868"/>
      <c r="AD38" s="866"/>
      <c r="AF38" s="869"/>
      <c r="AG38" s="869"/>
      <c r="AH38" s="870"/>
      <c r="AI38" s="871"/>
      <c r="AJ38" s="870"/>
      <c r="AK38" s="870"/>
      <c r="BN38" s="872"/>
      <c r="BO38" s="872"/>
      <c r="BP38" s="872"/>
      <c r="BS38" s="872"/>
      <c r="BT38" s="872"/>
      <c r="BU38" s="872"/>
    </row>
    <row r="39" s="860" customFormat="1" ht="13.5" spans="1:73">
      <c r="A39" s="861"/>
      <c r="E39" s="862"/>
      <c r="X39" s="864"/>
      <c r="Y39" s="865"/>
      <c r="Z39" s="865"/>
      <c r="AA39" s="866"/>
      <c r="AB39" s="867"/>
      <c r="AC39" s="868"/>
      <c r="AD39" s="866"/>
      <c r="AF39" s="869"/>
      <c r="AG39" s="869"/>
      <c r="AH39" s="870"/>
      <c r="AI39" s="871"/>
      <c r="AJ39" s="870"/>
      <c r="AK39" s="870"/>
      <c r="BN39" s="872"/>
      <c r="BO39" s="872"/>
      <c r="BP39" s="872"/>
      <c r="BS39" s="872"/>
      <c r="BT39" s="872"/>
      <c r="BU39" s="872"/>
    </row>
    <row r="40" s="860" customFormat="1" ht="13.5" spans="1:73">
      <c r="A40" s="861"/>
      <c r="E40" s="862"/>
      <c r="X40" s="864"/>
      <c r="Y40" s="865"/>
      <c r="Z40" s="865"/>
      <c r="AA40" s="866"/>
      <c r="AB40" s="867"/>
      <c r="AC40" s="868"/>
      <c r="AD40" s="866"/>
      <c r="AF40" s="869"/>
      <c r="AG40" s="869"/>
      <c r="AH40" s="870"/>
      <c r="AI40" s="871"/>
      <c r="AJ40" s="870"/>
      <c r="AK40" s="870"/>
      <c r="BN40" s="872"/>
      <c r="BO40" s="872"/>
      <c r="BP40" s="872"/>
      <c r="BS40" s="872"/>
      <c r="BT40" s="872"/>
      <c r="BU40" s="872"/>
    </row>
    <row r="41" s="860" customFormat="1" ht="13.5" spans="1:73">
      <c r="A41" s="861"/>
      <c r="E41" s="862"/>
      <c r="X41" s="864"/>
      <c r="Y41" s="865"/>
      <c r="Z41" s="865"/>
      <c r="AA41" s="866"/>
      <c r="AB41" s="867"/>
      <c r="AC41" s="868"/>
      <c r="AD41" s="866"/>
      <c r="AF41" s="869"/>
      <c r="AG41" s="869"/>
      <c r="AH41" s="870"/>
      <c r="AI41" s="871"/>
      <c r="AJ41" s="870"/>
      <c r="AK41" s="870"/>
      <c r="BN41" s="872"/>
      <c r="BO41" s="872"/>
      <c r="BP41" s="872"/>
      <c r="BS41" s="872"/>
      <c r="BT41" s="872"/>
      <c r="BU41" s="872"/>
    </row>
    <row r="42" s="860" customFormat="1" ht="13.5" spans="1:73">
      <c r="A42" s="861"/>
      <c r="E42" s="862"/>
      <c r="X42" s="864"/>
      <c r="Y42" s="865"/>
      <c r="Z42" s="865"/>
      <c r="AA42" s="866"/>
      <c r="AB42" s="867"/>
      <c r="AC42" s="868"/>
      <c r="AD42" s="866"/>
      <c r="AF42" s="869"/>
      <c r="AG42" s="869"/>
      <c r="AH42" s="870"/>
      <c r="AI42" s="871"/>
      <c r="AJ42" s="870"/>
      <c r="AK42" s="870"/>
      <c r="BN42" s="872"/>
      <c r="BO42" s="872"/>
      <c r="BP42" s="872"/>
      <c r="BS42" s="872"/>
      <c r="BT42" s="872"/>
      <c r="BU42" s="872"/>
    </row>
    <row r="43" s="860" customFormat="1" ht="13.5" spans="1:73">
      <c r="A43" s="861"/>
      <c r="E43" s="862"/>
      <c r="X43" s="864"/>
      <c r="Y43" s="865"/>
      <c r="Z43" s="865"/>
      <c r="AA43" s="866"/>
      <c r="AB43" s="867"/>
      <c r="AC43" s="868"/>
      <c r="AD43" s="866"/>
      <c r="AF43" s="869"/>
      <c r="AG43" s="869"/>
      <c r="AH43" s="870"/>
      <c r="AI43" s="871"/>
      <c r="AJ43" s="870"/>
      <c r="AK43" s="870"/>
      <c r="BN43" s="872"/>
      <c r="BO43" s="872"/>
      <c r="BP43" s="872"/>
      <c r="BS43" s="872"/>
      <c r="BT43" s="872"/>
      <c r="BU43" s="872"/>
    </row>
    <row r="44" s="860" customFormat="1" ht="13.5" spans="1:73">
      <c r="A44" s="861"/>
      <c r="E44" s="862"/>
      <c r="X44" s="864"/>
      <c r="Y44" s="865"/>
      <c r="Z44" s="865"/>
      <c r="AA44" s="866"/>
      <c r="AB44" s="867"/>
      <c r="AC44" s="868"/>
      <c r="AD44" s="866"/>
      <c r="AF44" s="869"/>
      <c r="AG44" s="869"/>
      <c r="AH44" s="870"/>
      <c r="AI44" s="871"/>
      <c r="AJ44" s="870"/>
      <c r="AK44" s="870"/>
      <c r="BN44" s="872"/>
      <c r="BO44" s="872"/>
      <c r="BP44" s="872"/>
      <c r="BS44" s="872"/>
      <c r="BT44" s="872"/>
      <c r="BU44" s="872"/>
    </row>
    <row r="45" s="860" customFormat="1" ht="13.5" spans="1:73">
      <c r="A45" s="861"/>
      <c r="E45" s="862"/>
      <c r="X45" s="864"/>
      <c r="Y45" s="865"/>
      <c r="Z45" s="865"/>
      <c r="AA45" s="866"/>
      <c r="AB45" s="867"/>
      <c r="AC45" s="868"/>
      <c r="AD45" s="866"/>
      <c r="AF45" s="869"/>
      <c r="AG45" s="869"/>
      <c r="AH45" s="870"/>
      <c r="AI45" s="871"/>
      <c r="AJ45" s="870"/>
      <c r="AK45" s="870"/>
      <c r="BN45" s="872"/>
      <c r="BO45" s="872"/>
      <c r="BP45" s="872"/>
      <c r="BS45" s="872"/>
      <c r="BT45" s="872"/>
      <c r="BU45" s="872"/>
    </row>
    <row r="46" s="860" customFormat="1" ht="13.5" spans="1:73">
      <c r="A46" s="861"/>
      <c r="E46" s="862"/>
      <c r="X46" s="864"/>
      <c r="Y46" s="865"/>
      <c r="Z46" s="865"/>
      <c r="AA46" s="866"/>
      <c r="AB46" s="867"/>
      <c r="AC46" s="868"/>
      <c r="AD46" s="866"/>
      <c r="AF46" s="869"/>
      <c r="AG46" s="869"/>
      <c r="AH46" s="870"/>
      <c r="AI46" s="871"/>
      <c r="AJ46" s="870"/>
      <c r="AK46" s="870"/>
      <c r="BN46" s="872"/>
      <c r="BO46" s="872"/>
      <c r="BP46" s="872"/>
      <c r="BS46" s="872"/>
      <c r="BT46" s="872"/>
      <c r="BU46" s="872"/>
    </row>
    <row r="47" s="860" customFormat="1" ht="13.5" spans="1:73">
      <c r="A47" s="861"/>
      <c r="E47" s="862"/>
      <c r="X47" s="864"/>
      <c r="Y47" s="865"/>
      <c r="Z47" s="865"/>
      <c r="AA47" s="866"/>
      <c r="AB47" s="867"/>
      <c r="AC47" s="868"/>
      <c r="AD47" s="866"/>
      <c r="AF47" s="869"/>
      <c r="AG47" s="869"/>
      <c r="AH47" s="870"/>
      <c r="AI47" s="871"/>
      <c r="AJ47" s="870"/>
      <c r="AK47" s="870"/>
      <c r="BN47" s="872"/>
      <c r="BO47" s="872"/>
      <c r="BP47" s="872"/>
      <c r="BS47" s="872"/>
      <c r="BT47" s="872"/>
      <c r="BU47" s="872"/>
    </row>
    <row r="48" s="860" customFormat="1" ht="13.5" spans="1:73">
      <c r="A48" s="861"/>
      <c r="E48" s="862"/>
      <c r="X48" s="864"/>
      <c r="Y48" s="865"/>
      <c r="Z48" s="865"/>
      <c r="AA48" s="866"/>
      <c r="AB48" s="867"/>
      <c r="AC48" s="868"/>
      <c r="AD48" s="866"/>
      <c r="AF48" s="869"/>
      <c r="AG48" s="869"/>
      <c r="AH48" s="870"/>
      <c r="AI48" s="871"/>
      <c r="AJ48" s="870"/>
      <c r="AK48" s="870"/>
      <c r="BN48" s="872"/>
      <c r="BO48" s="872"/>
      <c r="BP48" s="872"/>
      <c r="BS48" s="872"/>
      <c r="BT48" s="872"/>
      <c r="BU48" s="872"/>
    </row>
    <row r="49" s="860" customFormat="1" ht="13.5" spans="1:73">
      <c r="A49" s="861"/>
      <c r="E49" s="862"/>
      <c r="X49" s="864"/>
      <c r="Y49" s="865"/>
      <c r="Z49" s="865"/>
      <c r="AA49" s="866"/>
      <c r="AB49" s="867"/>
      <c r="AC49" s="868"/>
      <c r="AD49" s="866"/>
      <c r="AF49" s="869"/>
      <c r="AG49" s="869"/>
      <c r="AH49" s="870"/>
      <c r="AI49" s="871"/>
      <c r="AJ49" s="870"/>
      <c r="AK49" s="870"/>
      <c r="BN49" s="872"/>
      <c r="BO49" s="872"/>
      <c r="BP49" s="872"/>
      <c r="BS49" s="872"/>
      <c r="BT49" s="872"/>
      <c r="BU49" s="872"/>
    </row>
    <row r="50" s="860" customFormat="1" ht="13.5" spans="1:73">
      <c r="A50" s="861"/>
      <c r="E50" s="862"/>
      <c r="X50" s="864"/>
      <c r="Y50" s="865"/>
      <c r="Z50" s="865"/>
      <c r="AA50" s="866"/>
      <c r="AB50" s="867"/>
      <c r="AC50" s="868"/>
      <c r="AD50" s="866"/>
      <c r="AF50" s="869"/>
      <c r="AG50" s="869"/>
      <c r="AH50" s="870"/>
      <c r="AI50" s="871"/>
      <c r="AJ50" s="870"/>
      <c r="AK50" s="870"/>
      <c r="BN50" s="872"/>
      <c r="BO50" s="872"/>
      <c r="BP50" s="872"/>
      <c r="BS50" s="872"/>
      <c r="BT50" s="872"/>
      <c r="BU50" s="872"/>
    </row>
    <row r="51" s="860" customFormat="1" ht="13.5" spans="1:73">
      <c r="A51" s="861"/>
      <c r="E51" s="862"/>
      <c r="X51" s="864"/>
      <c r="Y51" s="865"/>
      <c r="Z51" s="865"/>
      <c r="AA51" s="866"/>
      <c r="AB51" s="867"/>
      <c r="AC51" s="868"/>
      <c r="AD51" s="866"/>
      <c r="AF51" s="869"/>
      <c r="AG51" s="869"/>
      <c r="AH51" s="870"/>
      <c r="AI51" s="871"/>
      <c r="AJ51" s="870"/>
      <c r="AK51" s="870"/>
      <c r="BN51" s="872"/>
      <c r="BO51" s="872"/>
      <c r="BP51" s="872"/>
      <c r="BS51" s="872"/>
      <c r="BT51" s="872"/>
      <c r="BU51" s="872"/>
    </row>
    <row r="52" s="860" customFormat="1" ht="13.5" spans="1:73">
      <c r="A52" s="861"/>
      <c r="E52" s="862"/>
      <c r="X52" s="864"/>
      <c r="Y52" s="865"/>
      <c r="Z52" s="865"/>
      <c r="AA52" s="866"/>
      <c r="AB52" s="867"/>
      <c r="AC52" s="868"/>
      <c r="AD52" s="866"/>
      <c r="AF52" s="869"/>
      <c r="AG52" s="869"/>
      <c r="AH52" s="870"/>
      <c r="AI52" s="871"/>
      <c r="AJ52" s="870"/>
      <c r="AK52" s="870"/>
      <c r="BN52" s="872"/>
      <c r="BO52" s="872"/>
      <c r="BP52" s="872"/>
      <c r="BS52" s="872"/>
      <c r="BT52" s="872"/>
      <c r="BU52" s="872"/>
    </row>
    <row r="53" s="860" customFormat="1" ht="13.5" spans="1:73">
      <c r="A53" s="861"/>
      <c r="E53" s="862"/>
      <c r="X53" s="864"/>
      <c r="Y53" s="865"/>
      <c r="Z53" s="865"/>
      <c r="AA53" s="866"/>
      <c r="AB53" s="867"/>
      <c r="AC53" s="868"/>
      <c r="AD53" s="866"/>
      <c r="AF53" s="869"/>
      <c r="AG53" s="869"/>
      <c r="AH53" s="870"/>
      <c r="AI53" s="871"/>
      <c r="AJ53" s="870"/>
      <c r="AK53" s="870"/>
      <c r="BN53" s="872"/>
      <c r="BO53" s="872"/>
      <c r="BP53" s="872"/>
      <c r="BS53" s="872"/>
      <c r="BT53" s="872"/>
      <c r="BU53" s="872"/>
    </row>
    <row r="54" s="860" customFormat="1" ht="13.5" spans="1:73">
      <c r="A54" s="861"/>
      <c r="E54" s="862"/>
      <c r="X54" s="864"/>
      <c r="Y54" s="865"/>
      <c r="Z54" s="865"/>
      <c r="AA54" s="866"/>
      <c r="AB54" s="867"/>
      <c r="AC54" s="868"/>
      <c r="AD54" s="866"/>
      <c r="AF54" s="869"/>
      <c r="AG54" s="869"/>
      <c r="AH54" s="870"/>
      <c r="AI54" s="871"/>
      <c r="AJ54" s="870"/>
      <c r="AK54" s="870"/>
      <c r="BN54" s="872"/>
      <c r="BO54" s="872"/>
      <c r="BP54" s="872"/>
      <c r="BS54" s="872"/>
      <c r="BT54" s="872"/>
      <c r="BU54" s="872"/>
    </row>
    <row r="55" s="860" customFormat="1" ht="13.5" spans="1:73">
      <c r="A55" s="861"/>
      <c r="E55" s="862"/>
      <c r="X55" s="864"/>
      <c r="Y55" s="865"/>
      <c r="Z55" s="865"/>
      <c r="AA55" s="866"/>
      <c r="AB55" s="867"/>
      <c r="AC55" s="868"/>
      <c r="AD55" s="866"/>
      <c r="AF55" s="869"/>
      <c r="AG55" s="869"/>
      <c r="AH55" s="870"/>
      <c r="AI55" s="871"/>
      <c r="AJ55" s="870"/>
      <c r="AK55" s="870"/>
      <c r="BN55" s="872"/>
      <c r="BO55" s="872"/>
      <c r="BP55" s="872"/>
      <c r="BS55" s="872"/>
      <c r="BT55" s="872"/>
      <c r="BU55" s="872"/>
    </row>
    <row r="56" s="860" customFormat="1" ht="13.5" spans="1:73">
      <c r="A56" s="861"/>
      <c r="E56" s="862"/>
      <c r="X56" s="864"/>
      <c r="Y56" s="865"/>
      <c r="Z56" s="865"/>
      <c r="AA56" s="866"/>
      <c r="AB56" s="867"/>
      <c r="AC56" s="868"/>
      <c r="AD56" s="866"/>
      <c r="AF56" s="869"/>
      <c r="AG56" s="869"/>
      <c r="AH56" s="870"/>
      <c r="AI56" s="871"/>
      <c r="AJ56" s="870"/>
      <c r="AK56" s="870"/>
      <c r="BN56" s="872"/>
      <c r="BO56" s="872"/>
      <c r="BP56" s="872"/>
      <c r="BS56" s="872"/>
      <c r="BT56" s="872"/>
      <c r="BU56" s="872"/>
    </row>
    <row r="57" s="860" customFormat="1" ht="13.5" spans="1:73">
      <c r="A57" s="861"/>
      <c r="E57" s="862"/>
      <c r="X57" s="864"/>
      <c r="Y57" s="865"/>
      <c r="Z57" s="865"/>
      <c r="AA57" s="866"/>
      <c r="AB57" s="867"/>
      <c r="AC57" s="868"/>
      <c r="AD57" s="866"/>
      <c r="AF57" s="869"/>
      <c r="AG57" s="869"/>
      <c r="AH57" s="870"/>
      <c r="AI57" s="871"/>
      <c r="AJ57" s="870"/>
      <c r="AK57" s="870"/>
      <c r="BN57" s="872"/>
      <c r="BO57" s="872"/>
      <c r="BP57" s="872"/>
      <c r="BS57" s="872"/>
      <c r="BT57" s="872"/>
      <c r="BU57" s="872"/>
    </row>
    <row r="58" s="860" customFormat="1" ht="13.5" spans="1:73">
      <c r="A58" s="861"/>
      <c r="E58" s="862"/>
      <c r="X58" s="864"/>
      <c r="Y58" s="865"/>
      <c r="Z58" s="865"/>
      <c r="AA58" s="866"/>
      <c r="AB58" s="867"/>
      <c r="AC58" s="868"/>
      <c r="AD58" s="866"/>
      <c r="AF58" s="869"/>
      <c r="AG58" s="869"/>
      <c r="AH58" s="870"/>
      <c r="AI58" s="871"/>
      <c r="AJ58" s="870"/>
      <c r="AK58" s="870"/>
      <c r="BN58" s="872"/>
      <c r="BO58" s="872"/>
      <c r="BP58" s="872"/>
      <c r="BS58" s="872"/>
      <c r="BT58" s="872"/>
      <c r="BU58" s="872"/>
    </row>
    <row r="59" s="860" customFormat="1" ht="13.5" spans="1:73">
      <c r="A59" s="861"/>
      <c r="E59" s="862"/>
      <c r="X59" s="864"/>
      <c r="Y59" s="865"/>
      <c r="Z59" s="865"/>
      <c r="AA59" s="866"/>
      <c r="AB59" s="867"/>
      <c r="AC59" s="868"/>
      <c r="AD59" s="866"/>
      <c r="AF59" s="869"/>
      <c r="AG59" s="869"/>
      <c r="AH59" s="870"/>
      <c r="AI59" s="871"/>
      <c r="AJ59" s="870"/>
      <c r="AK59" s="870"/>
      <c r="BN59" s="872"/>
      <c r="BO59" s="872"/>
      <c r="BP59" s="872"/>
      <c r="BS59" s="872"/>
      <c r="BT59" s="872"/>
      <c r="BU59" s="872"/>
    </row>
    <row r="60" s="860" customFormat="1" ht="13.5" spans="1:73">
      <c r="A60" s="861"/>
      <c r="E60" s="862"/>
      <c r="X60" s="864"/>
      <c r="Y60" s="865"/>
      <c r="Z60" s="865"/>
      <c r="AA60" s="866"/>
      <c r="AB60" s="867"/>
      <c r="AC60" s="868"/>
      <c r="AD60" s="866"/>
      <c r="AF60" s="869"/>
      <c r="AG60" s="869"/>
      <c r="AH60" s="870"/>
      <c r="AI60" s="871"/>
      <c r="AJ60" s="870"/>
      <c r="AK60" s="870"/>
      <c r="BN60" s="872"/>
      <c r="BO60" s="872"/>
      <c r="BP60" s="872"/>
      <c r="BS60" s="872"/>
      <c r="BT60" s="872"/>
      <c r="BU60" s="872"/>
    </row>
    <row r="61" s="860" customFormat="1" ht="13.5" spans="1:73">
      <c r="A61" s="861"/>
      <c r="E61" s="862"/>
      <c r="X61" s="864"/>
      <c r="Y61" s="865"/>
      <c r="Z61" s="865"/>
      <c r="AA61" s="866"/>
      <c r="AB61" s="867"/>
      <c r="AC61" s="868"/>
      <c r="AD61" s="866"/>
      <c r="AF61" s="869"/>
      <c r="AG61" s="869"/>
      <c r="AH61" s="870"/>
      <c r="AI61" s="871"/>
      <c r="AJ61" s="870"/>
      <c r="AK61" s="870"/>
      <c r="BN61" s="872"/>
      <c r="BO61" s="872"/>
      <c r="BP61" s="872"/>
      <c r="BS61" s="872"/>
      <c r="BT61" s="872"/>
      <c r="BU61" s="872"/>
    </row>
    <row r="62" s="860" customFormat="1" ht="13.5" spans="1:73">
      <c r="A62" s="861"/>
      <c r="E62" s="862"/>
      <c r="X62" s="864"/>
      <c r="Y62" s="865"/>
      <c r="Z62" s="865"/>
      <c r="AA62" s="866"/>
      <c r="AB62" s="867"/>
      <c r="AC62" s="868"/>
      <c r="AD62" s="866"/>
      <c r="AF62" s="869"/>
      <c r="AG62" s="869"/>
      <c r="AH62" s="870"/>
      <c r="AI62" s="871"/>
      <c r="AJ62" s="870"/>
      <c r="AK62" s="870"/>
      <c r="BN62" s="872"/>
      <c r="BO62" s="872"/>
      <c r="BP62" s="872"/>
      <c r="BS62" s="872"/>
      <c r="BT62" s="872"/>
      <c r="BU62" s="872"/>
    </row>
    <row r="63" s="860" customFormat="1" ht="13.5" spans="1:73">
      <c r="A63" s="861"/>
      <c r="E63" s="862"/>
      <c r="X63" s="864"/>
      <c r="Y63" s="865"/>
      <c r="Z63" s="865"/>
      <c r="AA63" s="866"/>
      <c r="AB63" s="867"/>
      <c r="AC63" s="868"/>
      <c r="AD63" s="866"/>
      <c r="AF63" s="869"/>
      <c r="AG63" s="869"/>
      <c r="AH63" s="870"/>
      <c r="AI63" s="871"/>
      <c r="AJ63" s="870"/>
      <c r="AK63" s="870"/>
      <c r="BN63" s="872"/>
      <c r="BO63" s="872"/>
      <c r="BP63" s="872"/>
      <c r="BS63" s="872"/>
      <c r="BT63" s="872"/>
      <c r="BU63" s="872"/>
    </row>
    <row r="64" s="860" customFormat="1" ht="13.5" spans="1:73">
      <c r="A64" s="861"/>
      <c r="E64" s="862"/>
      <c r="X64" s="864"/>
      <c r="Y64" s="865"/>
      <c r="Z64" s="865"/>
      <c r="AA64" s="866"/>
      <c r="AB64" s="867"/>
      <c r="AC64" s="868"/>
      <c r="AD64" s="866"/>
      <c r="AF64" s="869"/>
      <c r="AG64" s="869"/>
      <c r="AH64" s="870"/>
      <c r="AI64" s="871"/>
      <c r="AJ64" s="870"/>
      <c r="AK64" s="870"/>
      <c r="BN64" s="872"/>
      <c r="BO64" s="872"/>
      <c r="BP64" s="872"/>
      <c r="BS64" s="872"/>
      <c r="BT64" s="872"/>
      <c r="BU64" s="872"/>
    </row>
    <row r="65" s="860" customFormat="1" ht="13.5" spans="1:73">
      <c r="A65" s="861"/>
      <c r="E65" s="862"/>
      <c r="X65" s="864"/>
      <c r="Y65" s="865"/>
      <c r="Z65" s="865"/>
      <c r="AA65" s="866"/>
      <c r="AB65" s="867"/>
      <c r="AC65" s="868"/>
      <c r="AD65" s="866"/>
      <c r="AF65" s="869"/>
      <c r="AG65" s="869"/>
      <c r="AH65" s="870"/>
      <c r="AI65" s="871"/>
      <c r="AJ65" s="870"/>
      <c r="AK65" s="870"/>
      <c r="BN65" s="872"/>
      <c r="BO65" s="872"/>
      <c r="BP65" s="872"/>
      <c r="BS65" s="872"/>
      <c r="BT65" s="872"/>
      <c r="BU65" s="872"/>
    </row>
    <row r="66" s="860" customFormat="1" ht="13.5" spans="1:73">
      <c r="A66" s="861"/>
      <c r="E66" s="862"/>
      <c r="X66" s="864"/>
      <c r="Y66" s="865"/>
      <c r="Z66" s="865"/>
      <c r="AA66" s="866"/>
      <c r="AB66" s="867"/>
      <c r="AC66" s="868"/>
      <c r="AD66" s="866"/>
      <c r="AF66" s="869"/>
      <c r="AG66" s="869"/>
      <c r="AH66" s="870"/>
      <c r="AI66" s="871"/>
      <c r="AJ66" s="870"/>
      <c r="AK66" s="870"/>
      <c r="BN66" s="872"/>
      <c r="BO66" s="872"/>
      <c r="BP66" s="872"/>
      <c r="BS66" s="872"/>
      <c r="BT66" s="872"/>
      <c r="BU66" s="872"/>
    </row>
    <row r="67" s="860" customFormat="1" ht="13.5" spans="1:73">
      <c r="A67" s="861"/>
      <c r="E67" s="862"/>
      <c r="X67" s="864"/>
      <c r="Y67" s="865"/>
      <c r="Z67" s="865"/>
      <c r="AA67" s="866"/>
      <c r="AB67" s="867"/>
      <c r="AC67" s="868"/>
      <c r="AD67" s="866"/>
      <c r="AF67" s="869"/>
      <c r="AG67" s="869"/>
      <c r="AH67" s="870"/>
      <c r="AI67" s="871"/>
      <c r="AJ67" s="870"/>
      <c r="AK67" s="870"/>
      <c r="BN67" s="872"/>
      <c r="BO67" s="872"/>
      <c r="BP67" s="872"/>
      <c r="BS67" s="872"/>
      <c r="BT67" s="872"/>
      <c r="BU67" s="872"/>
    </row>
    <row r="68" s="860" customFormat="1" ht="13.5" spans="1:73">
      <c r="A68" s="861"/>
      <c r="E68" s="862"/>
      <c r="X68" s="864"/>
      <c r="Y68" s="865"/>
      <c r="Z68" s="865"/>
      <c r="AA68" s="866"/>
      <c r="AB68" s="867"/>
      <c r="AC68" s="868"/>
      <c r="AD68" s="866"/>
      <c r="AF68" s="869"/>
      <c r="AG68" s="869"/>
      <c r="AH68" s="870"/>
      <c r="AI68" s="871"/>
      <c r="AJ68" s="870"/>
      <c r="AK68" s="870"/>
      <c r="BN68" s="872"/>
      <c r="BO68" s="872"/>
      <c r="BP68" s="872"/>
      <c r="BS68" s="872"/>
      <c r="BT68" s="872"/>
      <c r="BU68" s="872"/>
    </row>
    <row r="69" s="860" customFormat="1" ht="13.5" spans="1:73">
      <c r="A69" s="861"/>
      <c r="E69" s="862"/>
      <c r="X69" s="864"/>
      <c r="Y69" s="865"/>
      <c r="Z69" s="865"/>
      <c r="AA69" s="866"/>
      <c r="AB69" s="867"/>
      <c r="AC69" s="868"/>
      <c r="AD69" s="866"/>
      <c r="AF69" s="869"/>
      <c r="AG69" s="869"/>
      <c r="AH69" s="870"/>
      <c r="AI69" s="871"/>
      <c r="AJ69" s="870"/>
      <c r="AK69" s="870"/>
      <c r="BN69" s="872"/>
      <c r="BO69" s="872"/>
      <c r="BP69" s="872"/>
      <c r="BS69" s="872"/>
      <c r="BT69" s="872"/>
      <c r="BU69" s="872"/>
    </row>
    <row r="70" s="860" customFormat="1" ht="13.5" spans="1:73">
      <c r="A70" s="861"/>
      <c r="E70" s="862"/>
      <c r="X70" s="864"/>
      <c r="Y70" s="865"/>
      <c r="Z70" s="865"/>
      <c r="AA70" s="866"/>
      <c r="AB70" s="867"/>
      <c r="AC70" s="868"/>
      <c r="AD70" s="866"/>
      <c r="AF70" s="869"/>
      <c r="AG70" s="869"/>
      <c r="AH70" s="870"/>
      <c r="AI70" s="871"/>
      <c r="AJ70" s="870"/>
      <c r="AK70" s="870"/>
      <c r="BN70" s="872"/>
      <c r="BO70" s="872"/>
      <c r="BP70" s="872"/>
      <c r="BS70" s="872"/>
      <c r="BT70" s="872"/>
      <c r="BU70" s="872"/>
    </row>
    <row r="71" s="860" customFormat="1" ht="13.5" spans="1:73">
      <c r="A71" s="861"/>
      <c r="E71" s="862"/>
      <c r="X71" s="864"/>
      <c r="Y71" s="865"/>
      <c r="Z71" s="865"/>
      <c r="AA71" s="866"/>
      <c r="AB71" s="867"/>
      <c r="AC71" s="868"/>
      <c r="AD71" s="866"/>
      <c r="AF71" s="869"/>
      <c r="AG71" s="869"/>
      <c r="AH71" s="870"/>
      <c r="AI71" s="871"/>
      <c r="AJ71" s="870"/>
      <c r="AK71" s="870"/>
      <c r="BN71" s="872"/>
      <c r="BO71" s="872"/>
      <c r="BP71" s="872"/>
      <c r="BS71" s="872"/>
      <c r="BT71" s="872"/>
      <c r="BU71" s="872"/>
    </row>
    <row r="72" s="860" customFormat="1" ht="13.5" spans="1:73">
      <c r="A72" s="861"/>
      <c r="E72" s="862"/>
      <c r="X72" s="864"/>
      <c r="Y72" s="865"/>
      <c r="Z72" s="865"/>
      <c r="AA72" s="866"/>
      <c r="AB72" s="867"/>
      <c r="AC72" s="868"/>
      <c r="AD72" s="866"/>
      <c r="AF72" s="869"/>
      <c r="AG72" s="869"/>
      <c r="AH72" s="870"/>
      <c r="AI72" s="871"/>
      <c r="AJ72" s="870"/>
      <c r="AK72" s="870"/>
      <c r="BN72" s="872"/>
      <c r="BO72" s="872"/>
      <c r="BP72" s="872"/>
      <c r="BS72" s="872"/>
      <c r="BT72" s="872"/>
      <c r="BU72" s="872"/>
    </row>
    <row r="73" s="860" customFormat="1" ht="13.5" spans="1:73">
      <c r="A73" s="861"/>
      <c r="E73" s="862"/>
      <c r="X73" s="864"/>
      <c r="Y73" s="865"/>
      <c r="Z73" s="865"/>
      <c r="AA73" s="866"/>
      <c r="AB73" s="867"/>
      <c r="AC73" s="868"/>
      <c r="AD73" s="866"/>
      <c r="AF73" s="869"/>
      <c r="AG73" s="869"/>
      <c r="AH73" s="870"/>
      <c r="AI73" s="871"/>
      <c r="AJ73" s="870"/>
      <c r="AK73" s="870"/>
      <c r="BN73" s="872"/>
      <c r="BO73" s="872"/>
      <c r="BP73" s="872"/>
      <c r="BS73" s="872"/>
      <c r="BT73" s="872"/>
      <c r="BU73" s="872"/>
    </row>
    <row r="74" s="860" customFormat="1" ht="13.5" spans="1:73">
      <c r="A74" s="861"/>
      <c r="E74" s="862"/>
      <c r="X74" s="864"/>
      <c r="Y74" s="865"/>
      <c r="Z74" s="865"/>
      <c r="AA74" s="866"/>
      <c r="AB74" s="867"/>
      <c r="AC74" s="868"/>
      <c r="AD74" s="866"/>
      <c r="AF74" s="869"/>
      <c r="AG74" s="869"/>
      <c r="AH74" s="870"/>
      <c r="AI74" s="871"/>
      <c r="AJ74" s="870"/>
      <c r="AK74" s="870"/>
      <c r="BN74" s="872"/>
      <c r="BO74" s="872"/>
      <c r="BP74" s="872"/>
      <c r="BS74" s="872"/>
      <c r="BT74" s="872"/>
      <c r="BU74" s="872"/>
    </row>
    <row r="75" s="860" customFormat="1" ht="13.5" spans="1:73">
      <c r="A75" s="861"/>
      <c r="E75" s="862"/>
      <c r="X75" s="864"/>
      <c r="Y75" s="865"/>
      <c r="Z75" s="865"/>
      <c r="AA75" s="866"/>
      <c r="AB75" s="867"/>
      <c r="AC75" s="868"/>
      <c r="AD75" s="866"/>
      <c r="AF75" s="869"/>
      <c r="AG75" s="869"/>
      <c r="AH75" s="870"/>
      <c r="AI75" s="871"/>
      <c r="AJ75" s="870"/>
      <c r="AK75" s="870"/>
      <c r="BN75" s="872"/>
      <c r="BO75" s="872"/>
      <c r="BP75" s="872"/>
      <c r="BS75" s="872"/>
      <c r="BT75" s="872"/>
      <c r="BU75" s="872"/>
    </row>
    <row r="76" s="860" customFormat="1" ht="13.5" spans="1:73">
      <c r="A76" s="861"/>
      <c r="E76" s="862"/>
      <c r="X76" s="864"/>
      <c r="Y76" s="865"/>
      <c r="Z76" s="865"/>
      <c r="AA76" s="866"/>
      <c r="AB76" s="867"/>
      <c r="AC76" s="868"/>
      <c r="AD76" s="866"/>
      <c r="AF76" s="869"/>
      <c r="AG76" s="869"/>
      <c r="AH76" s="870"/>
      <c r="AI76" s="871"/>
      <c r="AJ76" s="870"/>
      <c r="AK76" s="870"/>
      <c r="BN76" s="872"/>
      <c r="BO76" s="872"/>
      <c r="BP76" s="872"/>
      <c r="BS76" s="872"/>
      <c r="BT76" s="872"/>
      <c r="BU76" s="872"/>
    </row>
    <row r="77" s="860" customFormat="1" ht="13.5" spans="1:73">
      <c r="A77" s="861"/>
      <c r="E77" s="862"/>
      <c r="X77" s="864"/>
      <c r="Y77" s="865"/>
      <c r="Z77" s="865"/>
      <c r="AA77" s="866"/>
      <c r="AB77" s="867"/>
      <c r="AC77" s="868"/>
      <c r="AD77" s="866"/>
      <c r="AF77" s="869"/>
      <c r="AG77" s="869"/>
      <c r="AH77" s="870"/>
      <c r="AI77" s="871"/>
      <c r="AJ77" s="870"/>
      <c r="AK77" s="870"/>
      <c r="BN77" s="872"/>
      <c r="BO77" s="872"/>
      <c r="BP77" s="872"/>
      <c r="BS77" s="872"/>
      <c r="BT77" s="872"/>
      <c r="BU77" s="872"/>
    </row>
    <row r="78" s="860" customFormat="1" ht="13.5" spans="1:73">
      <c r="A78" s="861"/>
      <c r="E78" s="862"/>
      <c r="X78" s="864"/>
      <c r="Y78" s="865"/>
      <c r="Z78" s="865"/>
      <c r="AA78" s="866"/>
      <c r="AB78" s="867"/>
      <c r="AC78" s="868"/>
      <c r="AD78" s="866"/>
      <c r="AF78" s="869"/>
      <c r="AG78" s="869"/>
      <c r="AH78" s="870"/>
      <c r="AI78" s="871"/>
      <c r="AJ78" s="870"/>
      <c r="AK78" s="870"/>
      <c r="BN78" s="872"/>
      <c r="BO78" s="872"/>
      <c r="BP78" s="872"/>
      <c r="BS78" s="872"/>
      <c r="BT78" s="872"/>
      <c r="BU78" s="872"/>
    </row>
    <row r="79" s="860" customFormat="1" ht="13.5" spans="1:73">
      <c r="A79" s="861"/>
      <c r="E79" s="862"/>
      <c r="X79" s="864"/>
      <c r="Y79" s="865"/>
      <c r="Z79" s="865"/>
      <c r="AA79" s="866"/>
      <c r="AB79" s="867"/>
      <c r="AC79" s="868"/>
      <c r="AD79" s="866"/>
      <c r="AF79" s="869"/>
      <c r="AG79" s="869"/>
      <c r="AH79" s="870"/>
      <c r="AI79" s="871"/>
      <c r="AJ79" s="870"/>
      <c r="AK79" s="870"/>
      <c r="BN79" s="872"/>
      <c r="BO79" s="872"/>
      <c r="BP79" s="872"/>
      <c r="BS79" s="872"/>
      <c r="BT79" s="872"/>
      <c r="BU79" s="872"/>
    </row>
    <row r="80" s="860" customFormat="1" ht="13.5" spans="1:73">
      <c r="A80" s="861"/>
      <c r="E80" s="862"/>
      <c r="X80" s="864"/>
      <c r="Y80" s="865"/>
      <c r="Z80" s="865"/>
      <c r="AA80" s="866"/>
      <c r="AB80" s="867"/>
      <c r="AC80" s="868"/>
      <c r="AD80" s="866"/>
      <c r="AF80" s="869"/>
      <c r="AG80" s="869"/>
      <c r="AH80" s="870"/>
      <c r="AI80" s="871"/>
      <c r="AJ80" s="870"/>
      <c r="AK80" s="870"/>
      <c r="BN80" s="872"/>
      <c r="BO80" s="872"/>
      <c r="BP80" s="872"/>
      <c r="BS80" s="872"/>
      <c r="BT80" s="872"/>
      <c r="BU80" s="872"/>
    </row>
    <row r="81" s="860" customFormat="1" ht="13.5" spans="1:73">
      <c r="A81" s="861"/>
      <c r="E81" s="862"/>
      <c r="X81" s="864"/>
      <c r="Y81" s="865"/>
      <c r="Z81" s="865"/>
      <c r="AA81" s="866"/>
      <c r="AB81" s="867"/>
      <c r="AC81" s="868"/>
      <c r="AD81" s="866"/>
      <c r="AF81" s="869"/>
      <c r="AG81" s="869"/>
      <c r="AH81" s="870"/>
      <c r="AI81" s="871"/>
      <c r="AJ81" s="870"/>
      <c r="AK81" s="870"/>
      <c r="BN81" s="872"/>
      <c r="BO81" s="872"/>
      <c r="BP81" s="872"/>
      <c r="BS81" s="872"/>
      <c r="BT81" s="872"/>
      <c r="BU81" s="872"/>
    </row>
    <row r="82" s="860" customFormat="1" ht="13.5" spans="1:73">
      <c r="A82" s="861"/>
      <c r="E82" s="862"/>
      <c r="X82" s="864"/>
      <c r="Y82" s="865"/>
      <c r="Z82" s="865"/>
      <c r="AA82" s="866"/>
      <c r="AB82" s="867"/>
      <c r="AC82" s="868"/>
      <c r="AD82" s="866"/>
      <c r="AF82" s="869"/>
      <c r="AG82" s="869"/>
      <c r="AH82" s="870"/>
      <c r="AI82" s="871"/>
      <c r="AJ82" s="870"/>
      <c r="AK82" s="870"/>
      <c r="BN82" s="872"/>
      <c r="BO82" s="872"/>
      <c r="BP82" s="872"/>
      <c r="BS82" s="872"/>
      <c r="BT82" s="872"/>
      <c r="BU82" s="872"/>
    </row>
    <row r="83" s="860" customFormat="1" ht="13.5" spans="1:73">
      <c r="A83" s="861"/>
      <c r="E83" s="862"/>
      <c r="X83" s="864"/>
      <c r="Y83" s="865"/>
      <c r="Z83" s="865"/>
      <c r="AA83" s="866"/>
      <c r="AB83" s="867"/>
      <c r="AC83" s="868"/>
      <c r="AD83" s="866"/>
      <c r="AF83" s="869"/>
      <c r="AG83" s="869"/>
      <c r="AH83" s="870"/>
      <c r="AI83" s="871"/>
      <c r="AJ83" s="870"/>
      <c r="AK83" s="870"/>
      <c r="BN83" s="872"/>
      <c r="BO83" s="872"/>
      <c r="BP83" s="872"/>
      <c r="BS83" s="872"/>
      <c r="BT83" s="872"/>
      <c r="BU83" s="872"/>
    </row>
    <row r="84" s="860" customFormat="1" ht="13.5" spans="1:73">
      <c r="A84" s="861"/>
      <c r="E84" s="862"/>
      <c r="X84" s="864"/>
      <c r="Y84" s="865"/>
      <c r="Z84" s="865"/>
      <c r="AA84" s="866"/>
      <c r="AB84" s="867"/>
      <c r="AC84" s="868"/>
      <c r="AD84" s="866"/>
      <c r="AF84" s="869"/>
      <c r="AG84" s="869"/>
      <c r="AH84" s="870"/>
      <c r="AI84" s="871"/>
      <c r="AJ84" s="870"/>
      <c r="AK84" s="870"/>
      <c r="BN84" s="872"/>
      <c r="BO84" s="872"/>
      <c r="BP84" s="872"/>
      <c r="BS84" s="872"/>
      <c r="BT84" s="872"/>
      <c r="BU84" s="872"/>
    </row>
    <row r="85" s="860" customFormat="1" ht="13.5" spans="1:73">
      <c r="A85" s="861"/>
      <c r="E85" s="862"/>
      <c r="X85" s="864"/>
      <c r="Y85" s="865"/>
      <c r="Z85" s="865"/>
      <c r="AA85" s="866"/>
      <c r="AB85" s="867"/>
      <c r="AC85" s="868"/>
      <c r="AD85" s="866"/>
      <c r="AF85" s="869"/>
      <c r="AG85" s="869"/>
      <c r="AH85" s="870"/>
      <c r="AI85" s="871"/>
      <c r="AJ85" s="870"/>
      <c r="AK85" s="870"/>
      <c r="BN85" s="872"/>
      <c r="BO85" s="872"/>
      <c r="BP85" s="872"/>
      <c r="BS85" s="872"/>
      <c r="BT85" s="872"/>
      <c r="BU85" s="872"/>
    </row>
    <row r="86" s="860" customFormat="1" ht="13.5" spans="1:73">
      <c r="A86" s="861"/>
      <c r="E86" s="862"/>
      <c r="X86" s="864"/>
      <c r="Y86" s="865"/>
      <c r="Z86" s="865"/>
      <c r="AA86" s="866"/>
      <c r="AB86" s="867"/>
      <c r="AC86" s="868"/>
      <c r="AD86" s="866"/>
      <c r="AF86" s="869"/>
      <c r="AG86" s="869"/>
      <c r="AH86" s="870"/>
      <c r="AI86" s="871"/>
      <c r="AJ86" s="870"/>
      <c r="AK86" s="870"/>
      <c r="BN86" s="872"/>
      <c r="BO86" s="872"/>
      <c r="BP86" s="872"/>
      <c r="BS86" s="872"/>
      <c r="BT86" s="872"/>
      <c r="BU86" s="872"/>
    </row>
    <row r="87" s="860" customFormat="1" ht="13.5" spans="1:73">
      <c r="A87" s="861"/>
      <c r="E87" s="862"/>
      <c r="X87" s="864"/>
      <c r="Y87" s="865"/>
      <c r="Z87" s="865"/>
      <c r="AA87" s="866"/>
      <c r="AB87" s="867"/>
      <c r="AC87" s="868"/>
      <c r="AD87" s="866"/>
      <c r="AF87" s="869"/>
      <c r="AG87" s="869"/>
      <c r="AH87" s="870"/>
      <c r="AI87" s="871"/>
      <c r="AJ87" s="870"/>
      <c r="AK87" s="870"/>
      <c r="BN87" s="872"/>
      <c r="BO87" s="872"/>
      <c r="BP87" s="872"/>
      <c r="BS87" s="872"/>
      <c r="BT87" s="872"/>
      <c r="BU87" s="872"/>
    </row>
    <row r="88" s="860" customFormat="1" ht="13.5" spans="1:73">
      <c r="A88" s="861"/>
      <c r="E88" s="862"/>
      <c r="X88" s="864"/>
      <c r="Y88" s="865"/>
      <c r="Z88" s="865"/>
      <c r="AA88" s="866"/>
      <c r="AB88" s="867"/>
      <c r="AC88" s="868"/>
      <c r="AD88" s="866"/>
      <c r="AF88" s="869"/>
      <c r="AG88" s="869"/>
      <c r="AH88" s="870"/>
      <c r="AI88" s="871"/>
      <c r="AJ88" s="870"/>
      <c r="AK88" s="870"/>
      <c r="BN88" s="872"/>
      <c r="BO88" s="872"/>
      <c r="BP88" s="872"/>
      <c r="BS88" s="872"/>
      <c r="BT88" s="872"/>
      <c r="BU88" s="872"/>
    </row>
    <row r="89" s="860" customFormat="1" ht="13.5" spans="1:73">
      <c r="A89" s="861"/>
      <c r="E89" s="862"/>
      <c r="X89" s="864"/>
      <c r="Y89" s="865"/>
      <c r="Z89" s="865"/>
      <c r="AA89" s="866"/>
      <c r="AB89" s="867"/>
      <c r="AC89" s="868"/>
      <c r="AD89" s="866"/>
      <c r="AF89" s="869"/>
      <c r="AG89" s="869"/>
      <c r="AH89" s="870"/>
      <c r="AI89" s="871"/>
      <c r="AJ89" s="870"/>
      <c r="AK89" s="870"/>
      <c r="BN89" s="872"/>
      <c r="BO89" s="872"/>
      <c r="BP89" s="872"/>
      <c r="BS89" s="872"/>
      <c r="BT89" s="872"/>
      <c r="BU89" s="872"/>
    </row>
    <row r="90" s="860" customFormat="1" ht="13.5" spans="1:73">
      <c r="A90" s="861"/>
      <c r="E90" s="862"/>
      <c r="X90" s="864"/>
      <c r="Y90" s="865"/>
      <c r="Z90" s="865"/>
      <c r="AA90" s="866"/>
      <c r="AB90" s="867"/>
      <c r="AC90" s="868"/>
      <c r="AD90" s="866"/>
      <c r="AF90" s="869"/>
      <c r="AG90" s="869"/>
      <c r="AH90" s="870"/>
      <c r="AI90" s="871"/>
      <c r="AJ90" s="870"/>
      <c r="AK90" s="870"/>
      <c r="BN90" s="872"/>
      <c r="BO90" s="872"/>
      <c r="BP90" s="872"/>
      <c r="BS90" s="872"/>
      <c r="BT90" s="872"/>
      <c r="BU90" s="872"/>
    </row>
    <row r="91" s="860" customFormat="1" ht="13.5" spans="1:73">
      <c r="A91" s="861"/>
      <c r="E91" s="862"/>
      <c r="X91" s="864"/>
      <c r="Y91" s="865"/>
      <c r="Z91" s="865"/>
      <c r="AA91" s="866"/>
      <c r="AB91" s="867"/>
      <c r="AC91" s="868"/>
      <c r="AD91" s="866"/>
      <c r="AF91" s="869"/>
      <c r="AG91" s="869"/>
      <c r="AH91" s="870"/>
      <c r="AI91" s="871"/>
      <c r="AJ91" s="870"/>
      <c r="AK91" s="870"/>
      <c r="BN91" s="872"/>
      <c r="BO91" s="872"/>
      <c r="BP91" s="872"/>
      <c r="BS91" s="872"/>
      <c r="BT91" s="872"/>
      <c r="BU91" s="872"/>
    </row>
    <row r="92" s="860" customFormat="1" ht="13.5" spans="1:73">
      <c r="A92" s="861"/>
      <c r="E92" s="862"/>
      <c r="X92" s="864"/>
      <c r="Y92" s="865"/>
      <c r="Z92" s="865"/>
      <c r="AA92" s="866"/>
      <c r="AB92" s="867"/>
      <c r="AC92" s="868"/>
      <c r="AD92" s="866"/>
      <c r="AF92" s="869"/>
      <c r="AG92" s="869"/>
      <c r="AH92" s="870"/>
      <c r="AI92" s="871"/>
      <c r="AJ92" s="870"/>
      <c r="AK92" s="870"/>
      <c r="BN92" s="872"/>
      <c r="BO92" s="872"/>
      <c r="BP92" s="872"/>
      <c r="BS92" s="872"/>
      <c r="BT92" s="872"/>
      <c r="BU92" s="872"/>
    </row>
    <row r="93" s="860" customFormat="1" ht="13.5" spans="1:73">
      <c r="A93" s="861"/>
      <c r="E93" s="862"/>
      <c r="X93" s="864"/>
      <c r="Y93" s="865"/>
      <c r="Z93" s="865"/>
      <c r="AA93" s="866"/>
      <c r="AB93" s="867"/>
      <c r="AC93" s="868"/>
      <c r="AD93" s="866"/>
      <c r="AF93" s="869"/>
      <c r="AG93" s="869"/>
      <c r="AH93" s="870"/>
      <c r="AI93" s="871"/>
      <c r="AJ93" s="870"/>
      <c r="AK93" s="870"/>
      <c r="BN93" s="872"/>
      <c r="BO93" s="872"/>
      <c r="BP93" s="872"/>
      <c r="BS93" s="872"/>
      <c r="BT93" s="872"/>
      <c r="BU93" s="872"/>
    </row>
    <row r="94" s="860" customFormat="1" ht="13.5" spans="1:73">
      <c r="A94" s="861"/>
      <c r="E94" s="862"/>
      <c r="X94" s="864"/>
      <c r="Y94" s="865"/>
      <c r="Z94" s="865"/>
      <c r="AA94" s="866"/>
      <c r="AB94" s="867"/>
      <c r="AC94" s="868"/>
      <c r="AD94" s="866"/>
      <c r="AF94" s="869"/>
      <c r="AG94" s="869"/>
      <c r="AH94" s="870"/>
      <c r="AI94" s="871"/>
      <c r="AJ94" s="870"/>
      <c r="AK94" s="870"/>
      <c r="BN94" s="872"/>
      <c r="BO94" s="872"/>
      <c r="BP94" s="872"/>
      <c r="BS94" s="872"/>
      <c r="BT94" s="872"/>
      <c r="BU94" s="872"/>
    </row>
    <row r="95" s="860" customFormat="1" ht="13.5" spans="1:73">
      <c r="A95" s="861"/>
      <c r="E95" s="862"/>
      <c r="X95" s="864"/>
      <c r="Y95" s="865"/>
      <c r="Z95" s="865"/>
      <c r="AA95" s="866"/>
      <c r="AB95" s="867"/>
      <c r="AC95" s="868"/>
      <c r="AD95" s="866"/>
      <c r="AF95" s="869"/>
      <c r="AG95" s="869"/>
      <c r="AH95" s="870"/>
      <c r="AI95" s="871"/>
      <c r="AJ95" s="870"/>
      <c r="AK95" s="870"/>
      <c r="BN95" s="872"/>
      <c r="BO95" s="872"/>
      <c r="BP95" s="872"/>
      <c r="BS95" s="872"/>
      <c r="BT95" s="872"/>
      <c r="BU95" s="872"/>
    </row>
    <row r="96" s="860" customFormat="1" ht="13.5" spans="1:73">
      <c r="A96" s="861"/>
      <c r="E96" s="862"/>
      <c r="X96" s="864"/>
      <c r="Y96" s="865"/>
      <c r="Z96" s="865"/>
      <c r="AA96" s="866"/>
      <c r="AB96" s="867"/>
      <c r="AC96" s="868"/>
      <c r="AD96" s="866"/>
      <c r="AF96" s="869"/>
      <c r="AG96" s="869"/>
      <c r="AH96" s="870"/>
      <c r="AI96" s="871"/>
      <c r="AJ96" s="870"/>
      <c r="AK96" s="870"/>
      <c r="BN96" s="872"/>
      <c r="BO96" s="872"/>
      <c r="BP96" s="872"/>
      <c r="BS96" s="872"/>
      <c r="BT96" s="872"/>
      <c r="BU96" s="872"/>
    </row>
    <row r="97" s="860" customFormat="1" ht="13.5" spans="1:73">
      <c r="A97" s="861"/>
      <c r="E97" s="862"/>
      <c r="X97" s="864"/>
      <c r="Y97" s="865"/>
      <c r="Z97" s="865"/>
      <c r="AA97" s="866"/>
      <c r="AB97" s="867"/>
      <c r="AC97" s="868"/>
      <c r="AD97" s="866"/>
      <c r="AF97" s="869"/>
      <c r="AG97" s="869"/>
      <c r="AH97" s="870"/>
      <c r="AI97" s="871"/>
      <c r="AJ97" s="870"/>
      <c r="AK97" s="870"/>
      <c r="BN97" s="872"/>
      <c r="BO97" s="872"/>
      <c r="BP97" s="872"/>
      <c r="BS97" s="872"/>
      <c r="BT97" s="872"/>
      <c r="BU97" s="872"/>
    </row>
    <row r="98" s="860" customFormat="1" ht="13.5" spans="1:73">
      <c r="A98" s="861"/>
      <c r="E98" s="862"/>
      <c r="X98" s="864"/>
      <c r="Y98" s="865"/>
      <c r="Z98" s="865"/>
      <c r="AA98" s="866"/>
      <c r="AB98" s="867"/>
      <c r="AC98" s="868"/>
      <c r="AD98" s="866"/>
      <c r="AF98" s="869"/>
      <c r="AG98" s="869"/>
      <c r="AH98" s="870"/>
      <c r="AI98" s="871"/>
      <c r="AJ98" s="870"/>
      <c r="AK98" s="870"/>
      <c r="BN98" s="872"/>
      <c r="BO98" s="872"/>
      <c r="BP98" s="872"/>
      <c r="BS98" s="872"/>
      <c r="BT98" s="872"/>
      <c r="BU98" s="872"/>
    </row>
    <row r="99" s="860" customFormat="1" ht="13.5" spans="1:73">
      <c r="A99" s="861"/>
      <c r="E99" s="862"/>
      <c r="X99" s="864"/>
      <c r="Y99" s="865"/>
      <c r="Z99" s="865"/>
      <c r="AA99" s="866"/>
      <c r="AB99" s="867"/>
      <c r="AC99" s="868"/>
      <c r="AD99" s="866"/>
      <c r="AF99" s="869"/>
      <c r="AG99" s="869"/>
      <c r="AH99" s="870"/>
      <c r="AI99" s="871"/>
      <c r="AJ99" s="870"/>
      <c r="AK99" s="870"/>
      <c r="BN99" s="872"/>
      <c r="BO99" s="872"/>
      <c r="BP99" s="872"/>
      <c r="BS99" s="872"/>
      <c r="BT99" s="872"/>
      <c r="BU99" s="872"/>
    </row>
    <row r="100" s="860" customFormat="1" ht="13.5" spans="1:73">
      <c r="A100" s="861"/>
      <c r="E100" s="862"/>
      <c r="X100" s="864"/>
      <c r="Y100" s="865"/>
      <c r="Z100" s="865"/>
      <c r="AA100" s="866"/>
      <c r="AB100" s="867"/>
      <c r="AC100" s="868"/>
      <c r="AD100" s="866"/>
      <c r="AF100" s="869"/>
      <c r="AG100" s="869"/>
      <c r="AH100" s="870"/>
      <c r="AI100" s="871"/>
      <c r="AJ100" s="870"/>
      <c r="AK100" s="870"/>
      <c r="BN100" s="872"/>
      <c r="BO100" s="872"/>
      <c r="BP100" s="872"/>
      <c r="BS100" s="872"/>
      <c r="BT100" s="872"/>
      <c r="BU100" s="872"/>
    </row>
    <row r="101" s="860" customFormat="1" ht="13.5" spans="1:73">
      <c r="A101" s="861"/>
      <c r="E101" s="862"/>
      <c r="X101" s="864"/>
      <c r="Y101" s="865"/>
      <c r="Z101" s="865"/>
      <c r="AA101" s="866"/>
      <c r="AB101" s="867"/>
      <c r="AC101" s="868"/>
      <c r="AD101" s="866"/>
      <c r="AF101" s="869"/>
      <c r="AG101" s="869"/>
      <c r="AH101" s="870"/>
      <c r="AI101" s="871"/>
      <c r="AJ101" s="870"/>
      <c r="AK101" s="870"/>
      <c r="BN101" s="872"/>
      <c r="BO101" s="872"/>
      <c r="BP101" s="872"/>
      <c r="BS101" s="872"/>
      <c r="BT101" s="872"/>
      <c r="BU101" s="872"/>
    </row>
    <row r="102" s="860" customFormat="1" ht="13.5" spans="1:73">
      <c r="A102" s="861"/>
      <c r="E102" s="862"/>
      <c r="X102" s="864"/>
      <c r="Y102" s="865"/>
      <c r="Z102" s="865"/>
      <c r="AA102" s="866"/>
      <c r="AB102" s="867"/>
      <c r="AC102" s="868"/>
      <c r="AD102" s="866"/>
      <c r="AF102" s="869"/>
      <c r="AG102" s="869"/>
      <c r="AH102" s="870"/>
      <c r="AI102" s="871"/>
      <c r="AJ102" s="870"/>
      <c r="AK102" s="870"/>
      <c r="BN102" s="872"/>
      <c r="BO102" s="872"/>
      <c r="BP102" s="872"/>
      <c r="BS102" s="872"/>
      <c r="BT102" s="872"/>
      <c r="BU102" s="872"/>
    </row>
    <row r="103" s="860" customFormat="1" ht="13.5" spans="1:73">
      <c r="A103" s="861"/>
      <c r="E103" s="862"/>
      <c r="X103" s="864"/>
      <c r="Y103" s="865"/>
      <c r="Z103" s="865"/>
      <c r="AA103" s="866"/>
      <c r="AB103" s="867"/>
      <c r="AC103" s="868"/>
      <c r="AD103" s="866"/>
      <c r="AF103" s="869"/>
      <c r="AG103" s="869"/>
      <c r="AH103" s="870"/>
      <c r="AI103" s="871"/>
      <c r="AJ103" s="870"/>
      <c r="AK103" s="870"/>
      <c r="BN103" s="872"/>
      <c r="BO103" s="872"/>
      <c r="BP103" s="872"/>
      <c r="BS103" s="872"/>
      <c r="BT103" s="872"/>
      <c r="BU103" s="872"/>
    </row>
    <row r="104" s="860" customFormat="1" ht="13.5" spans="1:73">
      <c r="A104" s="861"/>
      <c r="E104" s="862"/>
      <c r="X104" s="864"/>
      <c r="Y104" s="865"/>
      <c r="Z104" s="865"/>
      <c r="AA104" s="866"/>
      <c r="AB104" s="867"/>
      <c r="AC104" s="868"/>
      <c r="AD104" s="866"/>
      <c r="AF104" s="869"/>
      <c r="AG104" s="869"/>
      <c r="AH104" s="870"/>
      <c r="AI104" s="871"/>
      <c r="AJ104" s="870"/>
      <c r="AK104" s="870"/>
      <c r="BN104" s="872"/>
      <c r="BO104" s="872"/>
      <c r="BP104" s="872"/>
      <c r="BS104" s="872"/>
      <c r="BT104" s="872"/>
      <c r="BU104" s="872"/>
    </row>
    <row r="105" s="860" customFormat="1" ht="13.5" spans="1:73">
      <c r="A105" s="861"/>
      <c r="E105" s="862"/>
      <c r="X105" s="864"/>
      <c r="Y105" s="865"/>
      <c r="Z105" s="865"/>
      <c r="AA105" s="866"/>
      <c r="AB105" s="867"/>
      <c r="AC105" s="868"/>
      <c r="AD105" s="866"/>
      <c r="AF105" s="869"/>
      <c r="AG105" s="869"/>
      <c r="AH105" s="870"/>
      <c r="AI105" s="871"/>
      <c r="AJ105" s="870"/>
      <c r="AK105" s="870"/>
      <c r="BN105" s="872"/>
      <c r="BO105" s="872"/>
      <c r="BP105" s="872"/>
      <c r="BS105" s="872"/>
      <c r="BT105" s="872"/>
      <c r="BU105" s="872"/>
    </row>
    <row r="106" s="860" customFormat="1" ht="13.5" spans="1:73">
      <c r="A106" s="861"/>
      <c r="E106" s="862"/>
      <c r="X106" s="864"/>
      <c r="Y106" s="865"/>
      <c r="Z106" s="865"/>
      <c r="AA106" s="866"/>
      <c r="AB106" s="867"/>
      <c r="AC106" s="868"/>
      <c r="AD106" s="866"/>
      <c r="AF106" s="869"/>
      <c r="AG106" s="869"/>
      <c r="AH106" s="870"/>
      <c r="AI106" s="871"/>
      <c r="AJ106" s="870"/>
      <c r="AK106" s="870"/>
      <c r="BN106" s="872"/>
      <c r="BO106" s="872"/>
      <c r="BP106" s="872"/>
      <c r="BS106" s="872"/>
      <c r="BT106" s="872"/>
      <c r="BU106" s="872"/>
    </row>
    <row r="107" s="860" customFormat="1" ht="13.5" spans="1:73">
      <c r="A107" s="861"/>
      <c r="E107" s="862"/>
      <c r="X107" s="864"/>
      <c r="Y107" s="865"/>
      <c r="Z107" s="865"/>
      <c r="AA107" s="866"/>
      <c r="AB107" s="867"/>
      <c r="AC107" s="868"/>
      <c r="AD107" s="866"/>
      <c r="AF107" s="869"/>
      <c r="AG107" s="869"/>
      <c r="AH107" s="870"/>
      <c r="AI107" s="871"/>
      <c r="AJ107" s="870"/>
      <c r="AK107" s="870"/>
      <c r="BN107" s="872"/>
      <c r="BO107" s="872"/>
      <c r="BP107" s="872"/>
      <c r="BS107" s="872"/>
      <c r="BT107" s="872"/>
      <c r="BU107" s="872"/>
    </row>
    <row r="108" s="860" customFormat="1" ht="13.5" spans="1:73">
      <c r="A108" s="861"/>
      <c r="E108" s="862"/>
      <c r="X108" s="864"/>
      <c r="Y108" s="865"/>
      <c r="Z108" s="865"/>
      <c r="AA108" s="866"/>
      <c r="AB108" s="867"/>
      <c r="AC108" s="868"/>
      <c r="AD108" s="866"/>
      <c r="AF108" s="869"/>
      <c r="AG108" s="869"/>
      <c r="AH108" s="870"/>
      <c r="AI108" s="871"/>
      <c r="AJ108" s="870"/>
      <c r="AK108" s="870"/>
      <c r="BN108" s="872"/>
      <c r="BO108" s="872"/>
      <c r="BP108" s="872"/>
      <c r="BS108" s="872"/>
      <c r="BT108" s="872"/>
      <c r="BU108" s="872"/>
    </row>
    <row r="109" s="860" customFormat="1" ht="13.5" spans="1:73">
      <c r="A109" s="861"/>
      <c r="E109" s="862"/>
      <c r="X109" s="864"/>
      <c r="Y109" s="865"/>
      <c r="Z109" s="865"/>
      <c r="AA109" s="866"/>
      <c r="AB109" s="867"/>
      <c r="AC109" s="868"/>
      <c r="AD109" s="866"/>
      <c r="AF109" s="869"/>
      <c r="AG109" s="869"/>
      <c r="AH109" s="870"/>
      <c r="AI109" s="871"/>
      <c r="AJ109" s="870"/>
      <c r="AK109" s="870"/>
      <c r="BN109" s="872"/>
      <c r="BO109" s="872"/>
      <c r="BP109" s="872"/>
      <c r="BS109" s="872"/>
      <c r="BT109" s="872"/>
      <c r="BU109" s="872"/>
    </row>
    <row r="110" s="860" customFormat="1" ht="13.5" spans="1:73">
      <c r="A110" s="861"/>
      <c r="E110" s="862"/>
      <c r="X110" s="864"/>
      <c r="Y110" s="865"/>
      <c r="Z110" s="865"/>
      <c r="AA110" s="866"/>
      <c r="AB110" s="867"/>
      <c r="AC110" s="868"/>
      <c r="AD110" s="866"/>
      <c r="AF110" s="869"/>
      <c r="AG110" s="869"/>
      <c r="AH110" s="870"/>
      <c r="AI110" s="871"/>
      <c r="AJ110" s="870"/>
      <c r="AK110" s="870"/>
      <c r="BN110" s="872"/>
      <c r="BO110" s="872"/>
      <c r="BP110" s="872"/>
      <c r="BS110" s="872"/>
      <c r="BT110" s="872"/>
      <c r="BU110" s="872"/>
    </row>
    <row r="111" s="860" customFormat="1" ht="13.5" spans="1:73">
      <c r="A111" s="861"/>
      <c r="E111" s="862"/>
      <c r="X111" s="864"/>
      <c r="Y111" s="865"/>
      <c r="Z111" s="865"/>
      <c r="AA111" s="866"/>
      <c r="AB111" s="867"/>
      <c r="AC111" s="868"/>
      <c r="AD111" s="866"/>
      <c r="AF111" s="869"/>
      <c r="AG111" s="869"/>
      <c r="AH111" s="870"/>
      <c r="AI111" s="871"/>
      <c r="AJ111" s="870"/>
      <c r="AK111" s="870"/>
      <c r="BN111" s="872"/>
      <c r="BO111" s="872"/>
      <c r="BP111" s="872"/>
      <c r="BS111" s="872"/>
      <c r="BT111" s="872"/>
      <c r="BU111" s="872"/>
    </row>
    <row r="112" s="860" customFormat="1" ht="13.5" spans="1:73">
      <c r="A112" s="861"/>
      <c r="E112" s="862"/>
      <c r="X112" s="864"/>
      <c r="Y112" s="865"/>
      <c r="Z112" s="865"/>
      <c r="AA112" s="866"/>
      <c r="AB112" s="867"/>
      <c r="AC112" s="868"/>
      <c r="AD112" s="866"/>
      <c r="AF112" s="869"/>
      <c r="AG112" s="869"/>
      <c r="AH112" s="870"/>
      <c r="AI112" s="871"/>
      <c r="AJ112" s="870"/>
      <c r="AK112" s="870"/>
      <c r="BN112" s="872"/>
      <c r="BO112" s="872"/>
      <c r="BP112" s="872"/>
      <c r="BS112" s="872"/>
      <c r="BT112" s="872"/>
      <c r="BU112" s="872"/>
    </row>
    <row r="113" s="860" customFormat="1" ht="13.5" spans="1:73">
      <c r="A113" s="861"/>
      <c r="E113" s="862"/>
      <c r="X113" s="864"/>
      <c r="Y113" s="865"/>
      <c r="Z113" s="865"/>
      <c r="AA113" s="866"/>
      <c r="AB113" s="867"/>
      <c r="AC113" s="868"/>
      <c r="AD113" s="866"/>
      <c r="AF113" s="869"/>
      <c r="AG113" s="869"/>
      <c r="AH113" s="870"/>
      <c r="AI113" s="871"/>
      <c r="AJ113" s="870"/>
      <c r="AK113" s="870"/>
      <c r="BN113" s="872"/>
      <c r="BO113" s="872"/>
      <c r="BP113" s="872"/>
      <c r="BS113" s="872"/>
      <c r="BT113" s="872"/>
      <c r="BU113" s="872"/>
    </row>
    <row r="114" s="860" customFormat="1" ht="13.5" spans="1:73">
      <c r="A114" s="861"/>
      <c r="E114" s="862"/>
      <c r="X114" s="864"/>
      <c r="Y114" s="865"/>
      <c r="Z114" s="865"/>
      <c r="AA114" s="866"/>
      <c r="AB114" s="867"/>
      <c r="AC114" s="868"/>
      <c r="AD114" s="866"/>
      <c r="AF114" s="869"/>
      <c r="AG114" s="869"/>
      <c r="AH114" s="870"/>
      <c r="AI114" s="871"/>
      <c r="AJ114" s="870"/>
      <c r="AK114" s="870"/>
      <c r="BN114" s="872"/>
      <c r="BO114" s="872"/>
      <c r="BP114" s="872"/>
      <c r="BS114" s="872"/>
      <c r="BT114" s="872"/>
      <c r="BU114" s="872"/>
    </row>
    <row r="115" s="860" customFormat="1" ht="13.5" spans="1:73">
      <c r="A115" s="861"/>
      <c r="E115" s="862"/>
      <c r="X115" s="864"/>
      <c r="Y115" s="865"/>
      <c r="Z115" s="865"/>
      <c r="AA115" s="866"/>
      <c r="AB115" s="867"/>
      <c r="AC115" s="868"/>
      <c r="AD115" s="866"/>
      <c r="AF115" s="869"/>
      <c r="AG115" s="869"/>
      <c r="AH115" s="870"/>
      <c r="AI115" s="871"/>
      <c r="AJ115" s="870"/>
      <c r="AK115" s="870"/>
      <c r="BN115" s="872"/>
      <c r="BO115" s="872"/>
      <c r="BP115" s="872"/>
      <c r="BS115" s="872"/>
      <c r="BT115" s="872"/>
      <c r="BU115" s="872"/>
    </row>
    <row r="116" s="860" customFormat="1" ht="13.5" spans="1:73">
      <c r="A116" s="861"/>
      <c r="E116" s="862"/>
      <c r="X116" s="864"/>
      <c r="Y116" s="865"/>
      <c r="Z116" s="865"/>
      <c r="AA116" s="866"/>
      <c r="AB116" s="867"/>
      <c r="AC116" s="868"/>
      <c r="AD116" s="866"/>
      <c r="AF116" s="869"/>
      <c r="AG116" s="869"/>
      <c r="AH116" s="870"/>
      <c r="AI116" s="871"/>
      <c r="AJ116" s="870"/>
      <c r="AK116" s="870"/>
      <c r="BN116" s="872"/>
      <c r="BO116" s="872"/>
      <c r="BP116" s="872"/>
      <c r="BS116" s="872"/>
      <c r="BT116" s="872"/>
      <c r="BU116" s="872"/>
    </row>
    <row r="117" s="860" customFormat="1" ht="13.5" spans="1:73">
      <c r="A117" s="861"/>
      <c r="E117" s="862"/>
      <c r="X117" s="864"/>
      <c r="Y117" s="865"/>
      <c r="Z117" s="865"/>
      <c r="AA117" s="866"/>
      <c r="AB117" s="867"/>
      <c r="AC117" s="868"/>
      <c r="AD117" s="866"/>
      <c r="AF117" s="869"/>
      <c r="AG117" s="869"/>
      <c r="AH117" s="870"/>
      <c r="AI117" s="871"/>
      <c r="AJ117" s="870"/>
      <c r="AK117" s="870"/>
      <c r="BN117" s="872"/>
      <c r="BO117" s="872"/>
      <c r="BP117" s="872"/>
      <c r="BS117" s="872"/>
      <c r="BT117" s="872"/>
      <c r="BU117" s="872"/>
    </row>
    <row r="118" s="860" customFormat="1" ht="13.5" spans="1:73">
      <c r="A118" s="861"/>
      <c r="E118" s="862"/>
      <c r="X118" s="864"/>
      <c r="Y118" s="865"/>
      <c r="Z118" s="865"/>
      <c r="AA118" s="866"/>
      <c r="AB118" s="867"/>
      <c r="AC118" s="868"/>
      <c r="AD118" s="866"/>
      <c r="AF118" s="869"/>
      <c r="AG118" s="869"/>
      <c r="AH118" s="870"/>
      <c r="AI118" s="871"/>
      <c r="AJ118" s="870"/>
      <c r="AK118" s="870"/>
      <c r="BN118" s="872"/>
      <c r="BO118" s="872"/>
      <c r="BP118" s="872"/>
      <c r="BS118" s="872"/>
      <c r="BT118" s="872"/>
      <c r="BU118" s="872"/>
    </row>
    <row r="119" s="860" customFormat="1" ht="13.5" spans="1:73">
      <c r="A119" s="861"/>
      <c r="E119" s="862"/>
      <c r="X119" s="864"/>
      <c r="Y119" s="865"/>
      <c r="Z119" s="865"/>
      <c r="AA119" s="866"/>
      <c r="AB119" s="867"/>
      <c r="AC119" s="868"/>
      <c r="AD119" s="866"/>
      <c r="AF119" s="869"/>
      <c r="AG119" s="869"/>
      <c r="AH119" s="870"/>
      <c r="AI119" s="871"/>
      <c r="AJ119" s="870"/>
      <c r="AK119" s="870"/>
      <c r="BN119" s="872"/>
      <c r="BO119" s="872"/>
      <c r="BP119" s="872"/>
      <c r="BS119" s="872"/>
      <c r="BT119" s="872"/>
      <c r="BU119" s="872"/>
    </row>
    <row r="120" s="860" customFormat="1" ht="13.5" spans="1:73">
      <c r="A120" s="861"/>
      <c r="E120" s="862"/>
      <c r="X120" s="864"/>
      <c r="Y120" s="865"/>
      <c r="Z120" s="865"/>
      <c r="AA120" s="866"/>
      <c r="AB120" s="867"/>
      <c r="AC120" s="868"/>
      <c r="AD120" s="866"/>
      <c r="AF120" s="869"/>
      <c r="AG120" s="869"/>
      <c r="AH120" s="870"/>
      <c r="AI120" s="871"/>
      <c r="AJ120" s="870"/>
      <c r="AK120" s="870"/>
      <c r="BN120" s="872"/>
      <c r="BO120" s="872"/>
      <c r="BP120" s="872"/>
      <c r="BS120" s="872"/>
      <c r="BT120" s="872"/>
      <c r="BU120" s="872"/>
    </row>
    <row r="121" s="860" customFormat="1" ht="13.5" spans="1:73">
      <c r="A121" s="861"/>
      <c r="E121" s="862"/>
      <c r="X121" s="864"/>
      <c r="Y121" s="865"/>
      <c r="Z121" s="865"/>
      <c r="AA121" s="866"/>
      <c r="AB121" s="867"/>
      <c r="AC121" s="868"/>
      <c r="AD121" s="866"/>
      <c r="AF121" s="869"/>
      <c r="AG121" s="869"/>
      <c r="AH121" s="870"/>
      <c r="AI121" s="871"/>
      <c r="AJ121" s="870"/>
      <c r="AK121" s="870"/>
      <c r="BN121" s="872"/>
      <c r="BO121" s="872"/>
      <c r="BP121" s="872"/>
      <c r="BS121" s="872"/>
      <c r="BT121" s="872"/>
      <c r="BU121" s="872"/>
    </row>
    <row r="122" s="860" customFormat="1" ht="13.5" spans="1:73">
      <c r="A122" s="861"/>
      <c r="E122" s="862"/>
      <c r="X122" s="864"/>
      <c r="Y122" s="865"/>
      <c r="Z122" s="865"/>
      <c r="AA122" s="866"/>
      <c r="AB122" s="867"/>
      <c r="AC122" s="868"/>
      <c r="AD122" s="866"/>
      <c r="AF122" s="869"/>
      <c r="AG122" s="869"/>
      <c r="AH122" s="870"/>
      <c r="AI122" s="871"/>
      <c r="AJ122" s="870"/>
      <c r="AK122" s="870"/>
      <c r="BN122" s="872"/>
      <c r="BO122" s="872"/>
      <c r="BP122" s="872"/>
      <c r="BS122" s="872"/>
      <c r="BT122" s="872"/>
      <c r="BU122" s="872"/>
    </row>
    <row r="123" s="860" customFormat="1" ht="13.5" spans="1:73">
      <c r="A123" s="861"/>
      <c r="E123" s="862"/>
      <c r="X123" s="864"/>
      <c r="Y123" s="865"/>
      <c r="Z123" s="865"/>
      <c r="AA123" s="866"/>
      <c r="AB123" s="867"/>
      <c r="AC123" s="868"/>
      <c r="AD123" s="866"/>
      <c r="AF123" s="869"/>
      <c r="AG123" s="869"/>
      <c r="AH123" s="870"/>
      <c r="AI123" s="871"/>
      <c r="AJ123" s="870"/>
      <c r="AK123" s="870"/>
      <c r="BN123" s="872"/>
      <c r="BO123" s="872"/>
      <c r="BP123" s="872"/>
      <c r="BS123" s="872"/>
      <c r="BT123" s="872"/>
      <c r="BU123" s="872"/>
    </row>
    <row r="124" s="860" customFormat="1" ht="13.5" spans="1:73">
      <c r="A124" s="861"/>
      <c r="E124" s="862"/>
      <c r="X124" s="864"/>
      <c r="Y124" s="865"/>
      <c r="Z124" s="865"/>
      <c r="AA124" s="866"/>
      <c r="AB124" s="867"/>
      <c r="AC124" s="868"/>
      <c r="AD124" s="866"/>
      <c r="AF124" s="869"/>
      <c r="AG124" s="869"/>
      <c r="AH124" s="870"/>
      <c r="AI124" s="871"/>
      <c r="AJ124" s="870"/>
      <c r="AK124" s="870"/>
      <c r="BN124" s="872"/>
      <c r="BO124" s="872"/>
      <c r="BP124" s="872"/>
      <c r="BS124" s="872"/>
      <c r="BT124" s="872"/>
      <c r="BU124" s="872"/>
    </row>
    <row r="125" s="860" customFormat="1" ht="13.5" spans="1:73">
      <c r="A125" s="861"/>
      <c r="E125" s="862"/>
      <c r="X125" s="864"/>
      <c r="Y125" s="865"/>
      <c r="Z125" s="865"/>
      <c r="AA125" s="866"/>
      <c r="AB125" s="867"/>
      <c r="AC125" s="868"/>
      <c r="AD125" s="866"/>
      <c r="AF125" s="869"/>
      <c r="AG125" s="869"/>
      <c r="AH125" s="870"/>
      <c r="AI125" s="871"/>
      <c r="AJ125" s="870"/>
      <c r="AK125" s="870"/>
      <c r="BN125" s="872"/>
      <c r="BO125" s="872"/>
      <c r="BP125" s="872"/>
      <c r="BS125" s="872"/>
      <c r="BT125" s="872"/>
      <c r="BU125" s="872"/>
    </row>
    <row r="126" s="860" customFormat="1" ht="13.5" spans="1:73">
      <c r="A126" s="861"/>
      <c r="E126" s="862"/>
      <c r="X126" s="864"/>
      <c r="Y126" s="865"/>
      <c r="Z126" s="865"/>
      <c r="AA126" s="866"/>
      <c r="AB126" s="867"/>
      <c r="AC126" s="868"/>
      <c r="AD126" s="866"/>
      <c r="AF126" s="869"/>
      <c r="AG126" s="869"/>
      <c r="AH126" s="870"/>
      <c r="AI126" s="871"/>
      <c r="AJ126" s="870"/>
      <c r="AK126" s="870"/>
      <c r="BN126" s="872"/>
      <c r="BO126" s="872"/>
      <c r="BP126" s="872"/>
      <c r="BS126" s="872"/>
      <c r="BT126" s="872"/>
      <c r="BU126" s="872"/>
    </row>
    <row r="127" s="860" customFormat="1" ht="13.5" spans="1:73">
      <c r="A127" s="861"/>
      <c r="E127" s="862"/>
      <c r="X127" s="864"/>
      <c r="Y127" s="865"/>
      <c r="Z127" s="865"/>
      <c r="AA127" s="866"/>
      <c r="AB127" s="867"/>
      <c r="AC127" s="868"/>
      <c r="AD127" s="866"/>
      <c r="AF127" s="869"/>
      <c r="AG127" s="869"/>
      <c r="AH127" s="870"/>
      <c r="AI127" s="871"/>
      <c r="AJ127" s="870"/>
      <c r="AK127" s="870"/>
      <c r="BN127" s="872"/>
      <c r="BO127" s="872"/>
      <c r="BP127" s="872"/>
      <c r="BS127" s="872"/>
      <c r="BT127" s="872"/>
      <c r="BU127" s="872"/>
    </row>
    <row r="128" s="860" customFormat="1" ht="13.5" spans="1:73">
      <c r="A128" s="861"/>
      <c r="E128" s="862"/>
      <c r="X128" s="864"/>
      <c r="Y128" s="865"/>
      <c r="Z128" s="865"/>
      <c r="AA128" s="866"/>
      <c r="AB128" s="867"/>
      <c r="AC128" s="868"/>
      <c r="AD128" s="866"/>
      <c r="AF128" s="869"/>
      <c r="AG128" s="869"/>
      <c r="AH128" s="870"/>
      <c r="AI128" s="871"/>
      <c r="AJ128" s="870"/>
      <c r="AK128" s="870"/>
      <c r="BN128" s="872"/>
      <c r="BO128" s="872"/>
      <c r="BP128" s="872"/>
      <c r="BS128" s="872"/>
      <c r="BT128" s="872"/>
      <c r="BU128" s="872"/>
    </row>
    <row r="129" s="860" customFormat="1" ht="13.5" spans="1:73">
      <c r="A129" s="861"/>
      <c r="E129" s="862"/>
      <c r="X129" s="864"/>
      <c r="Y129" s="865"/>
      <c r="Z129" s="865"/>
      <c r="AA129" s="866"/>
      <c r="AB129" s="867"/>
      <c r="AC129" s="868"/>
      <c r="AD129" s="866"/>
      <c r="AF129" s="869"/>
      <c r="AG129" s="869"/>
      <c r="AH129" s="870"/>
      <c r="AI129" s="871"/>
      <c r="AJ129" s="870"/>
      <c r="AK129" s="870"/>
      <c r="BN129" s="872"/>
      <c r="BO129" s="872"/>
      <c r="BP129" s="872"/>
      <c r="BS129" s="872"/>
      <c r="BT129" s="872"/>
      <c r="BU129" s="872"/>
    </row>
    <row r="130" s="860" customFormat="1" ht="13.5" spans="1:73">
      <c r="A130" s="861"/>
      <c r="E130" s="862"/>
      <c r="X130" s="864"/>
      <c r="Y130" s="865"/>
      <c r="Z130" s="865"/>
      <c r="AA130" s="866"/>
      <c r="AB130" s="867"/>
      <c r="AC130" s="868"/>
      <c r="AD130" s="866"/>
      <c r="AF130" s="869"/>
      <c r="AG130" s="869"/>
      <c r="AH130" s="870"/>
      <c r="AI130" s="871"/>
      <c r="AJ130" s="870"/>
      <c r="AK130" s="870"/>
      <c r="BN130" s="872"/>
      <c r="BO130" s="872"/>
      <c r="BP130" s="872"/>
      <c r="BS130" s="872"/>
      <c r="BT130" s="872"/>
      <c r="BU130" s="872"/>
    </row>
    <row r="131" s="860" customFormat="1" ht="13.5" spans="1:73">
      <c r="A131" s="861"/>
      <c r="E131" s="862"/>
      <c r="X131" s="864"/>
      <c r="Y131" s="865"/>
      <c r="Z131" s="865"/>
      <c r="AA131" s="866"/>
      <c r="AB131" s="867"/>
      <c r="AC131" s="868"/>
      <c r="AD131" s="866"/>
      <c r="AF131" s="869"/>
      <c r="AG131" s="869"/>
      <c r="AH131" s="870"/>
      <c r="AI131" s="871"/>
      <c r="AJ131" s="870"/>
      <c r="AK131" s="870"/>
      <c r="BN131" s="872"/>
      <c r="BO131" s="872"/>
      <c r="BP131" s="872"/>
      <c r="BS131" s="872"/>
      <c r="BT131" s="872"/>
      <c r="BU131" s="872"/>
    </row>
    <row r="132" s="860" customFormat="1" ht="13.5" spans="1:73">
      <c r="A132" s="861"/>
      <c r="E132" s="862"/>
      <c r="X132" s="864"/>
      <c r="Y132" s="865"/>
      <c r="Z132" s="865"/>
      <c r="AA132" s="866"/>
      <c r="AB132" s="867"/>
      <c r="AC132" s="868"/>
      <c r="AD132" s="866"/>
      <c r="AF132" s="869"/>
      <c r="AG132" s="869"/>
      <c r="AH132" s="870"/>
      <c r="AI132" s="871"/>
      <c r="AJ132" s="870"/>
      <c r="AK132" s="870"/>
      <c r="BN132" s="872"/>
      <c r="BO132" s="872"/>
      <c r="BP132" s="872"/>
      <c r="BS132" s="872"/>
      <c r="BT132" s="872"/>
      <c r="BU132" s="872"/>
    </row>
    <row r="133" s="860" customFormat="1" ht="13.5" spans="1:73">
      <c r="A133" s="861"/>
      <c r="E133" s="862"/>
      <c r="X133" s="864"/>
      <c r="Y133" s="865"/>
      <c r="Z133" s="865"/>
      <c r="AA133" s="866"/>
      <c r="AB133" s="867"/>
      <c r="AC133" s="868"/>
      <c r="AD133" s="866"/>
      <c r="AF133" s="869"/>
      <c r="AG133" s="869"/>
      <c r="AH133" s="870"/>
      <c r="AI133" s="871"/>
      <c r="AJ133" s="870"/>
      <c r="AK133" s="870"/>
      <c r="BN133" s="872"/>
      <c r="BO133" s="872"/>
      <c r="BP133" s="872"/>
      <c r="BS133" s="872"/>
      <c r="BT133" s="872"/>
      <c r="BU133" s="872"/>
    </row>
    <row r="134" s="860" customFormat="1" ht="13.5" spans="1:73">
      <c r="A134" s="861"/>
      <c r="E134" s="862"/>
      <c r="X134" s="864"/>
      <c r="Y134" s="865"/>
      <c r="Z134" s="865"/>
      <c r="AA134" s="866"/>
      <c r="AB134" s="867"/>
      <c r="AC134" s="868"/>
      <c r="AD134" s="866"/>
      <c r="AF134" s="869"/>
      <c r="AG134" s="869"/>
      <c r="AH134" s="870"/>
      <c r="AI134" s="871"/>
      <c r="AJ134" s="870"/>
      <c r="AK134" s="870"/>
      <c r="BN134" s="872"/>
      <c r="BO134" s="872"/>
      <c r="BP134" s="872"/>
      <c r="BS134" s="872"/>
      <c r="BT134" s="872"/>
      <c r="BU134" s="872"/>
    </row>
    <row r="135" s="860" customFormat="1" ht="13.5" spans="1:73">
      <c r="A135" s="861"/>
      <c r="E135" s="862"/>
      <c r="X135" s="864"/>
      <c r="Y135" s="865"/>
      <c r="Z135" s="865"/>
      <c r="AA135" s="866"/>
      <c r="AB135" s="867"/>
      <c r="AC135" s="868"/>
      <c r="AD135" s="866"/>
      <c r="AF135" s="869"/>
      <c r="AG135" s="869"/>
      <c r="AH135" s="870"/>
      <c r="AI135" s="871"/>
      <c r="AJ135" s="870"/>
      <c r="AK135" s="870"/>
      <c r="BN135" s="872"/>
      <c r="BO135" s="872"/>
      <c r="BP135" s="872"/>
      <c r="BS135" s="872"/>
      <c r="BT135" s="872"/>
      <c r="BU135" s="872"/>
    </row>
    <row r="136" s="860" customFormat="1" ht="13.5" spans="1:73">
      <c r="A136" s="861"/>
      <c r="E136" s="862"/>
      <c r="X136" s="864"/>
      <c r="Y136" s="865"/>
      <c r="Z136" s="865"/>
      <c r="AA136" s="866"/>
      <c r="AB136" s="867"/>
      <c r="AC136" s="868"/>
      <c r="AD136" s="866"/>
      <c r="AF136" s="869"/>
      <c r="AG136" s="869"/>
      <c r="AH136" s="870"/>
      <c r="AI136" s="871"/>
      <c r="AJ136" s="870"/>
      <c r="AK136" s="870"/>
      <c r="BN136" s="872"/>
      <c r="BO136" s="872"/>
      <c r="BP136" s="872"/>
      <c r="BS136" s="872"/>
      <c r="BT136" s="872"/>
      <c r="BU136" s="872"/>
    </row>
    <row r="137" s="860" customFormat="1" ht="13.5" spans="1:73">
      <c r="A137" s="861"/>
      <c r="E137" s="862"/>
      <c r="X137" s="864"/>
      <c r="Y137" s="865"/>
      <c r="Z137" s="865"/>
      <c r="AA137" s="866"/>
      <c r="AB137" s="867"/>
      <c r="AC137" s="868"/>
      <c r="AD137" s="866"/>
      <c r="AF137" s="869"/>
      <c r="AG137" s="869"/>
      <c r="AH137" s="870"/>
      <c r="AI137" s="871"/>
      <c r="AJ137" s="870"/>
      <c r="AK137" s="870"/>
      <c r="BN137" s="872"/>
      <c r="BO137" s="872"/>
      <c r="BP137" s="872"/>
      <c r="BS137" s="872"/>
      <c r="BT137" s="872"/>
      <c r="BU137" s="872"/>
    </row>
    <row r="138" s="860" customFormat="1" ht="13.5" spans="1:73">
      <c r="A138" s="861"/>
      <c r="E138" s="862"/>
      <c r="X138" s="864"/>
      <c r="Y138" s="865"/>
      <c r="Z138" s="865"/>
      <c r="AA138" s="866"/>
      <c r="AB138" s="867"/>
      <c r="AC138" s="868"/>
      <c r="AD138" s="866"/>
      <c r="AF138" s="869"/>
      <c r="AG138" s="869"/>
      <c r="AH138" s="870"/>
      <c r="AI138" s="871"/>
      <c r="AJ138" s="870"/>
      <c r="AK138" s="870"/>
      <c r="BN138" s="872"/>
      <c r="BO138" s="872"/>
      <c r="BP138" s="872"/>
      <c r="BS138" s="872"/>
      <c r="BT138" s="872"/>
      <c r="BU138" s="872"/>
    </row>
    <row r="139" s="860" customFormat="1" ht="13.5" spans="1:73">
      <c r="A139" s="861"/>
      <c r="E139" s="862"/>
      <c r="X139" s="864"/>
      <c r="Y139" s="865"/>
      <c r="Z139" s="865"/>
      <c r="AA139" s="866"/>
      <c r="AB139" s="867"/>
      <c r="AC139" s="868"/>
      <c r="AD139" s="866"/>
      <c r="AF139" s="869"/>
      <c r="AG139" s="869"/>
      <c r="AH139" s="870"/>
      <c r="AI139" s="871"/>
      <c r="AJ139" s="870"/>
      <c r="AK139" s="870"/>
      <c r="BN139" s="872"/>
      <c r="BO139" s="872"/>
      <c r="BP139" s="872"/>
      <c r="BS139" s="872"/>
      <c r="BT139" s="872"/>
      <c r="BU139" s="872"/>
    </row>
    <row r="140" s="860" customFormat="1" ht="13.5" spans="1:73">
      <c r="A140" s="861"/>
      <c r="E140" s="862"/>
      <c r="X140" s="864"/>
      <c r="Y140" s="865"/>
      <c r="Z140" s="865"/>
      <c r="AA140" s="866"/>
      <c r="AB140" s="867"/>
      <c r="AC140" s="868"/>
      <c r="AD140" s="866"/>
      <c r="AF140" s="869"/>
      <c r="AG140" s="869"/>
      <c r="AH140" s="870"/>
      <c r="AI140" s="871"/>
      <c r="AJ140" s="870"/>
      <c r="AK140" s="870"/>
      <c r="BN140" s="872"/>
      <c r="BO140" s="872"/>
      <c r="BP140" s="872"/>
      <c r="BS140" s="872"/>
      <c r="BT140" s="872"/>
      <c r="BU140" s="872"/>
    </row>
    <row r="141" s="860" customFormat="1" ht="13.5" spans="1:73">
      <c r="A141" s="861"/>
      <c r="E141" s="862"/>
      <c r="X141" s="864"/>
      <c r="Y141" s="865"/>
      <c r="Z141" s="865"/>
      <c r="AA141" s="866"/>
      <c r="AB141" s="867"/>
      <c r="AC141" s="868"/>
      <c r="AD141" s="866"/>
      <c r="AF141" s="869"/>
      <c r="AG141" s="869"/>
      <c r="AH141" s="870"/>
      <c r="AI141" s="871"/>
      <c r="AJ141" s="870"/>
      <c r="AK141" s="870"/>
      <c r="BN141" s="872"/>
      <c r="BO141" s="872"/>
      <c r="BP141" s="872"/>
      <c r="BS141" s="872"/>
      <c r="BT141" s="872"/>
      <c r="BU141" s="872"/>
    </row>
    <row r="142" s="860" customFormat="1" ht="13.5" spans="1:73">
      <c r="A142" s="861"/>
      <c r="E142" s="862"/>
      <c r="X142" s="864"/>
      <c r="Y142" s="865"/>
      <c r="Z142" s="865"/>
      <c r="AA142" s="866"/>
      <c r="AB142" s="867"/>
      <c r="AC142" s="868"/>
      <c r="AD142" s="866"/>
      <c r="AF142" s="869"/>
      <c r="AG142" s="869"/>
      <c r="AH142" s="870"/>
      <c r="AI142" s="871"/>
      <c r="AJ142" s="870"/>
      <c r="AK142" s="870"/>
      <c r="BN142" s="872"/>
      <c r="BO142" s="872"/>
      <c r="BP142" s="872"/>
      <c r="BS142" s="872"/>
      <c r="BT142" s="872"/>
      <c r="BU142" s="872"/>
    </row>
    <row r="143" s="860" customFormat="1" ht="13.5" spans="1:73">
      <c r="A143" s="861"/>
      <c r="E143" s="862"/>
      <c r="X143" s="864"/>
      <c r="Y143" s="865"/>
      <c r="Z143" s="865"/>
      <c r="AA143" s="866"/>
      <c r="AB143" s="867"/>
      <c r="AC143" s="868"/>
      <c r="AD143" s="866"/>
      <c r="AF143" s="869"/>
      <c r="AG143" s="869"/>
      <c r="AH143" s="870"/>
      <c r="AI143" s="871"/>
      <c r="AJ143" s="870"/>
      <c r="AK143" s="870"/>
      <c r="BN143" s="872"/>
      <c r="BO143" s="872"/>
      <c r="BP143" s="872"/>
      <c r="BS143" s="872"/>
      <c r="BT143" s="872"/>
      <c r="BU143" s="872"/>
    </row>
    <row r="144" s="860" customFormat="1" ht="13.5" spans="1:73">
      <c r="A144" s="861"/>
      <c r="E144" s="862"/>
      <c r="X144" s="864"/>
      <c r="Y144" s="865"/>
      <c r="Z144" s="865"/>
      <c r="AA144" s="866"/>
      <c r="AB144" s="867"/>
      <c r="AC144" s="868"/>
      <c r="AD144" s="866"/>
      <c r="AF144" s="869"/>
      <c r="AG144" s="869"/>
      <c r="AH144" s="870"/>
      <c r="AI144" s="871"/>
      <c r="AJ144" s="870"/>
      <c r="AK144" s="870"/>
      <c r="BN144" s="872"/>
      <c r="BO144" s="872"/>
      <c r="BP144" s="872"/>
      <c r="BS144" s="872"/>
      <c r="BT144" s="872"/>
      <c r="BU144" s="872"/>
    </row>
    <row r="145" s="860" customFormat="1" ht="13.5" spans="1:73">
      <c r="A145" s="861"/>
      <c r="E145" s="862"/>
      <c r="X145" s="864"/>
      <c r="Y145" s="865"/>
      <c r="Z145" s="865"/>
      <c r="AA145" s="866"/>
      <c r="AB145" s="867"/>
      <c r="AC145" s="868"/>
      <c r="AD145" s="866"/>
      <c r="AF145" s="869"/>
      <c r="AG145" s="869"/>
      <c r="AH145" s="870"/>
      <c r="AI145" s="871"/>
      <c r="AJ145" s="870"/>
      <c r="AK145" s="870"/>
      <c r="BN145" s="872"/>
      <c r="BO145" s="872"/>
      <c r="BP145" s="872"/>
      <c r="BS145" s="872"/>
      <c r="BT145" s="872"/>
      <c r="BU145" s="872"/>
    </row>
    <row r="146" s="860" customFormat="1" ht="13.5" spans="1:73">
      <c r="A146" s="861"/>
      <c r="E146" s="862"/>
      <c r="X146" s="864"/>
      <c r="Y146" s="865"/>
      <c r="Z146" s="865"/>
      <c r="AA146" s="866"/>
      <c r="AB146" s="867"/>
      <c r="AC146" s="868"/>
      <c r="AD146" s="866"/>
      <c r="AF146" s="869"/>
      <c r="AG146" s="869"/>
      <c r="AH146" s="870"/>
      <c r="AI146" s="871"/>
      <c r="AJ146" s="870"/>
      <c r="AK146" s="870"/>
      <c r="BN146" s="872"/>
      <c r="BO146" s="872"/>
      <c r="BP146" s="872"/>
      <c r="BS146" s="872"/>
      <c r="BT146" s="872"/>
      <c r="BU146" s="872"/>
    </row>
    <row r="147" s="860" customFormat="1" ht="13.5" spans="1:73">
      <c r="A147" s="861"/>
      <c r="E147" s="862"/>
      <c r="X147" s="864"/>
      <c r="Y147" s="865"/>
      <c r="Z147" s="865"/>
      <c r="AA147" s="866"/>
      <c r="AB147" s="867"/>
      <c r="AC147" s="868"/>
      <c r="AD147" s="866"/>
      <c r="AF147" s="869"/>
      <c r="AG147" s="869"/>
      <c r="AH147" s="870"/>
      <c r="AI147" s="871"/>
      <c r="AJ147" s="870"/>
      <c r="AK147" s="870"/>
      <c r="BN147" s="872"/>
      <c r="BO147" s="872"/>
      <c r="BP147" s="872"/>
      <c r="BS147" s="872"/>
      <c r="BT147" s="872"/>
      <c r="BU147" s="872"/>
    </row>
    <row r="148" s="860" customFormat="1" ht="13.5" spans="1:73">
      <c r="A148" s="861"/>
      <c r="E148" s="862"/>
      <c r="X148" s="864"/>
      <c r="Y148" s="865"/>
      <c r="Z148" s="865"/>
      <c r="AA148" s="866"/>
      <c r="AB148" s="867"/>
      <c r="AC148" s="868"/>
      <c r="AD148" s="866"/>
      <c r="AF148" s="869"/>
      <c r="AG148" s="869"/>
      <c r="AH148" s="870"/>
      <c r="AI148" s="871"/>
      <c r="AJ148" s="870"/>
      <c r="AK148" s="870"/>
      <c r="BN148" s="872"/>
      <c r="BO148" s="872"/>
      <c r="BP148" s="872"/>
      <c r="BS148" s="872"/>
      <c r="BT148" s="872"/>
      <c r="BU148" s="872"/>
    </row>
    <row r="149" s="860" customFormat="1" ht="13.5" spans="1:73">
      <c r="A149" s="861"/>
      <c r="E149" s="862"/>
      <c r="X149" s="864"/>
      <c r="Y149" s="865"/>
      <c r="Z149" s="865"/>
      <c r="AA149" s="866"/>
      <c r="AB149" s="867"/>
      <c r="AC149" s="868"/>
      <c r="AD149" s="866"/>
      <c r="AF149" s="869"/>
      <c r="AG149" s="869"/>
      <c r="AH149" s="870"/>
      <c r="AI149" s="871"/>
      <c r="AJ149" s="870"/>
      <c r="AK149" s="870"/>
      <c r="BN149" s="872"/>
      <c r="BO149" s="872"/>
      <c r="BP149" s="872"/>
      <c r="BS149" s="872"/>
      <c r="BT149" s="872"/>
      <c r="BU149" s="872"/>
    </row>
    <row r="150" s="860" customFormat="1" ht="13.5" spans="1:73">
      <c r="A150" s="861"/>
      <c r="E150" s="862"/>
      <c r="X150" s="864"/>
      <c r="Y150" s="865"/>
      <c r="Z150" s="865"/>
      <c r="AA150" s="866"/>
      <c r="AB150" s="867"/>
      <c r="AC150" s="868"/>
      <c r="AD150" s="866"/>
      <c r="AF150" s="869"/>
      <c r="AG150" s="869"/>
      <c r="AH150" s="870"/>
      <c r="AI150" s="871"/>
      <c r="AJ150" s="870"/>
      <c r="AK150" s="870"/>
      <c r="BN150" s="872"/>
      <c r="BO150" s="872"/>
      <c r="BP150" s="872"/>
      <c r="BS150" s="872"/>
      <c r="BT150" s="872"/>
      <c r="BU150" s="872"/>
    </row>
    <row r="151" s="860" customFormat="1" ht="13.5" spans="1:73">
      <c r="A151" s="861"/>
      <c r="E151" s="862"/>
      <c r="X151" s="864"/>
      <c r="Y151" s="865"/>
      <c r="Z151" s="865"/>
      <c r="AA151" s="866"/>
      <c r="AB151" s="867"/>
      <c r="AC151" s="868"/>
      <c r="AD151" s="866"/>
      <c r="AF151" s="869"/>
      <c r="AG151" s="869"/>
      <c r="AH151" s="870"/>
      <c r="AI151" s="871"/>
      <c r="AJ151" s="870"/>
      <c r="AK151" s="870"/>
      <c r="BN151" s="872"/>
      <c r="BO151" s="872"/>
      <c r="BP151" s="872"/>
      <c r="BS151" s="872"/>
      <c r="BT151" s="872"/>
      <c r="BU151" s="872"/>
    </row>
    <row r="152" s="860" customFormat="1" ht="13.5" spans="1:73">
      <c r="A152" s="861"/>
      <c r="E152" s="862"/>
      <c r="X152" s="864"/>
      <c r="Y152" s="865"/>
      <c r="Z152" s="865"/>
      <c r="AA152" s="866"/>
      <c r="AB152" s="867"/>
      <c r="AC152" s="868"/>
      <c r="AD152" s="866"/>
      <c r="AF152" s="869"/>
      <c r="AG152" s="869"/>
      <c r="AH152" s="870"/>
      <c r="AI152" s="871"/>
      <c r="AJ152" s="870"/>
      <c r="AK152" s="870"/>
      <c r="BN152" s="872"/>
      <c r="BO152" s="872"/>
      <c r="BP152" s="872"/>
      <c r="BS152" s="872"/>
      <c r="BT152" s="872"/>
      <c r="BU152" s="872"/>
    </row>
    <row r="153" s="860" customFormat="1" ht="13.5" spans="1:73">
      <c r="A153" s="861"/>
      <c r="E153" s="862"/>
      <c r="X153" s="864"/>
      <c r="Y153" s="865"/>
      <c r="Z153" s="865"/>
      <c r="AA153" s="866"/>
      <c r="AB153" s="867"/>
      <c r="AC153" s="868"/>
      <c r="AD153" s="866"/>
      <c r="AF153" s="869"/>
      <c r="AG153" s="869"/>
      <c r="AH153" s="870"/>
      <c r="AI153" s="871"/>
      <c r="AJ153" s="870"/>
      <c r="AK153" s="870"/>
      <c r="BN153" s="872"/>
      <c r="BO153" s="872"/>
      <c r="BP153" s="872"/>
      <c r="BS153" s="872"/>
      <c r="BT153" s="872"/>
      <c r="BU153" s="872"/>
    </row>
    <row r="154" s="860" customFormat="1" ht="13.5" spans="1:73">
      <c r="A154" s="861"/>
      <c r="E154" s="862"/>
      <c r="X154" s="864"/>
      <c r="Y154" s="865"/>
      <c r="Z154" s="865"/>
      <c r="AA154" s="866"/>
      <c r="AB154" s="867"/>
      <c r="AC154" s="868"/>
      <c r="AD154" s="866"/>
      <c r="AF154" s="869"/>
      <c r="AG154" s="869"/>
      <c r="AH154" s="870"/>
      <c r="AI154" s="871"/>
      <c r="AJ154" s="870"/>
      <c r="AK154" s="870"/>
      <c r="BN154" s="872"/>
      <c r="BO154" s="872"/>
      <c r="BP154" s="872"/>
      <c r="BS154" s="872"/>
      <c r="BT154" s="872"/>
      <c r="BU154" s="872"/>
    </row>
    <row r="155" s="860" customFormat="1" ht="13.5" spans="1:73">
      <c r="A155" s="861"/>
      <c r="E155" s="862"/>
      <c r="X155" s="864"/>
      <c r="Y155" s="865"/>
      <c r="Z155" s="865"/>
      <c r="AA155" s="866"/>
      <c r="AB155" s="867"/>
      <c r="AC155" s="868"/>
      <c r="AD155" s="866"/>
      <c r="AF155" s="869"/>
      <c r="AG155" s="869"/>
      <c r="AH155" s="870"/>
      <c r="AI155" s="871"/>
      <c r="AJ155" s="870"/>
      <c r="AK155" s="870"/>
      <c r="BN155" s="872"/>
      <c r="BO155" s="872"/>
      <c r="BP155" s="872"/>
      <c r="BS155" s="872"/>
      <c r="BT155" s="872"/>
      <c r="BU155" s="872"/>
    </row>
    <row r="156" s="860" customFormat="1" ht="13.5" spans="1:73">
      <c r="A156" s="861"/>
      <c r="E156" s="862"/>
      <c r="X156" s="864"/>
      <c r="Y156" s="865"/>
      <c r="Z156" s="865"/>
      <c r="AA156" s="866"/>
      <c r="AB156" s="867"/>
      <c r="AC156" s="868"/>
      <c r="AD156" s="866"/>
      <c r="AF156" s="869"/>
      <c r="AG156" s="869"/>
      <c r="AH156" s="870"/>
      <c r="AI156" s="871"/>
      <c r="AJ156" s="870"/>
      <c r="AK156" s="870"/>
      <c r="BN156" s="872"/>
      <c r="BO156" s="872"/>
      <c r="BP156" s="872"/>
      <c r="BS156" s="872"/>
      <c r="BT156" s="872"/>
      <c r="BU156" s="872"/>
    </row>
    <row r="157" s="860" customFormat="1" ht="13.5" spans="1:73">
      <c r="A157" s="861"/>
      <c r="E157" s="862"/>
      <c r="X157" s="864"/>
      <c r="Y157" s="865"/>
      <c r="Z157" s="865"/>
      <c r="AA157" s="866"/>
      <c r="AB157" s="867"/>
      <c r="AC157" s="868"/>
      <c r="AD157" s="866"/>
      <c r="AF157" s="869"/>
      <c r="AG157" s="869"/>
      <c r="AH157" s="870"/>
      <c r="AI157" s="871"/>
      <c r="AJ157" s="870"/>
      <c r="AK157" s="870"/>
      <c r="BN157" s="872"/>
      <c r="BO157" s="872"/>
      <c r="BP157" s="872"/>
      <c r="BS157" s="872"/>
      <c r="BT157" s="872"/>
      <c r="BU157" s="872"/>
    </row>
    <row r="158" s="860" customFormat="1" ht="13.5" spans="1:73">
      <c r="A158" s="861"/>
      <c r="E158" s="862"/>
      <c r="X158" s="864"/>
      <c r="Y158" s="865"/>
      <c r="Z158" s="865"/>
      <c r="AA158" s="866"/>
      <c r="AB158" s="867"/>
      <c r="AC158" s="868"/>
      <c r="AD158" s="866"/>
      <c r="AF158" s="869"/>
      <c r="AG158" s="869"/>
      <c r="AH158" s="870"/>
      <c r="AI158" s="871"/>
      <c r="AJ158" s="870"/>
      <c r="AK158" s="870"/>
      <c r="BN158" s="872"/>
      <c r="BO158" s="872"/>
      <c r="BP158" s="872"/>
      <c r="BS158" s="872"/>
      <c r="BT158" s="872"/>
      <c r="BU158" s="872"/>
    </row>
    <row r="159" s="860" customFormat="1" ht="13.5" spans="1:73">
      <c r="A159" s="861"/>
      <c r="E159" s="862"/>
      <c r="X159" s="864"/>
      <c r="Y159" s="865"/>
      <c r="Z159" s="865"/>
      <c r="AA159" s="866"/>
      <c r="AB159" s="867"/>
      <c r="AC159" s="868"/>
      <c r="AD159" s="866"/>
      <c r="AF159" s="869"/>
      <c r="AG159" s="869"/>
      <c r="AH159" s="870"/>
      <c r="AI159" s="871"/>
      <c r="AJ159" s="870"/>
      <c r="AK159" s="870"/>
      <c r="BN159" s="872"/>
      <c r="BO159" s="872"/>
      <c r="BP159" s="872"/>
      <c r="BS159" s="872"/>
      <c r="BT159" s="872"/>
      <c r="BU159" s="872"/>
    </row>
    <row r="160" s="860" customFormat="1" ht="13.5" spans="1:73">
      <c r="A160" s="861"/>
      <c r="E160" s="862"/>
      <c r="X160" s="864"/>
      <c r="Y160" s="865"/>
      <c r="Z160" s="865"/>
      <c r="AA160" s="866"/>
      <c r="AB160" s="867"/>
      <c r="AC160" s="868"/>
      <c r="AD160" s="866"/>
      <c r="AF160" s="869"/>
      <c r="AG160" s="869"/>
      <c r="AH160" s="870"/>
      <c r="AI160" s="871"/>
      <c r="AJ160" s="870"/>
      <c r="AK160" s="870"/>
      <c r="BN160" s="872"/>
      <c r="BO160" s="872"/>
      <c r="BP160" s="872"/>
      <c r="BS160" s="872"/>
      <c r="BT160" s="872"/>
      <c r="BU160" s="872"/>
    </row>
    <row r="161" s="860" customFormat="1" ht="13.5" spans="1:73">
      <c r="A161" s="861"/>
      <c r="E161" s="862"/>
      <c r="X161" s="864"/>
      <c r="Y161" s="865"/>
      <c r="Z161" s="865"/>
      <c r="AA161" s="866"/>
      <c r="AB161" s="867"/>
      <c r="AC161" s="868"/>
      <c r="AD161" s="866"/>
      <c r="AF161" s="869"/>
      <c r="AG161" s="869"/>
      <c r="AH161" s="870"/>
      <c r="AI161" s="871"/>
      <c r="AJ161" s="870"/>
      <c r="AK161" s="870"/>
      <c r="BN161" s="872"/>
      <c r="BO161" s="872"/>
      <c r="BP161" s="872"/>
      <c r="BS161" s="872"/>
      <c r="BT161" s="872"/>
      <c r="BU161" s="872"/>
    </row>
    <row r="162" s="860" customFormat="1" ht="13.5" spans="1:73">
      <c r="A162" s="861"/>
      <c r="E162" s="862"/>
      <c r="X162" s="864"/>
      <c r="Y162" s="865"/>
      <c r="Z162" s="865"/>
      <c r="AA162" s="866"/>
      <c r="AB162" s="867"/>
      <c r="AC162" s="868"/>
      <c r="AD162" s="866"/>
      <c r="AF162" s="869"/>
      <c r="AG162" s="869"/>
      <c r="AH162" s="870"/>
      <c r="AI162" s="871"/>
      <c r="AJ162" s="870"/>
      <c r="AK162" s="870"/>
      <c r="BN162" s="872"/>
      <c r="BO162" s="872"/>
      <c r="BP162" s="872"/>
      <c r="BS162" s="872"/>
      <c r="BT162" s="872"/>
      <c r="BU162" s="872"/>
    </row>
    <row r="163" s="860" customFormat="1" ht="13.5" spans="1:73">
      <c r="A163" s="861"/>
      <c r="E163" s="862"/>
      <c r="X163" s="864"/>
      <c r="Y163" s="865"/>
      <c r="Z163" s="865"/>
      <c r="AA163" s="866"/>
      <c r="AB163" s="867"/>
      <c r="AC163" s="868"/>
      <c r="AD163" s="866"/>
      <c r="AF163" s="869"/>
      <c r="AG163" s="869"/>
      <c r="AH163" s="870"/>
      <c r="AI163" s="871"/>
      <c r="AJ163" s="870"/>
      <c r="AK163" s="870"/>
      <c r="BN163" s="872"/>
      <c r="BO163" s="872"/>
      <c r="BP163" s="872"/>
      <c r="BS163" s="872"/>
      <c r="BT163" s="872"/>
      <c r="BU163" s="872"/>
    </row>
    <row r="164" s="860" customFormat="1" ht="13.5" spans="1:73">
      <c r="A164" s="861"/>
      <c r="E164" s="862"/>
      <c r="X164" s="864"/>
      <c r="Y164" s="865"/>
      <c r="Z164" s="865"/>
      <c r="AA164" s="866"/>
      <c r="AB164" s="867"/>
      <c r="AC164" s="868"/>
      <c r="AD164" s="866"/>
      <c r="AF164" s="869"/>
      <c r="AG164" s="869"/>
      <c r="AH164" s="870"/>
      <c r="AI164" s="871"/>
      <c r="AJ164" s="870"/>
      <c r="AK164" s="870"/>
      <c r="BN164" s="872"/>
      <c r="BO164" s="872"/>
      <c r="BP164" s="872"/>
      <c r="BS164" s="872"/>
      <c r="BT164" s="872"/>
      <c r="BU164" s="872"/>
    </row>
    <row r="165" s="860" customFormat="1" ht="13.5" spans="1:73">
      <c r="A165" s="861"/>
      <c r="E165" s="862"/>
      <c r="X165" s="864"/>
      <c r="Y165" s="865"/>
      <c r="Z165" s="865"/>
      <c r="AA165" s="866"/>
      <c r="AB165" s="867"/>
      <c r="AC165" s="868"/>
      <c r="AD165" s="866"/>
      <c r="AF165" s="869"/>
      <c r="AG165" s="869"/>
      <c r="AH165" s="870"/>
      <c r="AI165" s="871"/>
      <c r="AJ165" s="870"/>
      <c r="AK165" s="870"/>
      <c r="BN165" s="872"/>
      <c r="BO165" s="872"/>
      <c r="BP165" s="872"/>
      <c r="BS165" s="872"/>
      <c r="BT165" s="872"/>
      <c r="BU165" s="872"/>
    </row>
    <row r="166" s="860" customFormat="1" ht="13.5" spans="1:73">
      <c r="A166" s="861"/>
      <c r="E166" s="862"/>
      <c r="X166" s="864"/>
      <c r="Y166" s="865"/>
      <c r="Z166" s="865"/>
      <c r="AA166" s="866"/>
      <c r="AB166" s="867"/>
      <c r="AC166" s="868"/>
      <c r="AD166" s="866"/>
      <c r="AF166" s="869"/>
      <c r="AG166" s="869"/>
      <c r="AH166" s="870"/>
      <c r="AI166" s="871"/>
      <c r="AJ166" s="870"/>
      <c r="AK166" s="870"/>
      <c r="BN166" s="872"/>
      <c r="BO166" s="872"/>
      <c r="BP166" s="872"/>
      <c r="BS166" s="872"/>
      <c r="BT166" s="872"/>
      <c r="BU166" s="872"/>
    </row>
    <row r="167" s="860" customFormat="1" ht="13.5" spans="1:73">
      <c r="A167" s="861"/>
      <c r="E167" s="862"/>
      <c r="X167" s="864"/>
      <c r="Y167" s="865"/>
      <c r="Z167" s="865"/>
      <c r="AA167" s="866"/>
      <c r="AB167" s="867"/>
      <c r="AC167" s="868"/>
      <c r="AD167" s="866"/>
      <c r="AF167" s="869"/>
      <c r="AG167" s="869"/>
      <c r="AH167" s="870"/>
      <c r="AI167" s="871"/>
      <c r="AJ167" s="870"/>
      <c r="AK167" s="870"/>
      <c r="BN167" s="872"/>
      <c r="BO167" s="872"/>
      <c r="BP167" s="872"/>
      <c r="BS167" s="872"/>
      <c r="BT167" s="872"/>
      <c r="BU167" s="872"/>
    </row>
    <row r="168" s="860" customFormat="1" ht="13.5" spans="1:73">
      <c r="A168" s="861"/>
      <c r="E168" s="862"/>
      <c r="X168" s="864"/>
      <c r="Y168" s="865"/>
      <c r="Z168" s="865"/>
      <c r="AA168" s="866"/>
      <c r="AB168" s="867"/>
      <c r="AC168" s="868"/>
      <c r="AD168" s="866"/>
      <c r="AF168" s="869"/>
      <c r="AG168" s="869"/>
      <c r="AH168" s="870"/>
      <c r="AI168" s="871"/>
      <c r="AJ168" s="870"/>
      <c r="AK168" s="870"/>
      <c r="BN168" s="872"/>
      <c r="BO168" s="872"/>
      <c r="BP168" s="872"/>
      <c r="BS168" s="872"/>
      <c r="BT168" s="872"/>
      <c r="BU168" s="872"/>
    </row>
    <row r="169" s="860" customFormat="1" ht="13.5" spans="1:73">
      <c r="A169" s="861"/>
      <c r="E169" s="862"/>
      <c r="X169" s="864"/>
      <c r="Y169" s="865"/>
      <c r="Z169" s="865"/>
      <c r="AA169" s="866"/>
      <c r="AB169" s="867"/>
      <c r="AC169" s="868"/>
      <c r="AD169" s="866"/>
      <c r="AF169" s="869"/>
      <c r="AG169" s="869"/>
      <c r="AH169" s="870"/>
      <c r="AI169" s="871"/>
      <c r="AJ169" s="870"/>
      <c r="AK169" s="870"/>
      <c r="BN169" s="872"/>
      <c r="BO169" s="872"/>
      <c r="BP169" s="872"/>
      <c r="BS169" s="872"/>
      <c r="BT169" s="872"/>
      <c r="BU169" s="872"/>
    </row>
    <row r="170" s="860" customFormat="1" ht="13.5" spans="1:73">
      <c r="A170" s="861"/>
      <c r="E170" s="862"/>
      <c r="X170" s="864"/>
      <c r="Y170" s="865"/>
      <c r="Z170" s="865"/>
      <c r="AA170" s="866"/>
      <c r="AB170" s="867"/>
      <c r="AC170" s="868"/>
      <c r="AD170" s="866"/>
      <c r="AF170" s="869"/>
      <c r="AG170" s="869"/>
      <c r="AH170" s="870"/>
      <c r="AI170" s="871"/>
      <c r="AJ170" s="870"/>
      <c r="AK170" s="870"/>
      <c r="BN170" s="872"/>
      <c r="BO170" s="872"/>
      <c r="BP170" s="872"/>
      <c r="BS170" s="872"/>
      <c r="BT170" s="872"/>
      <c r="BU170" s="872"/>
    </row>
    <row r="171" s="860" customFormat="1" ht="13.5" spans="1:73">
      <c r="A171" s="861"/>
      <c r="E171" s="862"/>
      <c r="X171" s="864"/>
      <c r="Y171" s="865"/>
      <c r="Z171" s="865"/>
      <c r="AA171" s="866"/>
      <c r="AB171" s="867"/>
      <c r="AC171" s="868"/>
      <c r="AD171" s="866"/>
      <c r="AF171" s="869"/>
      <c r="AG171" s="869"/>
      <c r="AH171" s="870"/>
      <c r="AI171" s="871"/>
      <c r="AJ171" s="870"/>
      <c r="AK171" s="870"/>
      <c r="BN171" s="872"/>
      <c r="BO171" s="872"/>
      <c r="BP171" s="872"/>
      <c r="BS171" s="872"/>
      <c r="BT171" s="872"/>
      <c r="BU171" s="872"/>
    </row>
    <row r="172" s="860" customFormat="1" ht="13.5" spans="1:73">
      <c r="A172" s="861"/>
      <c r="E172" s="862"/>
      <c r="X172" s="864"/>
      <c r="Y172" s="865"/>
      <c r="Z172" s="865"/>
      <c r="AA172" s="866"/>
      <c r="AB172" s="867"/>
      <c r="AC172" s="868"/>
      <c r="AD172" s="866"/>
      <c r="AF172" s="869"/>
      <c r="AG172" s="869"/>
      <c r="AH172" s="870"/>
      <c r="AI172" s="871"/>
      <c r="AJ172" s="870"/>
      <c r="AK172" s="870"/>
      <c r="BN172" s="872"/>
      <c r="BO172" s="872"/>
      <c r="BP172" s="872"/>
      <c r="BS172" s="872"/>
      <c r="BT172" s="872"/>
      <c r="BU172" s="872"/>
    </row>
    <row r="173" s="860" customFormat="1" ht="13.5" spans="1:73">
      <c r="A173" s="861"/>
      <c r="E173" s="862"/>
      <c r="X173" s="864"/>
      <c r="Y173" s="865"/>
      <c r="Z173" s="865"/>
      <c r="AA173" s="866"/>
      <c r="AB173" s="867"/>
      <c r="AC173" s="868"/>
      <c r="AD173" s="866"/>
      <c r="AF173" s="869"/>
      <c r="AG173" s="869"/>
      <c r="AH173" s="870"/>
      <c r="AI173" s="871"/>
      <c r="AJ173" s="870"/>
      <c r="AK173" s="870"/>
      <c r="BN173" s="872"/>
      <c r="BO173" s="872"/>
      <c r="BP173" s="872"/>
      <c r="BS173" s="872"/>
      <c r="BT173" s="872"/>
      <c r="BU173" s="872"/>
    </row>
    <row r="174" s="860" customFormat="1" ht="13.5" spans="1:73">
      <c r="A174" s="861"/>
      <c r="E174" s="862"/>
      <c r="X174" s="864"/>
      <c r="Y174" s="865"/>
      <c r="Z174" s="865"/>
      <c r="AA174" s="866"/>
      <c r="AB174" s="867"/>
      <c r="AC174" s="868"/>
      <c r="AD174" s="866"/>
      <c r="AF174" s="869"/>
      <c r="AG174" s="869"/>
      <c r="AH174" s="870"/>
      <c r="AI174" s="871"/>
      <c r="AJ174" s="870"/>
      <c r="AK174" s="870"/>
      <c r="BN174" s="872"/>
      <c r="BO174" s="872"/>
      <c r="BP174" s="872"/>
      <c r="BS174" s="872"/>
      <c r="BT174" s="872"/>
      <c r="BU174" s="872"/>
    </row>
    <row r="175" s="860" customFormat="1" ht="13.5" spans="1:73">
      <c r="A175" s="861"/>
      <c r="E175" s="862"/>
      <c r="X175" s="864"/>
      <c r="Y175" s="865"/>
      <c r="Z175" s="865"/>
      <c r="AA175" s="866"/>
      <c r="AB175" s="867"/>
      <c r="AC175" s="868"/>
      <c r="AD175" s="866"/>
      <c r="AF175" s="869"/>
      <c r="AG175" s="869"/>
      <c r="AH175" s="870"/>
      <c r="AI175" s="871"/>
      <c r="AJ175" s="870"/>
      <c r="AK175" s="870"/>
      <c r="BN175" s="872"/>
      <c r="BO175" s="872"/>
      <c r="BP175" s="872"/>
      <c r="BS175" s="872"/>
      <c r="BT175" s="872"/>
      <c r="BU175" s="872"/>
    </row>
    <row r="176" s="860" customFormat="1" ht="13.5" spans="1:73">
      <c r="A176" s="861"/>
      <c r="E176" s="862"/>
      <c r="X176" s="864"/>
      <c r="Y176" s="865"/>
      <c r="Z176" s="865"/>
      <c r="AA176" s="866"/>
      <c r="AB176" s="867"/>
      <c r="AC176" s="868"/>
      <c r="AD176" s="866"/>
      <c r="AF176" s="869"/>
      <c r="AG176" s="869"/>
      <c r="AH176" s="870"/>
      <c r="AI176" s="871"/>
      <c r="AJ176" s="870"/>
      <c r="AK176" s="870"/>
      <c r="BN176" s="872"/>
      <c r="BO176" s="872"/>
      <c r="BP176" s="872"/>
      <c r="BS176" s="872"/>
      <c r="BT176" s="872"/>
      <c r="BU176" s="872"/>
    </row>
    <row r="177" s="860" customFormat="1" ht="13.5" spans="1:73">
      <c r="A177" s="861"/>
      <c r="E177" s="862"/>
      <c r="X177" s="864"/>
      <c r="Y177" s="865"/>
      <c r="Z177" s="865"/>
      <c r="AA177" s="866"/>
      <c r="AB177" s="867"/>
      <c r="AC177" s="868"/>
      <c r="AD177" s="866"/>
      <c r="AF177" s="869"/>
      <c r="AG177" s="869"/>
      <c r="AH177" s="870"/>
      <c r="AI177" s="871"/>
      <c r="AJ177" s="870"/>
      <c r="AK177" s="870"/>
      <c r="BN177" s="872"/>
      <c r="BO177" s="872"/>
      <c r="BP177" s="872"/>
      <c r="BS177" s="872"/>
      <c r="BT177" s="872"/>
      <c r="BU177" s="872"/>
    </row>
    <row r="178" s="860" customFormat="1" ht="13.5" spans="1:73">
      <c r="A178" s="861"/>
      <c r="E178" s="862"/>
      <c r="X178" s="864"/>
      <c r="Y178" s="865"/>
      <c r="Z178" s="865"/>
      <c r="AA178" s="866"/>
      <c r="AB178" s="867"/>
      <c r="AC178" s="868"/>
      <c r="AD178" s="866"/>
      <c r="AF178" s="869"/>
      <c r="AG178" s="869"/>
      <c r="AH178" s="870"/>
      <c r="AI178" s="871"/>
      <c r="AJ178" s="870"/>
      <c r="AK178" s="870"/>
      <c r="BN178" s="872"/>
      <c r="BO178" s="872"/>
      <c r="BP178" s="872"/>
      <c r="BS178" s="872"/>
      <c r="BT178" s="872"/>
      <c r="BU178" s="872"/>
    </row>
    <row r="179" s="860" customFormat="1" ht="13.5" spans="1:73">
      <c r="A179" s="861"/>
      <c r="E179" s="862"/>
      <c r="X179" s="864"/>
      <c r="Y179" s="865"/>
      <c r="Z179" s="865"/>
      <c r="AA179" s="866"/>
      <c r="AB179" s="867"/>
      <c r="AC179" s="868"/>
      <c r="AD179" s="866"/>
      <c r="AF179" s="869"/>
      <c r="AG179" s="869"/>
      <c r="AH179" s="870"/>
      <c r="AI179" s="871"/>
      <c r="AJ179" s="870"/>
      <c r="AK179" s="870"/>
      <c r="BN179" s="872"/>
      <c r="BO179" s="872"/>
      <c r="BP179" s="872"/>
      <c r="BS179" s="872"/>
      <c r="BT179" s="872"/>
      <c r="BU179" s="872"/>
    </row>
    <row r="180" s="860" customFormat="1" ht="13.5" spans="1:73">
      <c r="A180" s="861"/>
      <c r="E180" s="862"/>
      <c r="X180" s="864"/>
      <c r="Y180" s="865"/>
      <c r="Z180" s="865"/>
      <c r="AA180" s="866"/>
      <c r="AB180" s="867"/>
      <c r="AC180" s="868"/>
      <c r="AD180" s="866"/>
      <c r="AF180" s="869"/>
      <c r="AG180" s="869"/>
      <c r="AH180" s="870"/>
      <c r="AI180" s="871"/>
      <c r="AJ180" s="870"/>
      <c r="AK180" s="870"/>
      <c r="BN180" s="872"/>
      <c r="BO180" s="872"/>
      <c r="BP180" s="872"/>
      <c r="BS180" s="872"/>
      <c r="BT180" s="872"/>
      <c r="BU180" s="872"/>
    </row>
    <row r="181" s="860" customFormat="1" ht="13.5" spans="1:73">
      <c r="A181" s="861"/>
      <c r="E181" s="862"/>
      <c r="X181" s="864"/>
      <c r="Y181" s="865"/>
      <c r="Z181" s="865"/>
      <c r="AA181" s="866"/>
      <c r="AB181" s="867"/>
      <c r="AC181" s="868"/>
      <c r="AD181" s="866"/>
      <c r="AF181" s="869"/>
      <c r="AG181" s="869"/>
      <c r="AH181" s="870"/>
      <c r="AI181" s="871"/>
      <c r="AJ181" s="870"/>
      <c r="AK181" s="870"/>
      <c r="BN181" s="872"/>
      <c r="BO181" s="872"/>
      <c r="BP181" s="872"/>
      <c r="BS181" s="872"/>
      <c r="BT181" s="872"/>
      <c r="BU181" s="872"/>
    </row>
    <row r="182" s="860" customFormat="1" ht="13.5" spans="1:73">
      <c r="A182" s="861"/>
      <c r="E182" s="862"/>
      <c r="X182" s="864"/>
      <c r="Y182" s="865"/>
      <c r="Z182" s="865"/>
      <c r="AA182" s="866"/>
      <c r="AB182" s="867"/>
      <c r="AC182" s="868"/>
      <c r="AD182" s="866"/>
      <c r="AF182" s="869"/>
      <c r="AG182" s="869"/>
      <c r="AH182" s="870"/>
      <c r="AI182" s="871"/>
      <c r="AJ182" s="870"/>
      <c r="AK182" s="870"/>
      <c r="BN182" s="872"/>
      <c r="BO182" s="872"/>
      <c r="BP182" s="872"/>
      <c r="BS182" s="872"/>
      <c r="BT182" s="872"/>
      <c r="BU182" s="872"/>
    </row>
    <row r="183" s="860" customFormat="1" ht="13.5" spans="1:73">
      <c r="A183" s="861"/>
      <c r="E183" s="862"/>
      <c r="X183" s="864"/>
      <c r="Y183" s="865"/>
      <c r="Z183" s="865"/>
      <c r="AA183" s="866"/>
      <c r="AB183" s="867"/>
      <c r="AC183" s="868"/>
      <c r="AD183" s="866"/>
      <c r="AF183" s="869"/>
      <c r="AG183" s="869"/>
      <c r="AH183" s="870"/>
      <c r="AI183" s="871"/>
      <c r="AJ183" s="870"/>
      <c r="AK183" s="870"/>
      <c r="BN183" s="872"/>
      <c r="BO183" s="872"/>
      <c r="BP183" s="872"/>
      <c r="BS183" s="872"/>
      <c r="BT183" s="872"/>
      <c r="BU183" s="872"/>
    </row>
    <row r="184" s="860" customFormat="1" ht="13.5" spans="1:73">
      <c r="A184" s="861"/>
      <c r="E184" s="862"/>
      <c r="X184" s="864"/>
      <c r="Y184" s="865"/>
      <c r="Z184" s="865"/>
      <c r="AA184" s="866"/>
      <c r="AB184" s="867"/>
      <c r="AC184" s="868"/>
      <c r="AD184" s="866"/>
      <c r="AF184" s="869"/>
      <c r="AG184" s="869"/>
      <c r="AH184" s="870"/>
      <c r="AI184" s="871"/>
      <c r="AJ184" s="870"/>
      <c r="AK184" s="870"/>
      <c r="BN184" s="872"/>
      <c r="BO184" s="872"/>
      <c r="BP184" s="872"/>
      <c r="BS184" s="872"/>
      <c r="BT184" s="872"/>
      <c r="BU184" s="872"/>
    </row>
    <row r="185" s="860" customFormat="1" ht="13.5" spans="1:73">
      <c r="A185" s="861"/>
      <c r="E185" s="862"/>
      <c r="X185" s="864"/>
      <c r="Y185" s="865"/>
      <c r="Z185" s="865"/>
      <c r="AA185" s="866"/>
      <c r="AB185" s="867"/>
      <c r="AC185" s="868"/>
      <c r="AD185" s="866"/>
      <c r="AF185" s="869"/>
      <c r="AG185" s="869"/>
      <c r="AH185" s="870"/>
      <c r="AI185" s="871"/>
      <c r="AJ185" s="870"/>
      <c r="AK185" s="870"/>
      <c r="BN185" s="872"/>
      <c r="BO185" s="872"/>
      <c r="BP185" s="872"/>
      <c r="BS185" s="872"/>
      <c r="BT185" s="872"/>
      <c r="BU185" s="872"/>
    </row>
    <row r="186" s="860" customFormat="1" ht="13.5" spans="1:73">
      <c r="A186" s="861"/>
      <c r="E186" s="862"/>
      <c r="X186" s="864"/>
      <c r="Y186" s="865"/>
      <c r="Z186" s="865"/>
      <c r="AA186" s="866"/>
      <c r="AB186" s="867"/>
      <c r="AC186" s="868"/>
      <c r="AD186" s="866"/>
      <c r="AF186" s="869"/>
      <c r="AG186" s="869"/>
      <c r="AH186" s="870"/>
      <c r="AI186" s="871"/>
      <c r="AJ186" s="870"/>
      <c r="AK186" s="870"/>
      <c r="BN186" s="872"/>
      <c r="BO186" s="872"/>
      <c r="BP186" s="872"/>
      <c r="BS186" s="872"/>
      <c r="BT186" s="872"/>
      <c r="BU186" s="872"/>
    </row>
    <row r="187" s="860" customFormat="1" ht="13.5" spans="1:73">
      <c r="A187" s="861"/>
      <c r="E187" s="862"/>
      <c r="X187" s="864"/>
      <c r="Y187" s="865"/>
      <c r="Z187" s="865"/>
      <c r="AA187" s="866"/>
      <c r="AB187" s="867"/>
      <c r="AC187" s="868"/>
      <c r="AD187" s="866"/>
      <c r="AF187" s="869"/>
      <c r="AG187" s="869"/>
      <c r="AH187" s="870"/>
      <c r="AI187" s="871"/>
      <c r="AJ187" s="870"/>
      <c r="AK187" s="870"/>
      <c r="BN187" s="872"/>
      <c r="BO187" s="872"/>
      <c r="BP187" s="872"/>
      <c r="BS187" s="872"/>
      <c r="BT187" s="872"/>
      <c r="BU187" s="872"/>
    </row>
    <row r="188" s="860" customFormat="1" ht="13.5" spans="1:73">
      <c r="A188" s="861"/>
      <c r="E188" s="862"/>
      <c r="X188" s="864"/>
      <c r="Y188" s="865"/>
      <c r="Z188" s="865"/>
      <c r="AA188" s="866"/>
      <c r="AB188" s="867"/>
      <c r="AC188" s="868"/>
      <c r="AD188" s="866"/>
      <c r="AF188" s="869"/>
      <c r="AG188" s="869"/>
      <c r="AH188" s="870"/>
      <c r="AI188" s="871"/>
      <c r="AJ188" s="870"/>
      <c r="AK188" s="870"/>
      <c r="BN188" s="872"/>
      <c r="BO188" s="872"/>
      <c r="BP188" s="872"/>
      <c r="BS188" s="872"/>
      <c r="BT188" s="872"/>
      <c r="BU188" s="872"/>
    </row>
    <row r="189" s="860" customFormat="1" ht="13.5" spans="1:73">
      <c r="A189" s="861"/>
      <c r="E189" s="862"/>
      <c r="X189" s="864"/>
      <c r="Y189" s="865"/>
      <c r="Z189" s="865"/>
      <c r="AA189" s="866"/>
      <c r="AB189" s="867"/>
      <c r="AC189" s="868"/>
      <c r="AD189" s="866"/>
      <c r="AF189" s="869"/>
      <c r="AG189" s="869"/>
      <c r="AH189" s="870"/>
      <c r="AI189" s="871"/>
      <c r="AJ189" s="870"/>
      <c r="AK189" s="870"/>
      <c r="BN189" s="872"/>
      <c r="BO189" s="872"/>
      <c r="BP189" s="872"/>
      <c r="BS189" s="872"/>
      <c r="BT189" s="872"/>
      <c r="BU189" s="872"/>
    </row>
    <row r="190" s="860" customFormat="1" ht="13.5" spans="1:73">
      <c r="A190" s="861"/>
      <c r="E190" s="862"/>
      <c r="X190" s="864"/>
      <c r="Y190" s="865"/>
      <c r="Z190" s="865"/>
      <c r="AA190" s="866"/>
      <c r="AB190" s="867"/>
      <c r="AC190" s="868"/>
      <c r="AD190" s="866"/>
      <c r="AF190" s="869"/>
      <c r="AG190" s="869"/>
      <c r="AH190" s="870"/>
      <c r="AI190" s="871"/>
      <c r="AJ190" s="870"/>
      <c r="AK190" s="870"/>
      <c r="BN190" s="872"/>
      <c r="BO190" s="872"/>
      <c r="BP190" s="872"/>
      <c r="BS190" s="872"/>
      <c r="BT190" s="872"/>
      <c r="BU190" s="872"/>
    </row>
    <row r="191" s="860" customFormat="1" ht="13.5" spans="1:73">
      <c r="A191" s="861"/>
      <c r="E191" s="862"/>
      <c r="X191" s="864"/>
      <c r="Y191" s="865"/>
      <c r="Z191" s="865"/>
      <c r="AA191" s="866"/>
      <c r="AB191" s="867"/>
      <c r="AC191" s="868"/>
      <c r="AD191" s="866"/>
      <c r="AF191" s="869"/>
      <c r="AG191" s="869"/>
      <c r="AH191" s="870"/>
      <c r="AI191" s="871"/>
      <c r="AJ191" s="870"/>
      <c r="AK191" s="870"/>
      <c r="BN191" s="872"/>
      <c r="BO191" s="872"/>
      <c r="BP191" s="872"/>
      <c r="BS191" s="872"/>
      <c r="BT191" s="872"/>
      <c r="BU191" s="872"/>
    </row>
    <row r="192" s="860" customFormat="1" ht="13.5" spans="1:73">
      <c r="A192" s="861"/>
      <c r="E192" s="862"/>
      <c r="X192" s="864"/>
      <c r="Y192" s="865"/>
      <c r="Z192" s="865"/>
      <c r="AA192" s="866"/>
      <c r="AB192" s="867"/>
      <c r="AC192" s="868"/>
      <c r="AD192" s="866"/>
      <c r="AF192" s="869"/>
      <c r="AG192" s="869"/>
      <c r="AH192" s="870"/>
      <c r="AI192" s="871"/>
      <c r="AJ192" s="870"/>
      <c r="AK192" s="870"/>
      <c r="BN192" s="872"/>
      <c r="BO192" s="872"/>
      <c r="BP192" s="872"/>
      <c r="BS192" s="872"/>
      <c r="BT192" s="872"/>
      <c r="BU192" s="872"/>
    </row>
    <row r="193" s="860" customFormat="1" ht="13.5" spans="1:73">
      <c r="A193" s="861"/>
      <c r="E193" s="862"/>
      <c r="X193" s="864"/>
      <c r="Y193" s="865"/>
      <c r="Z193" s="865"/>
      <c r="AA193" s="866"/>
      <c r="AB193" s="867"/>
      <c r="AC193" s="868"/>
      <c r="AD193" s="866"/>
      <c r="AF193" s="869"/>
      <c r="AG193" s="869"/>
      <c r="AH193" s="870"/>
      <c r="AI193" s="871"/>
      <c r="AJ193" s="870"/>
      <c r="AK193" s="870"/>
      <c r="BN193" s="872"/>
      <c r="BO193" s="872"/>
      <c r="BP193" s="872"/>
      <c r="BS193" s="872"/>
      <c r="BT193" s="872"/>
      <c r="BU193" s="872"/>
    </row>
    <row r="194" s="860" customFormat="1" ht="13.5" spans="1:73">
      <c r="A194" s="861"/>
      <c r="E194" s="862"/>
      <c r="X194" s="864"/>
      <c r="Y194" s="865"/>
      <c r="Z194" s="865"/>
      <c r="AA194" s="866"/>
      <c r="AB194" s="867"/>
      <c r="AC194" s="868"/>
      <c r="AD194" s="866"/>
      <c r="AF194" s="869"/>
      <c r="AG194" s="869"/>
      <c r="AH194" s="870"/>
      <c r="AI194" s="871"/>
      <c r="AJ194" s="870"/>
      <c r="AK194" s="870"/>
      <c r="BN194" s="872"/>
      <c r="BO194" s="872"/>
      <c r="BP194" s="872"/>
      <c r="BS194" s="872"/>
      <c r="BT194" s="872"/>
      <c r="BU194" s="872"/>
    </row>
    <row r="195" s="860" customFormat="1" ht="13.5" spans="1:73">
      <c r="A195" s="861"/>
      <c r="E195" s="862"/>
      <c r="X195" s="864"/>
      <c r="Y195" s="865"/>
      <c r="Z195" s="865"/>
      <c r="AA195" s="866"/>
      <c r="AB195" s="867"/>
      <c r="AC195" s="868"/>
      <c r="AD195" s="866"/>
      <c r="AF195" s="869"/>
      <c r="AG195" s="869"/>
      <c r="AH195" s="870"/>
      <c r="AI195" s="871"/>
      <c r="AJ195" s="870"/>
      <c r="AK195" s="870"/>
      <c r="BN195" s="872"/>
      <c r="BO195" s="872"/>
      <c r="BP195" s="872"/>
      <c r="BS195" s="872"/>
      <c r="BT195" s="872"/>
      <c r="BU195" s="872"/>
    </row>
    <row r="196" s="860" customFormat="1" ht="13.5" spans="1:73">
      <c r="A196" s="861"/>
      <c r="E196" s="862"/>
      <c r="X196" s="864"/>
      <c r="Y196" s="865"/>
      <c r="Z196" s="865"/>
      <c r="AA196" s="866"/>
      <c r="AB196" s="867"/>
      <c r="AC196" s="868"/>
      <c r="AD196" s="866"/>
      <c r="AF196" s="869"/>
      <c r="AG196" s="869"/>
      <c r="AH196" s="870"/>
      <c r="AI196" s="871"/>
      <c r="AJ196" s="870"/>
      <c r="AK196" s="870"/>
      <c r="BN196" s="872"/>
      <c r="BO196" s="872"/>
      <c r="BP196" s="872"/>
      <c r="BS196" s="872"/>
      <c r="BT196" s="872"/>
      <c r="BU196" s="872"/>
    </row>
    <row r="197" s="860" customFormat="1" ht="13.5" spans="1:73">
      <c r="A197" s="861"/>
      <c r="E197" s="862"/>
      <c r="X197" s="864"/>
      <c r="Y197" s="865"/>
      <c r="Z197" s="865"/>
      <c r="AA197" s="866"/>
      <c r="AB197" s="867"/>
      <c r="AC197" s="868"/>
      <c r="AD197" s="866"/>
      <c r="AF197" s="869"/>
      <c r="AG197" s="869"/>
      <c r="AH197" s="870"/>
      <c r="AI197" s="871"/>
      <c r="AJ197" s="870"/>
      <c r="AK197" s="870"/>
      <c r="BN197" s="872"/>
      <c r="BO197" s="872"/>
      <c r="BP197" s="872"/>
      <c r="BS197" s="872"/>
      <c r="BT197" s="872"/>
      <c r="BU197" s="872"/>
    </row>
    <row r="198" s="860" customFormat="1" ht="13.5" spans="1:73">
      <c r="A198" s="861"/>
      <c r="E198" s="862"/>
      <c r="X198" s="864"/>
      <c r="Y198" s="865"/>
      <c r="Z198" s="865"/>
      <c r="AA198" s="866"/>
      <c r="AB198" s="867"/>
      <c r="AC198" s="868"/>
      <c r="AD198" s="866"/>
      <c r="AF198" s="869"/>
      <c r="AG198" s="869"/>
      <c r="AH198" s="870"/>
      <c r="AI198" s="871"/>
      <c r="AJ198" s="870"/>
      <c r="AK198" s="870"/>
      <c r="BN198" s="872"/>
      <c r="BO198" s="872"/>
      <c r="BP198" s="872"/>
      <c r="BS198" s="872"/>
      <c r="BT198" s="872"/>
      <c r="BU198" s="872"/>
    </row>
    <row r="199" s="860" customFormat="1" ht="13.5" spans="1:73">
      <c r="A199" s="861"/>
      <c r="E199" s="862"/>
      <c r="X199" s="864"/>
      <c r="Y199" s="865"/>
      <c r="Z199" s="865"/>
      <c r="AA199" s="866"/>
      <c r="AB199" s="867"/>
      <c r="AC199" s="868"/>
      <c r="AD199" s="866"/>
      <c r="AF199" s="869"/>
      <c r="AG199" s="869"/>
      <c r="AH199" s="870"/>
      <c r="AI199" s="871"/>
      <c r="AJ199" s="870"/>
      <c r="AK199" s="870"/>
      <c r="BN199" s="872"/>
      <c r="BO199" s="872"/>
      <c r="BP199" s="872"/>
      <c r="BS199" s="872"/>
      <c r="BT199" s="872"/>
      <c r="BU199" s="872"/>
    </row>
    <row r="200" s="860" customFormat="1" ht="13.5" spans="1:73">
      <c r="A200" s="861"/>
      <c r="E200" s="862"/>
      <c r="X200" s="864"/>
      <c r="Y200" s="865"/>
      <c r="Z200" s="865"/>
      <c r="AA200" s="866"/>
      <c r="AB200" s="867"/>
      <c r="AC200" s="868"/>
      <c r="AD200" s="866"/>
      <c r="AF200" s="869"/>
      <c r="AG200" s="869"/>
      <c r="AH200" s="870"/>
      <c r="AI200" s="871"/>
      <c r="AJ200" s="870"/>
      <c r="AK200" s="870"/>
      <c r="BN200" s="872"/>
      <c r="BO200" s="872"/>
      <c r="BP200" s="872"/>
      <c r="BS200" s="872"/>
      <c r="BT200" s="872"/>
      <c r="BU200" s="872"/>
    </row>
    <row r="201" s="860" customFormat="1" ht="13.5" spans="1:73">
      <c r="A201" s="861"/>
      <c r="E201" s="862"/>
      <c r="X201" s="864"/>
      <c r="Y201" s="865"/>
      <c r="Z201" s="865"/>
      <c r="AA201" s="866"/>
      <c r="AB201" s="867"/>
      <c r="AC201" s="868"/>
      <c r="AD201" s="866"/>
      <c r="AF201" s="869"/>
      <c r="AG201" s="869"/>
      <c r="AH201" s="870"/>
      <c r="AI201" s="871"/>
      <c r="AJ201" s="870"/>
      <c r="AK201" s="870"/>
      <c r="BN201" s="872"/>
      <c r="BO201" s="872"/>
      <c r="BP201" s="872"/>
      <c r="BS201" s="872"/>
      <c r="BT201" s="872"/>
      <c r="BU201" s="872"/>
    </row>
    <row r="202" s="860" customFormat="1" ht="13.5" spans="1:73">
      <c r="A202" s="861"/>
      <c r="E202" s="862"/>
      <c r="X202" s="864"/>
      <c r="Y202" s="865"/>
      <c r="Z202" s="865"/>
      <c r="AA202" s="866"/>
      <c r="AB202" s="867"/>
      <c r="AC202" s="868"/>
      <c r="AD202" s="866"/>
      <c r="AF202" s="869"/>
      <c r="AG202" s="869"/>
      <c r="AH202" s="870"/>
      <c r="AI202" s="871"/>
      <c r="AJ202" s="870"/>
      <c r="AK202" s="870"/>
      <c r="BN202" s="872"/>
      <c r="BO202" s="872"/>
      <c r="BP202" s="872"/>
      <c r="BS202" s="872"/>
      <c r="BT202" s="872"/>
      <c r="BU202" s="872"/>
    </row>
    <row r="203" s="860" customFormat="1" ht="13.5" spans="1:73">
      <c r="A203" s="861"/>
      <c r="E203" s="862"/>
      <c r="X203" s="864"/>
      <c r="Y203" s="865"/>
      <c r="Z203" s="865"/>
      <c r="AA203" s="866"/>
      <c r="AB203" s="867"/>
      <c r="AC203" s="868"/>
      <c r="AD203" s="866"/>
      <c r="AF203" s="869"/>
      <c r="AG203" s="869"/>
      <c r="AH203" s="870"/>
      <c r="AI203" s="871"/>
      <c r="AJ203" s="870"/>
      <c r="AK203" s="870"/>
      <c r="BN203" s="872"/>
      <c r="BO203" s="872"/>
      <c r="BP203" s="872"/>
      <c r="BS203" s="872"/>
      <c r="BT203" s="872"/>
      <c r="BU203" s="872"/>
    </row>
    <row r="204" s="860" customFormat="1" ht="13.5" spans="1:73">
      <c r="A204" s="861"/>
      <c r="E204" s="862"/>
      <c r="X204" s="864"/>
      <c r="Y204" s="865"/>
      <c r="Z204" s="865"/>
      <c r="AA204" s="866"/>
      <c r="AB204" s="867"/>
      <c r="AC204" s="868"/>
      <c r="AD204" s="866"/>
      <c r="AF204" s="869"/>
      <c r="AG204" s="869"/>
      <c r="AH204" s="870"/>
      <c r="AI204" s="871"/>
      <c r="AJ204" s="870"/>
      <c r="AK204" s="870"/>
      <c r="BN204" s="872"/>
      <c r="BO204" s="872"/>
      <c r="BP204" s="872"/>
      <c r="BS204" s="872"/>
      <c r="BT204" s="872"/>
      <c r="BU204" s="872"/>
    </row>
    <row r="205" s="860" customFormat="1" ht="13.5" spans="1:73">
      <c r="A205" s="861"/>
      <c r="E205" s="862"/>
      <c r="X205" s="864"/>
      <c r="Y205" s="865"/>
      <c r="Z205" s="865"/>
      <c r="AA205" s="866"/>
      <c r="AB205" s="867"/>
      <c r="AC205" s="868"/>
      <c r="AD205" s="866"/>
      <c r="AF205" s="869"/>
      <c r="AG205" s="869"/>
      <c r="AH205" s="870"/>
      <c r="AI205" s="871"/>
      <c r="AJ205" s="870"/>
      <c r="AK205" s="870"/>
      <c r="BN205" s="872"/>
      <c r="BO205" s="872"/>
      <c r="BP205" s="872"/>
      <c r="BS205" s="872"/>
      <c r="BT205" s="872"/>
      <c r="BU205" s="872"/>
    </row>
    <row r="206" s="860" customFormat="1" ht="13.5" spans="1:73">
      <c r="A206" s="861"/>
      <c r="E206" s="862"/>
      <c r="X206" s="864"/>
      <c r="Y206" s="865"/>
      <c r="Z206" s="865"/>
      <c r="AA206" s="866"/>
      <c r="AB206" s="867"/>
      <c r="AC206" s="868"/>
      <c r="AD206" s="866"/>
      <c r="AF206" s="869"/>
      <c r="AG206" s="869"/>
      <c r="AH206" s="870"/>
      <c r="AI206" s="871"/>
      <c r="AJ206" s="870"/>
      <c r="AK206" s="870"/>
      <c r="BN206" s="872"/>
      <c r="BO206" s="872"/>
      <c r="BP206" s="872"/>
      <c r="BS206" s="872"/>
      <c r="BT206" s="872"/>
      <c r="BU206" s="872"/>
    </row>
    <row r="207" s="860" customFormat="1" ht="13.5" spans="1:73">
      <c r="A207" s="861"/>
      <c r="E207" s="862"/>
      <c r="X207" s="864"/>
      <c r="Y207" s="865"/>
      <c r="Z207" s="865"/>
      <c r="AA207" s="866"/>
      <c r="AB207" s="867"/>
      <c r="AC207" s="868"/>
      <c r="AD207" s="866"/>
      <c r="AF207" s="869"/>
      <c r="AG207" s="869"/>
      <c r="AH207" s="870"/>
      <c r="AI207" s="871"/>
      <c r="AJ207" s="870"/>
      <c r="AK207" s="870"/>
      <c r="BN207" s="872"/>
      <c r="BO207" s="872"/>
      <c r="BP207" s="872"/>
      <c r="BS207" s="872"/>
      <c r="BT207" s="872"/>
      <c r="BU207" s="872"/>
    </row>
    <row r="208" s="860" customFormat="1" ht="13.5" spans="1:73">
      <c r="A208" s="861"/>
      <c r="E208" s="862"/>
      <c r="X208" s="864"/>
      <c r="Y208" s="865"/>
      <c r="Z208" s="865"/>
      <c r="AA208" s="866"/>
      <c r="AB208" s="867"/>
      <c r="AC208" s="868"/>
      <c r="AD208" s="866"/>
      <c r="AF208" s="869"/>
      <c r="AG208" s="869"/>
      <c r="AH208" s="870"/>
      <c r="AI208" s="871"/>
      <c r="AJ208" s="870"/>
      <c r="AK208" s="870"/>
      <c r="BN208" s="872"/>
      <c r="BO208" s="872"/>
      <c r="BP208" s="872"/>
      <c r="BS208" s="872"/>
      <c r="BT208" s="872"/>
      <c r="BU208" s="872"/>
    </row>
    <row r="209" s="860" customFormat="1" ht="13.5" spans="1:73">
      <c r="A209" s="861"/>
      <c r="E209" s="862"/>
      <c r="X209" s="864"/>
      <c r="Y209" s="865"/>
      <c r="Z209" s="865"/>
      <c r="AA209" s="866"/>
      <c r="AB209" s="867"/>
      <c r="AC209" s="868"/>
      <c r="AD209" s="866"/>
      <c r="AF209" s="869"/>
      <c r="AG209" s="869"/>
      <c r="AH209" s="870"/>
      <c r="AI209" s="871"/>
      <c r="AJ209" s="870"/>
      <c r="AK209" s="870"/>
      <c r="BN209" s="872"/>
      <c r="BO209" s="872"/>
      <c r="BP209" s="872"/>
      <c r="BS209" s="872"/>
      <c r="BT209" s="872"/>
      <c r="BU209" s="872"/>
    </row>
    <row r="210" s="860" customFormat="1" ht="13.5" spans="1:73">
      <c r="A210" s="861"/>
      <c r="E210" s="862"/>
      <c r="X210" s="864"/>
      <c r="Y210" s="865"/>
      <c r="Z210" s="865"/>
      <c r="AA210" s="866"/>
      <c r="AB210" s="867"/>
      <c r="AC210" s="868"/>
      <c r="AD210" s="866"/>
      <c r="AF210" s="869"/>
      <c r="AG210" s="869"/>
      <c r="AH210" s="870"/>
      <c r="AI210" s="871"/>
      <c r="AJ210" s="870"/>
      <c r="AK210" s="870"/>
      <c r="BN210" s="872"/>
      <c r="BO210" s="872"/>
      <c r="BP210" s="872"/>
      <c r="BS210" s="872"/>
      <c r="BT210" s="872"/>
      <c r="BU210" s="872"/>
    </row>
    <row r="211" s="860" customFormat="1" ht="13.5" spans="1:73">
      <c r="A211" s="861"/>
      <c r="E211" s="862"/>
      <c r="X211" s="864"/>
      <c r="Y211" s="865"/>
      <c r="Z211" s="865"/>
      <c r="AA211" s="866"/>
      <c r="AB211" s="867"/>
      <c r="AC211" s="868"/>
      <c r="AD211" s="866"/>
      <c r="AF211" s="869"/>
      <c r="AG211" s="869"/>
      <c r="AH211" s="870"/>
      <c r="AI211" s="871"/>
      <c r="AJ211" s="870"/>
      <c r="AK211" s="870"/>
      <c r="BN211" s="872"/>
      <c r="BO211" s="872"/>
      <c r="BP211" s="872"/>
      <c r="BS211" s="872"/>
      <c r="BT211" s="872"/>
      <c r="BU211" s="872"/>
    </row>
    <row r="212" s="860" customFormat="1" ht="13.5" spans="1:73">
      <c r="A212" s="861"/>
      <c r="E212" s="862"/>
      <c r="X212" s="864"/>
      <c r="Y212" s="865"/>
      <c r="Z212" s="865"/>
      <c r="AA212" s="866"/>
      <c r="AB212" s="867"/>
      <c r="AC212" s="868"/>
      <c r="AD212" s="866"/>
      <c r="AF212" s="869"/>
      <c r="AG212" s="869"/>
      <c r="AH212" s="870"/>
      <c r="AI212" s="871"/>
      <c r="AJ212" s="870"/>
      <c r="AK212" s="870"/>
      <c r="BN212" s="872"/>
      <c r="BO212" s="872"/>
      <c r="BP212" s="872"/>
      <c r="BS212" s="872"/>
      <c r="BT212" s="872"/>
      <c r="BU212" s="872"/>
    </row>
    <row r="213" s="860" customFormat="1" ht="13.5" spans="1:73">
      <c r="A213" s="861"/>
      <c r="E213" s="862"/>
      <c r="X213" s="864"/>
      <c r="Y213" s="865"/>
      <c r="Z213" s="865"/>
      <c r="AA213" s="866"/>
      <c r="AB213" s="867"/>
      <c r="AC213" s="868"/>
      <c r="AD213" s="866"/>
      <c r="AF213" s="869"/>
      <c r="AG213" s="869"/>
      <c r="AH213" s="870"/>
      <c r="AI213" s="871"/>
      <c r="AJ213" s="870"/>
      <c r="AK213" s="870"/>
      <c r="BN213" s="872"/>
      <c r="BO213" s="872"/>
      <c r="BP213" s="872"/>
      <c r="BS213" s="872"/>
      <c r="BT213" s="872"/>
      <c r="BU213" s="872"/>
    </row>
    <row r="214" s="860" customFormat="1" ht="13.5" spans="1:73">
      <c r="A214" s="861"/>
      <c r="E214" s="862"/>
      <c r="X214" s="864"/>
      <c r="Y214" s="865"/>
      <c r="Z214" s="865"/>
      <c r="AA214" s="866"/>
      <c r="AB214" s="867"/>
      <c r="AC214" s="868"/>
      <c r="AD214" s="866"/>
      <c r="AF214" s="869"/>
      <c r="AG214" s="869"/>
      <c r="AH214" s="870"/>
      <c r="AI214" s="871"/>
      <c r="AJ214" s="870"/>
      <c r="AK214" s="870"/>
      <c r="BN214" s="872"/>
      <c r="BO214" s="872"/>
      <c r="BP214" s="872"/>
      <c r="BS214" s="872"/>
      <c r="BT214" s="872"/>
      <c r="BU214" s="872"/>
    </row>
    <row r="215" s="860" customFormat="1" ht="13.5" spans="1:73">
      <c r="A215" s="861"/>
      <c r="E215" s="862"/>
      <c r="X215" s="864"/>
      <c r="Y215" s="865"/>
      <c r="Z215" s="865"/>
      <c r="AA215" s="866"/>
      <c r="AB215" s="867"/>
      <c r="AC215" s="868"/>
      <c r="AD215" s="866"/>
      <c r="AF215" s="869"/>
      <c r="AG215" s="869"/>
      <c r="AH215" s="870"/>
      <c r="AI215" s="871"/>
      <c r="AJ215" s="870"/>
      <c r="AK215" s="870"/>
      <c r="BN215" s="872"/>
      <c r="BO215" s="872"/>
      <c r="BP215" s="872"/>
      <c r="BS215" s="872"/>
      <c r="BT215" s="872"/>
      <c r="BU215" s="872"/>
    </row>
    <row r="216" s="860" customFormat="1" ht="13.5" spans="1:73">
      <c r="A216" s="861"/>
      <c r="E216" s="862"/>
      <c r="X216" s="864"/>
      <c r="Y216" s="865"/>
      <c r="Z216" s="865"/>
      <c r="AA216" s="866"/>
      <c r="AB216" s="867"/>
      <c r="AC216" s="868"/>
      <c r="AD216" s="866"/>
      <c r="AF216" s="869"/>
      <c r="AG216" s="869"/>
      <c r="AH216" s="870"/>
      <c r="AI216" s="871"/>
      <c r="AJ216" s="870"/>
      <c r="AK216" s="870"/>
      <c r="BN216" s="872"/>
      <c r="BO216" s="872"/>
      <c r="BP216" s="872"/>
      <c r="BS216" s="872"/>
      <c r="BT216" s="872"/>
      <c r="BU216" s="872"/>
    </row>
    <row r="217" s="860" customFormat="1" ht="13.5" spans="1:73">
      <c r="A217" s="861"/>
      <c r="E217" s="862"/>
      <c r="X217" s="864"/>
      <c r="Y217" s="865"/>
      <c r="Z217" s="865"/>
      <c r="AA217" s="866"/>
      <c r="AB217" s="867"/>
      <c r="AC217" s="868"/>
      <c r="AD217" s="866"/>
      <c r="AF217" s="869"/>
      <c r="AG217" s="869"/>
      <c r="AH217" s="870"/>
      <c r="AI217" s="871"/>
      <c r="AJ217" s="870"/>
      <c r="AK217" s="870"/>
      <c r="BN217" s="872"/>
      <c r="BO217" s="872"/>
      <c r="BP217" s="872"/>
      <c r="BS217" s="872"/>
      <c r="BT217" s="872"/>
      <c r="BU217" s="872"/>
    </row>
    <row r="218" s="860" customFormat="1" ht="13.5" spans="1:73">
      <c r="A218" s="861"/>
      <c r="E218" s="862"/>
      <c r="X218" s="864"/>
      <c r="Y218" s="865"/>
      <c r="Z218" s="865"/>
      <c r="AA218" s="866"/>
      <c r="AB218" s="867"/>
      <c r="AC218" s="868"/>
      <c r="AD218" s="866"/>
      <c r="AF218" s="869"/>
      <c r="AG218" s="869"/>
      <c r="AH218" s="870"/>
      <c r="AI218" s="871"/>
      <c r="AJ218" s="870"/>
      <c r="AK218" s="870"/>
      <c r="BN218" s="872"/>
      <c r="BO218" s="872"/>
      <c r="BP218" s="872"/>
      <c r="BS218" s="872"/>
      <c r="BT218" s="872"/>
      <c r="BU218" s="872"/>
    </row>
    <row r="219" s="860" customFormat="1" ht="13.5" spans="1:73">
      <c r="A219" s="861"/>
      <c r="E219" s="862"/>
      <c r="X219" s="864"/>
      <c r="Y219" s="865"/>
      <c r="Z219" s="865"/>
      <c r="AA219" s="866"/>
      <c r="AB219" s="867"/>
      <c r="AC219" s="868"/>
      <c r="AD219" s="866"/>
      <c r="AF219" s="869"/>
      <c r="AG219" s="869"/>
      <c r="AH219" s="870"/>
      <c r="AI219" s="871"/>
      <c r="AJ219" s="870"/>
      <c r="AK219" s="870"/>
      <c r="BN219" s="872"/>
      <c r="BO219" s="872"/>
      <c r="BP219" s="872"/>
      <c r="BS219" s="872"/>
      <c r="BT219" s="872"/>
      <c r="BU219" s="872"/>
    </row>
    <row r="220" s="860" customFormat="1" ht="13.5" spans="1:73">
      <c r="A220" s="861"/>
      <c r="E220" s="862"/>
      <c r="X220" s="864"/>
      <c r="Y220" s="865"/>
      <c r="Z220" s="865"/>
      <c r="AA220" s="866"/>
      <c r="AB220" s="867"/>
      <c r="AC220" s="868"/>
      <c r="AD220" s="866"/>
      <c r="AF220" s="869"/>
      <c r="AG220" s="869"/>
      <c r="AH220" s="870"/>
      <c r="AI220" s="871"/>
      <c r="AJ220" s="870"/>
      <c r="AK220" s="870"/>
      <c r="BN220" s="872"/>
      <c r="BO220" s="872"/>
      <c r="BP220" s="872"/>
      <c r="BS220" s="872"/>
      <c r="BT220" s="872"/>
      <c r="BU220" s="872"/>
    </row>
    <row r="221" s="860" customFormat="1" ht="13.5" spans="1:73">
      <c r="A221" s="861"/>
      <c r="E221" s="862"/>
      <c r="X221" s="864"/>
      <c r="Y221" s="865"/>
      <c r="Z221" s="865"/>
      <c r="AA221" s="866"/>
      <c r="AB221" s="867"/>
      <c r="AC221" s="868"/>
      <c r="AD221" s="866"/>
      <c r="AF221" s="869"/>
      <c r="AG221" s="869"/>
      <c r="AH221" s="870"/>
      <c r="AI221" s="871"/>
      <c r="AJ221" s="870"/>
      <c r="AK221" s="870"/>
      <c r="BN221" s="872"/>
      <c r="BO221" s="872"/>
      <c r="BP221" s="872"/>
      <c r="BS221" s="872"/>
      <c r="BT221" s="872"/>
      <c r="BU221" s="872"/>
    </row>
    <row r="222" s="860" customFormat="1" ht="13.5" spans="1:73">
      <c r="A222" s="861"/>
      <c r="E222" s="862"/>
      <c r="X222" s="864"/>
      <c r="Y222" s="865"/>
      <c r="Z222" s="865"/>
      <c r="AA222" s="866"/>
      <c r="AB222" s="867"/>
      <c r="AC222" s="868"/>
      <c r="AD222" s="866"/>
      <c r="AF222" s="869"/>
      <c r="AG222" s="869"/>
      <c r="AH222" s="870"/>
      <c r="AI222" s="871"/>
      <c r="AJ222" s="870"/>
      <c r="AK222" s="870"/>
      <c r="BN222" s="872"/>
      <c r="BO222" s="872"/>
      <c r="BP222" s="872"/>
      <c r="BS222" s="872"/>
      <c r="BT222" s="872"/>
      <c r="BU222" s="872"/>
    </row>
    <row r="223" s="860" customFormat="1" ht="13.5" spans="1:73">
      <c r="A223" s="861"/>
      <c r="E223" s="862"/>
      <c r="X223" s="864"/>
      <c r="Y223" s="865"/>
      <c r="Z223" s="865"/>
      <c r="AA223" s="866"/>
      <c r="AB223" s="867"/>
      <c r="AC223" s="868"/>
      <c r="AD223" s="866"/>
      <c r="AF223" s="869"/>
      <c r="AG223" s="869"/>
      <c r="AH223" s="870"/>
      <c r="AI223" s="871"/>
      <c r="AJ223" s="870"/>
      <c r="AK223" s="870"/>
      <c r="BN223" s="872"/>
      <c r="BO223" s="872"/>
      <c r="BP223" s="872"/>
      <c r="BS223" s="872"/>
      <c r="BT223" s="872"/>
      <c r="BU223" s="872"/>
    </row>
    <row r="224" s="860" customFormat="1" ht="13.5" spans="1:73">
      <c r="A224" s="861"/>
      <c r="E224" s="862"/>
      <c r="X224" s="864"/>
      <c r="Y224" s="865"/>
      <c r="Z224" s="865"/>
      <c r="AA224" s="866"/>
      <c r="AB224" s="867"/>
      <c r="AC224" s="868"/>
      <c r="AD224" s="866"/>
      <c r="AF224" s="869"/>
      <c r="AG224" s="869"/>
      <c r="AH224" s="870"/>
      <c r="AI224" s="871"/>
      <c r="AJ224" s="870"/>
      <c r="AK224" s="870"/>
      <c r="BN224" s="872"/>
      <c r="BO224" s="872"/>
      <c r="BP224" s="872"/>
      <c r="BS224" s="872"/>
      <c r="BT224" s="872"/>
      <c r="BU224" s="872"/>
    </row>
    <row r="225" s="860" customFormat="1" ht="13.5" spans="1:73">
      <c r="A225" s="861"/>
      <c r="E225" s="862"/>
      <c r="X225" s="864"/>
      <c r="Y225" s="865"/>
      <c r="Z225" s="865"/>
      <c r="AA225" s="866"/>
      <c r="AB225" s="867"/>
      <c r="AC225" s="868"/>
      <c r="AD225" s="866"/>
      <c r="AF225" s="869"/>
      <c r="AG225" s="869"/>
      <c r="AH225" s="870"/>
      <c r="AI225" s="871"/>
      <c r="AJ225" s="870"/>
      <c r="AK225" s="870"/>
      <c r="BN225" s="872"/>
      <c r="BO225" s="872"/>
      <c r="BP225" s="872"/>
      <c r="BS225" s="872"/>
      <c r="BT225" s="872"/>
      <c r="BU225" s="872"/>
    </row>
    <row r="226" s="860" customFormat="1" ht="13.5" spans="1:73">
      <c r="A226" s="861"/>
      <c r="E226" s="862"/>
      <c r="X226" s="864"/>
      <c r="Y226" s="865"/>
      <c r="Z226" s="865"/>
      <c r="AA226" s="866"/>
      <c r="AB226" s="867"/>
      <c r="AC226" s="868"/>
      <c r="AD226" s="866"/>
      <c r="AF226" s="869"/>
      <c r="AG226" s="869"/>
      <c r="AH226" s="870"/>
      <c r="AI226" s="871"/>
      <c r="AJ226" s="870"/>
      <c r="AK226" s="870"/>
      <c r="BN226" s="872"/>
      <c r="BO226" s="872"/>
      <c r="BP226" s="872"/>
      <c r="BS226" s="872"/>
      <c r="BT226" s="872"/>
      <c r="BU226" s="872"/>
    </row>
    <row r="227" s="860" customFormat="1" ht="13.5" spans="1:73">
      <c r="A227" s="861"/>
      <c r="E227" s="862"/>
      <c r="X227" s="864"/>
      <c r="Y227" s="865"/>
      <c r="Z227" s="865"/>
      <c r="AA227" s="866"/>
      <c r="AB227" s="867"/>
      <c r="AC227" s="868"/>
      <c r="AD227" s="866"/>
      <c r="AF227" s="869"/>
      <c r="AG227" s="869"/>
      <c r="AH227" s="870"/>
      <c r="AI227" s="871"/>
      <c r="AJ227" s="870"/>
      <c r="AK227" s="870"/>
      <c r="BN227" s="872"/>
      <c r="BO227" s="872"/>
      <c r="BP227" s="872"/>
      <c r="BS227" s="872"/>
      <c r="BT227" s="872"/>
      <c r="BU227" s="872"/>
    </row>
    <row r="228" s="860" customFormat="1" ht="13.5" spans="1:73">
      <c r="A228" s="861"/>
      <c r="E228" s="862"/>
      <c r="X228" s="864"/>
      <c r="Y228" s="865"/>
      <c r="Z228" s="865"/>
      <c r="AA228" s="866"/>
      <c r="AB228" s="867"/>
      <c r="AC228" s="868"/>
      <c r="AD228" s="866"/>
      <c r="AF228" s="869"/>
      <c r="AG228" s="869"/>
      <c r="AH228" s="870"/>
      <c r="AI228" s="871"/>
      <c r="AJ228" s="870"/>
      <c r="AK228" s="870"/>
      <c r="BN228" s="872"/>
      <c r="BO228" s="872"/>
      <c r="BP228" s="872"/>
      <c r="BS228" s="872"/>
      <c r="BT228" s="872"/>
      <c r="BU228" s="872"/>
    </row>
    <row r="229" s="860" customFormat="1" ht="13.5" spans="1:73">
      <c r="A229" s="861"/>
      <c r="E229" s="862"/>
      <c r="X229" s="864"/>
      <c r="Y229" s="865"/>
      <c r="Z229" s="865"/>
      <c r="AA229" s="866"/>
      <c r="AB229" s="867"/>
      <c r="AC229" s="868"/>
      <c r="AD229" s="866"/>
      <c r="AF229" s="869"/>
      <c r="AG229" s="869"/>
      <c r="AH229" s="870"/>
      <c r="AI229" s="871"/>
      <c r="AJ229" s="870"/>
      <c r="AK229" s="870"/>
      <c r="BN229" s="872"/>
      <c r="BO229" s="872"/>
      <c r="BP229" s="872"/>
      <c r="BS229" s="872"/>
      <c r="BT229" s="872"/>
      <c r="BU229" s="872"/>
    </row>
    <row r="230" s="860" customFormat="1" ht="13.5" spans="1:73">
      <c r="A230" s="861"/>
      <c r="E230" s="862"/>
      <c r="X230" s="864"/>
      <c r="Y230" s="865"/>
      <c r="Z230" s="865"/>
      <c r="AA230" s="866"/>
      <c r="AB230" s="867"/>
      <c r="AC230" s="868"/>
      <c r="AD230" s="866"/>
      <c r="AF230" s="869"/>
      <c r="AG230" s="869"/>
      <c r="AH230" s="870"/>
      <c r="AI230" s="871"/>
      <c r="AJ230" s="870"/>
      <c r="AK230" s="870"/>
      <c r="BN230" s="872"/>
      <c r="BO230" s="872"/>
      <c r="BP230" s="872"/>
      <c r="BS230" s="872"/>
      <c r="BT230" s="872"/>
      <c r="BU230" s="872"/>
    </row>
    <row r="231" s="860" customFormat="1" ht="13.5" spans="1:73">
      <c r="A231" s="861"/>
      <c r="E231" s="862"/>
      <c r="X231" s="864"/>
      <c r="Y231" s="865"/>
      <c r="Z231" s="865"/>
      <c r="AA231" s="866"/>
      <c r="AB231" s="867"/>
      <c r="AC231" s="868"/>
      <c r="AD231" s="866"/>
      <c r="AF231" s="869"/>
      <c r="AG231" s="869"/>
      <c r="AH231" s="870"/>
      <c r="AI231" s="871"/>
      <c r="AJ231" s="870"/>
      <c r="AK231" s="870"/>
      <c r="BN231" s="872"/>
      <c r="BO231" s="872"/>
      <c r="BP231" s="872"/>
      <c r="BS231" s="872"/>
      <c r="BT231" s="872"/>
      <c r="BU231" s="872"/>
    </row>
    <row r="232" s="860" customFormat="1" ht="13.5" spans="1:73">
      <c r="A232" s="861"/>
      <c r="E232" s="862"/>
      <c r="X232" s="864"/>
      <c r="Y232" s="865"/>
      <c r="Z232" s="865"/>
      <c r="AA232" s="866"/>
      <c r="AB232" s="867"/>
      <c r="AC232" s="868"/>
      <c r="AD232" s="866"/>
      <c r="AF232" s="869"/>
      <c r="AG232" s="869"/>
      <c r="AH232" s="870"/>
      <c r="AI232" s="871"/>
      <c r="AJ232" s="870"/>
      <c r="AK232" s="870"/>
      <c r="BN232" s="872"/>
      <c r="BO232" s="872"/>
      <c r="BP232" s="872"/>
      <c r="BS232" s="872"/>
      <c r="BT232" s="872"/>
      <c r="BU232" s="872"/>
    </row>
    <row r="233" s="860" customFormat="1" ht="13.5" spans="1:73">
      <c r="A233" s="861"/>
      <c r="E233" s="862"/>
      <c r="X233" s="864"/>
      <c r="Y233" s="865"/>
      <c r="Z233" s="865"/>
      <c r="AA233" s="866"/>
      <c r="AB233" s="867"/>
      <c r="AC233" s="868"/>
      <c r="AD233" s="866"/>
      <c r="AF233" s="869"/>
      <c r="AG233" s="869"/>
      <c r="AH233" s="870"/>
      <c r="AI233" s="871"/>
      <c r="AJ233" s="870"/>
      <c r="AK233" s="870"/>
      <c r="BN233" s="872"/>
      <c r="BO233" s="872"/>
      <c r="BP233" s="872"/>
      <c r="BS233" s="872"/>
      <c r="BT233" s="872"/>
      <c r="BU233" s="872"/>
    </row>
    <row r="234" s="860" customFormat="1" ht="13.5" spans="1:73">
      <c r="A234" s="861"/>
      <c r="E234" s="862"/>
      <c r="X234" s="864"/>
      <c r="Y234" s="865"/>
      <c r="Z234" s="865"/>
      <c r="AA234" s="866"/>
      <c r="AB234" s="867"/>
      <c r="AC234" s="868"/>
      <c r="AD234" s="866"/>
      <c r="AF234" s="869"/>
      <c r="AG234" s="869"/>
      <c r="AH234" s="870"/>
      <c r="AI234" s="871"/>
      <c r="AJ234" s="870"/>
      <c r="AK234" s="870"/>
      <c r="BN234" s="872"/>
      <c r="BO234" s="872"/>
      <c r="BP234" s="872"/>
      <c r="BS234" s="872"/>
      <c r="BT234" s="872"/>
      <c r="BU234" s="872"/>
    </row>
    <row r="235" s="860" customFormat="1" ht="13.5" spans="1:73">
      <c r="A235" s="861"/>
      <c r="E235" s="862"/>
      <c r="X235" s="864"/>
      <c r="Y235" s="865"/>
      <c r="Z235" s="865"/>
      <c r="AA235" s="866"/>
      <c r="AB235" s="867"/>
      <c r="AC235" s="868"/>
      <c r="AD235" s="866"/>
      <c r="AF235" s="869"/>
      <c r="AG235" s="869"/>
      <c r="AH235" s="870"/>
      <c r="AI235" s="871"/>
      <c r="AJ235" s="870"/>
      <c r="AK235" s="870"/>
      <c r="BN235" s="872"/>
      <c r="BO235" s="872"/>
      <c r="BP235" s="872"/>
      <c r="BS235" s="872"/>
      <c r="BT235" s="872"/>
      <c r="BU235" s="872"/>
    </row>
    <row r="236" s="860" customFormat="1" ht="13.5" spans="1:73">
      <c r="A236" s="861"/>
      <c r="E236" s="862"/>
      <c r="X236" s="864"/>
      <c r="Y236" s="865"/>
      <c r="Z236" s="865"/>
      <c r="AA236" s="866"/>
      <c r="AB236" s="867"/>
      <c r="AC236" s="868"/>
      <c r="AD236" s="866"/>
      <c r="AF236" s="869"/>
      <c r="AG236" s="869"/>
      <c r="AH236" s="870"/>
      <c r="AI236" s="871"/>
      <c r="AJ236" s="870"/>
      <c r="AK236" s="870"/>
      <c r="BN236" s="872"/>
      <c r="BO236" s="872"/>
      <c r="BP236" s="872"/>
      <c r="BS236" s="872"/>
      <c r="BT236" s="872"/>
      <c r="BU236" s="872"/>
    </row>
    <row r="237" s="860" customFormat="1" ht="13.5" spans="1:73">
      <c r="A237" s="861"/>
      <c r="E237" s="862"/>
      <c r="X237" s="864"/>
      <c r="Y237" s="865"/>
      <c r="Z237" s="865"/>
      <c r="AA237" s="866"/>
      <c r="AB237" s="867"/>
      <c r="AC237" s="868"/>
      <c r="AD237" s="866"/>
      <c r="AF237" s="869"/>
      <c r="AG237" s="869"/>
      <c r="AH237" s="870"/>
      <c r="AI237" s="871"/>
      <c r="AJ237" s="870"/>
      <c r="AK237" s="870"/>
      <c r="BN237" s="872"/>
      <c r="BO237" s="872"/>
      <c r="BP237" s="872"/>
      <c r="BS237" s="872"/>
      <c r="BT237" s="872"/>
      <c r="BU237" s="872"/>
    </row>
    <row r="238" s="860" customFormat="1" ht="13.5" spans="1:73">
      <c r="A238" s="861"/>
      <c r="E238" s="862"/>
      <c r="X238" s="864"/>
      <c r="Y238" s="865"/>
      <c r="Z238" s="865"/>
      <c r="AA238" s="866"/>
      <c r="AB238" s="867"/>
      <c r="AC238" s="868"/>
      <c r="AD238" s="866"/>
      <c r="AF238" s="869"/>
      <c r="AG238" s="869"/>
      <c r="AH238" s="870"/>
      <c r="AI238" s="871"/>
      <c r="AJ238" s="870"/>
      <c r="AK238" s="870"/>
      <c r="BN238" s="872"/>
      <c r="BO238" s="872"/>
      <c r="BP238" s="872"/>
      <c r="BS238" s="872"/>
      <c r="BT238" s="872"/>
      <c r="BU238" s="872"/>
    </row>
    <row r="239" s="860" customFormat="1" ht="13.5" spans="1:73">
      <c r="A239" s="861"/>
      <c r="E239" s="862"/>
      <c r="X239" s="864"/>
      <c r="Y239" s="865"/>
      <c r="Z239" s="865"/>
      <c r="AA239" s="866"/>
      <c r="AB239" s="867"/>
      <c r="AC239" s="868"/>
      <c r="AD239" s="866"/>
      <c r="AF239" s="869"/>
      <c r="AG239" s="869"/>
      <c r="AH239" s="870"/>
      <c r="AI239" s="871"/>
      <c r="AJ239" s="870"/>
      <c r="AK239" s="870"/>
      <c r="BN239" s="872"/>
      <c r="BO239" s="872"/>
      <c r="BP239" s="872"/>
      <c r="BS239" s="872"/>
      <c r="BT239" s="872"/>
      <c r="BU239" s="872"/>
    </row>
    <row r="240" s="860" customFormat="1" ht="13.5" spans="1:73">
      <c r="A240" s="861"/>
      <c r="E240" s="862"/>
      <c r="X240" s="864"/>
      <c r="Y240" s="865"/>
      <c r="Z240" s="865"/>
      <c r="AA240" s="866"/>
      <c r="AB240" s="867"/>
      <c r="AC240" s="868"/>
      <c r="AD240" s="866"/>
      <c r="AF240" s="869"/>
      <c r="AG240" s="869"/>
      <c r="AH240" s="870"/>
      <c r="AI240" s="871"/>
      <c r="AJ240" s="870"/>
      <c r="AK240" s="870"/>
      <c r="BN240" s="872"/>
      <c r="BO240" s="872"/>
      <c r="BP240" s="872"/>
      <c r="BS240" s="872"/>
      <c r="BT240" s="872"/>
      <c r="BU240" s="872"/>
    </row>
    <row r="241" s="860" customFormat="1" ht="13.5" spans="1:73">
      <c r="A241" s="861"/>
      <c r="E241" s="862"/>
      <c r="X241" s="864"/>
      <c r="Y241" s="865"/>
      <c r="Z241" s="865"/>
      <c r="AA241" s="866"/>
      <c r="AB241" s="867"/>
      <c r="AC241" s="868"/>
      <c r="AD241" s="866"/>
      <c r="AF241" s="869"/>
      <c r="AG241" s="869"/>
      <c r="AH241" s="870"/>
      <c r="AI241" s="871"/>
      <c r="AJ241" s="870"/>
      <c r="AK241" s="870"/>
      <c r="BN241" s="872"/>
      <c r="BO241" s="872"/>
      <c r="BP241" s="872"/>
      <c r="BS241" s="872"/>
      <c r="BT241" s="872"/>
      <c r="BU241" s="872"/>
    </row>
    <row r="242" s="860" customFormat="1" ht="13.5" spans="1:73">
      <c r="A242" s="861"/>
      <c r="E242" s="862"/>
      <c r="X242" s="864"/>
      <c r="Y242" s="865"/>
      <c r="Z242" s="865"/>
      <c r="AA242" s="866"/>
      <c r="AB242" s="867"/>
      <c r="AC242" s="868"/>
      <c r="AD242" s="866"/>
      <c r="AF242" s="869"/>
      <c r="AG242" s="869"/>
      <c r="AH242" s="870"/>
      <c r="AI242" s="871"/>
      <c r="AJ242" s="870"/>
      <c r="AK242" s="870"/>
      <c r="BN242" s="872"/>
      <c r="BO242" s="872"/>
      <c r="BP242" s="872"/>
      <c r="BS242" s="872"/>
      <c r="BT242" s="872"/>
      <c r="BU242" s="872"/>
    </row>
    <row r="243" s="860" customFormat="1" ht="13.5" spans="1:73">
      <c r="A243" s="861"/>
      <c r="E243" s="862"/>
      <c r="X243" s="864"/>
      <c r="Y243" s="865"/>
      <c r="Z243" s="865"/>
      <c r="AA243" s="866"/>
      <c r="AB243" s="867"/>
      <c r="AC243" s="868"/>
      <c r="AD243" s="866"/>
      <c r="AF243" s="869"/>
      <c r="AG243" s="869"/>
      <c r="AH243" s="870"/>
      <c r="AI243" s="871"/>
      <c r="AJ243" s="870"/>
      <c r="AK243" s="870"/>
      <c r="BN243" s="872"/>
      <c r="BO243" s="872"/>
      <c r="BP243" s="872"/>
      <c r="BS243" s="872"/>
      <c r="BT243" s="872"/>
      <c r="BU243" s="872"/>
    </row>
    <row r="244" s="860" customFormat="1" ht="13.5" spans="1:73">
      <c r="A244" s="861"/>
      <c r="E244" s="862"/>
      <c r="X244" s="864"/>
      <c r="Y244" s="865"/>
      <c r="Z244" s="865"/>
      <c r="AA244" s="866"/>
      <c r="AB244" s="867"/>
      <c r="AC244" s="868"/>
      <c r="AD244" s="866"/>
      <c r="AF244" s="869"/>
      <c r="AG244" s="869"/>
      <c r="AH244" s="870"/>
      <c r="AI244" s="871"/>
      <c r="AJ244" s="870"/>
      <c r="AK244" s="870"/>
      <c r="BN244" s="872"/>
      <c r="BO244" s="872"/>
      <c r="BP244" s="872"/>
      <c r="BS244" s="872"/>
      <c r="BT244" s="872"/>
      <c r="BU244" s="872"/>
    </row>
    <row r="245" s="860" customFormat="1" ht="13.5" spans="1:73">
      <c r="A245" s="861"/>
      <c r="E245" s="862"/>
      <c r="X245" s="864"/>
      <c r="Y245" s="865"/>
      <c r="Z245" s="865"/>
      <c r="AA245" s="866"/>
      <c r="AB245" s="867"/>
      <c r="AC245" s="868"/>
      <c r="AD245" s="866"/>
      <c r="AF245" s="869"/>
      <c r="AG245" s="869"/>
      <c r="AH245" s="870"/>
      <c r="AI245" s="871"/>
      <c r="AJ245" s="870"/>
      <c r="AK245" s="870"/>
      <c r="BN245" s="872"/>
      <c r="BO245" s="872"/>
      <c r="BP245" s="872"/>
      <c r="BS245" s="872"/>
      <c r="BT245" s="872"/>
      <c r="BU245" s="872"/>
    </row>
    <row r="246" s="860" customFormat="1" ht="13.5" spans="1:73">
      <c r="A246" s="861"/>
      <c r="E246" s="862"/>
      <c r="X246" s="864"/>
      <c r="Y246" s="865"/>
      <c r="Z246" s="865"/>
      <c r="AA246" s="866"/>
      <c r="AB246" s="867"/>
      <c r="AC246" s="868"/>
      <c r="AD246" s="866"/>
      <c r="AF246" s="869"/>
      <c r="AG246" s="869"/>
      <c r="AH246" s="870"/>
      <c r="AI246" s="871"/>
      <c r="AJ246" s="870"/>
      <c r="AK246" s="870"/>
      <c r="BN246" s="872"/>
      <c r="BO246" s="872"/>
      <c r="BP246" s="872"/>
      <c r="BS246" s="872"/>
      <c r="BT246" s="872"/>
      <c r="BU246" s="872"/>
    </row>
    <row r="247" s="860" customFormat="1" ht="13.5" spans="1:73">
      <c r="A247" s="861"/>
      <c r="E247" s="862"/>
      <c r="X247" s="864"/>
      <c r="Y247" s="865"/>
      <c r="Z247" s="865"/>
      <c r="AA247" s="866"/>
      <c r="AB247" s="867"/>
      <c r="AC247" s="868"/>
      <c r="AD247" s="866"/>
      <c r="AF247" s="869"/>
      <c r="AG247" s="869"/>
      <c r="AH247" s="870"/>
      <c r="AI247" s="871"/>
      <c r="AJ247" s="870"/>
      <c r="AK247" s="870"/>
      <c r="BN247" s="872"/>
      <c r="BO247" s="872"/>
      <c r="BP247" s="872"/>
      <c r="BS247" s="872"/>
      <c r="BT247" s="872"/>
      <c r="BU247" s="872"/>
    </row>
    <row r="248" s="860" customFormat="1" ht="13.5" spans="1:73">
      <c r="A248" s="861"/>
      <c r="E248" s="862"/>
      <c r="X248" s="864"/>
      <c r="Y248" s="865"/>
      <c r="Z248" s="865"/>
      <c r="AA248" s="866"/>
      <c r="AB248" s="867"/>
      <c r="AC248" s="868"/>
      <c r="AD248" s="866"/>
      <c r="AF248" s="869"/>
      <c r="AG248" s="869"/>
      <c r="AH248" s="870"/>
      <c r="AI248" s="871"/>
      <c r="AJ248" s="870"/>
      <c r="AK248" s="870"/>
      <c r="BN248" s="872"/>
      <c r="BO248" s="872"/>
      <c r="BP248" s="872"/>
      <c r="BS248" s="872"/>
      <c r="BT248" s="872"/>
      <c r="BU248" s="872"/>
    </row>
    <row r="249" s="860" customFormat="1" ht="13.5" spans="1:73">
      <c r="A249" s="861"/>
      <c r="E249" s="862"/>
      <c r="X249" s="864"/>
      <c r="Y249" s="865"/>
      <c r="Z249" s="865"/>
      <c r="AA249" s="866"/>
      <c r="AB249" s="867"/>
      <c r="AC249" s="868"/>
      <c r="AD249" s="866"/>
      <c r="AF249" s="869"/>
      <c r="AG249" s="869"/>
      <c r="AH249" s="870"/>
      <c r="AI249" s="871"/>
      <c r="AJ249" s="870"/>
      <c r="AK249" s="870"/>
      <c r="BN249" s="872"/>
      <c r="BO249" s="872"/>
      <c r="BP249" s="872"/>
      <c r="BS249" s="872"/>
      <c r="BT249" s="872"/>
      <c r="BU249" s="872"/>
    </row>
    <row r="250" s="860" customFormat="1" ht="13.5" spans="1:73">
      <c r="A250" s="861"/>
      <c r="E250" s="862"/>
      <c r="X250" s="864"/>
      <c r="Y250" s="865"/>
      <c r="Z250" s="865"/>
      <c r="AA250" s="866"/>
      <c r="AB250" s="867"/>
      <c r="AC250" s="868"/>
      <c r="AD250" s="866"/>
      <c r="AF250" s="869"/>
      <c r="AG250" s="869"/>
      <c r="AH250" s="870"/>
      <c r="AI250" s="871"/>
      <c r="AJ250" s="870"/>
      <c r="AK250" s="870"/>
      <c r="BN250" s="872"/>
      <c r="BO250" s="872"/>
      <c r="BP250" s="872"/>
      <c r="BS250" s="872"/>
      <c r="BT250" s="872"/>
      <c r="BU250" s="872"/>
    </row>
    <row r="251" s="860" customFormat="1" ht="13.5" spans="1:73">
      <c r="A251" s="861"/>
      <c r="E251" s="862"/>
      <c r="X251" s="864"/>
      <c r="Y251" s="865"/>
      <c r="Z251" s="865"/>
      <c r="AA251" s="866"/>
      <c r="AB251" s="867"/>
      <c r="AC251" s="868"/>
      <c r="AD251" s="866"/>
      <c r="AF251" s="869"/>
      <c r="AG251" s="869"/>
      <c r="AH251" s="870"/>
      <c r="AI251" s="871"/>
      <c r="AJ251" s="870"/>
      <c r="AK251" s="870"/>
      <c r="BN251" s="872"/>
      <c r="BO251" s="872"/>
      <c r="BP251" s="872"/>
      <c r="BS251" s="872"/>
      <c r="BT251" s="872"/>
      <c r="BU251" s="872"/>
    </row>
    <row r="252" s="860" customFormat="1" ht="13.5" spans="1:73">
      <c r="A252" s="861"/>
      <c r="E252" s="862"/>
      <c r="X252" s="864"/>
      <c r="Y252" s="865"/>
      <c r="Z252" s="865"/>
      <c r="AA252" s="866"/>
      <c r="AB252" s="867"/>
      <c r="AC252" s="868"/>
      <c r="AD252" s="866"/>
      <c r="AF252" s="869"/>
      <c r="AG252" s="869"/>
      <c r="AH252" s="870"/>
      <c r="AI252" s="871"/>
      <c r="AJ252" s="870"/>
      <c r="AK252" s="870"/>
      <c r="BN252" s="872"/>
      <c r="BO252" s="872"/>
      <c r="BP252" s="872"/>
      <c r="BS252" s="872"/>
      <c r="BT252" s="872"/>
      <c r="BU252" s="872"/>
    </row>
    <row r="253" s="860" customFormat="1" ht="13.5" spans="1:73">
      <c r="A253" s="861"/>
      <c r="E253" s="862"/>
      <c r="X253" s="864"/>
      <c r="Y253" s="865"/>
      <c r="Z253" s="865"/>
      <c r="AA253" s="866"/>
      <c r="AB253" s="867"/>
      <c r="AC253" s="868"/>
      <c r="AD253" s="866"/>
      <c r="AF253" s="869"/>
      <c r="AG253" s="869"/>
      <c r="AH253" s="870"/>
      <c r="AI253" s="871"/>
      <c r="AJ253" s="870"/>
      <c r="AK253" s="870"/>
      <c r="BN253" s="872"/>
      <c r="BO253" s="872"/>
      <c r="BP253" s="872"/>
      <c r="BS253" s="872"/>
      <c r="BT253" s="872"/>
      <c r="BU253" s="872"/>
    </row>
    <row r="254" s="860" customFormat="1" ht="13.5" spans="1:73">
      <c r="A254" s="861"/>
      <c r="E254" s="862"/>
      <c r="X254" s="864"/>
      <c r="Y254" s="865"/>
      <c r="Z254" s="865"/>
      <c r="AA254" s="866"/>
      <c r="AB254" s="867"/>
      <c r="AC254" s="868"/>
      <c r="AD254" s="866"/>
      <c r="AF254" s="869"/>
      <c r="AG254" s="869"/>
      <c r="AH254" s="870"/>
      <c r="AI254" s="871"/>
      <c r="AJ254" s="870"/>
      <c r="AK254" s="870"/>
      <c r="BN254" s="872"/>
      <c r="BO254" s="872"/>
      <c r="BP254" s="872"/>
      <c r="BS254" s="872"/>
      <c r="BT254" s="872"/>
      <c r="BU254" s="872"/>
    </row>
    <row r="255" s="860" customFormat="1" ht="13.5" spans="1:73">
      <c r="A255" s="861"/>
      <c r="E255" s="862"/>
      <c r="X255" s="864"/>
      <c r="Y255" s="865"/>
      <c r="Z255" s="865"/>
      <c r="AA255" s="866"/>
      <c r="AB255" s="867"/>
      <c r="AC255" s="868"/>
      <c r="AD255" s="866"/>
      <c r="AF255" s="869"/>
      <c r="AG255" s="869"/>
      <c r="AH255" s="870"/>
      <c r="AI255" s="871"/>
      <c r="AJ255" s="870"/>
      <c r="AK255" s="870"/>
      <c r="BN255" s="872"/>
      <c r="BO255" s="872"/>
      <c r="BP255" s="872"/>
      <c r="BS255" s="872"/>
      <c r="BT255" s="872"/>
      <c r="BU255" s="872"/>
    </row>
    <row r="256" s="860" customFormat="1" ht="13.5" spans="1:73">
      <c r="A256" s="861"/>
      <c r="E256" s="862"/>
      <c r="X256" s="864"/>
      <c r="Y256" s="865"/>
      <c r="Z256" s="865"/>
      <c r="AA256" s="866"/>
      <c r="AB256" s="867"/>
      <c r="AC256" s="868"/>
      <c r="AD256" s="866"/>
      <c r="AF256" s="869"/>
      <c r="AG256" s="869"/>
      <c r="AH256" s="870"/>
      <c r="AI256" s="871"/>
      <c r="AJ256" s="870"/>
      <c r="AK256" s="870"/>
      <c r="BN256" s="872"/>
      <c r="BO256" s="872"/>
      <c r="BP256" s="872"/>
      <c r="BS256" s="872"/>
      <c r="BT256" s="872"/>
      <c r="BU256" s="872"/>
    </row>
    <row r="257" s="860" customFormat="1" ht="13.5" spans="1:73">
      <c r="A257" s="861"/>
      <c r="E257" s="862"/>
      <c r="X257" s="864"/>
      <c r="Y257" s="865"/>
      <c r="Z257" s="865"/>
      <c r="AA257" s="866"/>
      <c r="AB257" s="867"/>
      <c r="AC257" s="868"/>
      <c r="AD257" s="866"/>
      <c r="AF257" s="869"/>
      <c r="AG257" s="869"/>
      <c r="AH257" s="870"/>
      <c r="AI257" s="871"/>
      <c r="AJ257" s="870"/>
      <c r="AK257" s="870"/>
      <c r="BN257" s="872"/>
      <c r="BO257" s="872"/>
      <c r="BP257" s="872"/>
      <c r="BS257" s="872"/>
      <c r="BT257" s="872"/>
      <c r="BU257" s="872"/>
    </row>
    <row r="258" s="860" customFormat="1" ht="13.5" spans="1:73">
      <c r="A258" s="861"/>
      <c r="E258" s="862"/>
      <c r="X258" s="864"/>
      <c r="Y258" s="865"/>
      <c r="Z258" s="865"/>
      <c r="AA258" s="866"/>
      <c r="AB258" s="867"/>
      <c r="AC258" s="868"/>
      <c r="AD258" s="866"/>
      <c r="AF258" s="869"/>
      <c r="AG258" s="869"/>
      <c r="AH258" s="870"/>
      <c r="AI258" s="871"/>
      <c r="AJ258" s="870"/>
      <c r="AK258" s="870"/>
      <c r="BN258" s="872"/>
      <c r="BO258" s="872"/>
      <c r="BP258" s="872"/>
      <c r="BS258" s="872"/>
      <c r="BT258" s="872"/>
      <c r="BU258" s="872"/>
    </row>
    <row r="259" s="860" customFormat="1" ht="13.5" spans="1:73">
      <c r="A259" s="861"/>
      <c r="E259" s="862"/>
      <c r="X259" s="864"/>
      <c r="Y259" s="865"/>
      <c r="Z259" s="865"/>
      <c r="AA259" s="866"/>
      <c r="AB259" s="867"/>
      <c r="AC259" s="868"/>
      <c r="AD259" s="866"/>
      <c r="AF259" s="869"/>
      <c r="AG259" s="869"/>
      <c r="AH259" s="870"/>
      <c r="AI259" s="871"/>
      <c r="AJ259" s="870"/>
      <c r="AK259" s="870"/>
      <c r="BN259" s="872"/>
      <c r="BO259" s="872"/>
      <c r="BP259" s="872"/>
      <c r="BS259" s="872"/>
      <c r="BT259" s="872"/>
      <c r="BU259" s="872"/>
    </row>
    <row r="260" s="860" customFormat="1" ht="13.5" spans="1:73">
      <c r="A260" s="861"/>
      <c r="E260" s="862"/>
      <c r="X260" s="864"/>
      <c r="Y260" s="865"/>
      <c r="Z260" s="865"/>
      <c r="AA260" s="866"/>
      <c r="AB260" s="867"/>
      <c r="AC260" s="868"/>
      <c r="AD260" s="866"/>
      <c r="AF260" s="869"/>
      <c r="AG260" s="869"/>
      <c r="AH260" s="870"/>
      <c r="AI260" s="871"/>
      <c r="AJ260" s="870"/>
      <c r="AK260" s="870"/>
      <c r="BN260" s="872"/>
      <c r="BO260" s="872"/>
      <c r="BP260" s="872"/>
      <c r="BS260" s="872"/>
      <c r="BT260" s="872"/>
      <c r="BU260" s="872"/>
    </row>
    <row r="261" s="860" customFormat="1" ht="13.5" spans="1:73">
      <c r="A261" s="861"/>
      <c r="E261" s="862"/>
      <c r="X261" s="864"/>
      <c r="Y261" s="865"/>
      <c r="Z261" s="865"/>
      <c r="AA261" s="866"/>
      <c r="AB261" s="867"/>
      <c r="AC261" s="868"/>
      <c r="AD261" s="866"/>
      <c r="AF261" s="869"/>
      <c r="AG261" s="869"/>
      <c r="AH261" s="870"/>
      <c r="AI261" s="871"/>
      <c r="AJ261" s="870"/>
      <c r="AK261" s="870"/>
      <c r="BN261" s="872"/>
      <c r="BO261" s="872"/>
      <c r="BP261" s="872"/>
      <c r="BS261" s="872"/>
      <c r="BT261" s="872"/>
      <c r="BU261" s="872"/>
    </row>
    <row r="262" s="860" customFormat="1" ht="13.5" spans="1:73">
      <c r="A262" s="861"/>
      <c r="E262" s="862"/>
      <c r="X262" s="864"/>
      <c r="Y262" s="865"/>
      <c r="Z262" s="865"/>
      <c r="AA262" s="866"/>
      <c r="AB262" s="867"/>
      <c r="AC262" s="868"/>
      <c r="AD262" s="866"/>
      <c r="AF262" s="869"/>
      <c r="AG262" s="869"/>
      <c r="AH262" s="870"/>
      <c r="AI262" s="871"/>
      <c r="AJ262" s="870"/>
      <c r="AK262" s="870"/>
      <c r="BN262" s="872"/>
      <c r="BO262" s="872"/>
      <c r="BP262" s="872"/>
      <c r="BS262" s="872"/>
      <c r="BT262" s="872"/>
      <c r="BU262" s="872"/>
    </row>
    <row r="263" s="860" customFormat="1" ht="13.5" spans="1:73">
      <c r="A263" s="861"/>
      <c r="E263" s="862"/>
      <c r="X263" s="864"/>
      <c r="Y263" s="865"/>
      <c r="Z263" s="865"/>
      <c r="AA263" s="866"/>
      <c r="AB263" s="867"/>
      <c r="AC263" s="868"/>
      <c r="AD263" s="866"/>
      <c r="AF263" s="869"/>
      <c r="AG263" s="869"/>
      <c r="AH263" s="870"/>
      <c r="AI263" s="871"/>
      <c r="AJ263" s="870"/>
      <c r="AK263" s="870"/>
      <c r="BN263" s="872"/>
      <c r="BO263" s="872"/>
      <c r="BP263" s="872"/>
      <c r="BS263" s="872"/>
      <c r="BT263" s="872"/>
      <c r="BU263" s="872"/>
    </row>
    <row r="264" s="860" customFormat="1" ht="13.5" spans="1:73">
      <c r="A264" s="861"/>
      <c r="E264" s="862"/>
      <c r="X264" s="864"/>
      <c r="Y264" s="865"/>
      <c r="Z264" s="865"/>
      <c r="AA264" s="866"/>
      <c r="AB264" s="867"/>
      <c r="AC264" s="868"/>
      <c r="AD264" s="866"/>
      <c r="AF264" s="869"/>
      <c r="AG264" s="869"/>
      <c r="AH264" s="870"/>
      <c r="AI264" s="871"/>
      <c r="AJ264" s="870"/>
      <c r="AK264" s="870"/>
      <c r="BN264" s="872"/>
      <c r="BO264" s="872"/>
      <c r="BP264" s="872"/>
      <c r="BS264" s="872"/>
      <c r="BT264" s="872"/>
      <c r="BU264" s="872"/>
    </row>
    <row r="265" s="860" customFormat="1" ht="13.5" spans="1:73">
      <c r="A265" s="861"/>
      <c r="E265" s="862"/>
      <c r="X265" s="864"/>
      <c r="Y265" s="865"/>
      <c r="Z265" s="865"/>
      <c r="AA265" s="866"/>
      <c r="AB265" s="867"/>
      <c r="AC265" s="868"/>
      <c r="AD265" s="866"/>
      <c r="AF265" s="869"/>
      <c r="AG265" s="869"/>
      <c r="AH265" s="870"/>
      <c r="AI265" s="871"/>
      <c r="AJ265" s="870"/>
      <c r="AK265" s="870"/>
      <c r="BN265" s="872"/>
      <c r="BO265" s="872"/>
      <c r="BP265" s="872"/>
      <c r="BS265" s="872"/>
      <c r="BT265" s="872"/>
      <c r="BU265" s="872"/>
    </row>
    <row r="266" s="860" customFormat="1" ht="13.5" spans="1:73">
      <c r="A266" s="861"/>
      <c r="E266" s="862"/>
      <c r="X266" s="864"/>
      <c r="Y266" s="865"/>
      <c r="Z266" s="865"/>
      <c r="AA266" s="866"/>
      <c r="AB266" s="867"/>
      <c r="AC266" s="868"/>
      <c r="AD266" s="866"/>
      <c r="AF266" s="869"/>
      <c r="AG266" s="869"/>
      <c r="AH266" s="870"/>
      <c r="AI266" s="871"/>
      <c r="AJ266" s="870"/>
      <c r="AK266" s="870"/>
      <c r="BN266" s="872"/>
      <c r="BO266" s="872"/>
      <c r="BP266" s="872"/>
      <c r="BS266" s="872"/>
      <c r="BT266" s="872"/>
      <c r="BU266" s="872"/>
    </row>
    <row r="267" s="860" customFormat="1" ht="13.5" spans="1:73">
      <c r="A267" s="861"/>
      <c r="E267" s="862"/>
      <c r="X267" s="864"/>
      <c r="Y267" s="865"/>
      <c r="Z267" s="865"/>
      <c r="AA267" s="866"/>
      <c r="AB267" s="867"/>
      <c r="AC267" s="868"/>
      <c r="AD267" s="866"/>
      <c r="AF267" s="869"/>
      <c r="AG267" s="869"/>
      <c r="AH267" s="870"/>
      <c r="AI267" s="871"/>
      <c r="AJ267" s="870"/>
      <c r="AK267" s="870"/>
      <c r="BN267" s="872"/>
      <c r="BO267" s="872"/>
      <c r="BP267" s="872"/>
      <c r="BS267" s="872"/>
      <c r="BT267" s="872"/>
      <c r="BU267" s="872"/>
    </row>
    <row r="268" s="860" customFormat="1" ht="13.5" spans="1:73">
      <c r="A268" s="861"/>
      <c r="E268" s="862"/>
      <c r="X268" s="864"/>
      <c r="Y268" s="865"/>
      <c r="Z268" s="865"/>
      <c r="AA268" s="866"/>
      <c r="AB268" s="867"/>
      <c r="AC268" s="868"/>
      <c r="AD268" s="866"/>
      <c r="AF268" s="869"/>
      <c r="AG268" s="869"/>
      <c r="AH268" s="870"/>
      <c r="AI268" s="871"/>
      <c r="AJ268" s="870"/>
      <c r="AK268" s="870"/>
      <c r="BN268" s="872"/>
      <c r="BO268" s="872"/>
      <c r="BP268" s="872"/>
      <c r="BS268" s="872"/>
      <c r="BT268" s="872"/>
      <c r="BU268" s="872"/>
    </row>
    <row r="269" s="860" customFormat="1" ht="13.5" spans="1:73">
      <c r="A269" s="861"/>
      <c r="E269" s="862"/>
      <c r="X269" s="864"/>
      <c r="Y269" s="865"/>
      <c r="Z269" s="865"/>
      <c r="AA269" s="866"/>
      <c r="AB269" s="867"/>
      <c r="AC269" s="868"/>
      <c r="AD269" s="866"/>
      <c r="AF269" s="869"/>
      <c r="AG269" s="869"/>
      <c r="AH269" s="870"/>
      <c r="AI269" s="871"/>
      <c r="AJ269" s="870"/>
      <c r="AK269" s="870"/>
      <c r="BN269" s="872"/>
      <c r="BO269" s="872"/>
      <c r="BP269" s="872"/>
      <c r="BS269" s="872"/>
      <c r="BT269" s="872"/>
      <c r="BU269" s="872"/>
    </row>
    <row r="270" s="860" customFormat="1" ht="13.5" spans="1:73">
      <c r="A270" s="861"/>
      <c r="E270" s="862"/>
      <c r="X270" s="864"/>
      <c r="Y270" s="865"/>
      <c r="Z270" s="865"/>
      <c r="AA270" s="866"/>
      <c r="AB270" s="867"/>
      <c r="AC270" s="868"/>
      <c r="AD270" s="866"/>
      <c r="AF270" s="869"/>
      <c r="AG270" s="869"/>
      <c r="AH270" s="870"/>
      <c r="AI270" s="871"/>
      <c r="AJ270" s="870"/>
      <c r="AK270" s="870"/>
      <c r="BN270" s="872"/>
      <c r="BO270" s="872"/>
      <c r="BP270" s="872"/>
      <c r="BS270" s="872"/>
      <c r="BT270" s="872"/>
      <c r="BU270" s="872"/>
    </row>
    <row r="271" s="860" customFormat="1" ht="13.5" spans="1:73">
      <c r="A271" s="861"/>
      <c r="E271" s="862"/>
      <c r="X271" s="864"/>
      <c r="Y271" s="865"/>
      <c r="Z271" s="865"/>
      <c r="AA271" s="866"/>
      <c r="AB271" s="867"/>
      <c r="AC271" s="868"/>
      <c r="AD271" s="866"/>
      <c r="AF271" s="869"/>
      <c r="AG271" s="869"/>
      <c r="AH271" s="870"/>
      <c r="AI271" s="871"/>
      <c r="AJ271" s="870"/>
      <c r="AK271" s="870"/>
      <c r="BN271" s="872"/>
      <c r="BO271" s="872"/>
      <c r="BP271" s="872"/>
      <c r="BS271" s="872"/>
      <c r="BT271" s="872"/>
      <c r="BU271" s="872"/>
    </row>
    <row r="272" s="860" customFormat="1" ht="13.5" spans="1:73">
      <c r="A272" s="861"/>
      <c r="E272" s="862"/>
      <c r="X272" s="864"/>
      <c r="Y272" s="865"/>
      <c r="Z272" s="865"/>
      <c r="AA272" s="866"/>
      <c r="AB272" s="867"/>
      <c r="AC272" s="868"/>
      <c r="AD272" s="866"/>
      <c r="AF272" s="869"/>
      <c r="AG272" s="869"/>
      <c r="AH272" s="870"/>
      <c r="AI272" s="871"/>
      <c r="AJ272" s="870"/>
      <c r="AK272" s="870"/>
      <c r="BN272" s="872"/>
      <c r="BO272" s="872"/>
      <c r="BP272" s="872"/>
      <c r="BS272" s="872"/>
      <c r="BT272" s="872"/>
      <c r="BU272" s="872"/>
    </row>
    <row r="273" s="860" customFormat="1" ht="13.5" spans="1:73">
      <c r="A273" s="861"/>
      <c r="E273" s="862"/>
      <c r="X273" s="864"/>
      <c r="Y273" s="865"/>
      <c r="Z273" s="865"/>
      <c r="AA273" s="866"/>
      <c r="AB273" s="867"/>
      <c r="AC273" s="868"/>
      <c r="AD273" s="866"/>
      <c r="AF273" s="869"/>
      <c r="AG273" s="869"/>
      <c r="AH273" s="870"/>
      <c r="AI273" s="871"/>
      <c r="AJ273" s="870"/>
      <c r="AK273" s="870"/>
      <c r="BN273" s="872"/>
      <c r="BO273" s="872"/>
      <c r="BP273" s="872"/>
      <c r="BS273" s="872"/>
      <c r="BT273" s="872"/>
      <c r="BU273" s="872"/>
    </row>
    <row r="274" s="860" customFormat="1" ht="13.5" spans="1:73">
      <c r="A274" s="861"/>
      <c r="E274" s="862"/>
      <c r="X274" s="864"/>
      <c r="Y274" s="865"/>
      <c r="Z274" s="865"/>
      <c r="AA274" s="866"/>
      <c r="AB274" s="867"/>
      <c r="AC274" s="868"/>
      <c r="AD274" s="866"/>
      <c r="AF274" s="869"/>
      <c r="AG274" s="869"/>
      <c r="AH274" s="870"/>
      <c r="AI274" s="871"/>
      <c r="AJ274" s="870"/>
      <c r="AK274" s="870"/>
      <c r="BN274" s="872"/>
      <c r="BO274" s="872"/>
      <c r="BP274" s="872"/>
      <c r="BS274" s="872"/>
      <c r="BT274" s="872"/>
      <c r="BU274" s="872"/>
    </row>
    <row r="275" s="860" customFormat="1" ht="13.5" spans="1:73">
      <c r="A275" s="861"/>
      <c r="E275" s="862"/>
      <c r="X275" s="864"/>
      <c r="Y275" s="865"/>
      <c r="Z275" s="865"/>
      <c r="AA275" s="866"/>
      <c r="AB275" s="867"/>
      <c r="AC275" s="868"/>
      <c r="AD275" s="866"/>
      <c r="AF275" s="869"/>
      <c r="AG275" s="869"/>
      <c r="AH275" s="870"/>
      <c r="AI275" s="871"/>
      <c r="AJ275" s="870"/>
      <c r="AK275" s="870"/>
      <c r="BN275" s="872"/>
      <c r="BO275" s="872"/>
      <c r="BP275" s="872"/>
      <c r="BS275" s="872"/>
      <c r="BT275" s="872"/>
      <c r="BU275" s="872"/>
    </row>
    <row r="276" s="860" customFormat="1" ht="13.5" spans="1:73">
      <c r="A276" s="861"/>
      <c r="E276" s="862"/>
      <c r="X276" s="864"/>
      <c r="Y276" s="865"/>
      <c r="Z276" s="865"/>
      <c r="AA276" s="866"/>
      <c r="AB276" s="867"/>
      <c r="AC276" s="868"/>
      <c r="AD276" s="866"/>
      <c r="AF276" s="869"/>
      <c r="AG276" s="869"/>
      <c r="AH276" s="870"/>
      <c r="AI276" s="871"/>
      <c r="AJ276" s="870"/>
      <c r="AK276" s="870"/>
      <c r="BN276" s="872"/>
      <c r="BO276" s="872"/>
      <c r="BP276" s="872"/>
      <c r="BS276" s="872"/>
      <c r="BT276" s="872"/>
      <c r="BU276" s="872"/>
    </row>
    <row r="277" s="860" customFormat="1" ht="13.5" spans="1:73">
      <c r="A277" s="861"/>
      <c r="E277" s="862"/>
      <c r="X277" s="864"/>
      <c r="Y277" s="865"/>
      <c r="Z277" s="865"/>
      <c r="AA277" s="866"/>
      <c r="AB277" s="867"/>
      <c r="AC277" s="868"/>
      <c r="AD277" s="866"/>
      <c r="AF277" s="869"/>
      <c r="AG277" s="869"/>
      <c r="AH277" s="870"/>
      <c r="AI277" s="871"/>
      <c r="AJ277" s="870"/>
      <c r="AK277" s="870"/>
      <c r="BN277" s="872"/>
      <c r="BO277" s="872"/>
      <c r="BP277" s="872"/>
      <c r="BS277" s="872"/>
      <c r="BT277" s="872"/>
      <c r="BU277" s="872"/>
    </row>
    <row r="278" s="860" customFormat="1" ht="13.5" spans="1:73">
      <c r="A278" s="861"/>
      <c r="E278" s="862"/>
      <c r="X278" s="864"/>
      <c r="Y278" s="865"/>
      <c r="Z278" s="865"/>
      <c r="AA278" s="866"/>
      <c r="AB278" s="867"/>
      <c r="AC278" s="868"/>
      <c r="AD278" s="866"/>
      <c r="AF278" s="869"/>
      <c r="AG278" s="869"/>
      <c r="AH278" s="870"/>
      <c r="AI278" s="871"/>
      <c r="AJ278" s="870"/>
      <c r="AK278" s="870"/>
      <c r="BN278" s="872"/>
      <c r="BO278" s="872"/>
      <c r="BP278" s="872"/>
      <c r="BS278" s="872"/>
      <c r="BT278" s="872"/>
      <c r="BU278" s="872"/>
    </row>
    <row r="279" s="860" customFormat="1" ht="13.5" spans="1:73">
      <c r="A279" s="861"/>
      <c r="E279" s="862"/>
      <c r="X279" s="864"/>
      <c r="Y279" s="865"/>
      <c r="Z279" s="865"/>
      <c r="AA279" s="866"/>
      <c r="AB279" s="867"/>
      <c r="AC279" s="868"/>
      <c r="AD279" s="866"/>
      <c r="AF279" s="869"/>
      <c r="AG279" s="869"/>
      <c r="AH279" s="870"/>
      <c r="AI279" s="871"/>
      <c r="AJ279" s="870"/>
      <c r="AK279" s="870"/>
      <c r="BN279" s="872"/>
      <c r="BO279" s="872"/>
      <c r="BP279" s="872"/>
      <c r="BS279" s="872"/>
      <c r="BT279" s="872"/>
      <c r="BU279" s="872"/>
    </row>
    <row r="280" s="860" customFormat="1" ht="13.5" spans="1:73">
      <c r="A280" s="861"/>
      <c r="E280" s="862"/>
      <c r="X280" s="864"/>
      <c r="Y280" s="865"/>
      <c r="Z280" s="865"/>
      <c r="AA280" s="866"/>
      <c r="AB280" s="867"/>
      <c r="AC280" s="868"/>
      <c r="AD280" s="866"/>
      <c r="AF280" s="869"/>
      <c r="AG280" s="869"/>
      <c r="AH280" s="870"/>
      <c r="AI280" s="871"/>
      <c r="AJ280" s="870"/>
      <c r="AK280" s="870"/>
      <c r="BN280" s="872"/>
      <c r="BO280" s="872"/>
      <c r="BP280" s="872"/>
      <c r="BS280" s="872"/>
      <c r="BT280" s="872"/>
      <c r="BU280" s="872"/>
    </row>
    <row r="281" s="860" customFormat="1" ht="13.5" spans="1:73">
      <c r="A281" s="861"/>
      <c r="E281" s="862"/>
      <c r="X281" s="864"/>
      <c r="Y281" s="865"/>
      <c r="Z281" s="865"/>
      <c r="AA281" s="866"/>
      <c r="AB281" s="867"/>
      <c r="AC281" s="868"/>
      <c r="AD281" s="866"/>
      <c r="AF281" s="869"/>
      <c r="AG281" s="869"/>
      <c r="AH281" s="870"/>
      <c r="AI281" s="871"/>
      <c r="AJ281" s="870"/>
      <c r="AK281" s="870"/>
      <c r="BN281" s="872"/>
      <c r="BO281" s="872"/>
      <c r="BP281" s="872"/>
      <c r="BS281" s="872"/>
      <c r="BT281" s="872"/>
      <c r="BU281" s="872"/>
    </row>
    <row r="282" s="860" customFormat="1" ht="13.5" spans="1:73">
      <c r="A282" s="861"/>
      <c r="E282" s="862"/>
      <c r="X282" s="864"/>
      <c r="Y282" s="865"/>
      <c r="Z282" s="865"/>
      <c r="AA282" s="866"/>
      <c r="AB282" s="867"/>
      <c r="AC282" s="868"/>
      <c r="AD282" s="866"/>
      <c r="AF282" s="869"/>
      <c r="AG282" s="869"/>
      <c r="AH282" s="870"/>
      <c r="AI282" s="871"/>
      <c r="AJ282" s="870"/>
      <c r="AK282" s="870"/>
      <c r="BN282" s="872"/>
      <c r="BO282" s="872"/>
      <c r="BP282" s="872"/>
      <c r="BS282" s="872"/>
      <c r="BT282" s="872"/>
      <c r="BU282" s="872"/>
    </row>
    <row r="283" s="860" customFormat="1" ht="13.5" spans="1:73">
      <c r="A283" s="861"/>
      <c r="E283" s="862"/>
      <c r="X283" s="864"/>
      <c r="Y283" s="865"/>
      <c r="Z283" s="865"/>
      <c r="AA283" s="866"/>
      <c r="AB283" s="867"/>
      <c r="AC283" s="868"/>
      <c r="AD283" s="866"/>
      <c r="AF283" s="869"/>
      <c r="AG283" s="869"/>
      <c r="AH283" s="870"/>
      <c r="AI283" s="871"/>
      <c r="AJ283" s="870"/>
      <c r="AK283" s="870"/>
      <c r="BN283" s="872"/>
      <c r="BO283" s="872"/>
      <c r="BP283" s="872"/>
      <c r="BS283" s="872"/>
      <c r="BT283" s="872"/>
      <c r="BU283" s="872"/>
    </row>
    <row r="284" s="860" customFormat="1" ht="13.5" spans="1:73">
      <c r="A284" s="861"/>
      <c r="E284" s="862"/>
      <c r="X284" s="864"/>
      <c r="Y284" s="865"/>
      <c r="Z284" s="865"/>
      <c r="AA284" s="866"/>
      <c r="AB284" s="867"/>
      <c r="AC284" s="868"/>
      <c r="AD284" s="866"/>
      <c r="AF284" s="869"/>
      <c r="AG284" s="869"/>
      <c r="AH284" s="870"/>
      <c r="AI284" s="871"/>
      <c r="AJ284" s="870"/>
      <c r="AK284" s="870"/>
      <c r="BN284" s="872"/>
      <c r="BO284" s="872"/>
      <c r="BP284" s="872"/>
      <c r="BS284" s="872"/>
      <c r="BT284" s="872"/>
      <c r="BU284" s="872"/>
    </row>
    <row r="285" s="860" customFormat="1" ht="13.5" spans="1:73">
      <c r="A285" s="861"/>
      <c r="E285" s="862"/>
      <c r="X285" s="864"/>
      <c r="Y285" s="865"/>
      <c r="Z285" s="865"/>
      <c r="AA285" s="866"/>
      <c r="AB285" s="867"/>
      <c r="AC285" s="868"/>
      <c r="AD285" s="866"/>
      <c r="AF285" s="869"/>
      <c r="AG285" s="869"/>
      <c r="AH285" s="870"/>
      <c r="AI285" s="871"/>
      <c r="AJ285" s="870"/>
      <c r="AK285" s="870"/>
      <c r="BN285" s="872"/>
      <c r="BO285" s="872"/>
      <c r="BP285" s="872"/>
      <c r="BS285" s="872"/>
      <c r="BT285" s="872"/>
      <c r="BU285" s="872"/>
    </row>
    <row r="286" s="860" customFormat="1" ht="13.5" spans="1:73">
      <c r="A286" s="861"/>
      <c r="E286" s="862"/>
      <c r="X286" s="864"/>
      <c r="Y286" s="865"/>
      <c r="Z286" s="865"/>
      <c r="AA286" s="866"/>
      <c r="AB286" s="867"/>
      <c r="AC286" s="868"/>
      <c r="AD286" s="866"/>
      <c r="AF286" s="869"/>
      <c r="AG286" s="869"/>
      <c r="AH286" s="870"/>
      <c r="AI286" s="871"/>
      <c r="AJ286" s="870"/>
      <c r="AK286" s="870"/>
      <c r="BN286" s="872"/>
      <c r="BO286" s="872"/>
      <c r="BP286" s="872"/>
      <c r="BS286" s="872"/>
      <c r="BT286" s="872"/>
      <c r="BU286" s="872"/>
    </row>
    <row r="287" s="860" customFormat="1" ht="13.5" spans="1:73">
      <c r="A287" s="861"/>
      <c r="E287" s="862"/>
      <c r="X287" s="864"/>
      <c r="Y287" s="865"/>
      <c r="Z287" s="865"/>
      <c r="AA287" s="866"/>
      <c r="AB287" s="867"/>
      <c r="AC287" s="868"/>
      <c r="AD287" s="866"/>
      <c r="AF287" s="869"/>
      <c r="AG287" s="869"/>
      <c r="AH287" s="870"/>
      <c r="AI287" s="871"/>
      <c r="AJ287" s="870"/>
      <c r="AK287" s="870"/>
      <c r="BN287" s="872"/>
      <c r="BO287" s="872"/>
      <c r="BP287" s="872"/>
      <c r="BS287" s="872"/>
      <c r="BT287" s="872"/>
      <c r="BU287" s="872"/>
    </row>
    <row r="288" s="860" customFormat="1" ht="13.5" spans="1:73">
      <c r="A288" s="861"/>
      <c r="E288" s="862"/>
      <c r="X288" s="864"/>
      <c r="Y288" s="865"/>
      <c r="Z288" s="865"/>
      <c r="AA288" s="866"/>
      <c r="AB288" s="867"/>
      <c r="AC288" s="868"/>
      <c r="AD288" s="866"/>
      <c r="AF288" s="869"/>
      <c r="AG288" s="869"/>
      <c r="AH288" s="870"/>
      <c r="AI288" s="871"/>
      <c r="AJ288" s="870"/>
      <c r="AK288" s="870"/>
      <c r="BN288" s="872"/>
      <c r="BO288" s="872"/>
      <c r="BP288" s="872"/>
      <c r="BS288" s="872"/>
      <c r="BT288" s="872"/>
      <c r="BU288" s="872"/>
    </row>
    <row r="289" s="860" customFormat="1" ht="13.5" spans="1:73">
      <c r="A289" s="861"/>
      <c r="E289" s="862"/>
      <c r="X289" s="864"/>
      <c r="Y289" s="865"/>
      <c r="Z289" s="865"/>
      <c r="AA289" s="866"/>
      <c r="AB289" s="867"/>
      <c r="AC289" s="868"/>
      <c r="AD289" s="866"/>
      <c r="AF289" s="869"/>
      <c r="AG289" s="869"/>
      <c r="AH289" s="870"/>
      <c r="AI289" s="871"/>
      <c r="AJ289" s="870"/>
      <c r="AK289" s="870"/>
      <c r="BN289" s="872"/>
      <c r="BO289" s="872"/>
      <c r="BP289" s="872"/>
      <c r="BS289" s="872"/>
      <c r="BT289" s="872"/>
      <c r="BU289" s="872"/>
    </row>
    <row r="290" s="860" customFormat="1" ht="13.5" spans="1:73">
      <c r="A290" s="861"/>
      <c r="E290" s="862"/>
      <c r="X290" s="864"/>
      <c r="Y290" s="865"/>
      <c r="Z290" s="865"/>
      <c r="AA290" s="866"/>
      <c r="AB290" s="867"/>
      <c r="AC290" s="868"/>
      <c r="AD290" s="866"/>
      <c r="AF290" s="869"/>
      <c r="AG290" s="869"/>
      <c r="AH290" s="870"/>
      <c r="AI290" s="871"/>
      <c r="AJ290" s="870"/>
      <c r="AK290" s="870"/>
      <c r="BN290" s="872"/>
      <c r="BO290" s="872"/>
      <c r="BP290" s="872"/>
      <c r="BS290" s="872"/>
      <c r="BT290" s="872"/>
      <c r="BU290" s="872"/>
    </row>
    <row r="291" s="860" customFormat="1" ht="13.5" spans="1:73">
      <c r="A291" s="861"/>
      <c r="E291" s="862"/>
      <c r="X291" s="864"/>
      <c r="Y291" s="865"/>
      <c r="Z291" s="865"/>
      <c r="AA291" s="866"/>
      <c r="AB291" s="867"/>
      <c r="AC291" s="868"/>
      <c r="AD291" s="866"/>
      <c r="AF291" s="869"/>
      <c r="AG291" s="869"/>
      <c r="AH291" s="870"/>
      <c r="AI291" s="871"/>
      <c r="AJ291" s="870"/>
      <c r="AK291" s="870"/>
      <c r="BN291" s="872"/>
      <c r="BO291" s="872"/>
      <c r="BP291" s="872"/>
      <c r="BS291" s="872"/>
      <c r="BT291" s="872"/>
      <c r="BU291" s="872"/>
    </row>
    <row r="292" s="860" customFormat="1" ht="13.5" spans="1:73">
      <c r="A292" s="861"/>
      <c r="E292" s="862"/>
      <c r="X292" s="864"/>
      <c r="Y292" s="865"/>
      <c r="Z292" s="865"/>
      <c r="AA292" s="866"/>
      <c r="AB292" s="867"/>
      <c r="AC292" s="868"/>
      <c r="AD292" s="866"/>
      <c r="AF292" s="869"/>
      <c r="AG292" s="869"/>
      <c r="AH292" s="870"/>
      <c r="AI292" s="871"/>
      <c r="AJ292" s="870"/>
      <c r="AK292" s="870"/>
      <c r="BN292" s="872"/>
      <c r="BO292" s="872"/>
      <c r="BP292" s="872"/>
      <c r="BS292" s="872"/>
      <c r="BT292" s="872"/>
      <c r="BU292" s="872"/>
    </row>
    <row r="293" s="860" customFormat="1" ht="13.5" spans="1:73">
      <c r="A293" s="861"/>
      <c r="E293" s="862"/>
      <c r="X293" s="864"/>
      <c r="Y293" s="865"/>
      <c r="Z293" s="865"/>
      <c r="AA293" s="866"/>
      <c r="AB293" s="867"/>
      <c r="AC293" s="868"/>
      <c r="AD293" s="866"/>
      <c r="AF293" s="869"/>
      <c r="AG293" s="869"/>
      <c r="AH293" s="870"/>
      <c r="AI293" s="871"/>
      <c r="AJ293" s="870"/>
      <c r="AK293" s="870"/>
      <c r="BN293" s="872"/>
      <c r="BO293" s="872"/>
      <c r="BP293" s="872"/>
      <c r="BS293" s="872"/>
      <c r="BT293" s="872"/>
      <c r="BU293" s="872"/>
    </row>
    <row r="294" s="860" customFormat="1" ht="13.5" spans="1:73">
      <c r="A294" s="861"/>
      <c r="E294" s="862"/>
      <c r="X294" s="864"/>
      <c r="Y294" s="865"/>
      <c r="Z294" s="865"/>
      <c r="AA294" s="866"/>
      <c r="AB294" s="867"/>
      <c r="AC294" s="868"/>
      <c r="AD294" s="866"/>
      <c r="AF294" s="869"/>
      <c r="AG294" s="869"/>
      <c r="AH294" s="870"/>
      <c r="AI294" s="871"/>
      <c r="AJ294" s="870"/>
      <c r="AK294" s="870"/>
      <c r="BN294" s="872"/>
      <c r="BO294" s="872"/>
      <c r="BP294" s="872"/>
      <c r="BS294" s="872"/>
      <c r="BT294" s="872"/>
      <c r="BU294" s="872"/>
    </row>
    <row r="295" s="860" customFormat="1" ht="13.5" spans="1:73">
      <c r="A295" s="861"/>
      <c r="E295" s="862"/>
      <c r="X295" s="864"/>
      <c r="Y295" s="865"/>
      <c r="Z295" s="865"/>
      <c r="AA295" s="866"/>
      <c r="AB295" s="867"/>
      <c r="AC295" s="868"/>
      <c r="AD295" s="866"/>
      <c r="AF295" s="869"/>
      <c r="AG295" s="869"/>
      <c r="AH295" s="870"/>
      <c r="AI295" s="871"/>
      <c r="AJ295" s="870"/>
      <c r="AK295" s="870"/>
      <c r="BN295" s="872"/>
      <c r="BO295" s="872"/>
      <c r="BP295" s="872"/>
      <c r="BS295" s="872"/>
      <c r="BT295" s="872"/>
      <c r="BU295" s="872"/>
    </row>
    <row r="296" s="860" customFormat="1" ht="13.5" spans="1:73">
      <c r="A296" s="861"/>
      <c r="E296" s="862"/>
      <c r="X296" s="864"/>
      <c r="Y296" s="865"/>
      <c r="Z296" s="865"/>
      <c r="AA296" s="866"/>
      <c r="AB296" s="867"/>
      <c r="AC296" s="868"/>
      <c r="AD296" s="866"/>
      <c r="AF296" s="869"/>
      <c r="AG296" s="869"/>
      <c r="AH296" s="870"/>
      <c r="AI296" s="871"/>
      <c r="AJ296" s="870"/>
      <c r="AK296" s="870"/>
      <c r="BN296" s="872"/>
      <c r="BO296" s="872"/>
      <c r="BP296" s="872"/>
      <c r="BS296" s="872"/>
      <c r="BT296" s="872"/>
      <c r="BU296" s="872"/>
    </row>
    <row r="297" s="860" customFormat="1" ht="13.5" spans="1:73">
      <c r="A297" s="861"/>
      <c r="E297" s="862"/>
      <c r="X297" s="864"/>
      <c r="Y297" s="865"/>
      <c r="Z297" s="865"/>
      <c r="AA297" s="866"/>
      <c r="AB297" s="867"/>
      <c r="AC297" s="868"/>
      <c r="AD297" s="866"/>
      <c r="AF297" s="869"/>
      <c r="AG297" s="869"/>
      <c r="AH297" s="870"/>
      <c r="AI297" s="871"/>
      <c r="AJ297" s="870"/>
      <c r="AK297" s="870"/>
      <c r="BN297" s="872"/>
      <c r="BO297" s="872"/>
      <c r="BP297" s="872"/>
      <c r="BS297" s="872"/>
      <c r="BT297" s="872"/>
      <c r="BU297" s="872"/>
    </row>
    <row r="298" s="860" customFormat="1" ht="13.5" spans="1:73">
      <c r="A298" s="861"/>
      <c r="E298" s="862"/>
      <c r="X298" s="864"/>
      <c r="Y298" s="865"/>
      <c r="Z298" s="865"/>
      <c r="AA298" s="866"/>
      <c r="AB298" s="867"/>
      <c r="AC298" s="868"/>
      <c r="AD298" s="866"/>
      <c r="AF298" s="869"/>
      <c r="AG298" s="869"/>
      <c r="AH298" s="870"/>
      <c r="AI298" s="871"/>
      <c r="AJ298" s="870"/>
      <c r="AK298" s="870"/>
      <c r="BN298" s="872"/>
      <c r="BO298" s="872"/>
      <c r="BP298" s="872"/>
      <c r="BS298" s="872"/>
      <c r="BT298" s="872"/>
      <c r="BU298" s="872"/>
    </row>
    <row r="299" s="860" customFormat="1" ht="13.5" spans="1:73">
      <c r="A299" s="861"/>
      <c r="E299" s="862"/>
      <c r="X299" s="864"/>
      <c r="Y299" s="865"/>
      <c r="Z299" s="865"/>
      <c r="AA299" s="866"/>
      <c r="AB299" s="867"/>
      <c r="AC299" s="868"/>
      <c r="AD299" s="866"/>
      <c r="AF299" s="869"/>
      <c r="AG299" s="869"/>
      <c r="AH299" s="870"/>
      <c r="AI299" s="871"/>
      <c r="AJ299" s="870"/>
      <c r="AK299" s="870"/>
      <c r="BN299" s="872"/>
      <c r="BO299" s="872"/>
      <c r="BP299" s="872"/>
      <c r="BS299" s="872"/>
      <c r="BT299" s="872"/>
      <c r="BU299" s="872"/>
    </row>
    <row r="300" s="860" customFormat="1" ht="13.5" spans="1:73">
      <c r="A300" s="861"/>
      <c r="E300" s="862"/>
      <c r="X300" s="864"/>
      <c r="Y300" s="865"/>
      <c r="Z300" s="865"/>
      <c r="AA300" s="866"/>
      <c r="AB300" s="867"/>
      <c r="AC300" s="868"/>
      <c r="AD300" s="866"/>
      <c r="AF300" s="869"/>
      <c r="AG300" s="869"/>
      <c r="AH300" s="870"/>
      <c r="AI300" s="871"/>
      <c r="AJ300" s="870"/>
      <c r="AK300" s="870"/>
      <c r="BN300" s="872"/>
      <c r="BO300" s="872"/>
      <c r="BP300" s="872"/>
      <c r="BS300" s="872"/>
      <c r="BT300" s="872"/>
      <c r="BU300" s="872"/>
    </row>
    <row r="301" s="860" customFormat="1" ht="13.5" spans="1:73">
      <c r="A301" s="861"/>
      <c r="E301" s="862"/>
      <c r="X301" s="864"/>
      <c r="Y301" s="865"/>
      <c r="Z301" s="865"/>
      <c r="AA301" s="866"/>
      <c r="AB301" s="867"/>
      <c r="AC301" s="868"/>
      <c r="AD301" s="866"/>
      <c r="AF301" s="869"/>
      <c r="AG301" s="869"/>
      <c r="AH301" s="870"/>
      <c r="AI301" s="871"/>
      <c r="AJ301" s="870"/>
      <c r="AK301" s="870"/>
      <c r="BN301" s="872"/>
      <c r="BO301" s="872"/>
      <c r="BP301" s="872"/>
      <c r="BS301" s="872"/>
      <c r="BT301" s="872"/>
      <c r="BU301" s="872"/>
    </row>
    <row r="302" s="860" customFormat="1" ht="13.5" spans="1:73">
      <c r="A302" s="861"/>
      <c r="E302" s="862"/>
      <c r="X302" s="864"/>
      <c r="Y302" s="865"/>
      <c r="Z302" s="865"/>
      <c r="AA302" s="866"/>
      <c r="AB302" s="867"/>
      <c r="AC302" s="868"/>
      <c r="AD302" s="866"/>
      <c r="AF302" s="869"/>
      <c r="AG302" s="869"/>
      <c r="AH302" s="870"/>
      <c r="AI302" s="871"/>
      <c r="AJ302" s="870"/>
      <c r="AK302" s="870"/>
      <c r="BN302" s="872"/>
      <c r="BO302" s="872"/>
      <c r="BP302" s="872"/>
      <c r="BS302" s="872"/>
      <c r="BT302" s="872"/>
      <c r="BU302" s="872"/>
    </row>
    <row r="303" s="860" customFormat="1" ht="13.5" spans="1:73">
      <c r="A303" s="861"/>
      <c r="E303" s="862"/>
      <c r="X303" s="864"/>
      <c r="Y303" s="865"/>
      <c r="Z303" s="865"/>
      <c r="AA303" s="866"/>
      <c r="AB303" s="867"/>
      <c r="AC303" s="868"/>
      <c r="AD303" s="866"/>
      <c r="AF303" s="869"/>
      <c r="AG303" s="869"/>
      <c r="AH303" s="870"/>
      <c r="AI303" s="871"/>
      <c r="AJ303" s="870"/>
      <c r="AK303" s="870"/>
      <c r="BN303" s="872"/>
      <c r="BO303" s="872"/>
      <c r="BP303" s="872"/>
      <c r="BS303" s="872"/>
      <c r="BT303" s="872"/>
      <c r="BU303" s="872"/>
    </row>
    <row r="304" s="860" customFormat="1" ht="13.5" spans="1:73">
      <c r="A304" s="861"/>
      <c r="E304" s="862"/>
      <c r="X304" s="864"/>
      <c r="Y304" s="865"/>
      <c r="Z304" s="865"/>
      <c r="AA304" s="866"/>
      <c r="AB304" s="867"/>
      <c r="AC304" s="868"/>
      <c r="AD304" s="866"/>
      <c r="AF304" s="869"/>
      <c r="AG304" s="869"/>
      <c r="AH304" s="870"/>
      <c r="AI304" s="871"/>
      <c r="AJ304" s="870"/>
      <c r="AK304" s="870"/>
      <c r="BN304" s="872"/>
      <c r="BO304" s="872"/>
      <c r="BP304" s="872"/>
      <c r="BS304" s="872"/>
      <c r="BT304" s="872"/>
      <c r="BU304" s="872"/>
    </row>
    <row r="305" s="860" customFormat="1" ht="13.5" spans="1:73">
      <c r="A305" s="861"/>
      <c r="E305" s="862"/>
      <c r="X305" s="864"/>
      <c r="Y305" s="865"/>
      <c r="Z305" s="865"/>
      <c r="AA305" s="866"/>
      <c r="AB305" s="867"/>
      <c r="AC305" s="868"/>
      <c r="AD305" s="866"/>
      <c r="AF305" s="869"/>
      <c r="AG305" s="869"/>
      <c r="AH305" s="870"/>
      <c r="AI305" s="871"/>
      <c r="AJ305" s="870"/>
      <c r="AK305" s="870"/>
      <c r="BN305" s="872"/>
      <c r="BO305" s="872"/>
      <c r="BP305" s="872"/>
      <c r="BS305" s="872"/>
      <c r="BT305" s="872"/>
      <c r="BU305" s="872"/>
    </row>
    <row r="306" s="860" customFormat="1" ht="13.5" spans="1:73">
      <c r="A306" s="861"/>
      <c r="E306" s="862"/>
      <c r="X306" s="864"/>
      <c r="Y306" s="865"/>
      <c r="Z306" s="865"/>
      <c r="AA306" s="866"/>
      <c r="AB306" s="867"/>
      <c r="AC306" s="868"/>
      <c r="AD306" s="866"/>
      <c r="AF306" s="869"/>
      <c r="AG306" s="869"/>
      <c r="AH306" s="870"/>
      <c r="AI306" s="871"/>
      <c r="AJ306" s="870"/>
      <c r="AK306" s="870"/>
      <c r="BN306" s="872"/>
      <c r="BO306" s="872"/>
      <c r="BP306" s="872"/>
      <c r="BS306" s="872"/>
      <c r="BT306" s="872"/>
      <c r="BU306" s="872"/>
    </row>
    <row r="307" s="860" customFormat="1" ht="13.5" spans="1:73">
      <c r="A307" s="861"/>
      <c r="E307" s="862"/>
      <c r="X307" s="864"/>
      <c r="Y307" s="865"/>
      <c r="Z307" s="865"/>
      <c r="AA307" s="866"/>
      <c r="AB307" s="867"/>
      <c r="AC307" s="868"/>
      <c r="AD307" s="866"/>
      <c r="AF307" s="869"/>
      <c r="AG307" s="869"/>
      <c r="AH307" s="870"/>
      <c r="AI307" s="871"/>
      <c r="AJ307" s="870"/>
      <c r="AK307" s="870"/>
      <c r="BN307" s="872"/>
      <c r="BO307" s="872"/>
      <c r="BP307" s="872"/>
      <c r="BS307" s="872"/>
      <c r="BT307" s="872"/>
      <c r="BU307" s="872"/>
    </row>
    <row r="308" s="860" customFormat="1" ht="13.5" spans="1:73">
      <c r="A308" s="861"/>
      <c r="E308" s="862"/>
      <c r="X308" s="864"/>
      <c r="Y308" s="865"/>
      <c r="Z308" s="865"/>
      <c r="AA308" s="866"/>
      <c r="AB308" s="867"/>
      <c r="AC308" s="868"/>
      <c r="AD308" s="866"/>
      <c r="AF308" s="869"/>
      <c r="AG308" s="869"/>
      <c r="AH308" s="870"/>
      <c r="AI308" s="871"/>
      <c r="AJ308" s="870"/>
      <c r="AK308" s="870"/>
      <c r="BN308" s="872"/>
      <c r="BO308" s="872"/>
      <c r="BP308" s="872"/>
      <c r="BS308" s="872"/>
      <c r="BT308" s="872"/>
      <c r="BU308" s="872"/>
    </row>
    <row r="309" s="860" customFormat="1" ht="13.5" spans="1:73">
      <c r="A309" s="861"/>
      <c r="E309" s="862"/>
      <c r="X309" s="864"/>
      <c r="Y309" s="865"/>
      <c r="Z309" s="865"/>
      <c r="AA309" s="866"/>
      <c r="AB309" s="867"/>
      <c r="AC309" s="868"/>
      <c r="AD309" s="866"/>
      <c r="AF309" s="869"/>
      <c r="AG309" s="869"/>
      <c r="AH309" s="870"/>
      <c r="AI309" s="871"/>
      <c r="AJ309" s="870"/>
      <c r="AK309" s="870"/>
      <c r="BN309" s="872"/>
      <c r="BO309" s="872"/>
      <c r="BP309" s="872"/>
      <c r="BS309" s="872"/>
      <c r="BT309" s="872"/>
      <c r="BU309" s="872"/>
    </row>
    <row r="310" s="860" customFormat="1" ht="13.5" spans="1:73">
      <c r="A310" s="861"/>
      <c r="E310" s="862"/>
      <c r="X310" s="864"/>
      <c r="Y310" s="865"/>
      <c r="Z310" s="865"/>
      <c r="AA310" s="866"/>
      <c r="AB310" s="867"/>
      <c r="AC310" s="868"/>
      <c r="AD310" s="866"/>
      <c r="AF310" s="869"/>
      <c r="AG310" s="869"/>
      <c r="AH310" s="870"/>
      <c r="AI310" s="871"/>
      <c r="AJ310" s="870"/>
      <c r="AK310" s="870"/>
      <c r="BN310" s="872"/>
      <c r="BO310" s="872"/>
      <c r="BP310" s="872"/>
      <c r="BS310" s="872"/>
      <c r="BT310" s="872"/>
      <c r="BU310" s="872"/>
    </row>
    <row r="311" s="860" customFormat="1" ht="13.5" spans="1:73">
      <c r="A311" s="861"/>
      <c r="E311" s="862"/>
      <c r="X311" s="864"/>
      <c r="Y311" s="865"/>
      <c r="Z311" s="865"/>
      <c r="AA311" s="866"/>
      <c r="AB311" s="867"/>
      <c r="AC311" s="868"/>
      <c r="AD311" s="866"/>
      <c r="AF311" s="869"/>
      <c r="AG311" s="869"/>
      <c r="AH311" s="870"/>
      <c r="AI311" s="871"/>
      <c r="AJ311" s="870"/>
      <c r="AK311" s="870"/>
      <c r="BN311" s="872"/>
      <c r="BO311" s="872"/>
      <c r="BP311" s="872"/>
      <c r="BS311" s="872"/>
      <c r="BT311" s="872"/>
      <c r="BU311" s="872"/>
    </row>
    <row r="312" s="860" customFormat="1" ht="13.5" spans="1:73">
      <c r="A312" s="861"/>
      <c r="E312" s="862"/>
      <c r="X312" s="864"/>
      <c r="Y312" s="865"/>
      <c r="Z312" s="865"/>
      <c r="AA312" s="866"/>
      <c r="AB312" s="867"/>
      <c r="AC312" s="868"/>
      <c r="AD312" s="866"/>
      <c r="AF312" s="869"/>
      <c r="AG312" s="869"/>
      <c r="AH312" s="870"/>
      <c r="AI312" s="871"/>
      <c r="AJ312" s="870"/>
      <c r="AK312" s="870"/>
      <c r="BN312" s="872"/>
      <c r="BO312" s="872"/>
      <c r="BP312" s="872"/>
      <c r="BS312" s="872"/>
      <c r="BT312" s="872"/>
      <c r="BU312" s="872"/>
    </row>
    <row r="313" s="860" customFormat="1" ht="13.5" spans="1:73">
      <c r="A313" s="861"/>
      <c r="E313" s="862"/>
      <c r="X313" s="864"/>
      <c r="Y313" s="865"/>
      <c r="Z313" s="865"/>
      <c r="AA313" s="866"/>
      <c r="AB313" s="867"/>
      <c r="AC313" s="868"/>
      <c r="AD313" s="866"/>
      <c r="AF313" s="869"/>
      <c r="AG313" s="869"/>
      <c r="AH313" s="870"/>
      <c r="AI313" s="871"/>
      <c r="AJ313" s="870"/>
      <c r="AK313" s="870"/>
      <c r="BN313" s="872"/>
      <c r="BO313" s="872"/>
      <c r="BP313" s="872"/>
      <c r="BS313" s="872"/>
      <c r="BT313" s="872"/>
      <c r="BU313" s="872"/>
    </row>
    <row r="314" s="860" customFormat="1" ht="13.5" spans="1:73">
      <c r="A314" s="861"/>
      <c r="E314" s="862"/>
      <c r="X314" s="864"/>
      <c r="Y314" s="865"/>
      <c r="Z314" s="865"/>
      <c r="AA314" s="866"/>
      <c r="AB314" s="867"/>
      <c r="AC314" s="868"/>
      <c r="AD314" s="866"/>
      <c r="AF314" s="869"/>
      <c r="AG314" s="869"/>
      <c r="AH314" s="870"/>
      <c r="AI314" s="871"/>
      <c r="AJ314" s="870"/>
      <c r="AK314" s="870"/>
      <c r="BN314" s="872"/>
      <c r="BO314" s="872"/>
      <c r="BP314" s="872"/>
      <c r="BS314" s="872"/>
      <c r="BT314" s="872"/>
      <c r="BU314" s="872"/>
    </row>
    <row r="315" s="860" customFormat="1" ht="13.5" spans="1:73">
      <c r="A315" s="861"/>
      <c r="E315" s="862"/>
      <c r="X315" s="864"/>
      <c r="Y315" s="865"/>
      <c r="Z315" s="865"/>
      <c r="AA315" s="866"/>
      <c r="AB315" s="867"/>
      <c r="AC315" s="868"/>
      <c r="AD315" s="866"/>
      <c r="AF315" s="869"/>
      <c r="AG315" s="869"/>
      <c r="AH315" s="870"/>
      <c r="AI315" s="871"/>
      <c r="AJ315" s="870"/>
      <c r="AK315" s="870"/>
      <c r="BN315" s="872"/>
      <c r="BO315" s="872"/>
      <c r="BP315" s="872"/>
      <c r="BS315" s="872"/>
      <c r="BT315" s="872"/>
      <c r="BU315" s="872"/>
    </row>
    <row r="316" s="860" customFormat="1" ht="13.5" spans="1:73">
      <c r="A316" s="861"/>
      <c r="E316" s="862"/>
      <c r="X316" s="864"/>
      <c r="Y316" s="865"/>
      <c r="Z316" s="865"/>
      <c r="AA316" s="866"/>
      <c r="AB316" s="867"/>
      <c r="AC316" s="868"/>
      <c r="AD316" s="866"/>
      <c r="AF316" s="869"/>
      <c r="AG316" s="869"/>
      <c r="AH316" s="870"/>
      <c r="AI316" s="871"/>
      <c r="AJ316" s="870"/>
      <c r="AK316" s="870"/>
      <c r="BN316" s="872"/>
      <c r="BO316" s="872"/>
      <c r="BP316" s="872"/>
      <c r="BS316" s="872"/>
      <c r="BT316" s="872"/>
      <c r="BU316" s="872"/>
    </row>
    <row r="317" s="860" customFormat="1" ht="13.5" spans="1:73">
      <c r="A317" s="861"/>
      <c r="E317" s="862"/>
      <c r="X317" s="864"/>
      <c r="Y317" s="865"/>
      <c r="Z317" s="865"/>
      <c r="AA317" s="866"/>
      <c r="AB317" s="867"/>
      <c r="AC317" s="868"/>
      <c r="AD317" s="866"/>
      <c r="AF317" s="869"/>
      <c r="AG317" s="869"/>
      <c r="AH317" s="870"/>
      <c r="AI317" s="871"/>
      <c r="AJ317" s="870"/>
      <c r="AK317" s="870"/>
      <c r="BN317" s="872"/>
      <c r="BO317" s="872"/>
      <c r="BP317" s="872"/>
      <c r="BS317" s="872"/>
      <c r="BT317" s="872"/>
      <c r="BU317" s="872"/>
    </row>
    <row r="318" s="860" customFormat="1" ht="13.5" spans="1:73">
      <c r="A318" s="861"/>
      <c r="E318" s="862"/>
      <c r="X318" s="864"/>
      <c r="Y318" s="865"/>
      <c r="Z318" s="865"/>
      <c r="AA318" s="866"/>
      <c r="AB318" s="867"/>
      <c r="AC318" s="868"/>
      <c r="AD318" s="866"/>
      <c r="AF318" s="869"/>
      <c r="AG318" s="869"/>
      <c r="AH318" s="870"/>
      <c r="AI318" s="871"/>
      <c r="AJ318" s="870"/>
      <c r="AK318" s="870"/>
      <c r="BN318" s="872"/>
      <c r="BO318" s="872"/>
      <c r="BP318" s="872"/>
      <c r="BS318" s="872"/>
      <c r="BT318" s="872"/>
      <c r="BU318" s="872"/>
    </row>
    <row r="319" s="860" customFormat="1" ht="13.5" spans="1:73">
      <c r="A319" s="861"/>
      <c r="E319" s="862"/>
      <c r="X319" s="864"/>
      <c r="Y319" s="865"/>
      <c r="Z319" s="865"/>
      <c r="AA319" s="866"/>
      <c r="AB319" s="867"/>
      <c r="AC319" s="868"/>
      <c r="AD319" s="866"/>
      <c r="AF319" s="869"/>
      <c r="AG319" s="869"/>
      <c r="AH319" s="870"/>
      <c r="AI319" s="871"/>
      <c r="AJ319" s="870"/>
      <c r="AK319" s="870"/>
      <c r="BN319" s="872"/>
      <c r="BO319" s="872"/>
      <c r="BP319" s="872"/>
      <c r="BS319" s="872"/>
      <c r="BT319" s="872"/>
      <c r="BU319" s="872"/>
    </row>
    <row r="320" s="860" customFormat="1" ht="13.5" spans="1:73">
      <c r="A320" s="861"/>
      <c r="E320" s="862"/>
      <c r="X320" s="864"/>
      <c r="Y320" s="865"/>
      <c r="Z320" s="865"/>
      <c r="AA320" s="866"/>
      <c r="AB320" s="867"/>
      <c r="AC320" s="868"/>
      <c r="AD320" s="866"/>
      <c r="AF320" s="869"/>
      <c r="AG320" s="869"/>
      <c r="AH320" s="870"/>
      <c r="AI320" s="871"/>
      <c r="AJ320" s="870"/>
      <c r="AK320" s="870"/>
      <c r="BN320" s="872"/>
      <c r="BO320" s="872"/>
      <c r="BP320" s="872"/>
      <c r="BS320" s="872"/>
      <c r="BT320" s="872"/>
      <c r="BU320" s="872"/>
    </row>
    <row r="321" s="860" customFormat="1" ht="13.5" spans="1:73">
      <c r="A321" s="861"/>
      <c r="E321" s="862"/>
      <c r="X321" s="864"/>
      <c r="Y321" s="865"/>
      <c r="Z321" s="865"/>
      <c r="AA321" s="866"/>
      <c r="AB321" s="867"/>
      <c r="AC321" s="868"/>
      <c r="AD321" s="866"/>
      <c r="AF321" s="869"/>
      <c r="AG321" s="869"/>
      <c r="AH321" s="870"/>
      <c r="AI321" s="871"/>
      <c r="AJ321" s="870"/>
      <c r="AK321" s="870"/>
      <c r="BN321" s="872"/>
      <c r="BO321" s="872"/>
      <c r="BP321" s="872"/>
      <c r="BS321" s="872"/>
      <c r="BT321" s="872"/>
      <c r="BU321" s="872"/>
    </row>
    <row r="322" s="860" customFormat="1" ht="13.5" spans="1:73">
      <c r="A322" s="861"/>
      <c r="E322" s="862"/>
      <c r="X322" s="864"/>
      <c r="Y322" s="865"/>
      <c r="Z322" s="865"/>
      <c r="AA322" s="866"/>
      <c r="AB322" s="867"/>
      <c r="AC322" s="868"/>
      <c r="AD322" s="866"/>
      <c r="AF322" s="869"/>
      <c r="AG322" s="869"/>
      <c r="AH322" s="870"/>
      <c r="AI322" s="871"/>
      <c r="AJ322" s="870"/>
      <c r="AK322" s="870"/>
      <c r="BN322" s="872"/>
      <c r="BO322" s="872"/>
      <c r="BP322" s="872"/>
      <c r="BS322" s="872"/>
      <c r="BT322" s="872"/>
      <c r="BU322" s="872"/>
    </row>
    <row r="323" s="860" customFormat="1" ht="13.5" spans="1:73">
      <c r="A323" s="861"/>
      <c r="E323" s="862"/>
      <c r="X323" s="864"/>
      <c r="Y323" s="865"/>
      <c r="Z323" s="865"/>
      <c r="AA323" s="866"/>
      <c r="AB323" s="867"/>
      <c r="AC323" s="868"/>
      <c r="AD323" s="866"/>
      <c r="AF323" s="869"/>
      <c r="AG323" s="869"/>
      <c r="AH323" s="870"/>
      <c r="AI323" s="871"/>
      <c r="AJ323" s="870"/>
      <c r="AK323" s="870"/>
      <c r="BN323" s="872"/>
      <c r="BO323" s="872"/>
      <c r="BP323" s="872"/>
      <c r="BS323" s="872"/>
      <c r="BT323" s="872"/>
      <c r="BU323" s="872"/>
    </row>
    <row r="324" s="860" customFormat="1" ht="13.5" spans="1:73">
      <c r="A324" s="861"/>
      <c r="E324" s="862"/>
      <c r="X324" s="864"/>
      <c r="Y324" s="865"/>
      <c r="Z324" s="865"/>
      <c r="AA324" s="866"/>
      <c r="AB324" s="867"/>
      <c r="AC324" s="868"/>
      <c r="AD324" s="866"/>
      <c r="AF324" s="869"/>
      <c r="AG324" s="869"/>
      <c r="AH324" s="870"/>
      <c r="AI324" s="871"/>
      <c r="AJ324" s="870"/>
      <c r="AK324" s="870"/>
      <c r="BN324" s="872"/>
      <c r="BO324" s="872"/>
      <c r="BP324" s="872"/>
      <c r="BS324" s="872"/>
      <c r="BT324" s="872"/>
      <c r="BU324" s="872"/>
    </row>
    <row r="325" s="860" customFormat="1" ht="13.5" spans="1:73">
      <c r="A325" s="861"/>
      <c r="E325" s="862"/>
      <c r="X325" s="864"/>
      <c r="Y325" s="865"/>
      <c r="Z325" s="865"/>
      <c r="AA325" s="866"/>
      <c r="AB325" s="867"/>
      <c r="AC325" s="868"/>
      <c r="AD325" s="866"/>
      <c r="AF325" s="869"/>
      <c r="AG325" s="869"/>
      <c r="AH325" s="870"/>
      <c r="AI325" s="871"/>
      <c r="AJ325" s="870"/>
      <c r="AK325" s="870"/>
      <c r="BN325" s="872"/>
      <c r="BO325" s="872"/>
      <c r="BP325" s="872"/>
      <c r="BS325" s="872"/>
      <c r="BT325" s="872"/>
      <c r="BU325" s="872"/>
    </row>
    <row r="326" s="860" customFormat="1" ht="13.5" spans="1:73">
      <c r="A326" s="861"/>
      <c r="E326" s="862"/>
      <c r="X326" s="864"/>
      <c r="Y326" s="865"/>
      <c r="Z326" s="865"/>
      <c r="AA326" s="866"/>
      <c r="AB326" s="867"/>
      <c r="AC326" s="868"/>
      <c r="AD326" s="866"/>
      <c r="AF326" s="869"/>
      <c r="AG326" s="869"/>
      <c r="AH326" s="870"/>
      <c r="AI326" s="871"/>
      <c r="AJ326" s="870"/>
      <c r="AK326" s="870"/>
      <c r="BN326" s="872"/>
      <c r="BO326" s="872"/>
      <c r="BP326" s="872"/>
      <c r="BS326" s="872"/>
      <c r="BT326" s="872"/>
      <c r="BU326" s="872"/>
    </row>
    <row r="327" s="860" customFormat="1" ht="13.5" spans="1:73">
      <c r="A327" s="861"/>
      <c r="E327" s="862"/>
      <c r="X327" s="864"/>
      <c r="Y327" s="865"/>
      <c r="Z327" s="865"/>
      <c r="AA327" s="866"/>
      <c r="AB327" s="867"/>
      <c r="AC327" s="868"/>
      <c r="AD327" s="866"/>
      <c r="AF327" s="869"/>
      <c r="AG327" s="869"/>
      <c r="AH327" s="870"/>
      <c r="AI327" s="871"/>
      <c r="AJ327" s="870"/>
      <c r="AK327" s="870"/>
      <c r="BN327" s="872"/>
      <c r="BO327" s="872"/>
      <c r="BP327" s="872"/>
      <c r="BS327" s="872"/>
      <c r="BT327" s="872"/>
      <c r="BU327" s="872"/>
    </row>
    <row r="328" s="860" customFormat="1" ht="13.5" spans="1:73">
      <c r="A328" s="861"/>
      <c r="E328" s="862"/>
      <c r="X328" s="864"/>
      <c r="Y328" s="865"/>
      <c r="Z328" s="865"/>
      <c r="AA328" s="866"/>
      <c r="AB328" s="867"/>
      <c r="AC328" s="868"/>
      <c r="AD328" s="866"/>
      <c r="AF328" s="869"/>
      <c r="AG328" s="869"/>
      <c r="AH328" s="870"/>
      <c r="AI328" s="871"/>
      <c r="AJ328" s="870"/>
      <c r="AK328" s="870"/>
      <c r="BN328" s="872"/>
      <c r="BO328" s="872"/>
      <c r="BP328" s="872"/>
      <c r="BS328" s="872"/>
      <c r="BT328" s="872"/>
      <c r="BU328" s="872"/>
    </row>
    <row r="329" s="860" customFormat="1" ht="13.5" spans="1:73">
      <c r="A329" s="861"/>
      <c r="E329" s="862"/>
      <c r="X329" s="864"/>
      <c r="Y329" s="865"/>
      <c r="Z329" s="865"/>
      <c r="AA329" s="866"/>
      <c r="AB329" s="867"/>
      <c r="AC329" s="868"/>
      <c r="AD329" s="866"/>
      <c r="AF329" s="869"/>
      <c r="AG329" s="869"/>
      <c r="AH329" s="870"/>
      <c r="AI329" s="871"/>
      <c r="AJ329" s="870"/>
      <c r="AK329" s="870"/>
      <c r="BN329" s="872"/>
      <c r="BO329" s="872"/>
      <c r="BP329" s="872"/>
      <c r="BS329" s="872"/>
      <c r="BT329" s="872"/>
      <c r="BU329" s="872"/>
    </row>
    <row r="330" s="860" customFormat="1" ht="13.5" spans="1:73">
      <c r="A330" s="861"/>
      <c r="E330" s="862"/>
      <c r="X330" s="864"/>
      <c r="Y330" s="865"/>
      <c r="Z330" s="865"/>
      <c r="AA330" s="866"/>
      <c r="AB330" s="867"/>
      <c r="AC330" s="868"/>
      <c r="AD330" s="866"/>
      <c r="AF330" s="869"/>
      <c r="AG330" s="869"/>
      <c r="AH330" s="870"/>
      <c r="AI330" s="871"/>
      <c r="AJ330" s="870"/>
      <c r="AK330" s="870"/>
      <c r="BN330" s="872"/>
      <c r="BO330" s="872"/>
      <c r="BP330" s="872"/>
      <c r="BS330" s="872"/>
      <c r="BT330" s="872"/>
      <c r="BU330" s="872"/>
    </row>
    <row r="331" s="860" customFormat="1" ht="13.5" spans="1:73">
      <c r="A331" s="861"/>
      <c r="E331" s="862"/>
      <c r="X331" s="864"/>
      <c r="Y331" s="865"/>
      <c r="Z331" s="865"/>
      <c r="AA331" s="866"/>
      <c r="AB331" s="867"/>
      <c r="AC331" s="868"/>
      <c r="AD331" s="866"/>
      <c r="AF331" s="869"/>
      <c r="AG331" s="869"/>
      <c r="AH331" s="870"/>
      <c r="AI331" s="871"/>
      <c r="AJ331" s="870"/>
      <c r="AK331" s="870"/>
      <c r="BN331" s="872"/>
      <c r="BO331" s="872"/>
      <c r="BP331" s="872"/>
      <c r="BS331" s="872"/>
      <c r="BT331" s="872"/>
      <c r="BU331" s="872"/>
    </row>
    <row r="332" s="860" customFormat="1" ht="13.5" spans="1:73">
      <c r="A332" s="861"/>
      <c r="E332" s="862"/>
      <c r="X332" s="864"/>
      <c r="Y332" s="865"/>
      <c r="Z332" s="865"/>
      <c r="AA332" s="866"/>
      <c r="AB332" s="867"/>
      <c r="AC332" s="868"/>
      <c r="AD332" s="866"/>
      <c r="AF332" s="869"/>
      <c r="AG332" s="869"/>
      <c r="AH332" s="870"/>
      <c r="AI332" s="871"/>
      <c r="AJ332" s="870"/>
      <c r="AK332" s="870"/>
      <c r="BN332" s="872"/>
      <c r="BO332" s="872"/>
      <c r="BP332" s="872"/>
      <c r="BS332" s="872"/>
      <c r="BT332" s="872"/>
      <c r="BU332" s="872"/>
    </row>
    <row r="333" s="860" customFormat="1" ht="13.5" spans="1:73">
      <c r="A333" s="861"/>
      <c r="E333" s="862"/>
      <c r="X333" s="864"/>
      <c r="Y333" s="865"/>
      <c r="Z333" s="865"/>
      <c r="AA333" s="866"/>
      <c r="AB333" s="867"/>
      <c r="AC333" s="868"/>
      <c r="AD333" s="866"/>
      <c r="AF333" s="869"/>
      <c r="AG333" s="869"/>
      <c r="AH333" s="870"/>
      <c r="AI333" s="871"/>
      <c r="AJ333" s="870"/>
      <c r="AK333" s="870"/>
      <c r="BN333" s="872"/>
      <c r="BO333" s="872"/>
      <c r="BP333" s="872"/>
      <c r="BS333" s="872"/>
      <c r="BT333" s="872"/>
      <c r="BU333" s="872"/>
    </row>
    <row r="334" s="860" customFormat="1" ht="13.5" spans="1:73">
      <c r="A334" s="861"/>
      <c r="E334" s="862"/>
      <c r="X334" s="864"/>
      <c r="Y334" s="865"/>
      <c r="Z334" s="865"/>
      <c r="AA334" s="866"/>
      <c r="AB334" s="867"/>
      <c r="AC334" s="868"/>
      <c r="AD334" s="866"/>
      <c r="AF334" s="869"/>
      <c r="AG334" s="869"/>
      <c r="AH334" s="870"/>
      <c r="AI334" s="871"/>
      <c r="AJ334" s="870"/>
      <c r="AK334" s="870"/>
      <c r="BN334" s="872"/>
      <c r="BO334" s="872"/>
      <c r="BP334" s="872"/>
      <c r="BS334" s="872"/>
      <c r="BT334" s="872"/>
      <c r="BU334" s="872"/>
    </row>
    <row r="335" s="860" customFormat="1" ht="13.5" spans="1:73">
      <c r="A335" s="861"/>
      <c r="E335" s="862"/>
      <c r="X335" s="864"/>
      <c r="Y335" s="865"/>
      <c r="Z335" s="865"/>
      <c r="AA335" s="866"/>
      <c r="AB335" s="867"/>
      <c r="AC335" s="868"/>
      <c r="AD335" s="866"/>
      <c r="AF335" s="869"/>
      <c r="AG335" s="869"/>
      <c r="AH335" s="870"/>
      <c r="AI335" s="871"/>
      <c r="AJ335" s="870"/>
      <c r="AK335" s="870"/>
      <c r="BN335" s="872"/>
      <c r="BO335" s="872"/>
      <c r="BP335" s="872"/>
      <c r="BS335" s="872"/>
      <c r="BT335" s="872"/>
      <c r="BU335" s="872"/>
    </row>
    <row r="336" s="860" customFormat="1" ht="13.5" spans="1:73">
      <c r="A336" s="861"/>
      <c r="E336" s="862"/>
      <c r="X336" s="864"/>
      <c r="Y336" s="865"/>
      <c r="Z336" s="865"/>
      <c r="AA336" s="866"/>
      <c r="AB336" s="867"/>
      <c r="AC336" s="868"/>
      <c r="AD336" s="866"/>
      <c r="AF336" s="869"/>
      <c r="AG336" s="869"/>
      <c r="AH336" s="870"/>
      <c r="AI336" s="871"/>
      <c r="AJ336" s="870"/>
      <c r="AK336" s="870"/>
      <c r="BN336" s="872"/>
      <c r="BO336" s="872"/>
      <c r="BP336" s="872"/>
      <c r="BS336" s="872"/>
      <c r="BT336" s="872"/>
      <c r="BU336" s="872"/>
    </row>
    <row r="337" s="860" customFormat="1" ht="13.5" spans="1:73">
      <c r="A337" s="861"/>
      <c r="E337" s="862"/>
      <c r="X337" s="864"/>
      <c r="Y337" s="865"/>
      <c r="Z337" s="865"/>
      <c r="AA337" s="866"/>
      <c r="AB337" s="867"/>
      <c r="AC337" s="868"/>
      <c r="AD337" s="866"/>
      <c r="AF337" s="869"/>
      <c r="AG337" s="869"/>
      <c r="AH337" s="870"/>
      <c r="AI337" s="871"/>
      <c r="AJ337" s="870"/>
      <c r="AK337" s="870"/>
      <c r="BN337" s="872"/>
      <c r="BO337" s="872"/>
      <c r="BP337" s="872"/>
      <c r="BS337" s="872"/>
      <c r="BT337" s="872"/>
      <c r="BU337" s="872"/>
    </row>
    <row r="338" s="860" customFormat="1" ht="13.5" spans="1:73">
      <c r="A338" s="861"/>
      <c r="E338" s="862"/>
      <c r="X338" s="864"/>
      <c r="Y338" s="865"/>
      <c r="Z338" s="865"/>
      <c r="AA338" s="866"/>
      <c r="AB338" s="867"/>
      <c r="AC338" s="868"/>
      <c r="AD338" s="866"/>
      <c r="AF338" s="869"/>
      <c r="AG338" s="869"/>
      <c r="AH338" s="870"/>
      <c r="AI338" s="871"/>
      <c r="AJ338" s="870"/>
      <c r="AK338" s="870"/>
      <c r="BN338" s="872"/>
      <c r="BO338" s="872"/>
      <c r="BP338" s="872"/>
      <c r="BS338" s="872"/>
      <c r="BT338" s="872"/>
      <c r="BU338" s="872"/>
    </row>
    <row r="339" s="860" customFormat="1" ht="13.5" spans="1:73">
      <c r="A339" s="861"/>
      <c r="E339" s="862"/>
      <c r="X339" s="864"/>
      <c r="Y339" s="865"/>
      <c r="Z339" s="865"/>
      <c r="AA339" s="866"/>
      <c r="AB339" s="867"/>
      <c r="AC339" s="868"/>
      <c r="AD339" s="866"/>
      <c r="AF339" s="869"/>
      <c r="AG339" s="869"/>
      <c r="AH339" s="870"/>
      <c r="AI339" s="871"/>
      <c r="AJ339" s="870"/>
      <c r="AK339" s="870"/>
      <c r="BN339" s="872"/>
      <c r="BO339" s="872"/>
      <c r="BP339" s="872"/>
      <c r="BS339" s="872"/>
      <c r="BT339" s="872"/>
      <c r="BU339" s="872"/>
    </row>
    <row r="340" s="860" customFormat="1" ht="13.5" spans="1:73">
      <c r="A340" s="861"/>
      <c r="E340" s="862"/>
      <c r="X340" s="864"/>
      <c r="Y340" s="865"/>
      <c r="Z340" s="865"/>
      <c r="AA340" s="866"/>
      <c r="AB340" s="867"/>
      <c r="AC340" s="868"/>
      <c r="AD340" s="866"/>
      <c r="AF340" s="869"/>
      <c r="AG340" s="869"/>
      <c r="AH340" s="870"/>
      <c r="AI340" s="871"/>
      <c r="AJ340" s="870"/>
      <c r="AK340" s="870"/>
      <c r="BN340" s="872"/>
      <c r="BO340" s="872"/>
      <c r="BP340" s="872"/>
      <c r="BS340" s="872"/>
      <c r="BT340" s="872"/>
      <c r="BU340" s="872"/>
    </row>
    <row r="341" s="860" customFormat="1" ht="13.5" spans="1:73">
      <c r="A341" s="861"/>
      <c r="E341" s="862"/>
      <c r="X341" s="864"/>
      <c r="Y341" s="865"/>
      <c r="Z341" s="865"/>
      <c r="AA341" s="866"/>
      <c r="AB341" s="867"/>
      <c r="AC341" s="868"/>
      <c r="AD341" s="866"/>
      <c r="AF341" s="869"/>
      <c r="AG341" s="869"/>
      <c r="AH341" s="870"/>
      <c r="AI341" s="871"/>
      <c r="AJ341" s="870"/>
      <c r="AK341" s="870"/>
      <c r="BN341" s="872"/>
      <c r="BO341" s="872"/>
      <c r="BP341" s="872"/>
      <c r="BS341" s="872"/>
      <c r="BT341" s="872"/>
      <c r="BU341" s="872"/>
    </row>
    <row r="342" s="860" customFormat="1" ht="13.5" spans="1:73">
      <c r="A342" s="861"/>
      <c r="E342" s="862"/>
      <c r="X342" s="864"/>
      <c r="Y342" s="865"/>
      <c r="Z342" s="865"/>
      <c r="AA342" s="866"/>
      <c r="AB342" s="867"/>
      <c r="AC342" s="868"/>
      <c r="AD342" s="866"/>
      <c r="AF342" s="869"/>
      <c r="AG342" s="869"/>
      <c r="AH342" s="870"/>
      <c r="AI342" s="871"/>
      <c r="AJ342" s="870"/>
      <c r="AK342" s="870"/>
      <c r="BN342" s="872"/>
      <c r="BO342" s="872"/>
      <c r="BP342" s="872"/>
      <c r="BS342" s="872"/>
      <c r="BT342" s="872"/>
      <c r="BU342" s="872"/>
    </row>
    <row r="343" s="860" customFormat="1" ht="13.5" spans="1:73">
      <c r="A343" s="861"/>
      <c r="E343" s="862"/>
      <c r="X343" s="864"/>
      <c r="Y343" s="865"/>
      <c r="Z343" s="865"/>
      <c r="AA343" s="866"/>
      <c r="AB343" s="867"/>
      <c r="AC343" s="868"/>
      <c r="AD343" s="866"/>
      <c r="AF343" s="869"/>
      <c r="AG343" s="869"/>
      <c r="AH343" s="870"/>
      <c r="AI343" s="871"/>
      <c r="AJ343" s="870"/>
      <c r="AK343" s="870"/>
      <c r="BN343" s="872"/>
      <c r="BO343" s="872"/>
      <c r="BP343" s="872"/>
      <c r="BS343" s="872"/>
      <c r="BT343" s="872"/>
      <c r="BU343" s="872"/>
    </row>
    <row r="344" s="860" customFormat="1" ht="13.5" spans="1:73">
      <c r="A344" s="861"/>
      <c r="E344" s="862"/>
      <c r="X344" s="864"/>
      <c r="Y344" s="865"/>
      <c r="Z344" s="865"/>
      <c r="AA344" s="866"/>
      <c r="AB344" s="867"/>
      <c r="AC344" s="868"/>
      <c r="AD344" s="866"/>
      <c r="AF344" s="869"/>
      <c r="AG344" s="869"/>
      <c r="AH344" s="870"/>
      <c r="AI344" s="871"/>
      <c r="AJ344" s="870"/>
      <c r="AK344" s="870"/>
      <c r="BN344" s="872"/>
      <c r="BO344" s="872"/>
      <c r="BP344" s="872"/>
      <c r="BS344" s="872"/>
      <c r="BT344" s="872"/>
      <c r="BU344" s="872"/>
    </row>
    <row r="345" s="860" customFormat="1" ht="13.5" spans="1:73">
      <c r="A345" s="861"/>
      <c r="E345" s="862"/>
      <c r="X345" s="864"/>
      <c r="Y345" s="865"/>
      <c r="Z345" s="865"/>
      <c r="AA345" s="866"/>
      <c r="AB345" s="867"/>
      <c r="AC345" s="868"/>
      <c r="AD345" s="866"/>
      <c r="AF345" s="869"/>
      <c r="AG345" s="869"/>
      <c r="AH345" s="870"/>
      <c r="AI345" s="871"/>
      <c r="AJ345" s="870"/>
      <c r="AK345" s="870"/>
      <c r="BN345" s="872"/>
      <c r="BO345" s="872"/>
      <c r="BP345" s="872"/>
      <c r="BS345" s="872"/>
      <c r="BT345" s="872"/>
      <c r="BU345" s="872"/>
    </row>
    <row r="346" s="860" customFormat="1" ht="13.5" spans="1:73">
      <c r="A346" s="861"/>
      <c r="E346" s="862"/>
      <c r="X346" s="864"/>
      <c r="Y346" s="865"/>
      <c r="Z346" s="865"/>
      <c r="AA346" s="866"/>
      <c r="AB346" s="867"/>
      <c r="AC346" s="868"/>
      <c r="AD346" s="866"/>
      <c r="AF346" s="869"/>
      <c r="AG346" s="869"/>
      <c r="AH346" s="870"/>
      <c r="AI346" s="871"/>
      <c r="AJ346" s="870"/>
      <c r="AK346" s="870"/>
      <c r="BN346" s="872"/>
      <c r="BO346" s="872"/>
      <c r="BP346" s="872"/>
      <c r="BS346" s="872"/>
      <c r="BT346" s="872"/>
      <c r="BU346" s="872"/>
    </row>
    <row r="347" s="860" customFormat="1" ht="13.5" spans="1:73">
      <c r="A347" s="861"/>
      <c r="E347" s="862"/>
      <c r="X347" s="864"/>
      <c r="Y347" s="865"/>
      <c r="Z347" s="865"/>
      <c r="AA347" s="866"/>
      <c r="AB347" s="867"/>
      <c r="AC347" s="868"/>
      <c r="AD347" s="866"/>
      <c r="AF347" s="869"/>
      <c r="AG347" s="869"/>
      <c r="AH347" s="870"/>
      <c r="AI347" s="871"/>
      <c r="AJ347" s="870"/>
      <c r="AK347" s="870"/>
      <c r="BN347" s="872"/>
      <c r="BO347" s="872"/>
      <c r="BP347" s="872"/>
      <c r="BS347" s="872"/>
      <c r="BT347" s="872"/>
      <c r="BU347" s="872"/>
    </row>
    <row r="348" s="860" customFormat="1" ht="13.5" spans="1:73">
      <c r="A348" s="861"/>
      <c r="E348" s="862"/>
      <c r="X348" s="864"/>
      <c r="Y348" s="865"/>
      <c r="Z348" s="865"/>
      <c r="AA348" s="866"/>
      <c r="AB348" s="867"/>
      <c r="AC348" s="868"/>
      <c r="AD348" s="866"/>
      <c r="AF348" s="869"/>
      <c r="AG348" s="869"/>
      <c r="AH348" s="870"/>
      <c r="AI348" s="871"/>
      <c r="AJ348" s="870"/>
      <c r="AK348" s="870"/>
      <c r="BN348" s="872"/>
      <c r="BO348" s="872"/>
      <c r="BP348" s="872"/>
      <c r="BS348" s="872"/>
      <c r="BT348" s="872"/>
      <c r="BU348" s="872"/>
    </row>
    <row r="349" s="860" customFormat="1" ht="13.5" spans="1:73">
      <c r="A349" s="861"/>
      <c r="E349" s="862"/>
      <c r="X349" s="864"/>
      <c r="Y349" s="865"/>
      <c r="Z349" s="865"/>
      <c r="AA349" s="866"/>
      <c r="AB349" s="867"/>
      <c r="AC349" s="868"/>
      <c r="AD349" s="866"/>
      <c r="AF349" s="869"/>
      <c r="AG349" s="869"/>
      <c r="AH349" s="870"/>
      <c r="AI349" s="871"/>
      <c r="AJ349" s="870"/>
      <c r="AK349" s="870"/>
      <c r="BN349" s="872"/>
      <c r="BO349" s="872"/>
      <c r="BP349" s="872"/>
      <c r="BS349" s="872"/>
      <c r="BT349" s="872"/>
      <c r="BU349" s="872"/>
    </row>
    <row r="350" s="860" customFormat="1" ht="13.5" spans="1:73">
      <c r="A350" s="861"/>
      <c r="E350" s="862"/>
      <c r="X350" s="864"/>
      <c r="Y350" s="865"/>
      <c r="Z350" s="865"/>
      <c r="AA350" s="866"/>
      <c r="AB350" s="867"/>
      <c r="AC350" s="868"/>
      <c r="AD350" s="866"/>
      <c r="AF350" s="869"/>
      <c r="AG350" s="869"/>
      <c r="AH350" s="870"/>
      <c r="AI350" s="871"/>
      <c r="AJ350" s="870"/>
      <c r="AK350" s="870"/>
      <c r="BN350" s="872"/>
      <c r="BO350" s="872"/>
      <c r="BP350" s="872"/>
      <c r="BS350" s="872"/>
      <c r="BT350" s="872"/>
      <c r="BU350" s="872"/>
    </row>
    <row r="351" s="860" customFormat="1" ht="13.5" spans="1:73">
      <c r="A351" s="861"/>
      <c r="E351" s="862"/>
      <c r="X351" s="864"/>
      <c r="Y351" s="865"/>
      <c r="Z351" s="865"/>
      <c r="AA351" s="866"/>
      <c r="AB351" s="867"/>
      <c r="AC351" s="868"/>
      <c r="AD351" s="866"/>
      <c r="AF351" s="869"/>
      <c r="AG351" s="869"/>
      <c r="AH351" s="870"/>
      <c r="AI351" s="871"/>
      <c r="AJ351" s="870"/>
      <c r="AK351" s="870"/>
      <c r="BN351" s="872"/>
      <c r="BO351" s="872"/>
      <c r="BP351" s="872"/>
      <c r="BS351" s="872"/>
      <c r="BT351" s="872"/>
      <c r="BU351" s="872"/>
    </row>
    <row r="352" s="860" customFormat="1" ht="13.5" spans="1:73">
      <c r="A352" s="861"/>
      <c r="E352" s="862"/>
      <c r="X352" s="864"/>
      <c r="Y352" s="865"/>
      <c r="Z352" s="865"/>
      <c r="AA352" s="866"/>
      <c r="AB352" s="867"/>
      <c r="AC352" s="868"/>
      <c r="AD352" s="866"/>
      <c r="AF352" s="869"/>
      <c r="AG352" s="869"/>
      <c r="AH352" s="870"/>
      <c r="AI352" s="871"/>
      <c r="AJ352" s="870"/>
      <c r="AK352" s="870"/>
      <c r="BN352" s="872"/>
      <c r="BO352" s="872"/>
      <c r="BP352" s="872"/>
      <c r="BS352" s="872"/>
      <c r="BT352" s="872"/>
      <c r="BU352" s="872"/>
    </row>
    <row r="353" s="860" customFormat="1" ht="13.5" spans="1:73">
      <c r="A353" s="861"/>
      <c r="E353" s="862"/>
      <c r="X353" s="864"/>
      <c r="Y353" s="865"/>
      <c r="Z353" s="865"/>
      <c r="AA353" s="866"/>
      <c r="AB353" s="867"/>
      <c r="AC353" s="868"/>
      <c r="AD353" s="866"/>
      <c r="AF353" s="869"/>
      <c r="AG353" s="869"/>
      <c r="AH353" s="870"/>
      <c r="AI353" s="871"/>
      <c r="AJ353" s="870"/>
      <c r="AK353" s="870"/>
      <c r="BN353" s="872"/>
      <c r="BO353" s="872"/>
      <c r="BP353" s="872"/>
      <c r="BS353" s="872"/>
      <c r="BT353" s="872"/>
      <c r="BU353" s="872"/>
    </row>
    <row r="354" s="860" customFormat="1" ht="13.5" spans="1:73">
      <c r="A354" s="861"/>
      <c r="E354" s="862"/>
      <c r="X354" s="864"/>
      <c r="Y354" s="865"/>
      <c r="Z354" s="865"/>
      <c r="AA354" s="866"/>
      <c r="AB354" s="867"/>
      <c r="AC354" s="868"/>
      <c r="AD354" s="866"/>
      <c r="AF354" s="869"/>
      <c r="AG354" s="869"/>
      <c r="AH354" s="870"/>
      <c r="AI354" s="871"/>
      <c r="AJ354" s="870"/>
      <c r="AK354" s="870"/>
      <c r="BN354" s="872"/>
      <c r="BO354" s="872"/>
      <c r="BP354" s="872"/>
      <c r="BS354" s="872"/>
      <c r="BT354" s="872"/>
      <c r="BU354" s="872"/>
    </row>
    <row r="355" s="860" customFormat="1" ht="13.5" spans="1:73">
      <c r="A355" s="861"/>
      <c r="E355" s="862"/>
      <c r="X355" s="864"/>
      <c r="Y355" s="865"/>
      <c r="Z355" s="865"/>
      <c r="AA355" s="866"/>
      <c r="AB355" s="867"/>
      <c r="AC355" s="868"/>
      <c r="AD355" s="866"/>
      <c r="AF355" s="869"/>
      <c r="AG355" s="869"/>
      <c r="AH355" s="870"/>
      <c r="AI355" s="871"/>
      <c r="AJ355" s="870"/>
      <c r="AK355" s="870"/>
      <c r="BN355" s="872"/>
      <c r="BO355" s="872"/>
      <c r="BP355" s="872"/>
      <c r="BS355" s="872"/>
      <c r="BT355" s="872"/>
      <c r="BU355" s="872"/>
    </row>
    <row r="356" s="860" customFormat="1" ht="13.5" spans="1:73">
      <c r="A356" s="861"/>
      <c r="E356" s="862"/>
      <c r="X356" s="864"/>
      <c r="Y356" s="865"/>
      <c r="Z356" s="865"/>
      <c r="AA356" s="866"/>
      <c r="AB356" s="867"/>
      <c r="AC356" s="868"/>
      <c r="AD356" s="866"/>
      <c r="AF356" s="869"/>
      <c r="AG356" s="869"/>
      <c r="AH356" s="870"/>
      <c r="AI356" s="871"/>
      <c r="AJ356" s="870"/>
      <c r="AK356" s="870"/>
      <c r="BN356" s="872"/>
      <c r="BO356" s="872"/>
      <c r="BP356" s="872"/>
      <c r="BS356" s="872"/>
      <c r="BT356" s="872"/>
      <c r="BU356" s="872"/>
    </row>
    <row r="357" s="860" customFormat="1" ht="13.5" spans="1:73">
      <c r="A357" s="861"/>
      <c r="E357" s="862"/>
      <c r="X357" s="864"/>
      <c r="Y357" s="865"/>
      <c r="Z357" s="865"/>
      <c r="AA357" s="866"/>
      <c r="AB357" s="867"/>
      <c r="AC357" s="868"/>
      <c r="AD357" s="866"/>
      <c r="AF357" s="869"/>
      <c r="AG357" s="869"/>
      <c r="AH357" s="870"/>
      <c r="AI357" s="871"/>
      <c r="AJ357" s="870"/>
      <c r="AK357" s="870"/>
      <c r="BN357" s="872"/>
      <c r="BO357" s="872"/>
      <c r="BP357" s="872"/>
      <c r="BS357" s="872"/>
      <c r="BT357" s="872"/>
      <c r="BU357" s="872"/>
    </row>
    <row r="358" s="860" customFormat="1" ht="13.5" spans="1:73">
      <c r="A358" s="861"/>
      <c r="E358" s="862"/>
      <c r="X358" s="864"/>
      <c r="Y358" s="865"/>
      <c r="Z358" s="865"/>
      <c r="AA358" s="866"/>
      <c r="AB358" s="867"/>
      <c r="AC358" s="868"/>
      <c r="AD358" s="866"/>
      <c r="AF358" s="869"/>
      <c r="AG358" s="869"/>
      <c r="AH358" s="870"/>
      <c r="AI358" s="871"/>
      <c r="AJ358" s="870"/>
      <c r="AK358" s="870"/>
      <c r="BN358" s="872"/>
      <c r="BO358" s="872"/>
      <c r="BP358" s="872"/>
      <c r="BS358" s="872"/>
      <c r="BT358" s="872"/>
      <c r="BU358" s="872"/>
    </row>
    <row r="359" s="860" customFormat="1" ht="13.5" spans="1:73">
      <c r="A359" s="861"/>
      <c r="E359" s="862"/>
      <c r="X359" s="864"/>
      <c r="Y359" s="865"/>
      <c r="Z359" s="865"/>
      <c r="AA359" s="866"/>
      <c r="AB359" s="867"/>
      <c r="AC359" s="868"/>
      <c r="AD359" s="866"/>
      <c r="AF359" s="869"/>
      <c r="AG359" s="869"/>
      <c r="AH359" s="870"/>
      <c r="AI359" s="871"/>
      <c r="AJ359" s="870"/>
      <c r="AK359" s="870"/>
      <c r="BN359" s="872"/>
      <c r="BO359" s="872"/>
      <c r="BP359" s="872"/>
      <c r="BS359" s="872"/>
      <c r="BT359" s="872"/>
      <c r="BU359" s="872"/>
    </row>
    <row r="360" s="860" customFormat="1" ht="13.5" spans="1:73">
      <c r="A360" s="861"/>
      <c r="E360" s="862"/>
      <c r="X360" s="864"/>
      <c r="Y360" s="865"/>
      <c r="Z360" s="865"/>
      <c r="AA360" s="866"/>
      <c r="AB360" s="867"/>
      <c r="AC360" s="868"/>
      <c r="AD360" s="866"/>
      <c r="AF360" s="869"/>
      <c r="AG360" s="869"/>
      <c r="AH360" s="870"/>
      <c r="AI360" s="871"/>
      <c r="AJ360" s="870"/>
      <c r="AK360" s="870"/>
      <c r="BN360" s="872"/>
      <c r="BO360" s="872"/>
      <c r="BP360" s="872"/>
      <c r="BS360" s="872"/>
      <c r="BT360" s="872"/>
      <c r="BU360" s="872"/>
    </row>
    <row r="361" s="860" customFormat="1" ht="13.5" spans="1:73">
      <c r="A361" s="861"/>
      <c r="E361" s="862"/>
      <c r="X361" s="864"/>
      <c r="Y361" s="865"/>
      <c r="Z361" s="865"/>
      <c r="AA361" s="866"/>
      <c r="AB361" s="867"/>
      <c r="AC361" s="868"/>
      <c r="AD361" s="866"/>
      <c r="AF361" s="869"/>
      <c r="AG361" s="869"/>
      <c r="AH361" s="870"/>
      <c r="AI361" s="871"/>
      <c r="AJ361" s="870"/>
      <c r="AK361" s="870"/>
      <c r="BN361" s="872"/>
      <c r="BO361" s="872"/>
      <c r="BP361" s="872"/>
      <c r="BS361" s="872"/>
      <c r="BT361" s="872"/>
      <c r="BU361" s="872"/>
    </row>
    <row r="362" s="860" customFormat="1" ht="13.5" spans="1:73">
      <c r="A362" s="861"/>
      <c r="E362" s="862"/>
      <c r="X362" s="864"/>
      <c r="Y362" s="865"/>
      <c r="Z362" s="865"/>
      <c r="AA362" s="866"/>
      <c r="AB362" s="867"/>
      <c r="AC362" s="868"/>
      <c r="AD362" s="866"/>
      <c r="AF362" s="869"/>
      <c r="AG362" s="869"/>
      <c r="AH362" s="870"/>
      <c r="AI362" s="871"/>
      <c r="AJ362" s="870"/>
      <c r="AK362" s="870"/>
      <c r="BN362" s="872"/>
      <c r="BO362" s="872"/>
      <c r="BP362" s="872"/>
      <c r="BS362" s="872"/>
      <c r="BT362" s="872"/>
      <c r="BU362" s="872"/>
    </row>
    <row r="363" s="860" customFormat="1" ht="13.5" spans="1:73">
      <c r="A363" s="861"/>
      <c r="E363" s="862"/>
      <c r="X363" s="864"/>
      <c r="Y363" s="865"/>
      <c r="Z363" s="865"/>
      <c r="AA363" s="866"/>
      <c r="AB363" s="867"/>
      <c r="AC363" s="868"/>
      <c r="AD363" s="866"/>
      <c r="AF363" s="869"/>
      <c r="AG363" s="869"/>
      <c r="AH363" s="870"/>
      <c r="AI363" s="871"/>
      <c r="AJ363" s="870"/>
      <c r="AK363" s="870"/>
      <c r="BN363" s="872"/>
      <c r="BO363" s="872"/>
      <c r="BP363" s="872"/>
      <c r="BS363" s="872"/>
      <c r="BT363" s="872"/>
      <c r="BU363" s="872"/>
    </row>
    <row r="364" s="860" customFormat="1" ht="13.5" spans="1:73">
      <c r="A364" s="861"/>
      <c r="E364" s="862"/>
      <c r="X364" s="864"/>
      <c r="Y364" s="865"/>
      <c r="Z364" s="865"/>
      <c r="AA364" s="866"/>
      <c r="AB364" s="867"/>
      <c r="AC364" s="868"/>
      <c r="AD364" s="866"/>
      <c r="AF364" s="869"/>
      <c r="AG364" s="869"/>
      <c r="AH364" s="870"/>
      <c r="AI364" s="871"/>
      <c r="AJ364" s="870"/>
      <c r="AK364" s="870"/>
      <c r="BN364" s="872"/>
      <c r="BO364" s="872"/>
      <c r="BP364" s="872"/>
      <c r="BS364" s="872"/>
      <c r="BT364" s="872"/>
      <c r="BU364" s="872"/>
    </row>
    <row r="365" s="860" customFormat="1" ht="13.5" spans="1:73">
      <c r="A365" s="861"/>
      <c r="E365" s="862"/>
      <c r="X365" s="864"/>
      <c r="Y365" s="865"/>
      <c r="Z365" s="865"/>
      <c r="AA365" s="866"/>
      <c r="AB365" s="867"/>
      <c r="AC365" s="868"/>
      <c r="AD365" s="866"/>
      <c r="AF365" s="869"/>
      <c r="AG365" s="869"/>
      <c r="AH365" s="870"/>
      <c r="AI365" s="871"/>
      <c r="AJ365" s="870"/>
      <c r="AK365" s="870"/>
      <c r="BN365" s="872"/>
      <c r="BO365" s="872"/>
      <c r="BP365" s="872"/>
      <c r="BS365" s="872"/>
      <c r="BT365" s="872"/>
      <c r="BU365" s="872"/>
    </row>
    <row r="366" s="860" customFormat="1" ht="13.5" spans="1:73">
      <c r="A366" s="861"/>
      <c r="E366" s="862"/>
      <c r="X366" s="864"/>
      <c r="Y366" s="865"/>
      <c r="Z366" s="865"/>
      <c r="AA366" s="866"/>
      <c r="AB366" s="867"/>
      <c r="AC366" s="868"/>
      <c r="AD366" s="866"/>
      <c r="AF366" s="869"/>
      <c r="AG366" s="869"/>
      <c r="AH366" s="870"/>
      <c r="AI366" s="871"/>
      <c r="AJ366" s="870"/>
      <c r="AK366" s="870"/>
      <c r="BN366" s="872"/>
      <c r="BO366" s="872"/>
      <c r="BP366" s="872"/>
      <c r="BS366" s="872"/>
      <c r="BT366" s="872"/>
      <c r="BU366" s="872"/>
    </row>
    <row r="367" s="860" customFormat="1" ht="13.5" spans="1:73">
      <c r="A367" s="861"/>
      <c r="E367" s="862"/>
      <c r="X367" s="864"/>
      <c r="Y367" s="865"/>
      <c r="Z367" s="865"/>
      <c r="AA367" s="866"/>
      <c r="AB367" s="867"/>
      <c r="AC367" s="868"/>
      <c r="AD367" s="866"/>
      <c r="AF367" s="869"/>
      <c r="AG367" s="869"/>
      <c r="AH367" s="870"/>
      <c r="AI367" s="871"/>
      <c r="AJ367" s="870"/>
      <c r="AK367" s="870"/>
      <c r="BN367" s="872"/>
      <c r="BO367" s="872"/>
      <c r="BP367" s="872"/>
      <c r="BS367" s="872"/>
      <c r="BT367" s="872"/>
      <c r="BU367" s="872"/>
    </row>
    <row r="368" s="860" customFormat="1" ht="13.5" spans="1:73">
      <c r="A368" s="861"/>
      <c r="E368" s="862"/>
      <c r="X368" s="864"/>
      <c r="Y368" s="865"/>
      <c r="Z368" s="865"/>
      <c r="AA368" s="866"/>
      <c r="AB368" s="867"/>
      <c r="AC368" s="868"/>
      <c r="AD368" s="866"/>
      <c r="AF368" s="869"/>
      <c r="AG368" s="869"/>
      <c r="AH368" s="870"/>
      <c r="AI368" s="871"/>
      <c r="AJ368" s="870"/>
      <c r="AK368" s="870"/>
      <c r="BN368" s="872"/>
      <c r="BO368" s="872"/>
      <c r="BP368" s="872"/>
      <c r="BS368" s="872"/>
      <c r="BT368" s="872"/>
      <c r="BU368" s="872"/>
    </row>
    <row r="369" s="860" customFormat="1" ht="13.5" spans="1:73">
      <c r="A369" s="861"/>
      <c r="E369" s="862"/>
      <c r="X369" s="864"/>
      <c r="Y369" s="865"/>
      <c r="Z369" s="865"/>
      <c r="AA369" s="866"/>
      <c r="AB369" s="867"/>
      <c r="AC369" s="868"/>
      <c r="AD369" s="866"/>
      <c r="AF369" s="869"/>
      <c r="AG369" s="869"/>
      <c r="AH369" s="870"/>
      <c r="AI369" s="871"/>
      <c r="AJ369" s="870"/>
      <c r="AK369" s="870"/>
      <c r="BN369" s="872"/>
      <c r="BO369" s="872"/>
      <c r="BP369" s="872"/>
      <c r="BS369" s="872"/>
      <c r="BT369" s="872"/>
      <c r="BU369" s="872"/>
    </row>
    <row r="370" s="860" customFormat="1" ht="13.5" spans="1:73">
      <c r="A370" s="861"/>
      <c r="E370" s="862"/>
      <c r="X370" s="864"/>
      <c r="Y370" s="865"/>
      <c r="Z370" s="865"/>
      <c r="AA370" s="866"/>
      <c r="AB370" s="867"/>
      <c r="AC370" s="868"/>
      <c r="AD370" s="866"/>
      <c r="AF370" s="869"/>
      <c r="AG370" s="869"/>
      <c r="AH370" s="870"/>
      <c r="AI370" s="871"/>
      <c r="AJ370" s="870"/>
      <c r="AK370" s="870"/>
      <c r="BN370" s="872"/>
      <c r="BO370" s="872"/>
      <c r="BP370" s="872"/>
      <c r="BS370" s="872"/>
      <c r="BT370" s="872"/>
      <c r="BU370" s="872"/>
    </row>
    <row r="371" s="860" customFormat="1" ht="13.5" spans="1:73">
      <c r="A371" s="861"/>
      <c r="E371" s="862"/>
      <c r="X371" s="864"/>
      <c r="Y371" s="865"/>
      <c r="Z371" s="865"/>
      <c r="AA371" s="866"/>
      <c r="AB371" s="867"/>
      <c r="AC371" s="868"/>
      <c r="AD371" s="866"/>
      <c r="AF371" s="869"/>
      <c r="AG371" s="869"/>
      <c r="AH371" s="870"/>
      <c r="AI371" s="871"/>
      <c r="AJ371" s="870"/>
      <c r="AK371" s="870"/>
      <c r="BN371" s="872"/>
      <c r="BO371" s="872"/>
      <c r="BP371" s="872"/>
      <c r="BS371" s="872"/>
      <c r="BT371" s="872"/>
      <c r="BU371" s="872"/>
    </row>
    <row r="372" s="860" customFormat="1" ht="13.5" spans="1:73">
      <c r="A372" s="861"/>
      <c r="E372" s="862"/>
      <c r="X372" s="864"/>
      <c r="Y372" s="865"/>
      <c r="Z372" s="865"/>
      <c r="AA372" s="866"/>
      <c r="AB372" s="867"/>
      <c r="AC372" s="868"/>
      <c r="AD372" s="866"/>
      <c r="AF372" s="869"/>
      <c r="AG372" s="869"/>
      <c r="AH372" s="870"/>
      <c r="AI372" s="871"/>
      <c r="AJ372" s="870"/>
      <c r="AK372" s="870"/>
      <c r="BN372" s="872"/>
      <c r="BO372" s="872"/>
      <c r="BP372" s="872"/>
      <c r="BS372" s="872"/>
      <c r="BT372" s="872"/>
      <c r="BU372" s="872"/>
    </row>
    <row r="373" s="860" customFormat="1" ht="13.5" spans="1:73">
      <c r="A373" s="861"/>
      <c r="E373" s="862"/>
      <c r="X373" s="864"/>
      <c r="Y373" s="865"/>
      <c r="Z373" s="865"/>
      <c r="AA373" s="866"/>
      <c r="AB373" s="867"/>
      <c r="AC373" s="868"/>
      <c r="AD373" s="866"/>
      <c r="AF373" s="869"/>
      <c r="AG373" s="869"/>
      <c r="AH373" s="870"/>
      <c r="AI373" s="871"/>
      <c r="AJ373" s="870"/>
      <c r="AK373" s="870"/>
      <c r="BN373" s="872"/>
      <c r="BO373" s="872"/>
      <c r="BP373" s="872"/>
      <c r="BS373" s="872"/>
      <c r="BT373" s="872"/>
      <c r="BU373" s="872"/>
    </row>
    <row r="374" s="860" customFormat="1" ht="13.5" spans="1:73">
      <c r="A374" s="861"/>
      <c r="E374" s="862"/>
      <c r="X374" s="864"/>
      <c r="Y374" s="865"/>
      <c r="Z374" s="865"/>
      <c r="AA374" s="866"/>
      <c r="AB374" s="867"/>
      <c r="AC374" s="868"/>
      <c r="AD374" s="866"/>
      <c r="AF374" s="869"/>
      <c r="AG374" s="869"/>
      <c r="AH374" s="870"/>
      <c r="AI374" s="871"/>
      <c r="AJ374" s="870"/>
      <c r="AK374" s="870"/>
      <c r="BN374" s="872"/>
      <c r="BO374" s="872"/>
      <c r="BP374" s="872"/>
      <c r="BS374" s="872"/>
      <c r="BT374" s="872"/>
      <c r="BU374" s="872"/>
    </row>
    <row r="375" s="860" customFormat="1" ht="13.5" spans="1:73">
      <c r="A375" s="861"/>
      <c r="E375" s="862"/>
      <c r="X375" s="864"/>
      <c r="Y375" s="865"/>
      <c r="Z375" s="865"/>
      <c r="AA375" s="866"/>
      <c r="AB375" s="867"/>
      <c r="AC375" s="868"/>
      <c r="AD375" s="866"/>
      <c r="AF375" s="869"/>
      <c r="AG375" s="869"/>
      <c r="AH375" s="870"/>
      <c r="AI375" s="871"/>
      <c r="AJ375" s="870"/>
      <c r="AK375" s="870"/>
      <c r="BN375" s="872"/>
      <c r="BO375" s="872"/>
      <c r="BP375" s="872"/>
      <c r="BS375" s="872"/>
      <c r="BT375" s="872"/>
      <c r="BU375" s="872"/>
    </row>
    <row r="376" s="860" customFormat="1" ht="13.5" spans="1:73">
      <c r="A376" s="861"/>
      <c r="E376" s="862"/>
      <c r="X376" s="864"/>
      <c r="Y376" s="865"/>
      <c r="Z376" s="865"/>
      <c r="AA376" s="866"/>
      <c r="AB376" s="867"/>
      <c r="AC376" s="868"/>
      <c r="AD376" s="866"/>
      <c r="AF376" s="869"/>
      <c r="AG376" s="869"/>
      <c r="AH376" s="870"/>
      <c r="AI376" s="871"/>
      <c r="AJ376" s="870"/>
      <c r="AK376" s="870"/>
      <c r="BN376" s="872"/>
      <c r="BO376" s="872"/>
      <c r="BP376" s="872"/>
      <c r="BS376" s="872"/>
      <c r="BT376" s="872"/>
      <c r="BU376" s="872"/>
    </row>
    <row r="377" s="860" customFormat="1" ht="13.5" spans="1:73">
      <c r="A377" s="861"/>
      <c r="E377" s="862"/>
      <c r="X377" s="864"/>
      <c r="Y377" s="865"/>
      <c r="Z377" s="865"/>
      <c r="AA377" s="866"/>
      <c r="AB377" s="867"/>
      <c r="AC377" s="868"/>
      <c r="AD377" s="866"/>
      <c r="AF377" s="869"/>
      <c r="AG377" s="869"/>
      <c r="AH377" s="870"/>
      <c r="AI377" s="871"/>
      <c r="AJ377" s="870"/>
      <c r="AK377" s="870"/>
      <c r="BN377" s="872"/>
      <c r="BO377" s="872"/>
      <c r="BP377" s="872"/>
      <c r="BS377" s="872"/>
      <c r="BT377" s="872"/>
      <c r="BU377" s="872"/>
    </row>
    <row r="378" s="860" customFormat="1" ht="13.5" spans="1:73">
      <c r="A378" s="861"/>
      <c r="E378" s="862"/>
      <c r="X378" s="864"/>
      <c r="Y378" s="865"/>
      <c r="Z378" s="865"/>
      <c r="AA378" s="866"/>
      <c r="AB378" s="867"/>
      <c r="AC378" s="868"/>
      <c r="AD378" s="866"/>
      <c r="AF378" s="869"/>
      <c r="AG378" s="869"/>
      <c r="AH378" s="870"/>
      <c r="AI378" s="871"/>
      <c r="AJ378" s="870"/>
      <c r="AK378" s="870"/>
      <c r="BN378" s="872"/>
      <c r="BO378" s="872"/>
      <c r="BP378" s="872"/>
      <c r="BS378" s="872"/>
      <c r="BT378" s="872"/>
      <c r="BU378" s="872"/>
    </row>
    <row r="379" s="860" customFormat="1" ht="13.5" spans="1:73">
      <c r="A379" s="861"/>
      <c r="E379" s="862"/>
      <c r="X379" s="864"/>
      <c r="Y379" s="865"/>
      <c r="Z379" s="865"/>
      <c r="AA379" s="866"/>
      <c r="AB379" s="867"/>
      <c r="AC379" s="868"/>
      <c r="AD379" s="866"/>
      <c r="AF379" s="869"/>
      <c r="AG379" s="869"/>
      <c r="AH379" s="870"/>
      <c r="AI379" s="871"/>
      <c r="AJ379" s="870"/>
      <c r="AK379" s="870"/>
      <c r="BN379" s="872"/>
      <c r="BO379" s="872"/>
      <c r="BP379" s="872"/>
      <c r="BS379" s="872"/>
      <c r="BT379" s="872"/>
      <c r="BU379" s="872"/>
    </row>
    <row r="380" s="860" customFormat="1" ht="13.5" spans="1:73">
      <c r="A380" s="861"/>
      <c r="E380" s="862"/>
      <c r="X380" s="864"/>
      <c r="Y380" s="865"/>
      <c r="Z380" s="865"/>
      <c r="AA380" s="866"/>
      <c r="AB380" s="867"/>
      <c r="AC380" s="868"/>
      <c r="AD380" s="866"/>
      <c r="AF380" s="869"/>
      <c r="AG380" s="869"/>
      <c r="AH380" s="870"/>
      <c r="AI380" s="871"/>
      <c r="AJ380" s="870"/>
      <c r="AK380" s="870"/>
      <c r="BN380" s="872"/>
      <c r="BO380" s="872"/>
      <c r="BP380" s="872"/>
      <c r="BS380" s="872"/>
      <c r="BT380" s="872"/>
      <c r="BU380" s="872"/>
    </row>
    <row r="381" s="860" customFormat="1" ht="13.5" spans="1:73">
      <c r="A381" s="861"/>
      <c r="E381" s="862"/>
      <c r="X381" s="864"/>
      <c r="Y381" s="865"/>
      <c r="Z381" s="865"/>
      <c r="AA381" s="866"/>
      <c r="AB381" s="867"/>
      <c r="AC381" s="868"/>
      <c r="AD381" s="866"/>
      <c r="AF381" s="869"/>
      <c r="AG381" s="869"/>
      <c r="AH381" s="870"/>
      <c r="AI381" s="871"/>
      <c r="AJ381" s="870"/>
      <c r="AK381" s="870"/>
      <c r="BN381" s="872"/>
      <c r="BO381" s="872"/>
      <c r="BP381" s="872"/>
      <c r="BS381" s="872"/>
      <c r="BT381" s="872"/>
      <c r="BU381" s="872"/>
    </row>
    <row r="382" s="860" customFormat="1" ht="13.5" spans="1:73">
      <c r="A382" s="861"/>
      <c r="E382" s="862"/>
      <c r="X382" s="864"/>
      <c r="Y382" s="865"/>
      <c r="Z382" s="865"/>
      <c r="AA382" s="866"/>
      <c r="AB382" s="867"/>
      <c r="AC382" s="868"/>
      <c r="AD382" s="866"/>
      <c r="AF382" s="869"/>
      <c r="AG382" s="869"/>
      <c r="AH382" s="870"/>
      <c r="AI382" s="871"/>
      <c r="AJ382" s="870"/>
      <c r="AK382" s="870"/>
      <c r="BN382" s="872"/>
      <c r="BO382" s="872"/>
      <c r="BP382" s="872"/>
      <c r="BS382" s="872"/>
      <c r="BT382" s="872"/>
      <c r="BU382" s="872"/>
    </row>
    <row r="383" s="860" customFormat="1" ht="13.5" spans="1:73">
      <c r="A383" s="861"/>
      <c r="E383" s="862"/>
      <c r="X383" s="864"/>
      <c r="Y383" s="865"/>
      <c r="Z383" s="865"/>
      <c r="AA383" s="866"/>
      <c r="AB383" s="867"/>
      <c r="AC383" s="868"/>
      <c r="AD383" s="866"/>
      <c r="AF383" s="869"/>
      <c r="AG383" s="869"/>
      <c r="AH383" s="870"/>
      <c r="AI383" s="871"/>
      <c r="AJ383" s="870"/>
      <c r="AK383" s="870"/>
      <c r="BN383" s="872"/>
      <c r="BO383" s="872"/>
      <c r="BP383" s="872"/>
      <c r="BS383" s="872"/>
      <c r="BT383" s="872"/>
      <c r="BU383" s="872"/>
    </row>
    <row r="384" s="860" customFormat="1" ht="13.5" spans="1:73">
      <c r="A384" s="861"/>
      <c r="E384" s="862"/>
      <c r="X384" s="864"/>
      <c r="Y384" s="865"/>
      <c r="Z384" s="865"/>
      <c r="AA384" s="866"/>
      <c r="AB384" s="867"/>
      <c r="AC384" s="868"/>
      <c r="AD384" s="866"/>
      <c r="AF384" s="869"/>
      <c r="AG384" s="869"/>
      <c r="AH384" s="870"/>
      <c r="AI384" s="871"/>
      <c r="AJ384" s="870"/>
      <c r="AK384" s="870"/>
      <c r="BN384" s="872"/>
      <c r="BO384" s="872"/>
      <c r="BP384" s="872"/>
      <c r="BS384" s="872"/>
      <c r="BT384" s="872"/>
      <c r="BU384" s="872"/>
    </row>
    <row r="385" s="860" customFormat="1" ht="13.5" spans="1:73">
      <c r="A385" s="861"/>
      <c r="E385" s="862"/>
      <c r="X385" s="864"/>
      <c r="Y385" s="865"/>
      <c r="Z385" s="865"/>
      <c r="AA385" s="866"/>
      <c r="AB385" s="867"/>
      <c r="AC385" s="868"/>
      <c r="AD385" s="866"/>
      <c r="AF385" s="869"/>
      <c r="AG385" s="869"/>
      <c r="AH385" s="870"/>
      <c r="AI385" s="871"/>
      <c r="AJ385" s="870"/>
      <c r="AK385" s="870"/>
      <c r="BN385" s="872"/>
      <c r="BO385" s="872"/>
      <c r="BP385" s="872"/>
      <c r="BS385" s="872"/>
      <c r="BT385" s="872"/>
      <c r="BU385" s="872"/>
    </row>
    <row r="386" s="860" customFormat="1" ht="13.5" spans="1:73">
      <c r="A386" s="861"/>
      <c r="E386" s="862"/>
      <c r="X386" s="864"/>
      <c r="Y386" s="865"/>
      <c r="Z386" s="865"/>
      <c r="AA386" s="866"/>
      <c r="AB386" s="867"/>
      <c r="AC386" s="868"/>
      <c r="AD386" s="866"/>
      <c r="AF386" s="869"/>
      <c r="AG386" s="869"/>
      <c r="AH386" s="870"/>
      <c r="AI386" s="871"/>
      <c r="AJ386" s="870"/>
      <c r="AK386" s="870"/>
      <c r="BN386" s="872"/>
      <c r="BO386" s="872"/>
      <c r="BP386" s="872"/>
      <c r="BS386" s="872"/>
      <c r="BT386" s="872"/>
      <c r="BU386" s="872"/>
    </row>
    <row r="387" s="860" customFormat="1" ht="13.5" spans="1:73">
      <c r="A387" s="861"/>
      <c r="E387" s="862"/>
      <c r="X387" s="864"/>
      <c r="Y387" s="865"/>
      <c r="Z387" s="865"/>
      <c r="AA387" s="866"/>
      <c r="AB387" s="867"/>
      <c r="AC387" s="868"/>
      <c r="AD387" s="866"/>
      <c r="AF387" s="869"/>
      <c r="AG387" s="869"/>
      <c r="AH387" s="870"/>
      <c r="AI387" s="871"/>
      <c r="AJ387" s="870"/>
      <c r="AK387" s="870"/>
      <c r="BN387" s="872"/>
      <c r="BO387" s="872"/>
      <c r="BP387" s="872"/>
      <c r="BS387" s="872"/>
      <c r="BT387" s="872"/>
      <c r="BU387" s="872"/>
    </row>
    <row r="388" s="860" customFormat="1" ht="13.5" spans="1:73">
      <c r="A388" s="861"/>
      <c r="E388" s="862"/>
      <c r="X388" s="864"/>
      <c r="Y388" s="865"/>
      <c r="Z388" s="865"/>
      <c r="AA388" s="866"/>
      <c r="AB388" s="867"/>
      <c r="AC388" s="868"/>
      <c r="AD388" s="866"/>
      <c r="AF388" s="869"/>
      <c r="AG388" s="869"/>
      <c r="AH388" s="870"/>
      <c r="AI388" s="871"/>
      <c r="AJ388" s="870"/>
      <c r="AK388" s="870"/>
      <c r="BN388" s="872"/>
      <c r="BO388" s="872"/>
      <c r="BP388" s="872"/>
      <c r="BS388" s="872"/>
      <c r="BT388" s="872"/>
      <c r="BU388" s="872"/>
    </row>
    <row r="389" s="860" customFormat="1" ht="13.5" spans="1:73">
      <c r="A389" s="861"/>
      <c r="E389" s="862"/>
      <c r="X389" s="864"/>
      <c r="Y389" s="865"/>
      <c r="Z389" s="865"/>
      <c r="AA389" s="866"/>
      <c r="AB389" s="867"/>
      <c r="AC389" s="868"/>
      <c r="AD389" s="866"/>
      <c r="AF389" s="869"/>
      <c r="AG389" s="869"/>
      <c r="AH389" s="870"/>
      <c r="AI389" s="871"/>
      <c r="AJ389" s="870"/>
      <c r="AK389" s="870"/>
      <c r="BN389" s="872"/>
      <c r="BO389" s="872"/>
      <c r="BP389" s="872"/>
      <c r="BS389" s="872"/>
      <c r="BT389" s="872"/>
      <c r="BU389" s="872"/>
    </row>
    <row r="390" s="860" customFormat="1" ht="13.5" spans="1:73">
      <c r="A390" s="861"/>
      <c r="E390" s="862"/>
      <c r="X390" s="864"/>
      <c r="Y390" s="865"/>
      <c r="Z390" s="865"/>
      <c r="AA390" s="866"/>
      <c r="AB390" s="867"/>
      <c r="AC390" s="868"/>
      <c r="AD390" s="866"/>
      <c r="AF390" s="869"/>
      <c r="AG390" s="869"/>
      <c r="AH390" s="870"/>
      <c r="AI390" s="871"/>
      <c r="AJ390" s="870"/>
      <c r="AK390" s="870"/>
      <c r="BN390" s="872"/>
      <c r="BO390" s="872"/>
      <c r="BP390" s="872"/>
      <c r="BS390" s="872"/>
      <c r="BT390" s="872"/>
      <c r="BU390" s="872"/>
    </row>
    <row r="391" s="860" customFormat="1" ht="13.5" spans="1:73">
      <c r="A391" s="861"/>
      <c r="E391" s="862"/>
      <c r="X391" s="864"/>
      <c r="Y391" s="865"/>
      <c r="Z391" s="865"/>
      <c r="AA391" s="866"/>
      <c r="AB391" s="867"/>
      <c r="AC391" s="868"/>
      <c r="AD391" s="866"/>
      <c r="AF391" s="869"/>
      <c r="AG391" s="869"/>
      <c r="AH391" s="870"/>
      <c r="AI391" s="871"/>
      <c r="AJ391" s="870"/>
      <c r="AK391" s="870"/>
      <c r="BN391" s="872"/>
      <c r="BO391" s="872"/>
      <c r="BP391" s="872"/>
      <c r="BS391" s="872"/>
      <c r="BT391" s="872"/>
      <c r="BU391" s="872"/>
    </row>
    <row r="392" s="860" customFormat="1" ht="13.5" spans="1:73">
      <c r="A392" s="861"/>
      <c r="E392" s="862"/>
      <c r="X392" s="864"/>
      <c r="Y392" s="865"/>
      <c r="Z392" s="865"/>
      <c r="AA392" s="866"/>
      <c r="AB392" s="867"/>
      <c r="AC392" s="868"/>
      <c r="AD392" s="866"/>
      <c r="AF392" s="869"/>
      <c r="AG392" s="869"/>
      <c r="AH392" s="870"/>
      <c r="AI392" s="871"/>
      <c r="AJ392" s="870"/>
      <c r="AK392" s="870"/>
      <c r="BN392" s="872"/>
      <c r="BO392" s="872"/>
      <c r="BP392" s="872"/>
      <c r="BS392" s="872"/>
      <c r="BT392" s="872"/>
      <c r="BU392" s="872"/>
    </row>
    <row r="393" s="860" customFormat="1" ht="13.5" spans="1:73">
      <c r="A393" s="861"/>
      <c r="E393" s="862"/>
      <c r="X393" s="864"/>
      <c r="Y393" s="865"/>
      <c r="Z393" s="865"/>
      <c r="AA393" s="866"/>
      <c r="AB393" s="867"/>
      <c r="AC393" s="868"/>
      <c r="AD393" s="866"/>
      <c r="AF393" s="869"/>
      <c r="AG393" s="869"/>
      <c r="AH393" s="870"/>
      <c r="AI393" s="871"/>
      <c r="AJ393" s="870"/>
      <c r="AK393" s="870"/>
      <c r="BN393" s="872"/>
      <c r="BO393" s="872"/>
      <c r="BP393" s="872"/>
      <c r="BS393" s="872"/>
      <c r="BT393" s="872"/>
      <c r="BU393" s="872"/>
    </row>
    <row r="394" s="860" customFormat="1" ht="13.5" spans="1:73">
      <c r="A394" s="861"/>
      <c r="E394" s="862"/>
      <c r="X394" s="864"/>
      <c r="Y394" s="865"/>
      <c r="Z394" s="865"/>
      <c r="AA394" s="866"/>
      <c r="AB394" s="867"/>
      <c r="AC394" s="868"/>
      <c r="AD394" s="866"/>
      <c r="AF394" s="869"/>
      <c r="AG394" s="869"/>
      <c r="AH394" s="870"/>
      <c r="AI394" s="871"/>
      <c r="AJ394" s="870"/>
      <c r="AK394" s="870"/>
      <c r="BN394" s="872"/>
      <c r="BO394" s="872"/>
      <c r="BP394" s="872"/>
      <c r="BS394" s="872"/>
      <c r="BT394" s="872"/>
      <c r="BU394" s="872"/>
    </row>
    <row r="395" s="860" customFormat="1" ht="13.5" spans="1:73">
      <c r="A395" s="861"/>
      <c r="E395" s="862"/>
      <c r="X395" s="864"/>
      <c r="Y395" s="865"/>
      <c r="Z395" s="865"/>
      <c r="AA395" s="866"/>
      <c r="AB395" s="867"/>
      <c r="AC395" s="868"/>
      <c r="AD395" s="866"/>
      <c r="AF395" s="869"/>
      <c r="AG395" s="869"/>
      <c r="AH395" s="870"/>
      <c r="AI395" s="871"/>
      <c r="AJ395" s="870"/>
      <c r="AK395" s="870"/>
      <c r="BN395" s="872"/>
      <c r="BO395" s="872"/>
      <c r="BP395" s="872"/>
      <c r="BS395" s="872"/>
      <c r="BT395" s="872"/>
      <c r="BU395" s="872"/>
    </row>
    <row r="396" s="860" customFormat="1" ht="13.5" spans="1:73">
      <c r="A396" s="861"/>
      <c r="E396" s="862"/>
      <c r="X396" s="864"/>
      <c r="Y396" s="865"/>
      <c r="Z396" s="865"/>
      <c r="AA396" s="866"/>
      <c r="AB396" s="867"/>
      <c r="AC396" s="868"/>
      <c r="AD396" s="866"/>
      <c r="AF396" s="869"/>
      <c r="AG396" s="869"/>
      <c r="AH396" s="870"/>
      <c r="AI396" s="871"/>
      <c r="AJ396" s="870"/>
      <c r="AK396" s="870"/>
      <c r="BN396" s="872"/>
      <c r="BO396" s="872"/>
      <c r="BP396" s="872"/>
      <c r="BS396" s="872"/>
      <c r="BT396" s="872"/>
      <c r="BU396" s="872"/>
    </row>
    <row r="397" s="860" customFormat="1" ht="13.5" spans="1:73">
      <c r="A397" s="861"/>
      <c r="E397" s="862"/>
      <c r="X397" s="864"/>
      <c r="Y397" s="865"/>
      <c r="Z397" s="865"/>
      <c r="AA397" s="866"/>
      <c r="AB397" s="867"/>
      <c r="AC397" s="868"/>
      <c r="AD397" s="866"/>
      <c r="AF397" s="869"/>
      <c r="AG397" s="869"/>
      <c r="AH397" s="870"/>
      <c r="AI397" s="871"/>
      <c r="AJ397" s="870"/>
      <c r="AK397" s="870"/>
      <c r="BN397" s="872"/>
      <c r="BO397" s="872"/>
      <c r="BP397" s="872"/>
      <c r="BS397" s="872"/>
      <c r="BT397" s="872"/>
      <c r="BU397" s="872"/>
    </row>
    <row r="398" s="860" customFormat="1" ht="13.5" spans="1:73">
      <c r="A398" s="861"/>
      <c r="E398" s="862"/>
      <c r="X398" s="864"/>
      <c r="Y398" s="865"/>
      <c r="Z398" s="865"/>
      <c r="AA398" s="866"/>
      <c r="AB398" s="867"/>
      <c r="AC398" s="868"/>
      <c r="AD398" s="866"/>
      <c r="AF398" s="869"/>
      <c r="AG398" s="869"/>
      <c r="AH398" s="870"/>
      <c r="AI398" s="871"/>
      <c r="AJ398" s="870"/>
      <c r="AK398" s="870"/>
      <c r="BN398" s="872"/>
      <c r="BO398" s="872"/>
      <c r="BP398" s="872"/>
      <c r="BS398" s="872"/>
      <c r="BT398" s="872"/>
      <c r="BU398" s="872"/>
    </row>
    <row r="399" s="860" customFormat="1" ht="13.5" spans="1:73">
      <c r="A399" s="861"/>
      <c r="E399" s="862"/>
      <c r="X399" s="864"/>
      <c r="Y399" s="865"/>
      <c r="Z399" s="865"/>
      <c r="AA399" s="866"/>
      <c r="AB399" s="867"/>
      <c r="AC399" s="868"/>
      <c r="AD399" s="866"/>
      <c r="AF399" s="869"/>
      <c r="AG399" s="869"/>
      <c r="AH399" s="870"/>
      <c r="AI399" s="871"/>
      <c r="AJ399" s="870"/>
      <c r="AK399" s="870"/>
      <c r="BN399" s="872"/>
      <c r="BO399" s="872"/>
      <c r="BP399" s="872"/>
      <c r="BS399" s="872"/>
      <c r="BT399" s="872"/>
      <c r="BU399" s="872"/>
    </row>
    <row r="400" s="860" customFormat="1" ht="13.5" spans="1:73">
      <c r="A400" s="861"/>
      <c r="E400" s="862"/>
      <c r="X400" s="864"/>
      <c r="Y400" s="865"/>
      <c r="Z400" s="865"/>
      <c r="AA400" s="866"/>
      <c r="AB400" s="867"/>
      <c r="AC400" s="868"/>
      <c r="AD400" s="866"/>
      <c r="AF400" s="869"/>
      <c r="AG400" s="869"/>
      <c r="AH400" s="870"/>
      <c r="AI400" s="871"/>
      <c r="AJ400" s="870"/>
      <c r="AK400" s="870"/>
      <c r="BN400" s="872"/>
      <c r="BO400" s="872"/>
      <c r="BP400" s="872"/>
      <c r="BS400" s="872"/>
      <c r="BT400" s="872"/>
      <c r="BU400" s="872"/>
    </row>
    <row r="401" s="860" customFormat="1" ht="13.5" spans="1:73">
      <c r="A401" s="861"/>
      <c r="E401" s="862"/>
      <c r="X401" s="864"/>
      <c r="Y401" s="865"/>
      <c r="Z401" s="865"/>
      <c r="AA401" s="866"/>
      <c r="AB401" s="867"/>
      <c r="AC401" s="868"/>
      <c r="AD401" s="866"/>
      <c r="AF401" s="869"/>
      <c r="AG401" s="869"/>
      <c r="AH401" s="870"/>
      <c r="AI401" s="871"/>
      <c r="AJ401" s="870"/>
      <c r="AK401" s="870"/>
      <c r="BN401" s="872"/>
      <c r="BO401" s="872"/>
      <c r="BP401" s="872"/>
      <c r="BS401" s="872"/>
      <c r="BT401" s="872"/>
      <c r="BU401" s="872"/>
    </row>
    <row r="402" s="860" customFormat="1" ht="13.5" spans="1:73">
      <c r="A402" s="861"/>
      <c r="E402" s="862"/>
      <c r="X402" s="864"/>
      <c r="Y402" s="865"/>
      <c r="Z402" s="865"/>
      <c r="AA402" s="866"/>
      <c r="AB402" s="867"/>
      <c r="AC402" s="868"/>
      <c r="AD402" s="866"/>
      <c r="AF402" s="869"/>
      <c r="AG402" s="869"/>
      <c r="AH402" s="870"/>
      <c r="AI402" s="871"/>
      <c r="AJ402" s="870"/>
      <c r="AK402" s="870"/>
      <c r="BN402" s="872"/>
      <c r="BO402" s="872"/>
      <c r="BP402" s="872"/>
      <c r="BS402" s="872"/>
      <c r="BT402" s="872"/>
      <c r="BU402" s="872"/>
    </row>
    <row r="403" s="860" customFormat="1" ht="13.5" spans="1:73">
      <c r="A403" s="861"/>
      <c r="E403" s="862"/>
      <c r="X403" s="864"/>
      <c r="Y403" s="865"/>
      <c r="Z403" s="865"/>
      <c r="AA403" s="866"/>
      <c r="AB403" s="867"/>
      <c r="AC403" s="868"/>
      <c r="AD403" s="866"/>
      <c r="AF403" s="869"/>
      <c r="AG403" s="869"/>
      <c r="AH403" s="870"/>
      <c r="AI403" s="871"/>
      <c r="AJ403" s="870"/>
      <c r="AK403" s="870"/>
      <c r="BN403" s="872"/>
      <c r="BO403" s="872"/>
      <c r="BP403" s="872"/>
      <c r="BS403" s="872"/>
      <c r="BT403" s="872"/>
      <c r="BU403" s="872"/>
    </row>
    <row r="404" s="860" customFormat="1" ht="13.5" spans="1:73">
      <c r="A404" s="861"/>
      <c r="E404" s="862"/>
      <c r="X404" s="864"/>
      <c r="Y404" s="865"/>
      <c r="Z404" s="865"/>
      <c r="AA404" s="866"/>
      <c r="AB404" s="867"/>
      <c r="AC404" s="868"/>
      <c r="AD404" s="866"/>
      <c r="AF404" s="869"/>
      <c r="AG404" s="869"/>
      <c r="AH404" s="870"/>
      <c r="AI404" s="871"/>
      <c r="AJ404" s="870"/>
      <c r="AK404" s="870"/>
      <c r="BN404" s="872"/>
      <c r="BO404" s="872"/>
      <c r="BP404" s="872"/>
      <c r="BS404" s="872"/>
      <c r="BT404" s="872"/>
      <c r="BU404" s="872"/>
    </row>
    <row r="405" s="860" customFormat="1" ht="13.5" spans="1:73">
      <c r="A405" s="861"/>
      <c r="E405" s="862"/>
      <c r="X405" s="864"/>
      <c r="Y405" s="865"/>
      <c r="Z405" s="865"/>
      <c r="AA405" s="866"/>
      <c r="AB405" s="867"/>
      <c r="AC405" s="868"/>
      <c r="AD405" s="866"/>
      <c r="AF405" s="869"/>
      <c r="AG405" s="869"/>
      <c r="AH405" s="870"/>
      <c r="AI405" s="871"/>
      <c r="AJ405" s="870"/>
      <c r="AK405" s="870"/>
      <c r="BN405" s="872"/>
      <c r="BO405" s="872"/>
      <c r="BP405" s="872"/>
      <c r="BS405" s="872"/>
      <c r="BT405" s="872"/>
      <c r="BU405" s="872"/>
    </row>
    <row r="406" s="860" customFormat="1" ht="13.5" spans="1:73">
      <c r="A406" s="861"/>
      <c r="E406" s="862"/>
      <c r="X406" s="864"/>
      <c r="Y406" s="865"/>
      <c r="Z406" s="865"/>
      <c r="AA406" s="866"/>
      <c r="AB406" s="867"/>
      <c r="AC406" s="868"/>
      <c r="AD406" s="866"/>
      <c r="AF406" s="869"/>
      <c r="AG406" s="869"/>
      <c r="AH406" s="870"/>
      <c r="AI406" s="871"/>
      <c r="AJ406" s="870"/>
      <c r="AK406" s="870"/>
      <c r="BN406" s="872"/>
      <c r="BO406" s="872"/>
      <c r="BP406" s="872"/>
      <c r="BS406" s="872"/>
      <c r="BT406" s="872"/>
      <c r="BU406" s="872"/>
    </row>
    <row r="407" s="860" customFormat="1" ht="13.5" spans="1:73">
      <c r="A407" s="861"/>
      <c r="E407" s="862"/>
      <c r="X407" s="864"/>
      <c r="Y407" s="865"/>
      <c r="Z407" s="865"/>
      <c r="AA407" s="866"/>
      <c r="AB407" s="867"/>
      <c r="AC407" s="868"/>
      <c r="AD407" s="866"/>
      <c r="AF407" s="869"/>
      <c r="AG407" s="869"/>
      <c r="AH407" s="870"/>
      <c r="AI407" s="871"/>
      <c r="AJ407" s="870"/>
      <c r="AK407" s="870"/>
      <c r="BN407" s="872"/>
      <c r="BO407" s="872"/>
      <c r="BP407" s="872"/>
      <c r="BS407" s="872"/>
      <c r="BT407" s="872"/>
      <c r="BU407" s="872"/>
    </row>
    <row r="408" s="860" customFormat="1" ht="13.5" spans="1:73">
      <c r="A408" s="861"/>
      <c r="E408" s="862"/>
      <c r="X408" s="864"/>
      <c r="Y408" s="865"/>
      <c r="Z408" s="865"/>
      <c r="AA408" s="866"/>
      <c r="AB408" s="867"/>
      <c r="AC408" s="868"/>
      <c r="AD408" s="866"/>
      <c r="AF408" s="869"/>
      <c r="AG408" s="869"/>
      <c r="AH408" s="870"/>
      <c r="AI408" s="871"/>
      <c r="AJ408" s="870"/>
      <c r="AK408" s="870"/>
      <c r="BN408" s="872"/>
      <c r="BO408" s="872"/>
      <c r="BP408" s="872"/>
      <c r="BS408" s="872"/>
      <c r="BT408" s="872"/>
      <c r="BU408" s="872"/>
    </row>
    <row r="409" s="860" customFormat="1" ht="13.5" spans="1:73">
      <c r="A409" s="861"/>
      <c r="E409" s="862"/>
      <c r="X409" s="864"/>
      <c r="Y409" s="865"/>
      <c r="Z409" s="865"/>
      <c r="AA409" s="866"/>
      <c r="AB409" s="867"/>
      <c r="AC409" s="868"/>
      <c r="AD409" s="866"/>
      <c r="AF409" s="869"/>
      <c r="AG409" s="869"/>
      <c r="AH409" s="870"/>
      <c r="AI409" s="871"/>
      <c r="AJ409" s="870"/>
      <c r="AK409" s="870"/>
      <c r="BN409" s="872"/>
      <c r="BO409" s="872"/>
      <c r="BP409" s="872"/>
      <c r="BS409" s="872"/>
      <c r="BT409" s="872"/>
      <c r="BU409" s="872"/>
    </row>
    <row r="410" s="860" customFormat="1" ht="13.5" spans="1:73">
      <c r="A410" s="861"/>
      <c r="E410" s="862"/>
      <c r="X410" s="864"/>
      <c r="Y410" s="865"/>
      <c r="Z410" s="865"/>
      <c r="AA410" s="866"/>
      <c r="AB410" s="867"/>
      <c r="AC410" s="868"/>
      <c r="AD410" s="866"/>
      <c r="AF410" s="869"/>
      <c r="AG410" s="869"/>
      <c r="AH410" s="870"/>
      <c r="AI410" s="871"/>
      <c r="AJ410" s="870"/>
      <c r="AK410" s="870"/>
      <c r="BN410" s="872"/>
      <c r="BO410" s="872"/>
      <c r="BP410" s="872"/>
      <c r="BS410" s="872"/>
      <c r="BT410" s="872"/>
      <c r="BU410" s="872"/>
    </row>
    <row r="411" s="860" customFormat="1" ht="13.5" spans="1:73">
      <c r="A411" s="861"/>
      <c r="E411" s="862"/>
      <c r="X411" s="864"/>
      <c r="Y411" s="865"/>
      <c r="Z411" s="865"/>
      <c r="AA411" s="866"/>
      <c r="AB411" s="867"/>
      <c r="AC411" s="868"/>
      <c r="AD411" s="866"/>
      <c r="AF411" s="869"/>
      <c r="AG411" s="869"/>
      <c r="AH411" s="870"/>
      <c r="AI411" s="871"/>
      <c r="AJ411" s="870"/>
      <c r="AK411" s="870"/>
      <c r="BN411" s="872"/>
      <c r="BO411" s="872"/>
      <c r="BP411" s="872"/>
      <c r="BS411" s="872"/>
      <c r="BT411" s="872"/>
      <c r="BU411" s="872"/>
    </row>
    <row r="412" s="860" customFormat="1" ht="13.5" spans="1:73">
      <c r="A412" s="861"/>
      <c r="E412" s="862"/>
      <c r="X412" s="864"/>
      <c r="Y412" s="865"/>
      <c r="Z412" s="865"/>
      <c r="AA412" s="866"/>
      <c r="AB412" s="867"/>
      <c r="AC412" s="868"/>
      <c r="AD412" s="866"/>
      <c r="AF412" s="869"/>
      <c r="AG412" s="869"/>
      <c r="AH412" s="870"/>
      <c r="AI412" s="871"/>
      <c r="AJ412" s="870"/>
      <c r="AK412" s="870"/>
      <c r="BN412" s="872"/>
      <c r="BO412" s="872"/>
      <c r="BP412" s="872"/>
      <c r="BS412" s="872"/>
      <c r="BT412" s="872"/>
      <c r="BU412" s="872"/>
    </row>
    <row r="413" s="860" customFormat="1" ht="13.5" spans="1:73">
      <c r="A413" s="861"/>
      <c r="E413" s="862"/>
      <c r="X413" s="864"/>
      <c r="Y413" s="865"/>
      <c r="Z413" s="865"/>
      <c r="AA413" s="866"/>
      <c r="AB413" s="867"/>
      <c r="AC413" s="868"/>
      <c r="AD413" s="866"/>
      <c r="AF413" s="869"/>
      <c r="AG413" s="869"/>
      <c r="AH413" s="870"/>
      <c r="AI413" s="871"/>
      <c r="AJ413" s="870"/>
      <c r="AK413" s="870"/>
      <c r="BN413" s="872"/>
      <c r="BO413" s="872"/>
      <c r="BP413" s="872"/>
      <c r="BS413" s="872"/>
      <c r="BT413" s="872"/>
      <c r="BU413" s="872"/>
    </row>
    <row r="414" s="860" customFormat="1" ht="13.5" spans="1:73">
      <c r="A414" s="861"/>
      <c r="E414" s="862"/>
      <c r="X414" s="864"/>
      <c r="Y414" s="865"/>
      <c r="Z414" s="865"/>
      <c r="AA414" s="866"/>
      <c r="AB414" s="867"/>
      <c r="AC414" s="868"/>
      <c r="AD414" s="866"/>
      <c r="AF414" s="869"/>
      <c r="AG414" s="869"/>
      <c r="AH414" s="870"/>
      <c r="AI414" s="871"/>
      <c r="AJ414" s="870"/>
      <c r="AK414" s="870"/>
      <c r="BN414" s="872"/>
      <c r="BO414" s="872"/>
      <c r="BP414" s="872"/>
      <c r="BS414" s="872"/>
      <c r="BT414" s="872"/>
      <c r="BU414" s="872"/>
    </row>
    <row r="415" s="860" customFormat="1" ht="13.5" spans="1:73">
      <c r="A415" s="861"/>
      <c r="E415" s="862"/>
      <c r="X415" s="864"/>
      <c r="Y415" s="865"/>
      <c r="Z415" s="865"/>
      <c r="AA415" s="866"/>
      <c r="AB415" s="867"/>
      <c r="AC415" s="868"/>
      <c r="AD415" s="866"/>
      <c r="AF415" s="869"/>
      <c r="AG415" s="869"/>
      <c r="AH415" s="870"/>
      <c r="AI415" s="871"/>
      <c r="AJ415" s="870"/>
      <c r="AK415" s="870"/>
      <c r="BN415" s="872"/>
      <c r="BO415" s="872"/>
      <c r="BP415" s="872"/>
      <c r="BS415" s="872"/>
      <c r="BT415" s="872"/>
      <c r="BU415" s="872"/>
    </row>
    <row r="416" s="860" customFormat="1" ht="13.5" spans="1:73">
      <c r="A416" s="861"/>
      <c r="E416" s="862"/>
      <c r="X416" s="864"/>
      <c r="Y416" s="865"/>
      <c r="Z416" s="865"/>
      <c r="AA416" s="866"/>
      <c r="AB416" s="867"/>
      <c r="AC416" s="868"/>
      <c r="AD416" s="866"/>
      <c r="AF416" s="869"/>
      <c r="AG416" s="869"/>
      <c r="AH416" s="870"/>
      <c r="AI416" s="871"/>
      <c r="AJ416" s="870"/>
      <c r="AK416" s="870"/>
      <c r="BN416" s="872"/>
      <c r="BO416" s="872"/>
      <c r="BP416" s="872"/>
      <c r="BS416" s="872"/>
      <c r="BT416" s="872"/>
      <c r="BU416" s="872"/>
    </row>
    <row r="417" s="860" customFormat="1" ht="13.5" spans="1:73">
      <c r="A417" s="861"/>
      <c r="E417" s="862"/>
      <c r="X417" s="864"/>
      <c r="Y417" s="865"/>
      <c r="Z417" s="865"/>
      <c r="AA417" s="866"/>
      <c r="AB417" s="867"/>
      <c r="AC417" s="868"/>
      <c r="AD417" s="866"/>
      <c r="AF417" s="869"/>
      <c r="AG417" s="869"/>
      <c r="AH417" s="870"/>
      <c r="AI417" s="871"/>
      <c r="AJ417" s="870"/>
      <c r="AK417" s="870"/>
      <c r="BN417" s="872"/>
      <c r="BO417" s="872"/>
      <c r="BP417" s="872"/>
      <c r="BS417" s="872"/>
      <c r="BT417" s="872"/>
      <c r="BU417" s="872"/>
    </row>
    <row r="418" s="860" customFormat="1" ht="13.5" spans="1:73">
      <c r="A418" s="861"/>
      <c r="E418" s="862"/>
      <c r="X418" s="864"/>
      <c r="Y418" s="865"/>
      <c r="Z418" s="865"/>
      <c r="AA418" s="866"/>
      <c r="AB418" s="867"/>
      <c r="AC418" s="868"/>
      <c r="AD418" s="866"/>
      <c r="AF418" s="869"/>
      <c r="AG418" s="869"/>
      <c r="AH418" s="870"/>
      <c r="AI418" s="871"/>
      <c r="AJ418" s="870"/>
      <c r="AK418" s="870"/>
      <c r="BN418" s="872"/>
      <c r="BO418" s="872"/>
      <c r="BP418" s="872"/>
      <c r="BS418" s="872"/>
      <c r="BT418" s="872"/>
      <c r="BU418" s="872"/>
    </row>
    <row r="419" s="860" customFormat="1" ht="13.5" spans="1:73">
      <c r="A419" s="861"/>
      <c r="E419" s="862"/>
      <c r="X419" s="864"/>
      <c r="Y419" s="865"/>
      <c r="Z419" s="865"/>
      <c r="AA419" s="866"/>
      <c r="AB419" s="867"/>
      <c r="AC419" s="868"/>
      <c r="AD419" s="866"/>
      <c r="AF419" s="869"/>
      <c r="AG419" s="869"/>
      <c r="AH419" s="870"/>
      <c r="AI419" s="871"/>
      <c r="AJ419" s="870"/>
      <c r="AK419" s="870"/>
      <c r="BN419" s="872"/>
      <c r="BO419" s="872"/>
      <c r="BP419" s="872"/>
      <c r="BS419" s="872"/>
      <c r="BT419" s="872"/>
      <c r="BU419" s="872"/>
    </row>
    <row r="420" s="860" customFormat="1" ht="13.5" spans="1:73">
      <c r="A420" s="861"/>
      <c r="E420" s="862"/>
      <c r="X420" s="864"/>
      <c r="Y420" s="865"/>
      <c r="Z420" s="865"/>
      <c r="AA420" s="866"/>
      <c r="AB420" s="867"/>
      <c r="AC420" s="868"/>
      <c r="AD420" s="866"/>
      <c r="AF420" s="869"/>
      <c r="AG420" s="869"/>
      <c r="AH420" s="870"/>
      <c r="AI420" s="871"/>
      <c r="AJ420" s="870"/>
      <c r="AK420" s="870"/>
      <c r="BN420" s="872"/>
      <c r="BO420" s="872"/>
      <c r="BP420" s="872"/>
      <c r="BS420" s="872"/>
      <c r="BT420" s="872"/>
      <c r="BU420" s="872"/>
    </row>
    <row r="421" s="860" customFormat="1" ht="13.5" spans="1:73">
      <c r="A421" s="861"/>
      <c r="E421" s="862"/>
      <c r="X421" s="864"/>
      <c r="Y421" s="865"/>
      <c r="Z421" s="865"/>
      <c r="AA421" s="866"/>
      <c r="AB421" s="867"/>
      <c r="AC421" s="868"/>
      <c r="AD421" s="866"/>
      <c r="AF421" s="869"/>
      <c r="AG421" s="869"/>
      <c r="AH421" s="870"/>
      <c r="AI421" s="871"/>
      <c r="AJ421" s="870"/>
      <c r="AK421" s="870"/>
      <c r="BN421" s="872"/>
      <c r="BO421" s="872"/>
      <c r="BP421" s="872"/>
      <c r="BS421" s="872"/>
      <c r="BT421" s="872"/>
      <c r="BU421" s="872"/>
    </row>
    <row r="422" s="860" customFormat="1" ht="13.5" spans="1:73">
      <c r="A422" s="861"/>
      <c r="E422" s="862"/>
      <c r="X422" s="864"/>
      <c r="Y422" s="865"/>
      <c r="Z422" s="865"/>
      <c r="AA422" s="866"/>
      <c r="AB422" s="867"/>
      <c r="AC422" s="868"/>
      <c r="AD422" s="866"/>
      <c r="AF422" s="869"/>
      <c r="AG422" s="869"/>
      <c r="AH422" s="870"/>
      <c r="AI422" s="871"/>
      <c r="AJ422" s="870"/>
      <c r="AK422" s="870"/>
      <c r="BN422" s="872"/>
      <c r="BO422" s="872"/>
      <c r="BP422" s="872"/>
      <c r="BS422" s="872"/>
      <c r="BT422" s="872"/>
      <c r="BU422" s="872"/>
    </row>
    <row r="423" s="860" customFormat="1" ht="13.5" spans="1:73">
      <c r="A423" s="861"/>
      <c r="E423" s="862"/>
      <c r="X423" s="864"/>
      <c r="Y423" s="865"/>
      <c r="Z423" s="865"/>
      <c r="AA423" s="866"/>
      <c r="AB423" s="867"/>
      <c r="AC423" s="868"/>
      <c r="AD423" s="866"/>
      <c r="AF423" s="869"/>
      <c r="AG423" s="869"/>
      <c r="AH423" s="870"/>
      <c r="AI423" s="871"/>
      <c r="AJ423" s="870"/>
      <c r="AK423" s="870"/>
      <c r="BN423" s="872"/>
      <c r="BO423" s="872"/>
      <c r="BP423" s="872"/>
      <c r="BS423" s="872"/>
      <c r="BT423" s="872"/>
      <c r="BU423" s="872"/>
    </row>
    <row r="424" s="860" customFormat="1" ht="13.5" spans="1:73">
      <c r="A424" s="861"/>
      <c r="E424" s="862"/>
      <c r="X424" s="864"/>
      <c r="Y424" s="865"/>
      <c r="Z424" s="865"/>
      <c r="AA424" s="866"/>
      <c r="AB424" s="867"/>
      <c r="AC424" s="868"/>
      <c r="AD424" s="866"/>
      <c r="AF424" s="869"/>
      <c r="AG424" s="869"/>
      <c r="AH424" s="870"/>
      <c r="AI424" s="871"/>
      <c r="AJ424" s="870"/>
      <c r="AK424" s="870"/>
      <c r="BN424" s="872"/>
      <c r="BO424" s="872"/>
      <c r="BP424" s="872"/>
      <c r="BS424" s="872"/>
      <c r="BT424" s="872"/>
      <c r="BU424" s="872"/>
    </row>
    <row r="425" s="860" customFormat="1" ht="13.5" spans="1:73">
      <c r="A425" s="861"/>
      <c r="E425" s="862"/>
      <c r="X425" s="864"/>
      <c r="Y425" s="865"/>
      <c r="Z425" s="865"/>
      <c r="AA425" s="866"/>
      <c r="AB425" s="867"/>
      <c r="AC425" s="868"/>
      <c r="AD425" s="866"/>
      <c r="AF425" s="869"/>
      <c r="AG425" s="869"/>
      <c r="AH425" s="870"/>
      <c r="AI425" s="871"/>
      <c r="AJ425" s="870"/>
      <c r="AK425" s="870"/>
      <c r="BN425" s="872"/>
      <c r="BO425" s="872"/>
      <c r="BP425" s="872"/>
      <c r="BS425" s="872"/>
      <c r="BT425" s="872"/>
      <c r="BU425" s="872"/>
    </row>
    <row r="426" s="860" customFormat="1" ht="13.5" spans="1:73">
      <c r="A426" s="861"/>
      <c r="E426" s="862"/>
      <c r="X426" s="864"/>
      <c r="Y426" s="865"/>
      <c r="Z426" s="865"/>
      <c r="AA426" s="866"/>
      <c r="AB426" s="867"/>
      <c r="AC426" s="868"/>
      <c r="AD426" s="866"/>
      <c r="AF426" s="869"/>
      <c r="AG426" s="869"/>
      <c r="AH426" s="870"/>
      <c r="AI426" s="871"/>
      <c r="AJ426" s="870"/>
      <c r="AK426" s="870"/>
      <c r="BN426" s="872"/>
      <c r="BO426" s="872"/>
      <c r="BP426" s="872"/>
      <c r="BS426" s="872"/>
      <c r="BT426" s="872"/>
      <c r="BU426" s="872"/>
    </row>
    <row r="427" s="860" customFormat="1" ht="13.5" spans="1:73">
      <c r="A427" s="861"/>
      <c r="E427" s="862"/>
      <c r="X427" s="864"/>
      <c r="Y427" s="865"/>
      <c r="Z427" s="865"/>
      <c r="AA427" s="866"/>
      <c r="AB427" s="867"/>
      <c r="AC427" s="868"/>
      <c r="AD427" s="866"/>
      <c r="AF427" s="869"/>
      <c r="AG427" s="869"/>
      <c r="AH427" s="870"/>
      <c r="AI427" s="871"/>
      <c r="AJ427" s="870"/>
      <c r="AK427" s="870"/>
      <c r="BN427" s="872"/>
      <c r="BO427" s="872"/>
      <c r="BP427" s="872"/>
      <c r="BS427" s="872"/>
      <c r="BT427" s="872"/>
      <c r="BU427" s="872"/>
    </row>
    <row r="428" s="860" customFormat="1" ht="13.5" spans="1:73">
      <c r="A428" s="861"/>
      <c r="E428" s="862"/>
      <c r="X428" s="864"/>
      <c r="Y428" s="865"/>
      <c r="Z428" s="865"/>
      <c r="AA428" s="866"/>
      <c r="AB428" s="867"/>
      <c r="AC428" s="868"/>
      <c r="AD428" s="866"/>
      <c r="AF428" s="869"/>
      <c r="AG428" s="869"/>
      <c r="AH428" s="870"/>
      <c r="AI428" s="871"/>
      <c r="AJ428" s="870"/>
      <c r="AK428" s="870"/>
      <c r="BN428" s="872"/>
      <c r="BO428" s="872"/>
      <c r="BP428" s="872"/>
      <c r="BS428" s="872"/>
      <c r="BT428" s="872"/>
      <c r="BU428" s="872"/>
    </row>
    <row r="429" s="860" customFormat="1" ht="13.5" spans="1:73">
      <c r="A429" s="861"/>
      <c r="E429" s="862"/>
      <c r="X429" s="864"/>
      <c r="Y429" s="865"/>
      <c r="Z429" s="865"/>
      <c r="AA429" s="866"/>
      <c r="AB429" s="867"/>
      <c r="AC429" s="868"/>
      <c r="AD429" s="866"/>
      <c r="AF429" s="869"/>
      <c r="AG429" s="869"/>
      <c r="AH429" s="870"/>
      <c r="AI429" s="871"/>
      <c r="AJ429" s="870"/>
      <c r="AK429" s="870"/>
      <c r="BN429" s="872"/>
      <c r="BO429" s="872"/>
      <c r="BP429" s="872"/>
      <c r="BS429" s="872"/>
      <c r="BT429" s="872"/>
      <c r="BU429" s="872"/>
    </row>
    <row r="430" s="860" customFormat="1" ht="13.5" spans="1:73">
      <c r="A430" s="861"/>
      <c r="E430" s="862"/>
      <c r="X430" s="864"/>
      <c r="Y430" s="865"/>
      <c r="Z430" s="865"/>
      <c r="AA430" s="866"/>
      <c r="AB430" s="867"/>
      <c r="AC430" s="868"/>
      <c r="AD430" s="866"/>
      <c r="AF430" s="869"/>
      <c r="AG430" s="869"/>
      <c r="AH430" s="870"/>
      <c r="AI430" s="871"/>
      <c r="AJ430" s="870"/>
      <c r="AK430" s="870"/>
      <c r="BN430" s="872"/>
      <c r="BO430" s="872"/>
      <c r="BP430" s="872"/>
      <c r="BS430" s="872"/>
      <c r="BT430" s="872"/>
      <c r="BU430" s="872"/>
    </row>
    <row r="431" s="860" customFormat="1" ht="13.5" spans="1:73">
      <c r="A431" s="861"/>
      <c r="E431" s="862"/>
      <c r="X431" s="864"/>
      <c r="Y431" s="865"/>
      <c r="Z431" s="865"/>
      <c r="AA431" s="866"/>
      <c r="AB431" s="867"/>
      <c r="AC431" s="868"/>
      <c r="AD431" s="866"/>
      <c r="AF431" s="869"/>
      <c r="AG431" s="869"/>
      <c r="AH431" s="870"/>
      <c r="AI431" s="871"/>
      <c r="AJ431" s="870"/>
      <c r="AK431" s="870"/>
      <c r="BN431" s="872"/>
      <c r="BO431" s="872"/>
      <c r="BP431" s="872"/>
      <c r="BS431" s="872"/>
      <c r="BT431" s="872"/>
      <c r="BU431" s="872"/>
    </row>
    <row r="432" s="860" customFormat="1" ht="13.5" spans="1:73">
      <c r="A432" s="861"/>
      <c r="E432" s="862"/>
      <c r="X432" s="864"/>
      <c r="Y432" s="865"/>
      <c r="Z432" s="865"/>
      <c r="AA432" s="866"/>
      <c r="AB432" s="867"/>
      <c r="AC432" s="868"/>
      <c r="AD432" s="866"/>
      <c r="AF432" s="869"/>
      <c r="AG432" s="869"/>
      <c r="AH432" s="870"/>
      <c r="AI432" s="871"/>
      <c r="AJ432" s="870"/>
      <c r="AK432" s="870"/>
      <c r="BN432" s="872"/>
      <c r="BO432" s="872"/>
      <c r="BP432" s="872"/>
      <c r="BS432" s="872"/>
      <c r="BT432" s="872"/>
      <c r="BU432" s="872"/>
    </row>
    <row r="433" s="860" customFormat="1" ht="13.5" spans="1:73">
      <c r="A433" s="861"/>
      <c r="E433" s="862"/>
      <c r="X433" s="864"/>
      <c r="Y433" s="865"/>
      <c r="Z433" s="865"/>
      <c r="AA433" s="866"/>
      <c r="AB433" s="867"/>
      <c r="AC433" s="868"/>
      <c r="AD433" s="866"/>
      <c r="AF433" s="869"/>
      <c r="AG433" s="869"/>
      <c r="AH433" s="870"/>
      <c r="AI433" s="871"/>
      <c r="AJ433" s="870"/>
      <c r="AK433" s="870"/>
      <c r="BN433" s="872"/>
      <c r="BO433" s="872"/>
      <c r="BP433" s="872"/>
      <c r="BS433" s="872"/>
      <c r="BT433" s="872"/>
      <c r="BU433" s="872"/>
    </row>
    <row r="434" s="860" customFormat="1" ht="13.5" spans="1:73">
      <c r="A434" s="861"/>
      <c r="E434" s="862"/>
      <c r="X434" s="864"/>
      <c r="Y434" s="865"/>
      <c r="Z434" s="865"/>
      <c r="AA434" s="866"/>
      <c r="AB434" s="867"/>
      <c r="AC434" s="868"/>
      <c r="AD434" s="866"/>
      <c r="AF434" s="869"/>
      <c r="AG434" s="869"/>
      <c r="AH434" s="870"/>
      <c r="AI434" s="871"/>
      <c r="AJ434" s="870"/>
      <c r="AK434" s="870"/>
      <c r="BN434" s="872"/>
      <c r="BO434" s="872"/>
      <c r="BP434" s="872"/>
      <c r="BS434" s="872"/>
      <c r="BT434" s="872"/>
      <c r="BU434" s="872"/>
    </row>
    <row r="435" s="860" customFormat="1" ht="13.5" spans="1:73">
      <c r="A435" s="861"/>
      <c r="E435" s="862"/>
      <c r="X435" s="864"/>
      <c r="Y435" s="865"/>
      <c r="Z435" s="865"/>
      <c r="AA435" s="866"/>
      <c r="AB435" s="867"/>
      <c r="AC435" s="868"/>
      <c r="AD435" s="866"/>
      <c r="AF435" s="869"/>
      <c r="AG435" s="869"/>
      <c r="AH435" s="870"/>
      <c r="AI435" s="871"/>
      <c r="AJ435" s="870"/>
      <c r="AK435" s="870"/>
      <c r="BN435" s="872"/>
      <c r="BO435" s="872"/>
      <c r="BP435" s="872"/>
      <c r="BS435" s="872"/>
      <c r="BT435" s="872"/>
      <c r="BU435" s="872"/>
    </row>
    <row r="436" s="860" customFormat="1" ht="13.5" spans="1:73">
      <c r="A436" s="861"/>
      <c r="E436" s="862"/>
      <c r="X436" s="864"/>
      <c r="Y436" s="865"/>
      <c r="Z436" s="865"/>
      <c r="AA436" s="866"/>
      <c r="AB436" s="867"/>
      <c r="AC436" s="868"/>
      <c r="AD436" s="866"/>
      <c r="AF436" s="869"/>
      <c r="AG436" s="869"/>
      <c r="AH436" s="870"/>
      <c r="AI436" s="871"/>
      <c r="AJ436" s="870"/>
      <c r="AK436" s="870"/>
      <c r="BN436" s="872"/>
      <c r="BO436" s="872"/>
      <c r="BP436" s="872"/>
      <c r="BS436" s="872"/>
      <c r="BT436" s="872"/>
      <c r="BU436" s="872"/>
    </row>
    <row r="437" s="860" customFormat="1" ht="13.5" spans="1:73">
      <c r="A437" s="861"/>
      <c r="E437" s="862"/>
      <c r="X437" s="864"/>
      <c r="Y437" s="865"/>
      <c r="Z437" s="865"/>
      <c r="AA437" s="866"/>
      <c r="AB437" s="867"/>
      <c r="AC437" s="868"/>
      <c r="AD437" s="866"/>
      <c r="AF437" s="869"/>
      <c r="AG437" s="869"/>
      <c r="AH437" s="870"/>
      <c r="AI437" s="871"/>
      <c r="AJ437" s="870"/>
      <c r="AK437" s="870"/>
      <c r="BN437" s="872"/>
      <c r="BO437" s="872"/>
      <c r="BP437" s="872"/>
      <c r="BS437" s="872"/>
      <c r="BT437" s="872"/>
      <c r="BU437" s="872"/>
    </row>
    <row r="438" s="860" customFormat="1" ht="13.5" spans="1:73">
      <c r="A438" s="861"/>
      <c r="E438" s="862"/>
      <c r="X438" s="864"/>
      <c r="Y438" s="865"/>
      <c r="Z438" s="865"/>
      <c r="AA438" s="866"/>
      <c r="AB438" s="867"/>
      <c r="AC438" s="868"/>
      <c r="AD438" s="866"/>
      <c r="AF438" s="869"/>
      <c r="AG438" s="869"/>
      <c r="AH438" s="870"/>
      <c r="AI438" s="871"/>
      <c r="AJ438" s="870"/>
      <c r="AK438" s="870"/>
      <c r="BN438" s="872"/>
      <c r="BO438" s="872"/>
      <c r="BP438" s="872"/>
      <c r="BS438" s="872"/>
      <c r="BT438" s="872"/>
      <c r="BU438" s="872"/>
    </row>
    <row r="439" s="860" customFormat="1" ht="13.5" spans="1:73">
      <c r="A439" s="861"/>
      <c r="E439" s="862"/>
      <c r="X439" s="864"/>
      <c r="Y439" s="865"/>
      <c r="Z439" s="865"/>
      <c r="AA439" s="866"/>
      <c r="AB439" s="867"/>
      <c r="AC439" s="868"/>
      <c r="AD439" s="866"/>
      <c r="AF439" s="869"/>
      <c r="AG439" s="869"/>
      <c r="AH439" s="870"/>
      <c r="AI439" s="871"/>
      <c r="AJ439" s="870"/>
      <c r="AK439" s="870"/>
      <c r="BN439" s="872"/>
      <c r="BO439" s="872"/>
      <c r="BP439" s="872"/>
      <c r="BS439" s="872"/>
      <c r="BT439" s="872"/>
      <c r="BU439" s="872"/>
    </row>
    <row r="440" s="860" customFormat="1" ht="13.5" spans="1:73">
      <c r="A440" s="861"/>
      <c r="E440" s="862"/>
      <c r="X440" s="864"/>
      <c r="Y440" s="865"/>
      <c r="Z440" s="865"/>
      <c r="AA440" s="866"/>
      <c r="AB440" s="867"/>
      <c r="AC440" s="868"/>
      <c r="AD440" s="866"/>
      <c r="AF440" s="869"/>
      <c r="AG440" s="869"/>
      <c r="AH440" s="870"/>
      <c r="AI440" s="871"/>
      <c r="AJ440" s="870"/>
      <c r="AK440" s="870"/>
      <c r="BN440" s="872"/>
      <c r="BO440" s="872"/>
      <c r="BP440" s="872"/>
      <c r="BS440" s="872"/>
      <c r="BT440" s="872"/>
      <c r="BU440" s="872"/>
    </row>
    <row r="441" s="860" customFormat="1" ht="13.5" spans="1:73">
      <c r="A441" s="861"/>
      <c r="E441" s="862"/>
      <c r="X441" s="864"/>
      <c r="Y441" s="865"/>
      <c r="Z441" s="865"/>
      <c r="AA441" s="866"/>
      <c r="AB441" s="867"/>
      <c r="AC441" s="868"/>
      <c r="AD441" s="866"/>
      <c r="AF441" s="869"/>
      <c r="AG441" s="869"/>
      <c r="AH441" s="870"/>
      <c r="AI441" s="871"/>
      <c r="AJ441" s="870"/>
      <c r="AK441" s="870"/>
      <c r="BN441" s="872"/>
      <c r="BO441" s="872"/>
      <c r="BP441" s="872"/>
      <c r="BS441" s="872"/>
      <c r="BT441" s="872"/>
      <c r="BU441" s="872"/>
    </row>
    <row r="442" s="860" customFormat="1" ht="13.5" spans="1:73">
      <c r="A442" s="861"/>
      <c r="E442" s="862"/>
      <c r="X442" s="864"/>
      <c r="Y442" s="865"/>
      <c r="Z442" s="865"/>
      <c r="AA442" s="866"/>
      <c r="AB442" s="867"/>
      <c r="AC442" s="868"/>
      <c r="AD442" s="866"/>
      <c r="AF442" s="869"/>
      <c r="AG442" s="869"/>
      <c r="AH442" s="870"/>
      <c r="AI442" s="871"/>
      <c r="AJ442" s="870"/>
      <c r="AK442" s="870"/>
      <c r="BN442" s="872"/>
      <c r="BO442" s="872"/>
      <c r="BP442" s="872"/>
      <c r="BS442" s="872"/>
      <c r="BT442" s="872"/>
      <c r="BU442" s="872"/>
    </row>
    <row r="443" s="860" customFormat="1" ht="13.5" spans="1:73">
      <c r="A443" s="861"/>
      <c r="E443" s="862"/>
      <c r="X443" s="864"/>
      <c r="Y443" s="865"/>
      <c r="Z443" s="865"/>
      <c r="AA443" s="866"/>
      <c r="AB443" s="867"/>
      <c r="AC443" s="868"/>
      <c r="AD443" s="866"/>
      <c r="AF443" s="869"/>
      <c r="AG443" s="869"/>
      <c r="AH443" s="870"/>
      <c r="AI443" s="871"/>
      <c r="AJ443" s="870"/>
      <c r="AK443" s="870"/>
      <c r="BN443" s="872"/>
      <c r="BO443" s="872"/>
      <c r="BP443" s="872"/>
      <c r="BS443" s="872"/>
      <c r="BT443" s="872"/>
      <c r="BU443" s="872"/>
    </row>
    <row r="444" s="860" customFormat="1" ht="13.5" spans="1:73">
      <c r="A444" s="861"/>
      <c r="E444" s="862"/>
      <c r="X444" s="864"/>
      <c r="Y444" s="865"/>
      <c r="Z444" s="865"/>
      <c r="AA444" s="866"/>
      <c r="AB444" s="867"/>
      <c r="AC444" s="868"/>
      <c r="AD444" s="866"/>
      <c r="AF444" s="869"/>
      <c r="AG444" s="869"/>
      <c r="AH444" s="870"/>
      <c r="AI444" s="871"/>
      <c r="AJ444" s="870"/>
      <c r="AK444" s="870"/>
      <c r="BN444" s="872"/>
      <c r="BO444" s="872"/>
      <c r="BP444" s="872"/>
      <c r="BS444" s="872"/>
      <c r="BT444" s="872"/>
      <c r="BU444" s="872"/>
    </row>
    <row r="445" s="860" customFormat="1" ht="13.5" spans="1:73">
      <c r="A445" s="861"/>
      <c r="E445" s="862"/>
      <c r="X445" s="864"/>
      <c r="Y445" s="865"/>
      <c r="Z445" s="865"/>
      <c r="AA445" s="866"/>
      <c r="AB445" s="867"/>
      <c r="AC445" s="868"/>
      <c r="AD445" s="866"/>
      <c r="AF445" s="869"/>
      <c r="AG445" s="869"/>
      <c r="AH445" s="870"/>
      <c r="AI445" s="871"/>
      <c r="AJ445" s="870"/>
      <c r="AK445" s="870"/>
      <c r="BN445" s="872"/>
      <c r="BO445" s="872"/>
      <c r="BP445" s="872"/>
      <c r="BS445" s="872"/>
      <c r="BT445" s="872"/>
      <c r="BU445" s="872"/>
    </row>
    <row r="446" s="860" customFormat="1" ht="13.5" spans="1:73">
      <c r="A446" s="861"/>
      <c r="E446" s="862"/>
      <c r="X446" s="864"/>
      <c r="Y446" s="865"/>
      <c r="Z446" s="865"/>
      <c r="AA446" s="866"/>
      <c r="AB446" s="867"/>
      <c r="AC446" s="868"/>
      <c r="AD446" s="866"/>
      <c r="AF446" s="869"/>
      <c r="AG446" s="869"/>
      <c r="AH446" s="870"/>
      <c r="AI446" s="871"/>
      <c r="AJ446" s="870"/>
      <c r="AK446" s="870"/>
      <c r="BN446" s="872"/>
      <c r="BO446" s="872"/>
      <c r="BP446" s="872"/>
      <c r="BS446" s="872"/>
      <c r="BT446" s="872"/>
      <c r="BU446" s="872"/>
    </row>
    <row r="447" s="860" customFormat="1" ht="13.5" spans="1:73">
      <c r="A447" s="861"/>
      <c r="E447" s="862"/>
      <c r="X447" s="864"/>
      <c r="Y447" s="865"/>
      <c r="Z447" s="865"/>
      <c r="AA447" s="866"/>
      <c r="AB447" s="867"/>
      <c r="AC447" s="868"/>
      <c r="AD447" s="866"/>
      <c r="AF447" s="869"/>
      <c r="AG447" s="869"/>
      <c r="AH447" s="870"/>
      <c r="AI447" s="871"/>
      <c r="AJ447" s="870"/>
      <c r="AK447" s="870"/>
      <c r="BN447" s="872"/>
      <c r="BO447" s="872"/>
      <c r="BP447" s="872"/>
      <c r="BS447" s="872"/>
      <c r="BT447" s="872"/>
      <c r="BU447" s="872"/>
    </row>
    <row r="448" s="860" customFormat="1" ht="13.5" spans="1:73">
      <c r="A448" s="861"/>
      <c r="E448" s="862"/>
      <c r="X448" s="864"/>
      <c r="Y448" s="865"/>
      <c r="Z448" s="865"/>
      <c r="AA448" s="866"/>
      <c r="AB448" s="867"/>
      <c r="AC448" s="868"/>
      <c r="AD448" s="866"/>
      <c r="AF448" s="869"/>
      <c r="AG448" s="869"/>
      <c r="AH448" s="870"/>
      <c r="AI448" s="871"/>
      <c r="AJ448" s="870"/>
      <c r="AK448" s="870"/>
      <c r="BN448" s="872"/>
      <c r="BO448" s="872"/>
      <c r="BP448" s="872"/>
      <c r="BS448" s="872"/>
      <c r="BT448" s="872"/>
      <c r="BU448" s="872"/>
    </row>
    <row r="449" s="860" customFormat="1" ht="13.5" spans="1:73">
      <c r="A449" s="861"/>
      <c r="E449" s="862"/>
      <c r="X449" s="864"/>
      <c r="Y449" s="865"/>
      <c r="Z449" s="865"/>
      <c r="AA449" s="866"/>
      <c r="AB449" s="867"/>
      <c r="AC449" s="868"/>
      <c r="AD449" s="866"/>
      <c r="AF449" s="869"/>
      <c r="AG449" s="869"/>
      <c r="AH449" s="870"/>
      <c r="AI449" s="871"/>
      <c r="AJ449" s="870"/>
      <c r="AK449" s="870"/>
      <c r="BN449" s="872"/>
      <c r="BO449" s="872"/>
      <c r="BP449" s="872"/>
      <c r="BS449" s="872"/>
      <c r="BT449" s="872"/>
      <c r="BU449" s="872"/>
    </row>
    <row r="450" s="860" customFormat="1" ht="13.5" spans="1:73">
      <c r="A450" s="861"/>
      <c r="E450" s="862"/>
      <c r="X450" s="864"/>
      <c r="Y450" s="865"/>
      <c r="Z450" s="865"/>
      <c r="AA450" s="866"/>
      <c r="AB450" s="867"/>
      <c r="AC450" s="868"/>
      <c r="AD450" s="866"/>
      <c r="AF450" s="869"/>
      <c r="AG450" s="869"/>
      <c r="AH450" s="870"/>
      <c r="AI450" s="871"/>
      <c r="AJ450" s="870"/>
      <c r="AK450" s="870"/>
      <c r="BN450" s="872"/>
      <c r="BO450" s="872"/>
      <c r="BP450" s="872"/>
      <c r="BS450" s="872"/>
      <c r="BT450" s="872"/>
      <c r="BU450" s="872"/>
    </row>
    <row r="451" s="860" customFormat="1" ht="13.5" spans="1:73">
      <c r="A451" s="861"/>
      <c r="E451" s="862"/>
      <c r="X451" s="864"/>
      <c r="Y451" s="865"/>
      <c r="Z451" s="865"/>
      <c r="AA451" s="866"/>
      <c r="AB451" s="867"/>
      <c r="AC451" s="868"/>
      <c r="AD451" s="866"/>
      <c r="AF451" s="869"/>
      <c r="AG451" s="869"/>
      <c r="AH451" s="870"/>
      <c r="AI451" s="871"/>
      <c r="AJ451" s="870"/>
      <c r="AK451" s="870"/>
      <c r="BN451" s="872"/>
      <c r="BO451" s="872"/>
      <c r="BP451" s="872"/>
      <c r="BS451" s="872"/>
      <c r="BT451" s="872"/>
      <c r="BU451" s="872"/>
    </row>
    <row r="452" s="860" customFormat="1" ht="13.5" spans="1:73">
      <c r="A452" s="861"/>
      <c r="E452" s="862"/>
      <c r="X452" s="864"/>
      <c r="Y452" s="865"/>
      <c r="Z452" s="865"/>
      <c r="AA452" s="866"/>
      <c r="AB452" s="867"/>
      <c r="AC452" s="868"/>
      <c r="AD452" s="866"/>
      <c r="AF452" s="869"/>
      <c r="AG452" s="869"/>
      <c r="AH452" s="870"/>
      <c r="AI452" s="871"/>
      <c r="AJ452" s="870"/>
      <c r="AK452" s="870"/>
      <c r="BN452" s="872"/>
      <c r="BO452" s="872"/>
      <c r="BP452" s="872"/>
      <c r="BS452" s="872"/>
      <c r="BT452" s="872"/>
      <c r="BU452" s="872"/>
    </row>
    <row r="453" s="860" customFormat="1" ht="13.5" spans="1:73">
      <c r="A453" s="861"/>
      <c r="E453" s="862"/>
      <c r="X453" s="864"/>
      <c r="Y453" s="865"/>
      <c r="Z453" s="865"/>
      <c r="AA453" s="866"/>
      <c r="AB453" s="867"/>
      <c r="AC453" s="868"/>
      <c r="AD453" s="866"/>
      <c r="AF453" s="869"/>
      <c r="AG453" s="869"/>
      <c r="AH453" s="870"/>
      <c r="AI453" s="871"/>
      <c r="AJ453" s="870" t="s">
        <v>2939</v>
      </c>
      <c r="AK453" s="870"/>
      <c r="BN453" s="872"/>
      <c r="BO453" s="872"/>
      <c r="BP453" s="872"/>
      <c r="BS453" s="872"/>
      <c r="BT453" s="872"/>
      <c r="BU453" s="872"/>
    </row>
  </sheetData>
  <sheetProtection formatCells="0" formatColumns="0" formatRows="0" insertRows="0" insertColumns="0" insertHyperlinks="0" deleteColumns="0" deleteRows="0" sort="0" autoFilter="0" pivotTables="0"/>
  <autoFilter xmlns:etc="http://www.wps.cn/officeDocument/2017/etCustomData" ref="A1:BL453" etc:filterBottomFollowUsedRange="1">
    <extLst/>
  </autoFilter>
  <conditionalFormatting sqref="R$1:R$1048576">
    <cfRule type="containsText" dxfId="2" priority="2" operator="between" text="欠">
      <formula>NOT(ISERROR(SEARCH("欠",R1)))</formula>
    </cfRule>
  </conditionalFormatting>
  <conditionalFormatting sqref="T$1:T$1048576">
    <cfRule type="containsText" dxfId="2" priority="1" operator="between" text="欠">
      <formula>NOT(ISERROR(SEARCH("欠",T1)))</formula>
    </cfRule>
  </conditionalFormatting>
  <dataValidations count="1">
    <dataValidation type="list" allowBlank="1" showInputMessage="1" showErrorMessage="1" sqref="AE2:AE17">
      <formula1>"未完成,已完成,OK"</formula1>
    </dataValidation>
  </dataValidations>
  <pageMargins left="0.75" right="0.75" top="1" bottom="1" header="0.5" footer="0.5"/>
  <headerFooter/>
  <ignoredErrors>
    <ignoredError sqref="D2"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46"/>
  <sheetViews>
    <sheetView workbookViewId="0">
      <pane xSplit="9" ySplit="2" topLeftCell="J3" activePane="bottomRight" state="frozen"/>
      <selection/>
      <selection pane="topRight"/>
      <selection pane="bottomLeft"/>
      <selection pane="bottomRight" activeCell="J3" sqref="J3"/>
    </sheetView>
  </sheetViews>
  <sheetFormatPr defaultColWidth="9" defaultRowHeight="13.5"/>
  <cols>
    <col min="1" max="2" width="9" style="785"/>
    <col min="3" max="4" width="10.3333333333333" style="785"/>
    <col min="5" max="5" width="17.025" style="785" customWidth="1"/>
    <col min="6" max="6" width="9" style="785"/>
    <col min="7" max="8" width="12.5833333333333" style="785" customWidth="1"/>
    <col min="9" max="10" width="9" style="785"/>
    <col min="11" max="12" width="13.0833333333333" style="785" customWidth="1"/>
    <col min="13" max="13" width="9.225" style="785"/>
    <col min="14" max="15" width="10.1083333333333" style="785" customWidth="1"/>
    <col min="16" max="16" width="12.8" style="785"/>
    <col min="17" max="17" width="9" style="785"/>
    <col min="18" max="25" width="9.225" style="785"/>
    <col min="26" max="38" width="9" style="785"/>
    <col min="39" max="39" width="49.1833333333333" style="785" customWidth="1"/>
    <col min="40" max="16384" width="9" style="785"/>
  </cols>
  <sheetData>
    <row r="1" ht="34" customHeight="1" spans="1:39">
      <c r="A1" s="789" t="s">
        <v>2955</v>
      </c>
      <c r="B1" s="789"/>
      <c r="C1" s="789"/>
      <c r="D1" s="789"/>
      <c r="E1" s="789"/>
      <c r="F1" s="789"/>
      <c r="G1" s="789"/>
      <c r="H1" s="789"/>
      <c r="I1" s="789"/>
      <c r="J1" s="789"/>
      <c r="K1" s="789"/>
      <c r="L1" s="789"/>
      <c r="M1" s="789"/>
      <c r="N1" s="789"/>
      <c r="O1" s="789"/>
      <c r="P1" s="789"/>
      <c r="Q1" s="789"/>
      <c r="R1" s="790"/>
      <c r="S1" s="790"/>
      <c r="T1" s="790"/>
      <c r="U1" s="790"/>
      <c r="V1" s="790"/>
      <c r="W1" s="790"/>
      <c r="X1" s="790"/>
      <c r="Y1" s="790"/>
      <c r="Z1" s="790"/>
      <c r="AA1" s="790"/>
      <c r="AB1" s="790"/>
      <c r="AC1" s="790"/>
      <c r="AD1" s="789"/>
      <c r="AE1" s="789"/>
      <c r="AF1" s="789"/>
      <c r="AG1" s="789"/>
      <c r="AH1" s="789"/>
      <c r="AI1" s="789"/>
      <c r="AJ1" s="789"/>
      <c r="AK1" s="789"/>
      <c r="AL1" s="789"/>
      <c r="AM1" s="789"/>
    </row>
    <row r="2" ht="39" customHeight="1" spans="1:39">
      <c r="A2" s="791" t="s">
        <v>1</v>
      </c>
      <c r="B2" s="791" t="s">
        <v>2</v>
      </c>
      <c r="C2" s="791" t="s">
        <v>3</v>
      </c>
      <c r="D2" s="791" t="s">
        <v>2956</v>
      </c>
      <c r="E2" s="791" t="s">
        <v>4</v>
      </c>
      <c r="F2" s="791" t="s">
        <v>5</v>
      </c>
      <c r="G2" s="791" t="s">
        <v>6</v>
      </c>
      <c r="H2" s="791" t="s">
        <v>2957</v>
      </c>
      <c r="I2" s="791" t="s">
        <v>2958</v>
      </c>
      <c r="J2" s="794" t="s">
        <v>2959</v>
      </c>
      <c r="K2" s="794" t="s">
        <v>2960</v>
      </c>
      <c r="L2" s="795" t="s">
        <v>2961</v>
      </c>
      <c r="M2" s="795" t="s">
        <v>150</v>
      </c>
      <c r="N2" s="794" t="s">
        <v>2962</v>
      </c>
      <c r="O2" s="795" t="s">
        <v>2963</v>
      </c>
      <c r="P2" s="794" t="s">
        <v>2964</v>
      </c>
      <c r="Q2" s="795" t="s">
        <v>2965</v>
      </c>
      <c r="R2" s="794" t="s">
        <v>2966</v>
      </c>
      <c r="S2" s="794" t="s">
        <v>2967</v>
      </c>
      <c r="T2" s="795" t="s">
        <v>2968</v>
      </c>
      <c r="U2" s="797" t="s">
        <v>2969</v>
      </c>
      <c r="V2" s="798" t="s">
        <v>2970</v>
      </c>
      <c r="W2" s="795" t="s">
        <v>2971</v>
      </c>
      <c r="X2" s="798" t="s">
        <v>2972</v>
      </c>
      <c r="Y2" s="795" t="s">
        <v>2973</v>
      </c>
      <c r="Z2" s="794" t="s">
        <v>167</v>
      </c>
      <c r="AA2" s="799" t="s">
        <v>168</v>
      </c>
      <c r="AB2" s="794" t="s">
        <v>2974</v>
      </c>
      <c r="AC2" s="795" t="s">
        <v>2975</v>
      </c>
      <c r="AD2" s="800" t="s">
        <v>2976</v>
      </c>
      <c r="AE2" s="800" t="s">
        <v>2976</v>
      </c>
      <c r="AF2" s="801" t="s">
        <v>174</v>
      </c>
      <c r="AG2" s="801" t="s">
        <v>2977</v>
      </c>
      <c r="AH2" s="801" t="s">
        <v>177</v>
      </c>
      <c r="AI2" s="843" t="s">
        <v>178</v>
      </c>
      <c r="AJ2" s="843" t="s">
        <v>2978</v>
      </c>
      <c r="AK2" s="843" t="s">
        <v>180</v>
      </c>
      <c r="AL2" s="843" t="s">
        <v>2979</v>
      </c>
      <c r="AM2" s="802" t="s">
        <v>12</v>
      </c>
    </row>
    <row r="3" s="787" customFormat="1" ht="16" customHeight="1" spans="1:39">
      <c r="A3" s="810">
        <v>45148</v>
      </c>
      <c r="B3" s="811" t="s">
        <v>2980</v>
      </c>
      <c r="C3" s="812">
        <v>1000015924</v>
      </c>
      <c r="D3" s="805" t="s">
        <v>2981</v>
      </c>
      <c r="E3" s="813" t="s">
        <v>2982</v>
      </c>
      <c r="F3" s="813">
        <v>1761</v>
      </c>
      <c r="G3" s="812" t="s">
        <v>2983</v>
      </c>
      <c r="H3" s="812"/>
      <c r="I3" s="813" t="s">
        <v>1527</v>
      </c>
      <c r="J3" s="814"/>
      <c r="K3" s="814"/>
      <c r="L3" s="814"/>
      <c r="M3" s="814"/>
      <c r="N3" s="814"/>
      <c r="O3" s="814"/>
      <c r="P3" s="814"/>
      <c r="Q3" s="814"/>
      <c r="R3" s="814"/>
      <c r="S3" s="814"/>
      <c r="T3" s="814"/>
      <c r="U3" s="814"/>
      <c r="V3" s="814"/>
      <c r="W3" s="814"/>
      <c r="X3" s="814"/>
      <c r="Y3" s="814"/>
      <c r="Z3" s="814">
        <v>1761</v>
      </c>
      <c r="AA3" s="814"/>
      <c r="AB3" s="814"/>
      <c r="AC3" s="814"/>
      <c r="AD3" s="814"/>
      <c r="AE3" s="814"/>
      <c r="AF3" s="814"/>
      <c r="AG3" s="814"/>
      <c r="AH3" s="814"/>
      <c r="AI3" s="814"/>
      <c r="AJ3" s="814"/>
      <c r="AK3" s="814"/>
      <c r="AL3" s="814"/>
      <c r="AM3" s="1426" t="s">
        <v>2984</v>
      </c>
    </row>
    <row r="4" s="787" customFormat="1" ht="15" customHeight="1" spans="1:39">
      <c r="A4" s="810">
        <v>45148</v>
      </c>
      <c r="B4" s="811" t="s">
        <v>2980</v>
      </c>
      <c r="C4" s="813">
        <v>1000015925</v>
      </c>
      <c r="D4" s="805" t="s">
        <v>2981</v>
      </c>
      <c r="E4" s="813">
        <v>77485</v>
      </c>
      <c r="F4" s="813">
        <v>105660</v>
      </c>
      <c r="G4" s="812" t="s">
        <v>2985</v>
      </c>
      <c r="H4" s="812"/>
      <c r="I4" s="813" t="s">
        <v>1527</v>
      </c>
      <c r="J4" s="814"/>
      <c r="K4" s="814"/>
      <c r="L4" s="814"/>
      <c r="M4" s="814"/>
      <c r="N4" s="814"/>
      <c r="O4" s="814"/>
      <c r="P4" s="814"/>
      <c r="Q4" s="814"/>
      <c r="R4" s="814"/>
      <c r="S4" s="814"/>
      <c r="T4" s="814"/>
      <c r="U4" s="814"/>
      <c r="V4" s="814"/>
      <c r="W4" s="814"/>
      <c r="X4" s="814"/>
      <c r="Y4" s="814"/>
      <c r="Z4" s="814"/>
      <c r="AA4" s="814"/>
      <c r="AB4" s="814"/>
      <c r="AC4" s="814"/>
      <c r="AD4" s="814">
        <v>105660</v>
      </c>
      <c r="AE4" s="814"/>
      <c r="AF4" s="814"/>
      <c r="AG4" s="814"/>
      <c r="AH4" s="814"/>
      <c r="AI4" s="814"/>
      <c r="AJ4" s="814"/>
      <c r="AK4" s="814"/>
      <c r="AL4" s="814"/>
      <c r="AM4" s="1426" t="s">
        <v>2986</v>
      </c>
    </row>
    <row r="5" s="787" customFormat="1" ht="16" customHeight="1" spans="1:39">
      <c r="A5" s="810">
        <v>45148</v>
      </c>
      <c r="B5" s="811" t="s">
        <v>2980</v>
      </c>
      <c r="C5" s="812">
        <v>1000015926</v>
      </c>
      <c r="D5" s="805" t="s">
        <v>2981</v>
      </c>
      <c r="E5" s="813">
        <v>77485</v>
      </c>
      <c r="F5" s="813">
        <v>105660</v>
      </c>
      <c r="G5" s="812" t="s">
        <v>2987</v>
      </c>
      <c r="H5" s="812"/>
      <c r="I5" s="813" t="s">
        <v>1527</v>
      </c>
      <c r="J5" s="814"/>
      <c r="K5" s="814"/>
      <c r="L5" s="814"/>
      <c r="M5" s="814"/>
      <c r="N5" s="814"/>
      <c r="O5" s="814"/>
      <c r="P5" s="814"/>
      <c r="Q5" s="814"/>
      <c r="R5" s="814"/>
      <c r="S5" s="814"/>
      <c r="T5" s="814"/>
      <c r="U5" s="814"/>
      <c r="V5" s="814"/>
      <c r="W5" s="814"/>
      <c r="X5" s="814"/>
      <c r="Y5" s="814"/>
      <c r="Z5" s="814"/>
      <c r="AA5" s="814"/>
      <c r="AB5" s="814"/>
      <c r="AC5" s="814"/>
      <c r="AD5" s="814"/>
      <c r="AE5" s="814">
        <v>105660</v>
      </c>
      <c r="AF5" s="814"/>
      <c r="AG5" s="814"/>
      <c r="AH5" s="814"/>
      <c r="AI5" s="814"/>
      <c r="AJ5" s="814"/>
      <c r="AK5" s="814"/>
      <c r="AL5" s="814"/>
      <c r="AM5" s="1426" t="s">
        <v>2986</v>
      </c>
    </row>
    <row r="6" s="787" customFormat="1" ht="16" customHeight="1" spans="1:39">
      <c r="A6" s="810">
        <v>45168</v>
      </c>
      <c r="B6" s="811" t="s">
        <v>2980</v>
      </c>
      <c r="C6" s="812" t="s">
        <v>2988</v>
      </c>
      <c r="D6" s="805" t="s">
        <v>2989</v>
      </c>
      <c r="E6" s="812">
        <v>77485</v>
      </c>
      <c r="F6" s="812">
        <v>220000</v>
      </c>
      <c r="G6" s="812" t="s">
        <v>2990</v>
      </c>
      <c r="H6" s="812"/>
      <c r="I6" s="813" t="s">
        <v>2991</v>
      </c>
      <c r="J6" s="814">
        <v>220000</v>
      </c>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c r="AM6" s="841"/>
    </row>
    <row r="7" s="787" customFormat="1" ht="15" customHeight="1" spans="1:39">
      <c r="A7" s="810">
        <v>45168</v>
      </c>
      <c r="B7" s="811" t="s">
        <v>2980</v>
      </c>
      <c r="C7" s="813" t="s">
        <v>2992</v>
      </c>
      <c r="D7" s="805" t="s">
        <v>2989</v>
      </c>
      <c r="E7" s="813">
        <v>77485</v>
      </c>
      <c r="F7" s="813">
        <v>220000</v>
      </c>
      <c r="G7" s="812" t="s">
        <v>2993</v>
      </c>
      <c r="H7" s="812"/>
      <c r="I7" s="813" t="s">
        <v>2994</v>
      </c>
      <c r="J7" s="814"/>
      <c r="K7" s="814"/>
      <c r="L7" s="814"/>
      <c r="M7" s="814"/>
      <c r="N7" s="814">
        <v>220000</v>
      </c>
      <c r="O7" s="814"/>
      <c r="P7" s="814"/>
      <c r="Q7" s="814"/>
      <c r="R7" s="814"/>
      <c r="S7" s="814"/>
      <c r="T7" s="814"/>
      <c r="U7" s="814"/>
      <c r="V7" s="814"/>
      <c r="W7" s="814"/>
      <c r="X7" s="814"/>
      <c r="Y7" s="814"/>
      <c r="Z7" s="814"/>
      <c r="AA7" s="814"/>
      <c r="AB7" s="814"/>
      <c r="AC7" s="814"/>
      <c r="AD7" s="814"/>
      <c r="AE7" s="814"/>
      <c r="AF7" s="814"/>
      <c r="AG7" s="814"/>
      <c r="AH7" s="814"/>
      <c r="AI7" s="814"/>
      <c r="AJ7" s="814"/>
      <c r="AK7" s="814"/>
      <c r="AL7" s="814"/>
      <c r="AM7" s="841"/>
    </row>
    <row r="8" s="787" customFormat="1" ht="15" customHeight="1" spans="1:39">
      <c r="A8" s="810">
        <v>45168</v>
      </c>
      <c r="B8" s="811" t="s">
        <v>2980</v>
      </c>
      <c r="C8" s="813" t="s">
        <v>2995</v>
      </c>
      <c r="D8" s="805" t="s">
        <v>2989</v>
      </c>
      <c r="E8" s="813" t="s">
        <v>2996</v>
      </c>
      <c r="F8" s="813">
        <v>4000</v>
      </c>
      <c r="G8" s="812" t="s">
        <v>2997</v>
      </c>
      <c r="H8" s="812"/>
      <c r="I8" s="813" t="s">
        <v>2991</v>
      </c>
      <c r="J8" s="814"/>
      <c r="K8" s="814"/>
      <c r="L8" s="814"/>
      <c r="M8" s="814"/>
      <c r="N8" s="814"/>
      <c r="O8" s="814"/>
      <c r="P8" s="814">
        <v>4000</v>
      </c>
      <c r="Q8" s="814"/>
      <c r="R8" s="814"/>
      <c r="S8" s="814"/>
      <c r="T8" s="814"/>
      <c r="U8" s="814"/>
      <c r="V8" s="814"/>
      <c r="W8" s="814"/>
      <c r="X8" s="814"/>
      <c r="Y8" s="814"/>
      <c r="Z8" s="814"/>
      <c r="AA8" s="814"/>
      <c r="AB8" s="814"/>
      <c r="AC8" s="814"/>
      <c r="AD8" s="814"/>
      <c r="AE8" s="814"/>
      <c r="AF8" s="814"/>
      <c r="AG8" s="814"/>
      <c r="AH8" s="814"/>
      <c r="AI8" s="814"/>
      <c r="AJ8" s="814"/>
      <c r="AK8" s="814"/>
      <c r="AL8" s="814"/>
      <c r="AM8" s="841"/>
    </row>
    <row r="9" s="787" customFormat="1" ht="15" customHeight="1" spans="1:39">
      <c r="A9" s="810">
        <v>45168</v>
      </c>
      <c r="B9" s="811" t="s">
        <v>2980</v>
      </c>
      <c r="C9" s="813" t="s">
        <v>2998</v>
      </c>
      <c r="D9" s="805" t="s">
        <v>2989</v>
      </c>
      <c r="E9" s="813" t="s">
        <v>2999</v>
      </c>
      <c r="F9" s="813">
        <v>1000</v>
      </c>
      <c r="G9" s="812" t="s">
        <v>2997</v>
      </c>
      <c r="H9" s="812"/>
      <c r="I9" s="813" t="s">
        <v>2991</v>
      </c>
      <c r="J9" s="814"/>
      <c r="K9" s="814"/>
      <c r="L9" s="814"/>
      <c r="M9" s="814"/>
      <c r="N9" s="814"/>
      <c r="O9" s="814"/>
      <c r="P9" s="814"/>
      <c r="Q9" s="814"/>
      <c r="R9" s="814">
        <v>1000</v>
      </c>
      <c r="S9" s="814"/>
      <c r="T9" s="814"/>
      <c r="U9" s="814"/>
      <c r="V9" s="814"/>
      <c r="W9" s="814"/>
      <c r="X9" s="814"/>
      <c r="Y9" s="814"/>
      <c r="Z9" s="814"/>
      <c r="AA9" s="814"/>
      <c r="AB9" s="814"/>
      <c r="AC9" s="814"/>
      <c r="AD9" s="814"/>
      <c r="AE9" s="814"/>
      <c r="AF9" s="814"/>
      <c r="AG9" s="814"/>
      <c r="AH9" s="814"/>
      <c r="AI9" s="814"/>
      <c r="AJ9" s="814"/>
      <c r="AK9" s="814"/>
      <c r="AL9" s="814"/>
      <c r="AM9" s="841"/>
    </row>
    <row r="10" s="787" customFormat="1" ht="15" customHeight="1" spans="1:39">
      <c r="A10" s="810">
        <v>45180</v>
      </c>
      <c r="B10" s="811" t="s">
        <v>3000</v>
      </c>
      <c r="C10" s="813" t="s">
        <v>3001</v>
      </c>
      <c r="D10" s="813" t="s">
        <v>2989</v>
      </c>
      <c r="E10" s="813">
        <v>77485</v>
      </c>
      <c r="F10" s="813">
        <v>100000</v>
      </c>
      <c r="G10" s="812" t="s">
        <v>2990</v>
      </c>
      <c r="H10" s="812"/>
      <c r="I10" s="813" t="s">
        <v>2991</v>
      </c>
      <c r="J10" s="814">
        <v>100000</v>
      </c>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c r="AM10" s="841"/>
    </row>
    <row r="11" s="787" customFormat="1" ht="15" customHeight="1" spans="1:39">
      <c r="A11" s="810">
        <v>45180</v>
      </c>
      <c r="B11" s="811" t="s">
        <v>3000</v>
      </c>
      <c r="C11" s="813" t="s">
        <v>3002</v>
      </c>
      <c r="D11" s="813" t="s">
        <v>2989</v>
      </c>
      <c r="E11" s="813">
        <v>77485</v>
      </c>
      <c r="F11" s="813">
        <v>22000</v>
      </c>
      <c r="G11" s="812" t="s">
        <v>2990</v>
      </c>
      <c r="H11" s="812"/>
      <c r="I11" s="813" t="s">
        <v>3003</v>
      </c>
      <c r="J11" s="814"/>
      <c r="K11" s="814"/>
      <c r="L11" s="814"/>
      <c r="M11" s="814">
        <v>22000</v>
      </c>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c r="AM11" s="841"/>
    </row>
    <row r="12" s="787" customFormat="1" ht="15" customHeight="1" spans="1:39">
      <c r="A12" s="810">
        <v>45180</v>
      </c>
      <c r="B12" s="811" t="s">
        <v>3000</v>
      </c>
      <c r="C12" s="813" t="s">
        <v>3004</v>
      </c>
      <c r="D12" s="813" t="s">
        <v>2989</v>
      </c>
      <c r="E12" s="813">
        <v>77485</v>
      </c>
      <c r="F12" s="813">
        <v>100000</v>
      </c>
      <c r="G12" s="812" t="s">
        <v>2993</v>
      </c>
      <c r="H12" s="812"/>
      <c r="I12" s="813" t="s">
        <v>2994</v>
      </c>
      <c r="J12" s="814"/>
      <c r="K12" s="814"/>
      <c r="L12" s="814"/>
      <c r="M12" s="814"/>
      <c r="N12" s="814">
        <v>100000</v>
      </c>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c r="AM12" s="841"/>
    </row>
    <row r="13" s="787" customFormat="1" ht="15" customHeight="1" spans="1:39">
      <c r="A13" s="810">
        <v>45180</v>
      </c>
      <c r="B13" s="811" t="s">
        <v>3000</v>
      </c>
      <c r="C13" s="813" t="s">
        <v>3005</v>
      </c>
      <c r="D13" s="813" t="s">
        <v>2989</v>
      </c>
      <c r="E13" s="813" t="s">
        <v>2996</v>
      </c>
      <c r="F13" s="813">
        <v>10000</v>
      </c>
      <c r="G13" s="812" t="s">
        <v>2997</v>
      </c>
      <c r="H13" s="812"/>
      <c r="I13" s="813" t="s">
        <v>2991</v>
      </c>
      <c r="J13" s="814"/>
      <c r="K13" s="814"/>
      <c r="L13" s="814"/>
      <c r="M13" s="814"/>
      <c r="N13" s="814"/>
      <c r="O13" s="814"/>
      <c r="P13" s="814">
        <v>10000</v>
      </c>
      <c r="Q13" s="814"/>
      <c r="R13" s="814"/>
      <c r="S13" s="814"/>
      <c r="T13" s="814"/>
      <c r="U13" s="814"/>
      <c r="V13" s="814"/>
      <c r="W13" s="814"/>
      <c r="X13" s="814"/>
      <c r="Y13" s="814"/>
      <c r="Z13" s="814"/>
      <c r="AA13" s="814"/>
      <c r="AB13" s="814"/>
      <c r="AC13" s="814"/>
      <c r="AD13" s="814"/>
      <c r="AE13" s="814"/>
      <c r="AF13" s="814"/>
      <c r="AG13" s="814"/>
      <c r="AH13" s="814"/>
      <c r="AI13" s="814"/>
      <c r="AJ13" s="814"/>
      <c r="AK13" s="814"/>
      <c r="AL13" s="814"/>
      <c r="AM13" s="841"/>
    </row>
    <row r="14" s="787" customFormat="1" ht="15" customHeight="1" spans="1:39">
      <c r="A14" s="810">
        <v>45180</v>
      </c>
      <c r="B14" s="811" t="s">
        <v>3000</v>
      </c>
      <c r="C14" s="813" t="s">
        <v>3006</v>
      </c>
      <c r="D14" s="813" t="s">
        <v>2989</v>
      </c>
      <c r="E14" s="813" t="s">
        <v>2999</v>
      </c>
      <c r="F14" s="813">
        <v>4000</v>
      </c>
      <c r="G14" s="812" t="s">
        <v>2997</v>
      </c>
      <c r="H14" s="812"/>
      <c r="I14" s="813" t="s">
        <v>2991</v>
      </c>
      <c r="J14" s="814"/>
      <c r="K14" s="814"/>
      <c r="L14" s="814"/>
      <c r="M14" s="814"/>
      <c r="N14" s="814"/>
      <c r="O14" s="814"/>
      <c r="P14" s="814"/>
      <c r="Q14" s="814"/>
      <c r="R14" s="814">
        <v>4000</v>
      </c>
      <c r="S14" s="814"/>
      <c r="T14" s="814"/>
      <c r="U14" s="814"/>
      <c r="V14" s="814"/>
      <c r="W14" s="814"/>
      <c r="X14" s="814"/>
      <c r="Y14" s="814"/>
      <c r="Z14" s="814"/>
      <c r="AA14" s="814"/>
      <c r="AB14" s="814"/>
      <c r="AC14" s="814"/>
      <c r="AD14" s="814"/>
      <c r="AE14" s="814"/>
      <c r="AF14" s="814"/>
      <c r="AG14" s="814"/>
      <c r="AH14" s="814"/>
      <c r="AI14" s="814"/>
      <c r="AJ14" s="814"/>
      <c r="AK14" s="814"/>
      <c r="AL14" s="814"/>
      <c r="AM14" s="841"/>
    </row>
    <row r="15" s="787" customFormat="1" ht="18" customHeight="1" spans="1:39">
      <c r="A15" s="810">
        <v>45180</v>
      </c>
      <c r="B15" s="811" t="s">
        <v>3000</v>
      </c>
      <c r="C15" s="813">
        <v>1000016329</v>
      </c>
      <c r="D15" s="813" t="s">
        <v>2981</v>
      </c>
      <c r="E15" s="813">
        <v>77485</v>
      </c>
      <c r="F15" s="813">
        <v>25200</v>
      </c>
      <c r="G15" s="812" t="s">
        <v>3007</v>
      </c>
      <c r="H15" s="812"/>
      <c r="I15" s="813" t="s">
        <v>1527</v>
      </c>
      <c r="J15" s="814"/>
      <c r="K15" s="814">
        <v>25200</v>
      </c>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c r="AM15" s="841"/>
    </row>
    <row r="16" s="787" customFormat="1" ht="18" customHeight="1" spans="1:39">
      <c r="A16" s="810">
        <v>45183</v>
      </c>
      <c r="B16" s="811" t="s">
        <v>3000</v>
      </c>
      <c r="C16" s="805">
        <v>1000016330</v>
      </c>
      <c r="D16" s="813" t="s">
        <v>2981</v>
      </c>
      <c r="E16" s="813">
        <v>77486</v>
      </c>
      <c r="F16" s="813">
        <v>12600</v>
      </c>
      <c r="G16" s="812" t="s">
        <v>3008</v>
      </c>
      <c r="H16" s="812"/>
      <c r="I16" s="813" t="s">
        <v>1527</v>
      </c>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v>12600</v>
      </c>
      <c r="AG16" s="814"/>
      <c r="AH16" s="814"/>
      <c r="AI16" s="814"/>
      <c r="AJ16" s="814"/>
      <c r="AK16" s="814"/>
      <c r="AL16" s="814"/>
      <c r="AM16" s="841"/>
    </row>
    <row r="17" s="787" customFormat="1" ht="18" customHeight="1" spans="1:39">
      <c r="A17" s="810">
        <v>45183</v>
      </c>
      <c r="B17" s="811" t="s">
        <v>3000</v>
      </c>
      <c r="C17" s="805">
        <v>1000016331</v>
      </c>
      <c r="D17" s="813" t="s">
        <v>2981</v>
      </c>
      <c r="E17" s="813">
        <v>77486</v>
      </c>
      <c r="F17" s="813">
        <v>12600</v>
      </c>
      <c r="G17" s="812" t="s">
        <v>3009</v>
      </c>
      <c r="H17" s="812"/>
      <c r="I17" s="813" t="s">
        <v>1527</v>
      </c>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v>12600</v>
      </c>
      <c r="AH17" s="814"/>
      <c r="AI17" s="814"/>
      <c r="AJ17" s="814"/>
      <c r="AK17" s="814"/>
      <c r="AL17" s="814"/>
      <c r="AM17" s="841"/>
    </row>
    <row r="18" s="787" customFormat="1" ht="18" customHeight="1" spans="1:39">
      <c r="A18" s="810">
        <v>45183</v>
      </c>
      <c r="B18" s="811" t="s">
        <v>3000</v>
      </c>
      <c r="C18" s="805">
        <v>1000016332</v>
      </c>
      <c r="D18" s="813" t="s">
        <v>2981</v>
      </c>
      <c r="E18" s="813">
        <v>77486</v>
      </c>
      <c r="F18" s="813">
        <v>12600</v>
      </c>
      <c r="G18" s="812" t="s">
        <v>3010</v>
      </c>
      <c r="H18" s="812"/>
      <c r="I18" s="813" t="s">
        <v>1527</v>
      </c>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v>12600</v>
      </c>
      <c r="AI18" s="814"/>
      <c r="AJ18" s="814"/>
      <c r="AK18" s="814"/>
      <c r="AL18" s="814"/>
      <c r="AM18" s="841"/>
    </row>
    <row r="19" s="787" customFormat="1" ht="18" customHeight="1" spans="1:39">
      <c r="A19" s="810">
        <v>45216</v>
      </c>
      <c r="B19" s="811" t="s">
        <v>3000</v>
      </c>
      <c r="C19" s="813" t="s">
        <v>3011</v>
      </c>
      <c r="D19" s="813" t="s">
        <v>2989</v>
      </c>
      <c r="E19" s="813">
        <v>77485</v>
      </c>
      <c r="F19" s="813">
        <v>120000</v>
      </c>
      <c r="G19" s="812" t="s">
        <v>2990</v>
      </c>
      <c r="H19" s="812"/>
      <c r="I19" s="813" t="s">
        <v>2991</v>
      </c>
      <c r="J19" s="814">
        <v>120000</v>
      </c>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c r="AM19" s="841"/>
    </row>
    <row r="20" s="787" customFormat="1" ht="18" customHeight="1" spans="1:39">
      <c r="A20" s="810">
        <v>45216</v>
      </c>
      <c r="B20" s="811" t="s">
        <v>3000</v>
      </c>
      <c r="C20" s="813" t="s">
        <v>3012</v>
      </c>
      <c r="D20" s="813" t="s">
        <v>2989</v>
      </c>
      <c r="E20" s="813">
        <v>77485</v>
      </c>
      <c r="F20" s="813">
        <v>60000</v>
      </c>
      <c r="G20" s="812" t="s">
        <v>2990</v>
      </c>
      <c r="H20" s="812" t="s">
        <v>16</v>
      </c>
      <c r="I20" s="813" t="s">
        <v>3003</v>
      </c>
      <c r="J20" s="814"/>
      <c r="K20" s="814"/>
      <c r="L20" s="814"/>
      <c r="M20" s="814">
        <v>60000</v>
      </c>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c r="AM20" s="841"/>
    </row>
    <row r="21" s="787" customFormat="1" ht="18" customHeight="1" spans="1:39">
      <c r="A21" s="810">
        <v>45216</v>
      </c>
      <c r="B21" s="811" t="s">
        <v>3000</v>
      </c>
      <c r="C21" s="813" t="s">
        <v>3013</v>
      </c>
      <c r="D21" s="813" t="s">
        <v>2989</v>
      </c>
      <c r="E21" s="813">
        <v>77485</v>
      </c>
      <c r="F21" s="813">
        <v>170000</v>
      </c>
      <c r="G21" s="812" t="s">
        <v>2993</v>
      </c>
      <c r="H21" s="812"/>
      <c r="I21" s="813" t="s">
        <v>3014</v>
      </c>
      <c r="J21" s="814"/>
      <c r="K21" s="814"/>
      <c r="L21" s="814"/>
      <c r="M21" s="814"/>
      <c r="N21" s="814">
        <v>170000</v>
      </c>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c r="AM21" s="841"/>
    </row>
    <row r="22" s="787" customFormat="1" ht="18" customHeight="1" spans="1:39">
      <c r="A22" s="810">
        <v>45216</v>
      </c>
      <c r="B22" s="811" t="s">
        <v>3000</v>
      </c>
      <c r="C22" s="813" t="s">
        <v>3015</v>
      </c>
      <c r="D22" s="813" t="s">
        <v>2989</v>
      </c>
      <c r="E22" s="813" t="s">
        <v>2996</v>
      </c>
      <c r="F22" s="813">
        <v>2000</v>
      </c>
      <c r="G22" s="812" t="s">
        <v>2997</v>
      </c>
      <c r="H22" s="812"/>
      <c r="I22" s="813" t="s">
        <v>2991</v>
      </c>
      <c r="J22" s="814"/>
      <c r="K22" s="814"/>
      <c r="L22" s="814"/>
      <c r="M22" s="814"/>
      <c r="N22" s="814"/>
      <c r="O22" s="814"/>
      <c r="P22" s="814">
        <v>2000</v>
      </c>
      <c r="Q22" s="814"/>
      <c r="R22" s="814"/>
      <c r="S22" s="814"/>
      <c r="T22" s="814"/>
      <c r="U22" s="814"/>
      <c r="V22" s="814"/>
      <c r="W22" s="814"/>
      <c r="X22" s="814"/>
      <c r="Y22" s="814"/>
      <c r="Z22" s="814"/>
      <c r="AA22" s="814"/>
      <c r="AB22" s="814"/>
      <c r="AC22" s="814"/>
      <c r="AD22" s="814"/>
      <c r="AE22" s="814"/>
      <c r="AF22" s="814"/>
      <c r="AG22" s="814"/>
      <c r="AH22" s="814"/>
      <c r="AI22" s="814"/>
      <c r="AJ22" s="814"/>
      <c r="AK22" s="814"/>
      <c r="AL22" s="814"/>
      <c r="AM22" s="841"/>
    </row>
    <row r="23" s="787" customFormat="1" ht="18" customHeight="1" spans="1:39">
      <c r="A23" s="810">
        <v>45216</v>
      </c>
      <c r="B23" s="811" t="s">
        <v>3000</v>
      </c>
      <c r="C23" s="813" t="s">
        <v>3016</v>
      </c>
      <c r="D23" s="813" t="s">
        <v>2989</v>
      </c>
      <c r="E23" s="813" t="s">
        <v>2996</v>
      </c>
      <c r="F23" s="813">
        <v>3000</v>
      </c>
      <c r="G23" s="812" t="s">
        <v>2997</v>
      </c>
      <c r="H23" s="812"/>
      <c r="I23" s="813" t="s">
        <v>3003</v>
      </c>
      <c r="J23" s="814"/>
      <c r="K23" s="814"/>
      <c r="L23" s="814"/>
      <c r="M23" s="814"/>
      <c r="N23" s="814"/>
      <c r="O23" s="814"/>
      <c r="P23" s="814"/>
      <c r="Q23" s="814">
        <v>3000</v>
      </c>
      <c r="R23" s="814"/>
      <c r="S23" s="814"/>
      <c r="T23" s="814"/>
      <c r="U23" s="814"/>
      <c r="V23" s="814"/>
      <c r="W23" s="814"/>
      <c r="X23" s="814"/>
      <c r="Y23" s="814"/>
      <c r="Z23" s="814"/>
      <c r="AA23" s="814"/>
      <c r="AB23" s="814"/>
      <c r="AC23" s="814"/>
      <c r="AD23" s="814"/>
      <c r="AE23" s="814"/>
      <c r="AF23" s="814"/>
      <c r="AG23" s="814"/>
      <c r="AH23" s="814"/>
      <c r="AI23" s="814"/>
      <c r="AJ23" s="814"/>
      <c r="AK23" s="814"/>
      <c r="AL23" s="814"/>
      <c r="AM23" s="841"/>
    </row>
    <row r="24" s="787" customFormat="1" ht="18" customHeight="1" spans="1:39">
      <c r="A24" s="810">
        <v>45216</v>
      </c>
      <c r="B24" s="811" t="s">
        <v>3000</v>
      </c>
      <c r="C24" s="813" t="s">
        <v>3017</v>
      </c>
      <c r="D24" s="813" t="s">
        <v>2989</v>
      </c>
      <c r="E24" s="813" t="s">
        <v>2999</v>
      </c>
      <c r="F24" s="813">
        <v>800</v>
      </c>
      <c r="G24" s="812" t="s">
        <v>2997</v>
      </c>
      <c r="H24" s="812"/>
      <c r="I24" s="813" t="s">
        <v>2991</v>
      </c>
      <c r="J24" s="814"/>
      <c r="K24" s="814"/>
      <c r="L24" s="814"/>
      <c r="M24" s="814"/>
      <c r="N24" s="814"/>
      <c r="O24" s="814"/>
      <c r="P24" s="814"/>
      <c r="Q24" s="814"/>
      <c r="R24" s="814">
        <v>800</v>
      </c>
      <c r="S24" s="814"/>
      <c r="T24" s="814"/>
      <c r="U24" s="814"/>
      <c r="V24" s="814"/>
      <c r="W24" s="814"/>
      <c r="X24" s="814"/>
      <c r="Y24" s="814"/>
      <c r="Z24" s="814"/>
      <c r="AA24" s="814"/>
      <c r="AB24" s="814"/>
      <c r="AC24" s="814"/>
      <c r="AD24" s="814"/>
      <c r="AE24" s="814"/>
      <c r="AF24" s="814"/>
      <c r="AG24" s="814"/>
      <c r="AH24" s="814"/>
      <c r="AI24" s="814"/>
      <c r="AJ24" s="814"/>
      <c r="AK24" s="814"/>
      <c r="AL24" s="814"/>
      <c r="AM24" s="841"/>
    </row>
    <row r="25" s="787" customFormat="1" ht="18" customHeight="1" spans="1:39">
      <c r="A25" s="810">
        <v>45216</v>
      </c>
      <c r="B25" s="811" t="s">
        <v>3000</v>
      </c>
      <c r="C25" s="813" t="s">
        <v>3018</v>
      </c>
      <c r="D25" s="813" t="s">
        <v>2989</v>
      </c>
      <c r="E25" s="813" t="s">
        <v>2999</v>
      </c>
      <c r="F25" s="813">
        <v>700</v>
      </c>
      <c r="G25" s="812" t="s">
        <v>2997</v>
      </c>
      <c r="H25" s="812"/>
      <c r="I25" s="813" t="s">
        <v>3003</v>
      </c>
      <c r="J25" s="814"/>
      <c r="K25" s="814"/>
      <c r="L25" s="814"/>
      <c r="M25" s="814"/>
      <c r="N25" s="814"/>
      <c r="O25" s="814"/>
      <c r="P25" s="814"/>
      <c r="Q25" s="814"/>
      <c r="R25" s="814"/>
      <c r="S25" s="814"/>
      <c r="T25" s="814">
        <v>700</v>
      </c>
      <c r="U25" s="814"/>
      <c r="V25" s="814"/>
      <c r="W25" s="814"/>
      <c r="X25" s="814"/>
      <c r="Y25" s="814"/>
      <c r="Z25" s="814"/>
      <c r="AA25" s="814"/>
      <c r="AB25" s="814"/>
      <c r="AC25" s="814"/>
      <c r="AD25" s="814"/>
      <c r="AE25" s="814"/>
      <c r="AF25" s="814"/>
      <c r="AG25" s="814"/>
      <c r="AH25" s="814"/>
      <c r="AI25" s="814"/>
      <c r="AJ25" s="814"/>
      <c r="AK25" s="814"/>
      <c r="AL25" s="814"/>
      <c r="AM25" s="841"/>
    </row>
    <row r="26" s="787" customFormat="1" ht="18" customHeight="1" spans="1:39">
      <c r="A26" s="810">
        <v>45244</v>
      </c>
      <c r="B26" s="811" t="s">
        <v>3000</v>
      </c>
      <c r="C26" s="813" t="s">
        <v>3019</v>
      </c>
      <c r="D26" s="813" t="s">
        <v>2989</v>
      </c>
      <c r="E26" s="813" t="s">
        <v>2982</v>
      </c>
      <c r="F26" s="813">
        <v>300</v>
      </c>
      <c r="G26" s="812" t="s">
        <v>2983</v>
      </c>
      <c r="H26" s="812"/>
      <c r="I26" s="813" t="s">
        <v>3003</v>
      </c>
      <c r="J26" s="814"/>
      <c r="K26" s="814"/>
      <c r="L26" s="814"/>
      <c r="M26" s="814"/>
      <c r="N26" s="814"/>
      <c r="O26" s="814"/>
      <c r="P26" s="814"/>
      <c r="Q26" s="814"/>
      <c r="R26" s="814"/>
      <c r="S26" s="814"/>
      <c r="T26" s="814"/>
      <c r="U26" s="814"/>
      <c r="V26" s="814"/>
      <c r="W26" s="814"/>
      <c r="X26" s="814"/>
      <c r="Y26" s="814"/>
      <c r="Z26" s="814"/>
      <c r="AA26" s="814"/>
      <c r="AB26" s="814">
        <v>300</v>
      </c>
      <c r="AC26" s="814"/>
      <c r="AD26" s="814"/>
      <c r="AE26" s="814"/>
      <c r="AF26" s="814"/>
      <c r="AG26" s="814"/>
      <c r="AH26" s="814"/>
      <c r="AI26" s="814"/>
      <c r="AJ26" s="814"/>
      <c r="AK26" s="814"/>
      <c r="AL26" s="814"/>
      <c r="AM26" s="841"/>
    </row>
    <row r="27" s="787" customFormat="1" ht="18" customHeight="1" spans="1:39">
      <c r="A27" s="810">
        <v>45244</v>
      </c>
      <c r="B27" s="811" t="s">
        <v>3000</v>
      </c>
      <c r="C27" s="813" t="s">
        <v>3020</v>
      </c>
      <c r="D27" s="813" t="s">
        <v>2989</v>
      </c>
      <c r="E27" s="813" t="s">
        <v>3021</v>
      </c>
      <c r="F27" s="813">
        <v>300</v>
      </c>
      <c r="G27" s="812" t="s">
        <v>2983</v>
      </c>
      <c r="H27" s="812"/>
      <c r="I27" s="813" t="s">
        <v>3003</v>
      </c>
      <c r="J27" s="814"/>
      <c r="K27" s="814"/>
      <c r="L27" s="814"/>
      <c r="M27" s="814"/>
      <c r="N27" s="814"/>
      <c r="O27" s="814"/>
      <c r="P27" s="814"/>
      <c r="Q27" s="814"/>
      <c r="R27" s="814"/>
      <c r="S27" s="814"/>
      <c r="T27" s="814"/>
      <c r="U27" s="814"/>
      <c r="V27" s="814"/>
      <c r="W27" s="814"/>
      <c r="X27" s="814"/>
      <c r="Y27" s="814"/>
      <c r="Z27" s="814"/>
      <c r="AA27" s="814"/>
      <c r="AB27" s="814"/>
      <c r="AC27" s="814">
        <v>300</v>
      </c>
      <c r="AD27" s="814"/>
      <c r="AE27" s="814"/>
      <c r="AF27" s="814"/>
      <c r="AG27" s="814"/>
      <c r="AH27" s="814"/>
      <c r="AI27" s="814"/>
      <c r="AJ27" s="814"/>
      <c r="AK27" s="814"/>
      <c r="AL27" s="814"/>
      <c r="AM27" s="841"/>
    </row>
    <row r="28" s="787" customFormat="1" ht="18" customHeight="1" spans="1:39">
      <c r="A28" s="810">
        <v>45244</v>
      </c>
      <c r="B28" s="811" t="s">
        <v>3000</v>
      </c>
      <c r="C28" s="813" t="s">
        <v>3022</v>
      </c>
      <c r="D28" s="813" t="s">
        <v>2989</v>
      </c>
      <c r="E28" s="813">
        <v>77485</v>
      </c>
      <c r="F28" s="813">
        <v>100000</v>
      </c>
      <c r="G28" s="812" t="s">
        <v>2990</v>
      </c>
      <c r="H28" s="812"/>
      <c r="I28" s="813" t="s">
        <v>2991</v>
      </c>
      <c r="J28" s="814">
        <v>100000</v>
      </c>
      <c r="K28" s="814"/>
      <c r="L28" s="814"/>
      <c r="M28" s="814"/>
      <c r="N28" s="814"/>
      <c r="O28" s="814"/>
      <c r="P28" s="814"/>
      <c r="Q28" s="814"/>
      <c r="R28" s="814"/>
      <c r="S28" s="814"/>
      <c r="T28" s="814"/>
      <c r="U28" s="814"/>
      <c r="V28" s="814"/>
      <c r="W28" s="814"/>
      <c r="X28" s="814"/>
      <c r="Y28" s="814"/>
      <c r="Z28" s="814"/>
      <c r="AA28" s="814"/>
      <c r="AB28" s="814"/>
      <c r="AC28" s="814"/>
      <c r="AD28" s="814"/>
      <c r="AE28" s="814"/>
      <c r="AF28" s="814"/>
      <c r="AG28" s="814"/>
      <c r="AH28" s="814"/>
      <c r="AI28" s="814"/>
      <c r="AJ28" s="814"/>
      <c r="AK28" s="814"/>
      <c r="AL28" s="814"/>
      <c r="AM28" s="841"/>
    </row>
    <row r="29" s="787" customFormat="1" ht="18" customHeight="1" spans="1:39">
      <c r="A29" s="810">
        <v>45244</v>
      </c>
      <c r="B29" s="811" t="s">
        <v>3000</v>
      </c>
      <c r="C29" s="813" t="s">
        <v>3023</v>
      </c>
      <c r="D29" s="813" t="s">
        <v>2989</v>
      </c>
      <c r="E29" s="813">
        <v>77485</v>
      </c>
      <c r="F29" s="813">
        <v>120000</v>
      </c>
      <c r="G29" s="812" t="s">
        <v>2993</v>
      </c>
      <c r="H29" s="812"/>
      <c r="I29" s="813" t="s">
        <v>2994</v>
      </c>
      <c r="J29" s="814"/>
      <c r="K29" s="814"/>
      <c r="L29" s="814"/>
      <c r="M29" s="814"/>
      <c r="N29" s="814">
        <v>120000</v>
      </c>
      <c r="O29" s="814"/>
      <c r="P29" s="814"/>
      <c r="Q29" s="814"/>
      <c r="R29" s="814"/>
      <c r="S29" s="814"/>
      <c r="T29" s="814"/>
      <c r="U29" s="814"/>
      <c r="V29" s="814"/>
      <c r="W29" s="814"/>
      <c r="X29" s="814"/>
      <c r="Y29" s="814"/>
      <c r="Z29" s="814"/>
      <c r="AA29" s="814"/>
      <c r="AB29" s="814"/>
      <c r="AC29" s="814"/>
      <c r="AD29" s="814"/>
      <c r="AE29" s="814"/>
      <c r="AF29" s="814"/>
      <c r="AG29" s="814"/>
      <c r="AH29" s="814"/>
      <c r="AI29" s="814"/>
      <c r="AJ29" s="814"/>
      <c r="AK29" s="814"/>
      <c r="AL29" s="814"/>
      <c r="AM29" s="841"/>
    </row>
    <row r="30" s="787" customFormat="1" ht="18" customHeight="1" spans="1:39">
      <c r="A30" s="810">
        <v>45244</v>
      </c>
      <c r="B30" s="811" t="s">
        <v>3000</v>
      </c>
      <c r="C30" s="813" t="s">
        <v>3024</v>
      </c>
      <c r="D30" s="813" t="s">
        <v>2989</v>
      </c>
      <c r="E30" s="813" t="s">
        <v>2996</v>
      </c>
      <c r="F30" s="813">
        <v>2500</v>
      </c>
      <c r="G30" s="812" t="s">
        <v>2997</v>
      </c>
      <c r="H30" s="812"/>
      <c r="I30" s="813" t="s">
        <v>2991</v>
      </c>
      <c r="J30" s="814"/>
      <c r="K30" s="814"/>
      <c r="L30" s="814"/>
      <c r="M30" s="814"/>
      <c r="N30" s="814"/>
      <c r="O30" s="814"/>
      <c r="P30" s="814">
        <v>2500</v>
      </c>
      <c r="Q30" s="814"/>
      <c r="R30" s="814"/>
      <c r="S30" s="814"/>
      <c r="T30" s="814"/>
      <c r="U30" s="814"/>
      <c r="V30" s="814"/>
      <c r="W30" s="814"/>
      <c r="X30" s="814"/>
      <c r="Y30" s="814"/>
      <c r="Z30" s="814"/>
      <c r="AA30" s="814"/>
      <c r="AB30" s="814"/>
      <c r="AC30" s="814"/>
      <c r="AD30" s="814"/>
      <c r="AE30" s="814"/>
      <c r="AF30" s="814"/>
      <c r="AG30" s="814"/>
      <c r="AH30" s="814"/>
      <c r="AI30" s="814"/>
      <c r="AJ30" s="814"/>
      <c r="AK30" s="814"/>
      <c r="AL30" s="814"/>
      <c r="AM30" s="841"/>
    </row>
    <row r="31" s="787" customFormat="1" ht="18" customHeight="1" spans="1:39">
      <c r="A31" s="810">
        <v>45244</v>
      </c>
      <c r="B31" s="811" t="s">
        <v>3000</v>
      </c>
      <c r="C31" s="813" t="s">
        <v>3025</v>
      </c>
      <c r="D31" s="813" t="s">
        <v>2989</v>
      </c>
      <c r="E31" s="813" t="s">
        <v>2999</v>
      </c>
      <c r="F31" s="813">
        <v>3000</v>
      </c>
      <c r="G31" s="812" t="s">
        <v>2997</v>
      </c>
      <c r="H31" s="812"/>
      <c r="I31" s="813" t="s">
        <v>2991</v>
      </c>
      <c r="J31" s="814"/>
      <c r="K31" s="814"/>
      <c r="L31" s="814"/>
      <c r="M31" s="814"/>
      <c r="N31" s="814"/>
      <c r="O31" s="814"/>
      <c r="P31" s="814"/>
      <c r="Q31" s="814"/>
      <c r="R31" s="814">
        <v>3000</v>
      </c>
      <c r="S31" s="814"/>
      <c r="T31" s="814"/>
      <c r="U31" s="814"/>
      <c r="V31" s="814"/>
      <c r="W31" s="814"/>
      <c r="X31" s="814"/>
      <c r="Y31" s="814"/>
      <c r="Z31" s="814"/>
      <c r="AA31" s="814"/>
      <c r="AB31" s="814"/>
      <c r="AC31" s="814"/>
      <c r="AD31" s="814"/>
      <c r="AE31" s="814"/>
      <c r="AF31" s="814"/>
      <c r="AG31" s="814"/>
      <c r="AH31" s="814"/>
      <c r="AI31" s="814"/>
      <c r="AJ31" s="814"/>
      <c r="AK31" s="814"/>
      <c r="AL31" s="814"/>
      <c r="AM31" s="841"/>
    </row>
    <row r="32" s="787" customFormat="1" ht="18" customHeight="1" spans="1:39">
      <c r="A32" s="810">
        <v>45257</v>
      </c>
      <c r="B32" s="811" t="s">
        <v>3000</v>
      </c>
      <c r="C32" s="813" t="s">
        <v>3026</v>
      </c>
      <c r="D32" s="813" t="s">
        <v>2989</v>
      </c>
      <c r="E32" s="813">
        <v>77485</v>
      </c>
      <c r="F32" s="813">
        <v>200000</v>
      </c>
      <c r="G32" s="812" t="s">
        <v>2990</v>
      </c>
      <c r="H32" s="812"/>
      <c r="I32" s="813" t="s">
        <v>2991</v>
      </c>
      <c r="J32" s="814">
        <f>F32</f>
        <v>200000</v>
      </c>
      <c r="K32" s="814"/>
      <c r="L32" s="814"/>
      <c r="M32" s="814"/>
      <c r="N32" s="814"/>
      <c r="O32" s="814"/>
      <c r="P32" s="814"/>
      <c r="Q32" s="814"/>
      <c r="R32" s="814"/>
      <c r="S32" s="814"/>
      <c r="T32" s="814"/>
      <c r="U32" s="814"/>
      <c r="V32" s="814"/>
      <c r="W32" s="814"/>
      <c r="X32" s="814"/>
      <c r="Y32" s="814"/>
      <c r="Z32" s="814"/>
      <c r="AA32" s="814"/>
      <c r="AB32" s="814"/>
      <c r="AC32" s="814"/>
      <c r="AD32" s="814"/>
      <c r="AE32" s="814"/>
      <c r="AF32" s="814"/>
      <c r="AG32" s="814"/>
      <c r="AH32" s="814"/>
      <c r="AI32" s="814"/>
      <c r="AJ32" s="814"/>
      <c r="AK32" s="814"/>
      <c r="AL32" s="814"/>
      <c r="AM32" s="841"/>
    </row>
    <row r="33" s="787" customFormat="1" ht="18" customHeight="1" spans="1:39">
      <c r="A33" s="810">
        <v>45257</v>
      </c>
      <c r="B33" s="811" t="s">
        <v>3000</v>
      </c>
      <c r="C33" s="813" t="s">
        <v>3027</v>
      </c>
      <c r="D33" s="813" t="s">
        <v>2989</v>
      </c>
      <c r="E33" s="813">
        <v>77485</v>
      </c>
      <c r="F33" s="813">
        <v>200000</v>
      </c>
      <c r="G33" s="812" t="s">
        <v>2993</v>
      </c>
      <c r="H33" s="812"/>
      <c r="I33" s="813" t="s">
        <v>2994</v>
      </c>
      <c r="J33" s="814"/>
      <c r="K33" s="814"/>
      <c r="L33" s="814"/>
      <c r="M33" s="814"/>
      <c r="N33" s="814">
        <f>F33</f>
        <v>200000</v>
      </c>
      <c r="O33" s="814"/>
      <c r="P33" s="814"/>
      <c r="Q33" s="814"/>
      <c r="R33" s="814"/>
      <c r="S33" s="814"/>
      <c r="T33" s="814"/>
      <c r="U33" s="814"/>
      <c r="V33" s="814"/>
      <c r="W33" s="814"/>
      <c r="X33" s="814"/>
      <c r="Y33" s="814"/>
      <c r="Z33" s="814"/>
      <c r="AA33" s="814"/>
      <c r="AB33" s="814"/>
      <c r="AC33" s="814"/>
      <c r="AD33" s="814"/>
      <c r="AE33" s="814"/>
      <c r="AF33" s="814"/>
      <c r="AG33" s="814"/>
      <c r="AH33" s="814"/>
      <c r="AI33" s="814"/>
      <c r="AJ33" s="814"/>
      <c r="AK33" s="814"/>
      <c r="AL33" s="814"/>
      <c r="AM33" s="841"/>
    </row>
    <row r="34" s="787" customFormat="1" ht="18" customHeight="1" spans="1:39">
      <c r="A34" s="810">
        <v>45257</v>
      </c>
      <c r="B34" s="811" t="s">
        <v>3000</v>
      </c>
      <c r="C34" s="813" t="s">
        <v>3028</v>
      </c>
      <c r="D34" s="813" t="s">
        <v>2989</v>
      </c>
      <c r="E34" s="813" t="s">
        <v>2996</v>
      </c>
      <c r="F34" s="813">
        <v>7000</v>
      </c>
      <c r="G34" s="812" t="s">
        <v>2997</v>
      </c>
      <c r="H34" s="812"/>
      <c r="I34" s="813" t="s">
        <v>2991</v>
      </c>
      <c r="J34" s="814"/>
      <c r="K34" s="814"/>
      <c r="L34" s="814"/>
      <c r="M34" s="814"/>
      <c r="N34" s="814"/>
      <c r="O34" s="814"/>
      <c r="P34" s="814">
        <f>F34</f>
        <v>7000</v>
      </c>
      <c r="Q34" s="814"/>
      <c r="R34" s="814"/>
      <c r="S34" s="814"/>
      <c r="T34" s="814"/>
      <c r="U34" s="814"/>
      <c r="V34" s="814"/>
      <c r="W34" s="814"/>
      <c r="X34" s="814"/>
      <c r="Y34" s="814"/>
      <c r="Z34" s="814"/>
      <c r="AA34" s="814"/>
      <c r="AB34" s="814"/>
      <c r="AC34" s="814"/>
      <c r="AD34" s="814"/>
      <c r="AE34" s="814"/>
      <c r="AF34" s="814"/>
      <c r="AG34" s="814"/>
      <c r="AH34" s="814"/>
      <c r="AI34" s="814"/>
      <c r="AJ34" s="814"/>
      <c r="AK34" s="814"/>
      <c r="AL34" s="814"/>
      <c r="AM34" s="841"/>
    </row>
    <row r="35" s="787" customFormat="1" ht="18" customHeight="1" spans="1:39">
      <c r="A35" s="810">
        <v>45257</v>
      </c>
      <c r="B35" s="811" t="s">
        <v>3000</v>
      </c>
      <c r="C35" s="813" t="s">
        <v>3029</v>
      </c>
      <c r="D35" s="813" t="s">
        <v>2989</v>
      </c>
      <c r="E35" s="813" t="s">
        <v>2999</v>
      </c>
      <c r="F35" s="813">
        <v>1000</v>
      </c>
      <c r="G35" s="812" t="s">
        <v>2997</v>
      </c>
      <c r="H35" s="812"/>
      <c r="I35" s="813" t="s">
        <v>2991</v>
      </c>
      <c r="J35" s="814"/>
      <c r="K35" s="814"/>
      <c r="L35" s="814"/>
      <c r="M35" s="814"/>
      <c r="N35" s="814"/>
      <c r="O35" s="814"/>
      <c r="P35" s="814"/>
      <c r="Q35" s="814"/>
      <c r="R35" s="814">
        <f>F35</f>
        <v>1000</v>
      </c>
      <c r="S35" s="814"/>
      <c r="T35" s="814"/>
      <c r="U35" s="814"/>
      <c r="V35" s="814"/>
      <c r="W35" s="814"/>
      <c r="X35" s="814"/>
      <c r="Y35" s="814"/>
      <c r="Z35" s="814"/>
      <c r="AA35" s="814"/>
      <c r="AB35" s="814"/>
      <c r="AC35" s="814"/>
      <c r="AD35" s="814"/>
      <c r="AE35" s="814"/>
      <c r="AF35" s="814"/>
      <c r="AG35" s="814"/>
      <c r="AH35" s="814"/>
      <c r="AI35" s="814"/>
      <c r="AJ35" s="814"/>
      <c r="AK35" s="814"/>
      <c r="AL35" s="814"/>
      <c r="AM35" s="841"/>
    </row>
    <row r="36" s="787" customFormat="1" ht="18" customHeight="1" spans="1:39">
      <c r="A36" s="810">
        <v>45264</v>
      </c>
      <c r="B36" s="811" t="s">
        <v>2980</v>
      </c>
      <c r="C36" s="813">
        <v>1000017647</v>
      </c>
      <c r="D36" s="813" t="s">
        <v>2981</v>
      </c>
      <c r="E36" s="813">
        <v>77486</v>
      </c>
      <c r="F36" s="813">
        <v>10000</v>
      </c>
      <c r="G36" s="812" t="s">
        <v>3030</v>
      </c>
      <c r="H36" s="812"/>
      <c r="I36" s="813" t="s">
        <v>1527</v>
      </c>
      <c r="J36" s="814"/>
      <c r="K36" s="814"/>
      <c r="L36" s="814"/>
      <c r="M36" s="814"/>
      <c r="N36" s="814"/>
      <c r="O36" s="814"/>
      <c r="P36" s="814"/>
      <c r="Q36" s="814"/>
      <c r="R36" s="814"/>
      <c r="S36" s="814"/>
      <c r="T36" s="814"/>
      <c r="U36" s="814"/>
      <c r="V36" s="814"/>
      <c r="W36" s="814"/>
      <c r="X36" s="814"/>
      <c r="Y36" s="814"/>
      <c r="Z36" s="814"/>
      <c r="AA36" s="814"/>
      <c r="AB36" s="814"/>
      <c r="AC36" s="814"/>
      <c r="AD36" s="814"/>
      <c r="AE36" s="814"/>
      <c r="AF36" s="814">
        <v>10000</v>
      </c>
      <c r="AG36" s="814"/>
      <c r="AH36" s="814"/>
      <c r="AI36" s="814"/>
      <c r="AJ36" s="814"/>
      <c r="AK36" s="814"/>
      <c r="AL36" s="814"/>
      <c r="AM36" s="1426" t="s">
        <v>3031</v>
      </c>
    </row>
    <row r="37" s="787" customFormat="1" ht="18" customHeight="1" spans="1:39">
      <c r="A37" s="810">
        <v>45264</v>
      </c>
      <c r="B37" s="811" t="s">
        <v>2980</v>
      </c>
      <c r="C37" s="813">
        <v>1000017648</v>
      </c>
      <c r="D37" s="813" t="s">
        <v>2981</v>
      </c>
      <c r="E37" s="813">
        <v>77486</v>
      </c>
      <c r="F37" s="813">
        <v>10000</v>
      </c>
      <c r="G37" s="812" t="s">
        <v>3032</v>
      </c>
      <c r="H37" s="812"/>
      <c r="I37" s="813" t="s">
        <v>1527</v>
      </c>
      <c r="J37" s="814"/>
      <c r="K37" s="814"/>
      <c r="L37" s="814"/>
      <c r="M37" s="814"/>
      <c r="N37" s="814"/>
      <c r="O37" s="814"/>
      <c r="P37" s="814"/>
      <c r="Q37" s="814"/>
      <c r="R37" s="814"/>
      <c r="S37" s="814"/>
      <c r="T37" s="814"/>
      <c r="U37" s="814"/>
      <c r="V37" s="814"/>
      <c r="W37" s="814"/>
      <c r="X37" s="814"/>
      <c r="Y37" s="814"/>
      <c r="Z37" s="814"/>
      <c r="AA37" s="814"/>
      <c r="AB37" s="814"/>
      <c r="AC37" s="814"/>
      <c r="AD37" s="814"/>
      <c r="AE37" s="814"/>
      <c r="AF37" s="814"/>
      <c r="AG37" s="814">
        <v>10000</v>
      </c>
      <c r="AH37" s="814"/>
      <c r="AI37" s="814"/>
      <c r="AJ37" s="814"/>
      <c r="AK37" s="814"/>
      <c r="AL37" s="814"/>
      <c r="AM37" s="1426" t="s">
        <v>3031</v>
      </c>
    </row>
    <row r="38" s="787" customFormat="1" ht="18" customHeight="1" spans="1:39">
      <c r="A38" s="810">
        <v>45264</v>
      </c>
      <c r="B38" s="811" t="s">
        <v>2980</v>
      </c>
      <c r="C38" s="813">
        <v>1000017649</v>
      </c>
      <c r="D38" s="813" t="s">
        <v>2981</v>
      </c>
      <c r="E38" s="813">
        <v>77486</v>
      </c>
      <c r="F38" s="813">
        <v>10000</v>
      </c>
      <c r="G38" s="812" t="s">
        <v>3033</v>
      </c>
      <c r="H38" s="812"/>
      <c r="I38" s="813" t="s">
        <v>1527</v>
      </c>
      <c r="J38" s="814"/>
      <c r="K38" s="814"/>
      <c r="L38" s="814"/>
      <c r="M38" s="814"/>
      <c r="N38" s="814"/>
      <c r="O38" s="814"/>
      <c r="P38" s="814"/>
      <c r="Q38" s="814"/>
      <c r="R38" s="814"/>
      <c r="S38" s="814"/>
      <c r="T38" s="814"/>
      <c r="U38" s="814"/>
      <c r="V38" s="814"/>
      <c r="W38" s="814"/>
      <c r="X38" s="814"/>
      <c r="Y38" s="814"/>
      <c r="Z38" s="814"/>
      <c r="AA38" s="814"/>
      <c r="AB38" s="814"/>
      <c r="AC38" s="814"/>
      <c r="AD38" s="814"/>
      <c r="AE38" s="814"/>
      <c r="AF38" s="814"/>
      <c r="AG38" s="814"/>
      <c r="AH38" s="814">
        <v>10000</v>
      </c>
      <c r="AI38" s="814"/>
      <c r="AJ38" s="814"/>
      <c r="AK38" s="814"/>
      <c r="AL38" s="814"/>
      <c r="AM38" s="1426" t="s">
        <v>3031</v>
      </c>
    </row>
    <row r="39" s="787" customFormat="1" ht="18" customHeight="1" spans="1:39">
      <c r="A39" s="810">
        <v>45264</v>
      </c>
      <c r="B39" s="811" t="s">
        <v>2980</v>
      </c>
      <c r="C39" s="813">
        <v>1000017650</v>
      </c>
      <c r="D39" s="813" t="s">
        <v>2981</v>
      </c>
      <c r="E39" s="813" t="s">
        <v>3034</v>
      </c>
      <c r="F39" s="813">
        <v>20000</v>
      </c>
      <c r="G39" s="812" t="s">
        <v>3035</v>
      </c>
      <c r="H39" s="812"/>
      <c r="I39" s="813" t="s">
        <v>1527</v>
      </c>
      <c r="J39" s="814"/>
      <c r="K39" s="814">
        <v>20000</v>
      </c>
      <c r="L39" s="814"/>
      <c r="M39" s="814"/>
      <c r="N39" s="814"/>
      <c r="O39" s="814"/>
      <c r="P39" s="814"/>
      <c r="Q39" s="814"/>
      <c r="R39" s="814"/>
      <c r="S39" s="814"/>
      <c r="T39" s="814"/>
      <c r="U39" s="814"/>
      <c r="V39" s="814"/>
      <c r="W39" s="814"/>
      <c r="X39" s="814"/>
      <c r="Y39" s="814"/>
      <c r="Z39" s="814"/>
      <c r="AA39" s="814"/>
      <c r="AB39" s="814"/>
      <c r="AC39" s="814"/>
      <c r="AD39" s="814"/>
      <c r="AE39" s="814"/>
      <c r="AF39" s="814"/>
      <c r="AG39" s="814"/>
      <c r="AH39" s="814"/>
      <c r="AI39" s="814"/>
      <c r="AJ39" s="814"/>
      <c r="AK39" s="814"/>
      <c r="AL39" s="814"/>
      <c r="AM39" s="1426" t="s">
        <v>3031</v>
      </c>
    </row>
    <row r="40" s="787" customFormat="1" ht="18" customHeight="1" spans="1:39">
      <c r="A40" s="810">
        <v>45271</v>
      </c>
      <c r="B40" s="811" t="s">
        <v>2980</v>
      </c>
      <c r="C40" s="813" t="s">
        <v>3036</v>
      </c>
      <c r="D40" s="813" t="s">
        <v>2989</v>
      </c>
      <c r="E40" s="813">
        <v>77485</v>
      </c>
      <c r="F40" s="813">
        <v>200000</v>
      </c>
      <c r="G40" s="812" t="s">
        <v>2990</v>
      </c>
      <c r="H40" s="812"/>
      <c r="I40" s="813" t="s">
        <v>2991</v>
      </c>
      <c r="J40" s="814">
        <v>200000</v>
      </c>
      <c r="K40" s="814"/>
      <c r="L40" s="814"/>
      <c r="M40" s="814"/>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44"/>
    </row>
    <row r="41" s="787" customFormat="1" ht="18" customHeight="1" spans="1:39">
      <c r="A41" s="810">
        <v>45271</v>
      </c>
      <c r="B41" s="811" t="s">
        <v>2980</v>
      </c>
      <c r="C41" s="813" t="s">
        <v>3037</v>
      </c>
      <c r="D41" s="813" t="s">
        <v>2989</v>
      </c>
      <c r="E41" s="813">
        <v>77485</v>
      </c>
      <c r="F41" s="813">
        <v>20000</v>
      </c>
      <c r="G41" s="812" t="s">
        <v>2990</v>
      </c>
      <c r="H41" s="812" t="s">
        <v>16</v>
      </c>
      <c r="I41" s="813" t="s">
        <v>3003</v>
      </c>
      <c r="J41" s="814"/>
      <c r="K41" s="814"/>
      <c r="L41" s="814"/>
      <c r="M41" s="814">
        <v>20000</v>
      </c>
      <c r="N41" s="814"/>
      <c r="O41" s="814"/>
      <c r="P41" s="814"/>
      <c r="Q41" s="814"/>
      <c r="R41" s="814"/>
      <c r="S41" s="814"/>
      <c r="T41" s="814"/>
      <c r="U41" s="814"/>
      <c r="V41" s="814"/>
      <c r="W41" s="814"/>
      <c r="X41" s="814"/>
      <c r="Y41" s="814"/>
      <c r="Z41" s="814"/>
      <c r="AA41" s="814"/>
      <c r="AB41" s="814"/>
      <c r="AC41" s="814"/>
      <c r="AD41" s="814"/>
      <c r="AE41" s="814"/>
      <c r="AF41" s="814"/>
      <c r="AG41" s="814"/>
      <c r="AH41" s="814"/>
      <c r="AI41" s="814"/>
      <c r="AJ41" s="814"/>
      <c r="AK41" s="814"/>
      <c r="AL41" s="814"/>
      <c r="AM41" s="844"/>
    </row>
    <row r="42" s="787" customFormat="1" ht="18" customHeight="1" spans="1:39">
      <c r="A42" s="810">
        <v>45271</v>
      </c>
      <c r="B42" s="811" t="s">
        <v>2980</v>
      </c>
      <c r="C42" s="813" t="s">
        <v>3038</v>
      </c>
      <c r="D42" s="813" t="s">
        <v>2989</v>
      </c>
      <c r="E42" s="813">
        <v>77485</v>
      </c>
      <c r="F42" s="813">
        <v>260000</v>
      </c>
      <c r="G42" s="812" t="s">
        <v>2993</v>
      </c>
      <c r="H42" s="812"/>
      <c r="I42" s="813" t="s">
        <v>2994</v>
      </c>
      <c r="J42" s="814"/>
      <c r="K42" s="814"/>
      <c r="L42" s="814"/>
      <c r="M42" s="814"/>
      <c r="N42" s="814">
        <v>260000</v>
      </c>
      <c r="O42" s="814"/>
      <c r="P42" s="814"/>
      <c r="Q42" s="814"/>
      <c r="R42" s="814"/>
      <c r="S42" s="814"/>
      <c r="T42" s="814"/>
      <c r="U42" s="814"/>
      <c r="V42" s="814"/>
      <c r="W42" s="814"/>
      <c r="X42" s="814"/>
      <c r="Y42" s="814"/>
      <c r="Z42" s="814"/>
      <c r="AA42" s="814"/>
      <c r="AB42" s="814"/>
      <c r="AC42" s="814"/>
      <c r="AD42" s="814"/>
      <c r="AE42" s="814"/>
      <c r="AF42" s="814"/>
      <c r="AG42" s="814"/>
      <c r="AH42" s="814"/>
      <c r="AI42" s="814"/>
      <c r="AJ42" s="814"/>
      <c r="AK42" s="814"/>
      <c r="AL42" s="814"/>
      <c r="AM42" s="844"/>
    </row>
    <row r="43" s="787" customFormat="1" ht="18" customHeight="1" spans="1:39">
      <c r="A43" s="810">
        <v>45271</v>
      </c>
      <c r="B43" s="811" t="s">
        <v>2980</v>
      </c>
      <c r="C43" s="813">
        <v>1000017724</v>
      </c>
      <c r="D43" s="813" t="s">
        <v>2989</v>
      </c>
      <c r="E43" s="813" t="s">
        <v>2996</v>
      </c>
      <c r="F43" s="813">
        <v>8500</v>
      </c>
      <c r="G43" s="812" t="s">
        <v>2997</v>
      </c>
      <c r="H43" s="812"/>
      <c r="I43" s="813" t="s">
        <v>2991</v>
      </c>
      <c r="J43" s="814"/>
      <c r="K43" s="814"/>
      <c r="L43" s="814"/>
      <c r="M43" s="814"/>
      <c r="N43" s="814"/>
      <c r="O43" s="814"/>
      <c r="P43" s="814">
        <v>8500</v>
      </c>
      <c r="Q43" s="814"/>
      <c r="R43" s="814"/>
      <c r="S43" s="814"/>
      <c r="T43" s="814"/>
      <c r="U43" s="814"/>
      <c r="V43" s="814"/>
      <c r="W43" s="814"/>
      <c r="X43" s="814"/>
      <c r="Y43" s="814"/>
      <c r="Z43" s="814"/>
      <c r="AA43" s="814"/>
      <c r="AB43" s="814"/>
      <c r="AC43" s="814"/>
      <c r="AD43" s="814"/>
      <c r="AE43" s="814"/>
      <c r="AF43" s="814"/>
      <c r="AG43" s="814"/>
      <c r="AH43" s="814"/>
      <c r="AI43" s="814"/>
      <c r="AJ43" s="814"/>
      <c r="AK43" s="814"/>
      <c r="AL43" s="814"/>
      <c r="AM43" s="844"/>
    </row>
    <row r="44" s="787" customFormat="1" ht="18" customHeight="1" spans="1:39">
      <c r="A44" s="810">
        <v>45271</v>
      </c>
      <c r="B44" s="811" t="s">
        <v>2980</v>
      </c>
      <c r="C44" s="813" t="s">
        <v>3039</v>
      </c>
      <c r="D44" s="813" t="s">
        <v>2989</v>
      </c>
      <c r="E44" s="813" t="s">
        <v>2999</v>
      </c>
      <c r="F44" s="813">
        <v>2000</v>
      </c>
      <c r="G44" s="812" t="s">
        <v>2997</v>
      </c>
      <c r="H44" s="812"/>
      <c r="I44" s="813" t="s">
        <v>2991</v>
      </c>
      <c r="J44" s="814"/>
      <c r="K44" s="814"/>
      <c r="L44" s="814"/>
      <c r="M44" s="814"/>
      <c r="N44" s="814"/>
      <c r="O44" s="814"/>
      <c r="P44" s="814"/>
      <c r="Q44" s="814"/>
      <c r="R44" s="814">
        <v>2000</v>
      </c>
      <c r="S44" s="814"/>
      <c r="T44" s="814"/>
      <c r="U44" s="814"/>
      <c r="V44" s="814"/>
      <c r="W44" s="814"/>
      <c r="X44" s="814"/>
      <c r="Y44" s="814"/>
      <c r="Z44" s="814"/>
      <c r="AA44" s="814"/>
      <c r="AB44" s="814"/>
      <c r="AC44" s="814"/>
      <c r="AD44" s="814"/>
      <c r="AE44" s="814"/>
      <c r="AF44" s="814"/>
      <c r="AG44" s="814"/>
      <c r="AH44" s="814"/>
      <c r="AI44" s="814"/>
      <c r="AJ44" s="814"/>
      <c r="AK44" s="814"/>
      <c r="AL44" s="814"/>
      <c r="AM44" s="844"/>
    </row>
    <row r="45" s="787" customFormat="1" ht="18" customHeight="1" spans="1:39">
      <c r="A45" s="810">
        <v>45271</v>
      </c>
      <c r="B45" s="811" t="s">
        <v>2980</v>
      </c>
      <c r="C45" s="813">
        <v>1000017726</v>
      </c>
      <c r="D45" s="813" t="s">
        <v>2989</v>
      </c>
      <c r="E45" s="813" t="s">
        <v>2996</v>
      </c>
      <c r="F45" s="813">
        <v>500</v>
      </c>
      <c r="G45" s="812" t="s">
        <v>2997</v>
      </c>
      <c r="H45" s="812"/>
      <c r="I45" s="813" t="s">
        <v>3003</v>
      </c>
      <c r="J45" s="814"/>
      <c r="K45" s="814"/>
      <c r="L45" s="814"/>
      <c r="M45" s="814"/>
      <c r="N45" s="814"/>
      <c r="O45" s="814"/>
      <c r="P45" s="814"/>
      <c r="Q45" s="814">
        <v>500</v>
      </c>
      <c r="R45" s="814"/>
      <c r="S45" s="814"/>
      <c r="T45" s="814"/>
      <c r="U45" s="814"/>
      <c r="V45" s="814"/>
      <c r="W45" s="814"/>
      <c r="X45" s="814"/>
      <c r="Y45" s="814"/>
      <c r="Z45" s="814"/>
      <c r="AA45" s="814"/>
      <c r="AB45" s="814"/>
      <c r="AC45" s="814"/>
      <c r="AD45" s="814"/>
      <c r="AE45" s="814"/>
      <c r="AF45" s="814"/>
      <c r="AG45" s="814"/>
      <c r="AH45" s="814"/>
      <c r="AI45" s="814"/>
      <c r="AJ45" s="814"/>
      <c r="AK45" s="814"/>
      <c r="AL45" s="814"/>
      <c r="AM45" s="841"/>
    </row>
    <row r="46" s="787" customFormat="1" ht="18" customHeight="1" spans="1:39">
      <c r="A46" s="810">
        <v>45282</v>
      </c>
      <c r="B46" s="811" t="s">
        <v>2980</v>
      </c>
      <c r="C46" s="813">
        <v>1000017929</v>
      </c>
      <c r="D46" s="813" t="s">
        <v>2981</v>
      </c>
      <c r="E46" s="813" t="s">
        <v>2982</v>
      </c>
      <c r="F46" s="813">
        <v>1801</v>
      </c>
      <c r="G46" s="812" t="s">
        <v>2983</v>
      </c>
      <c r="H46" s="812"/>
      <c r="I46" s="813" t="s">
        <v>1527</v>
      </c>
      <c r="J46" s="814"/>
      <c r="K46" s="814"/>
      <c r="L46" s="814"/>
      <c r="M46" s="814"/>
      <c r="N46" s="814"/>
      <c r="O46" s="814"/>
      <c r="P46" s="814"/>
      <c r="Q46" s="814"/>
      <c r="R46" s="814"/>
      <c r="S46" s="814"/>
      <c r="T46" s="814"/>
      <c r="U46" s="814"/>
      <c r="V46" s="814"/>
      <c r="W46" s="814"/>
      <c r="X46" s="814"/>
      <c r="Y46" s="814"/>
      <c r="Z46" s="814"/>
      <c r="AA46" s="814">
        <v>1801</v>
      </c>
      <c r="AB46" s="814"/>
      <c r="AC46" s="814"/>
      <c r="AD46" s="814"/>
      <c r="AE46" s="814"/>
      <c r="AF46" s="814"/>
      <c r="AG46" s="814"/>
      <c r="AH46" s="814"/>
      <c r="AI46" s="814"/>
      <c r="AJ46" s="814"/>
      <c r="AK46" s="814"/>
      <c r="AL46" s="814"/>
      <c r="AM46" s="841"/>
    </row>
    <row r="47" s="787" customFormat="1" ht="18" customHeight="1" spans="1:39">
      <c r="A47" s="810">
        <v>45307</v>
      </c>
      <c r="B47" s="811" t="s">
        <v>2980</v>
      </c>
      <c r="C47" s="813">
        <v>1000018268</v>
      </c>
      <c r="D47" s="813" t="s">
        <v>2981</v>
      </c>
      <c r="E47" s="813">
        <v>77486</v>
      </c>
      <c r="F47" s="813">
        <v>10000</v>
      </c>
      <c r="G47" s="812" t="s">
        <v>3030</v>
      </c>
      <c r="H47" s="812"/>
      <c r="I47" s="813" t="s">
        <v>1527</v>
      </c>
      <c r="J47" s="814"/>
      <c r="K47" s="814"/>
      <c r="L47" s="814"/>
      <c r="M47" s="814"/>
      <c r="N47" s="814"/>
      <c r="O47" s="814"/>
      <c r="P47" s="814"/>
      <c r="Q47" s="814"/>
      <c r="R47" s="814"/>
      <c r="S47" s="814"/>
      <c r="T47" s="814"/>
      <c r="U47" s="814"/>
      <c r="V47" s="814"/>
      <c r="W47" s="814"/>
      <c r="X47" s="814"/>
      <c r="Y47" s="814"/>
      <c r="Z47" s="814"/>
      <c r="AA47" s="814"/>
      <c r="AB47" s="814"/>
      <c r="AC47" s="814"/>
      <c r="AD47" s="814"/>
      <c r="AE47" s="814"/>
      <c r="AF47" s="814">
        <v>10000</v>
      </c>
      <c r="AG47" s="814"/>
      <c r="AH47" s="814"/>
      <c r="AI47" s="814"/>
      <c r="AJ47" s="814"/>
      <c r="AK47" s="814"/>
      <c r="AL47" s="814"/>
      <c r="AM47" s="1426" t="s">
        <v>3040</v>
      </c>
    </row>
    <row r="48" s="787" customFormat="1" ht="18" customHeight="1" spans="1:39">
      <c r="A48" s="810">
        <v>45307</v>
      </c>
      <c r="B48" s="811" t="s">
        <v>2980</v>
      </c>
      <c r="C48" s="813">
        <v>1000018269</v>
      </c>
      <c r="D48" s="813" t="s">
        <v>2981</v>
      </c>
      <c r="E48" s="813">
        <v>77486</v>
      </c>
      <c r="F48" s="813">
        <v>10000</v>
      </c>
      <c r="G48" s="812" t="s">
        <v>3032</v>
      </c>
      <c r="H48" s="812"/>
      <c r="I48" s="813" t="s">
        <v>1527</v>
      </c>
      <c r="J48" s="814"/>
      <c r="K48" s="814"/>
      <c r="L48" s="814"/>
      <c r="M48" s="814"/>
      <c r="N48" s="814"/>
      <c r="O48" s="814"/>
      <c r="P48" s="814"/>
      <c r="Q48" s="814"/>
      <c r="R48" s="814"/>
      <c r="S48" s="814"/>
      <c r="T48" s="814"/>
      <c r="U48" s="814"/>
      <c r="V48" s="814"/>
      <c r="W48" s="814"/>
      <c r="X48" s="814"/>
      <c r="Y48" s="814"/>
      <c r="Z48" s="814"/>
      <c r="AA48" s="814"/>
      <c r="AB48" s="814"/>
      <c r="AC48" s="814"/>
      <c r="AD48" s="814"/>
      <c r="AE48" s="814"/>
      <c r="AF48" s="814"/>
      <c r="AG48" s="814">
        <v>10000</v>
      </c>
      <c r="AH48" s="814"/>
      <c r="AI48" s="814"/>
      <c r="AJ48" s="814"/>
      <c r="AK48" s="814"/>
      <c r="AL48" s="814"/>
      <c r="AM48" s="1426" t="s">
        <v>3041</v>
      </c>
    </row>
    <row r="49" s="787" customFormat="1" ht="18" customHeight="1" spans="1:39">
      <c r="A49" s="810">
        <v>45307</v>
      </c>
      <c r="B49" s="811" t="s">
        <v>2980</v>
      </c>
      <c r="C49" s="813">
        <v>1000018270</v>
      </c>
      <c r="D49" s="813" t="s">
        <v>2981</v>
      </c>
      <c r="E49" s="813">
        <v>77486</v>
      </c>
      <c r="F49" s="813">
        <v>10000</v>
      </c>
      <c r="G49" s="812" t="s">
        <v>3033</v>
      </c>
      <c r="H49" s="812"/>
      <c r="I49" s="813" t="s">
        <v>1527</v>
      </c>
      <c r="J49" s="814"/>
      <c r="K49" s="814"/>
      <c r="L49" s="814"/>
      <c r="M49" s="814"/>
      <c r="N49" s="814"/>
      <c r="O49" s="814"/>
      <c r="P49" s="814"/>
      <c r="Q49" s="814"/>
      <c r="R49" s="814"/>
      <c r="S49" s="814"/>
      <c r="T49" s="814"/>
      <c r="U49" s="814"/>
      <c r="V49" s="814"/>
      <c r="W49" s="814"/>
      <c r="X49" s="814"/>
      <c r="Y49" s="814"/>
      <c r="Z49" s="814"/>
      <c r="AA49" s="814"/>
      <c r="AB49" s="814"/>
      <c r="AC49" s="814"/>
      <c r="AD49" s="814"/>
      <c r="AE49" s="814"/>
      <c r="AF49" s="814"/>
      <c r="AG49" s="814"/>
      <c r="AH49" s="814">
        <v>10000</v>
      </c>
      <c r="AI49" s="814"/>
      <c r="AJ49" s="814"/>
      <c r="AK49" s="814"/>
      <c r="AL49" s="814"/>
      <c r="AM49" s="1426" t="s">
        <v>3040</v>
      </c>
    </row>
    <row r="50" s="787" customFormat="1" ht="18" customHeight="1" spans="1:39">
      <c r="A50" s="810">
        <v>45344</v>
      </c>
      <c r="B50" s="811" t="s">
        <v>2980</v>
      </c>
      <c r="C50" s="813" t="s">
        <v>3042</v>
      </c>
      <c r="D50" s="813" t="s">
        <v>3043</v>
      </c>
      <c r="E50" s="813">
        <v>77485</v>
      </c>
      <c r="F50" s="813">
        <v>40000</v>
      </c>
      <c r="G50" s="812" t="s">
        <v>2990</v>
      </c>
      <c r="H50" s="812" t="s">
        <v>3044</v>
      </c>
      <c r="I50" s="813" t="s">
        <v>2991</v>
      </c>
      <c r="J50" s="814">
        <v>40000</v>
      </c>
      <c r="K50" s="814"/>
      <c r="L50" s="814"/>
      <c r="M50" s="814"/>
      <c r="N50" s="814"/>
      <c r="O50" s="814"/>
      <c r="P50" s="814"/>
      <c r="Q50" s="814"/>
      <c r="R50" s="814"/>
      <c r="S50" s="814"/>
      <c r="T50" s="814"/>
      <c r="U50" s="814"/>
      <c r="V50" s="814"/>
      <c r="W50" s="814"/>
      <c r="X50" s="814"/>
      <c r="Y50" s="814"/>
      <c r="Z50" s="814"/>
      <c r="AA50" s="814"/>
      <c r="AB50" s="814"/>
      <c r="AC50" s="814"/>
      <c r="AD50" s="814"/>
      <c r="AE50" s="814"/>
      <c r="AF50" s="814"/>
      <c r="AG50" s="814"/>
      <c r="AH50" s="814"/>
      <c r="AI50" s="814"/>
      <c r="AJ50" s="814"/>
      <c r="AK50" s="814"/>
      <c r="AL50" s="814"/>
      <c r="AM50" s="845" t="s">
        <v>3045</v>
      </c>
    </row>
    <row r="51" s="787" customFormat="1" ht="18" customHeight="1" spans="1:39">
      <c r="A51" s="810">
        <v>45344</v>
      </c>
      <c r="B51" s="811" t="s">
        <v>2980</v>
      </c>
      <c r="C51" s="813" t="s">
        <v>3046</v>
      </c>
      <c r="D51" s="813" t="s">
        <v>3043</v>
      </c>
      <c r="E51" s="813">
        <v>77485</v>
      </c>
      <c r="F51" s="813">
        <v>40000</v>
      </c>
      <c r="G51" s="812" t="s">
        <v>2993</v>
      </c>
      <c r="H51" s="812" t="s">
        <v>3047</v>
      </c>
      <c r="I51" s="813" t="s">
        <v>2994</v>
      </c>
      <c r="J51" s="814"/>
      <c r="K51" s="814"/>
      <c r="L51" s="814"/>
      <c r="M51" s="814"/>
      <c r="N51" s="814">
        <v>40000</v>
      </c>
      <c r="O51" s="814"/>
      <c r="P51" s="814"/>
      <c r="Q51" s="814"/>
      <c r="R51" s="814"/>
      <c r="S51" s="814"/>
      <c r="T51" s="814"/>
      <c r="U51" s="814"/>
      <c r="V51" s="814"/>
      <c r="W51" s="814"/>
      <c r="X51" s="814"/>
      <c r="Y51" s="814"/>
      <c r="Z51" s="814"/>
      <c r="AA51" s="814"/>
      <c r="AB51" s="814"/>
      <c r="AC51" s="814"/>
      <c r="AD51" s="814"/>
      <c r="AE51" s="814"/>
      <c r="AF51" s="814"/>
      <c r="AG51" s="814"/>
      <c r="AH51" s="814"/>
      <c r="AI51" s="814"/>
      <c r="AJ51" s="814"/>
      <c r="AK51" s="814"/>
      <c r="AL51" s="814"/>
      <c r="AM51" s="845" t="s">
        <v>3045</v>
      </c>
    </row>
    <row r="52" s="787" customFormat="1" ht="18" customHeight="1" spans="1:39">
      <c r="A52" s="810">
        <v>45344</v>
      </c>
      <c r="B52" s="811" t="s">
        <v>2980</v>
      </c>
      <c r="C52" s="813" t="s">
        <v>3048</v>
      </c>
      <c r="D52" s="813" t="s">
        <v>3043</v>
      </c>
      <c r="E52" s="813" t="s">
        <v>3049</v>
      </c>
      <c r="F52" s="813">
        <v>1000</v>
      </c>
      <c r="G52" s="812" t="s">
        <v>2997</v>
      </c>
      <c r="H52" s="812" t="s">
        <v>16</v>
      </c>
      <c r="I52" s="813" t="s">
        <v>2991</v>
      </c>
      <c r="J52" s="814"/>
      <c r="K52" s="814"/>
      <c r="L52" s="814"/>
      <c r="M52" s="814"/>
      <c r="N52" s="814"/>
      <c r="O52" s="814"/>
      <c r="P52" s="814"/>
      <c r="Q52" s="814"/>
      <c r="R52" s="814"/>
      <c r="S52" s="814"/>
      <c r="T52" s="814"/>
      <c r="U52" s="814"/>
      <c r="V52" s="814">
        <v>1000</v>
      </c>
      <c r="W52" s="814"/>
      <c r="X52" s="814"/>
      <c r="Y52" s="814"/>
      <c r="Z52" s="814"/>
      <c r="AA52" s="814"/>
      <c r="AB52" s="814"/>
      <c r="AC52" s="814"/>
      <c r="AD52" s="814"/>
      <c r="AE52" s="814"/>
      <c r="AF52" s="814"/>
      <c r="AG52" s="814"/>
      <c r="AH52" s="814"/>
      <c r="AI52" s="814"/>
      <c r="AJ52" s="814"/>
      <c r="AK52" s="814"/>
      <c r="AL52" s="814"/>
      <c r="AM52" s="844"/>
    </row>
    <row r="53" s="787" customFormat="1" ht="18" customHeight="1" spans="1:39">
      <c r="A53" s="810">
        <v>45344</v>
      </c>
      <c r="B53" s="811" t="s">
        <v>2980</v>
      </c>
      <c r="C53" s="813" t="s">
        <v>3050</v>
      </c>
      <c r="D53" s="813" t="s">
        <v>3043</v>
      </c>
      <c r="E53" s="813" t="s">
        <v>3049</v>
      </c>
      <c r="F53" s="813">
        <v>500</v>
      </c>
      <c r="G53" s="812" t="s">
        <v>2997</v>
      </c>
      <c r="H53" s="812" t="s">
        <v>16</v>
      </c>
      <c r="I53" s="813" t="s">
        <v>3003</v>
      </c>
      <c r="J53" s="814"/>
      <c r="K53" s="814"/>
      <c r="L53" s="814"/>
      <c r="M53" s="814"/>
      <c r="N53" s="814"/>
      <c r="O53" s="814"/>
      <c r="P53" s="814"/>
      <c r="Q53" s="814"/>
      <c r="R53" s="814"/>
      <c r="S53" s="814"/>
      <c r="T53" s="814"/>
      <c r="U53" s="814"/>
      <c r="V53" s="814"/>
      <c r="W53" s="814">
        <v>500</v>
      </c>
      <c r="X53" s="814"/>
      <c r="Y53" s="814"/>
      <c r="Z53" s="814"/>
      <c r="AA53" s="814"/>
      <c r="AB53" s="814"/>
      <c r="AC53" s="814"/>
      <c r="AD53" s="814"/>
      <c r="AE53" s="814"/>
      <c r="AF53" s="814"/>
      <c r="AG53" s="814"/>
      <c r="AH53" s="814"/>
      <c r="AI53" s="814"/>
      <c r="AJ53" s="814"/>
      <c r="AK53" s="814"/>
      <c r="AL53" s="814"/>
      <c r="AM53" s="844"/>
    </row>
    <row r="54" s="787" customFormat="1" ht="18" customHeight="1" spans="1:39">
      <c r="A54" s="810">
        <v>45344</v>
      </c>
      <c r="B54" s="811" t="s">
        <v>2980</v>
      </c>
      <c r="C54" s="813" t="s">
        <v>3051</v>
      </c>
      <c r="D54" s="813" t="s">
        <v>3043</v>
      </c>
      <c r="E54" s="813" t="s">
        <v>3052</v>
      </c>
      <c r="F54" s="813">
        <v>500</v>
      </c>
      <c r="G54" s="812" t="s">
        <v>2997</v>
      </c>
      <c r="H54" s="812" t="s">
        <v>16</v>
      </c>
      <c r="I54" s="813" t="s">
        <v>2991</v>
      </c>
      <c r="J54" s="814"/>
      <c r="K54" s="814"/>
      <c r="L54" s="814"/>
      <c r="M54" s="814"/>
      <c r="N54" s="814"/>
      <c r="O54" s="814"/>
      <c r="P54" s="814"/>
      <c r="Q54" s="814"/>
      <c r="R54" s="814"/>
      <c r="S54" s="814"/>
      <c r="T54" s="814"/>
      <c r="U54" s="814"/>
      <c r="V54" s="814"/>
      <c r="W54" s="814"/>
      <c r="X54" s="814">
        <v>500</v>
      </c>
      <c r="Y54" s="814"/>
      <c r="Z54" s="814"/>
      <c r="AA54" s="814"/>
      <c r="AB54" s="814"/>
      <c r="AC54" s="814"/>
      <c r="AD54" s="814"/>
      <c r="AE54" s="814"/>
      <c r="AF54" s="814"/>
      <c r="AG54" s="814"/>
      <c r="AH54" s="814"/>
      <c r="AI54" s="814"/>
      <c r="AJ54" s="814"/>
      <c r="AK54" s="814"/>
      <c r="AL54" s="814"/>
      <c r="AM54" s="844"/>
    </row>
    <row r="55" s="787" customFormat="1" ht="18" customHeight="1" spans="1:39">
      <c r="A55" s="810">
        <v>45372</v>
      </c>
      <c r="B55" s="811" t="s">
        <v>2980</v>
      </c>
      <c r="C55" s="813">
        <v>1000019031</v>
      </c>
      <c r="D55" s="812" t="s">
        <v>3053</v>
      </c>
      <c r="E55" s="813">
        <v>77486</v>
      </c>
      <c r="F55" s="813">
        <v>10000</v>
      </c>
      <c r="G55" s="812" t="s">
        <v>3030</v>
      </c>
      <c r="H55" s="812" t="s">
        <v>1527</v>
      </c>
      <c r="I55" s="813"/>
      <c r="J55" s="814"/>
      <c r="K55" s="814"/>
      <c r="L55" s="814"/>
      <c r="M55" s="814"/>
      <c r="N55" s="814"/>
      <c r="O55" s="814"/>
      <c r="P55" s="814"/>
      <c r="Q55" s="814"/>
      <c r="R55" s="814"/>
      <c r="S55" s="814"/>
      <c r="T55" s="814"/>
      <c r="U55" s="814"/>
      <c r="V55" s="814"/>
      <c r="W55" s="814"/>
      <c r="X55" s="814"/>
      <c r="Y55" s="814"/>
      <c r="Z55" s="814"/>
      <c r="AA55" s="814"/>
      <c r="AB55" s="814"/>
      <c r="AC55" s="814"/>
      <c r="AD55" s="814"/>
      <c r="AE55" s="814"/>
      <c r="AF55" s="814">
        <v>10000</v>
      </c>
      <c r="AG55" s="814"/>
      <c r="AH55" s="814"/>
      <c r="AI55" s="814"/>
      <c r="AJ55" s="814"/>
      <c r="AK55" s="814"/>
      <c r="AL55" s="814"/>
      <c r="AM55" s="1426" t="s">
        <v>3054</v>
      </c>
    </row>
    <row r="56" s="787" customFormat="1" ht="18" customHeight="1" spans="1:39">
      <c r="A56" s="810">
        <v>45372</v>
      </c>
      <c r="B56" s="811" t="s">
        <v>2980</v>
      </c>
      <c r="C56" s="813">
        <v>1000019032</v>
      </c>
      <c r="D56" s="812" t="s">
        <v>3053</v>
      </c>
      <c r="E56" s="813">
        <v>77486</v>
      </c>
      <c r="F56" s="813">
        <v>5000</v>
      </c>
      <c r="G56" s="812" t="s">
        <v>3032</v>
      </c>
      <c r="H56" s="812" t="s">
        <v>1527</v>
      </c>
      <c r="I56" s="813"/>
      <c r="J56" s="814"/>
      <c r="K56" s="814"/>
      <c r="L56" s="814"/>
      <c r="M56" s="814"/>
      <c r="N56" s="814"/>
      <c r="O56" s="814"/>
      <c r="P56" s="814"/>
      <c r="Q56" s="814"/>
      <c r="R56" s="814"/>
      <c r="S56" s="814"/>
      <c r="T56" s="814"/>
      <c r="U56" s="814"/>
      <c r="V56" s="814"/>
      <c r="W56" s="814"/>
      <c r="X56" s="814"/>
      <c r="Y56" s="814"/>
      <c r="Z56" s="814"/>
      <c r="AA56" s="814"/>
      <c r="AB56" s="814"/>
      <c r="AC56" s="814"/>
      <c r="AD56" s="814"/>
      <c r="AE56" s="814"/>
      <c r="AF56" s="814"/>
      <c r="AG56" s="814">
        <v>5000</v>
      </c>
      <c r="AH56" s="814"/>
      <c r="AI56" s="814"/>
      <c r="AJ56" s="814"/>
      <c r="AK56" s="814"/>
      <c r="AL56" s="814"/>
      <c r="AM56" s="1426" t="s">
        <v>3054</v>
      </c>
    </row>
    <row r="57" s="787" customFormat="1" ht="18" customHeight="1" spans="1:39">
      <c r="A57" s="810">
        <v>45372</v>
      </c>
      <c r="B57" s="811" t="s">
        <v>2980</v>
      </c>
      <c r="C57" s="813">
        <v>1000019033</v>
      </c>
      <c r="D57" s="812" t="s">
        <v>3053</v>
      </c>
      <c r="E57" s="813">
        <v>77486</v>
      </c>
      <c r="F57" s="813">
        <v>5000</v>
      </c>
      <c r="G57" s="812" t="s">
        <v>3033</v>
      </c>
      <c r="H57" s="812" t="s">
        <v>1527</v>
      </c>
      <c r="I57" s="813"/>
      <c r="J57" s="814"/>
      <c r="K57" s="814"/>
      <c r="L57" s="814"/>
      <c r="M57" s="814"/>
      <c r="N57" s="814"/>
      <c r="O57" s="814"/>
      <c r="P57" s="814"/>
      <c r="Q57" s="814"/>
      <c r="R57" s="814"/>
      <c r="S57" s="814"/>
      <c r="T57" s="814"/>
      <c r="U57" s="814"/>
      <c r="V57" s="814"/>
      <c r="W57" s="814"/>
      <c r="X57" s="814"/>
      <c r="Y57" s="814"/>
      <c r="Z57" s="814"/>
      <c r="AA57" s="814"/>
      <c r="AB57" s="814"/>
      <c r="AC57" s="814"/>
      <c r="AD57" s="814"/>
      <c r="AE57" s="814"/>
      <c r="AF57" s="814"/>
      <c r="AG57" s="814"/>
      <c r="AH57" s="814">
        <v>5000</v>
      </c>
      <c r="AI57" s="814"/>
      <c r="AJ57" s="814"/>
      <c r="AK57" s="814"/>
      <c r="AL57" s="814"/>
      <c r="AM57" s="1426" t="s">
        <v>3054</v>
      </c>
    </row>
    <row r="58" s="787" customFormat="1" ht="18" customHeight="1" spans="1:39">
      <c r="A58" s="810">
        <v>45376</v>
      </c>
      <c r="B58" s="811"/>
      <c r="C58" s="813" t="s">
        <v>3055</v>
      </c>
      <c r="D58" s="813" t="s">
        <v>2981</v>
      </c>
      <c r="E58" s="813" t="s">
        <v>3056</v>
      </c>
      <c r="F58" s="813">
        <v>8308</v>
      </c>
      <c r="G58" s="812" t="s">
        <v>2997</v>
      </c>
      <c r="H58" s="812" t="s">
        <v>3057</v>
      </c>
      <c r="I58" s="813"/>
      <c r="J58" s="814"/>
      <c r="K58" s="814"/>
      <c r="L58" s="814"/>
      <c r="M58" s="814"/>
      <c r="N58" s="814"/>
      <c r="O58" s="814"/>
      <c r="P58" s="814"/>
      <c r="Q58" s="814"/>
      <c r="R58" s="814"/>
      <c r="S58" s="814"/>
      <c r="T58" s="814"/>
      <c r="U58" s="814"/>
      <c r="V58" s="814"/>
      <c r="W58" s="814"/>
      <c r="X58" s="814"/>
      <c r="Y58" s="814"/>
      <c r="Z58" s="814"/>
      <c r="AA58" s="814"/>
      <c r="AB58" s="814"/>
      <c r="AC58" s="814"/>
      <c r="AD58" s="814"/>
      <c r="AE58" s="814"/>
      <c r="AF58" s="814"/>
      <c r="AG58" s="814"/>
      <c r="AH58" s="814"/>
      <c r="AI58" s="814"/>
      <c r="AJ58" s="814"/>
      <c r="AK58" s="814"/>
      <c r="AL58" s="814">
        <v>8308</v>
      </c>
      <c r="AM58" s="844" t="s">
        <v>3058</v>
      </c>
    </row>
    <row r="59" s="787" customFormat="1" ht="18" customHeight="1" spans="1:39">
      <c r="A59" s="810">
        <v>45378</v>
      </c>
      <c r="B59" s="811" t="s">
        <v>2980</v>
      </c>
      <c r="C59" s="813" t="s">
        <v>3059</v>
      </c>
      <c r="D59" s="813" t="s">
        <v>3043</v>
      </c>
      <c r="E59" s="813">
        <v>77485</v>
      </c>
      <c r="F59" s="813">
        <v>54000</v>
      </c>
      <c r="G59" s="812" t="s">
        <v>2990</v>
      </c>
      <c r="H59" s="812" t="s">
        <v>3044</v>
      </c>
      <c r="I59" s="813" t="s">
        <v>2991</v>
      </c>
      <c r="J59" s="814">
        <v>54000</v>
      </c>
      <c r="K59" s="814"/>
      <c r="L59" s="814"/>
      <c r="M59" s="814"/>
      <c r="N59" s="814"/>
      <c r="O59" s="814"/>
      <c r="P59" s="814"/>
      <c r="Q59" s="814"/>
      <c r="R59" s="814"/>
      <c r="S59" s="814"/>
      <c r="T59" s="814"/>
      <c r="U59" s="814"/>
      <c r="V59" s="814"/>
      <c r="W59" s="814"/>
      <c r="X59" s="814"/>
      <c r="Y59" s="814"/>
      <c r="Z59" s="814"/>
      <c r="AA59" s="814"/>
      <c r="AB59" s="814"/>
      <c r="AC59" s="814"/>
      <c r="AD59" s="814"/>
      <c r="AE59" s="814"/>
      <c r="AF59" s="814"/>
      <c r="AG59" s="814"/>
      <c r="AH59" s="814"/>
      <c r="AI59" s="814"/>
      <c r="AJ59" s="814"/>
      <c r="AK59" s="814"/>
      <c r="AL59" s="814"/>
      <c r="AM59" s="844" t="s">
        <v>3045</v>
      </c>
    </row>
    <row r="60" s="787" customFormat="1" ht="18" customHeight="1" spans="1:39">
      <c r="A60" s="810">
        <v>45378</v>
      </c>
      <c r="B60" s="811" t="s">
        <v>2980</v>
      </c>
      <c r="C60" s="813" t="s">
        <v>3060</v>
      </c>
      <c r="D60" s="813" t="s">
        <v>3043</v>
      </c>
      <c r="E60" s="813">
        <v>77485</v>
      </c>
      <c r="F60" s="813">
        <v>80000</v>
      </c>
      <c r="G60" s="812" t="s">
        <v>2993</v>
      </c>
      <c r="H60" s="812" t="s">
        <v>3047</v>
      </c>
      <c r="I60" s="813" t="s">
        <v>2994</v>
      </c>
      <c r="J60" s="814"/>
      <c r="K60" s="814"/>
      <c r="L60" s="814"/>
      <c r="M60" s="814"/>
      <c r="N60" s="814">
        <v>80000</v>
      </c>
      <c r="O60" s="814"/>
      <c r="P60" s="814"/>
      <c r="Q60" s="814"/>
      <c r="R60" s="814"/>
      <c r="S60" s="814"/>
      <c r="T60" s="814"/>
      <c r="U60" s="814"/>
      <c r="V60" s="814"/>
      <c r="W60" s="814"/>
      <c r="X60" s="814"/>
      <c r="Y60" s="814"/>
      <c r="Z60" s="814"/>
      <c r="AA60" s="814"/>
      <c r="AB60" s="814"/>
      <c r="AC60" s="814"/>
      <c r="AD60" s="814"/>
      <c r="AE60" s="814"/>
      <c r="AF60" s="814"/>
      <c r="AG60" s="814"/>
      <c r="AH60" s="814"/>
      <c r="AI60" s="814"/>
      <c r="AJ60" s="814"/>
      <c r="AK60" s="814"/>
      <c r="AL60" s="814"/>
      <c r="AM60" s="844" t="s">
        <v>3045</v>
      </c>
    </row>
    <row r="61" s="787" customFormat="1" ht="18" customHeight="1" spans="1:39">
      <c r="A61" s="810">
        <v>45378</v>
      </c>
      <c r="B61" s="811" t="s">
        <v>2980</v>
      </c>
      <c r="C61" s="813" t="s">
        <v>3061</v>
      </c>
      <c r="D61" s="813" t="s">
        <v>3043</v>
      </c>
      <c r="E61" s="813" t="s">
        <v>3049</v>
      </c>
      <c r="F61" s="813">
        <v>1500</v>
      </c>
      <c r="G61" s="812" t="s">
        <v>2997</v>
      </c>
      <c r="H61" s="812" t="s">
        <v>16</v>
      </c>
      <c r="I61" s="813" t="s">
        <v>2991</v>
      </c>
      <c r="J61" s="814"/>
      <c r="K61" s="814"/>
      <c r="L61" s="814"/>
      <c r="M61" s="814"/>
      <c r="N61" s="814"/>
      <c r="O61" s="814"/>
      <c r="P61" s="814"/>
      <c r="Q61" s="814"/>
      <c r="R61" s="814"/>
      <c r="S61" s="814"/>
      <c r="T61" s="814"/>
      <c r="U61" s="814"/>
      <c r="V61" s="814">
        <v>1500</v>
      </c>
      <c r="W61" s="814"/>
      <c r="X61" s="814"/>
      <c r="Y61" s="814"/>
      <c r="Z61" s="814"/>
      <c r="AA61" s="814"/>
      <c r="AB61" s="814"/>
      <c r="AC61" s="814"/>
      <c r="AD61" s="814"/>
      <c r="AE61" s="814"/>
      <c r="AF61" s="814"/>
      <c r="AG61" s="814"/>
      <c r="AH61" s="814"/>
      <c r="AI61" s="814"/>
      <c r="AJ61" s="814"/>
      <c r="AK61" s="814"/>
      <c r="AL61" s="814"/>
      <c r="AM61" s="841"/>
    </row>
    <row r="62" s="787" customFormat="1" ht="18" customHeight="1" spans="1:39">
      <c r="A62" s="810"/>
      <c r="B62" s="811"/>
      <c r="C62" s="813"/>
      <c r="D62" s="813" t="s">
        <v>3062</v>
      </c>
      <c r="E62" s="813" t="s">
        <v>3034</v>
      </c>
      <c r="F62" s="813">
        <v>20000</v>
      </c>
      <c r="G62" s="812" t="s">
        <v>2990</v>
      </c>
      <c r="H62" s="812"/>
      <c r="I62" s="813" t="s">
        <v>1527</v>
      </c>
      <c r="J62" s="814"/>
      <c r="K62" s="814">
        <v>20000</v>
      </c>
      <c r="L62" s="814"/>
      <c r="M62" s="814"/>
      <c r="N62" s="814"/>
      <c r="O62" s="814"/>
      <c r="P62" s="814"/>
      <c r="Q62" s="814"/>
      <c r="R62" s="814"/>
      <c r="S62" s="814"/>
      <c r="T62" s="814"/>
      <c r="U62" s="814"/>
      <c r="V62" s="814"/>
      <c r="W62" s="814"/>
      <c r="X62" s="814"/>
      <c r="Y62" s="814"/>
      <c r="Z62" s="814"/>
      <c r="AA62" s="814"/>
      <c r="AB62" s="814"/>
      <c r="AC62" s="814"/>
      <c r="AD62" s="814"/>
      <c r="AE62" s="814"/>
      <c r="AF62" s="814"/>
      <c r="AG62" s="814"/>
      <c r="AH62" s="814"/>
      <c r="AI62" s="814"/>
      <c r="AJ62" s="814"/>
      <c r="AK62" s="814"/>
      <c r="AL62" s="814"/>
      <c r="AM62" s="841"/>
    </row>
    <row r="63" s="787" customFormat="1" ht="18" customHeight="1" spans="1:39">
      <c r="A63" s="810"/>
      <c r="B63" s="811"/>
      <c r="C63" s="813"/>
      <c r="D63" s="813" t="s">
        <v>3062</v>
      </c>
      <c r="E63" s="813" t="s">
        <v>3034</v>
      </c>
      <c r="F63" s="813">
        <v>20000</v>
      </c>
      <c r="G63" s="812" t="s">
        <v>2990</v>
      </c>
      <c r="H63" s="812"/>
      <c r="I63" s="813" t="s">
        <v>1527</v>
      </c>
      <c r="J63" s="814"/>
      <c r="K63" s="814">
        <v>20000</v>
      </c>
      <c r="L63" s="814"/>
      <c r="M63" s="814"/>
      <c r="N63" s="814"/>
      <c r="O63" s="814"/>
      <c r="P63" s="814"/>
      <c r="Q63" s="814"/>
      <c r="R63" s="814"/>
      <c r="S63" s="814"/>
      <c r="T63" s="814"/>
      <c r="U63" s="814"/>
      <c r="V63" s="814"/>
      <c r="W63" s="814"/>
      <c r="X63" s="814"/>
      <c r="Y63" s="814"/>
      <c r="Z63" s="814"/>
      <c r="AA63" s="814"/>
      <c r="AB63" s="814"/>
      <c r="AC63" s="814"/>
      <c r="AD63" s="814"/>
      <c r="AE63" s="814"/>
      <c r="AF63" s="814"/>
      <c r="AG63" s="814"/>
      <c r="AH63" s="814"/>
      <c r="AI63" s="814"/>
      <c r="AJ63" s="814"/>
      <c r="AK63" s="814"/>
      <c r="AL63" s="814"/>
      <c r="AM63" s="841"/>
    </row>
    <row r="64" s="787" customFormat="1" ht="18" customHeight="1" spans="1:39">
      <c r="A64" s="810">
        <v>45383</v>
      </c>
      <c r="B64" s="811" t="s">
        <v>2980</v>
      </c>
      <c r="C64" s="813" t="s">
        <v>3063</v>
      </c>
      <c r="D64" s="813" t="s">
        <v>3043</v>
      </c>
      <c r="E64" s="813">
        <v>77485</v>
      </c>
      <c r="F64" s="813">
        <v>20000</v>
      </c>
      <c r="G64" s="812" t="s">
        <v>2990</v>
      </c>
      <c r="H64" s="812" t="s">
        <v>3044</v>
      </c>
      <c r="I64" s="813" t="s">
        <v>3003</v>
      </c>
      <c r="J64" s="814"/>
      <c r="K64" s="814"/>
      <c r="L64" s="814"/>
      <c r="M64" s="814">
        <v>20000</v>
      </c>
      <c r="N64" s="814"/>
      <c r="O64" s="814"/>
      <c r="P64" s="814"/>
      <c r="Q64" s="814"/>
      <c r="R64" s="814"/>
      <c r="S64" s="814"/>
      <c r="T64" s="814"/>
      <c r="U64" s="814"/>
      <c r="V64" s="814"/>
      <c r="W64" s="814"/>
      <c r="X64" s="814"/>
      <c r="Y64" s="814"/>
      <c r="Z64" s="814"/>
      <c r="AA64" s="814"/>
      <c r="AB64" s="814"/>
      <c r="AC64" s="814"/>
      <c r="AD64" s="814"/>
      <c r="AE64" s="814"/>
      <c r="AF64" s="814"/>
      <c r="AG64" s="814"/>
      <c r="AH64" s="814"/>
      <c r="AI64" s="814"/>
      <c r="AJ64" s="814"/>
      <c r="AK64" s="814"/>
      <c r="AL64" s="814"/>
      <c r="AM64" s="841"/>
    </row>
    <row r="65" s="787" customFormat="1" ht="18" customHeight="1" spans="1:39">
      <c r="A65" s="810">
        <v>45385</v>
      </c>
      <c r="B65" s="811" t="s">
        <v>2980</v>
      </c>
      <c r="C65" s="813">
        <v>1000019317</v>
      </c>
      <c r="D65" s="813" t="s">
        <v>2981</v>
      </c>
      <c r="E65" s="813">
        <v>77486</v>
      </c>
      <c r="F65" s="813">
        <v>6648</v>
      </c>
      <c r="G65" s="812" t="s">
        <v>3030</v>
      </c>
      <c r="H65" s="812"/>
      <c r="I65" s="813" t="s">
        <v>3064</v>
      </c>
      <c r="J65" s="814"/>
      <c r="K65" s="814"/>
      <c r="L65" s="814"/>
      <c r="M65" s="814"/>
      <c r="N65" s="814"/>
      <c r="O65" s="814"/>
      <c r="P65" s="814"/>
      <c r="Q65" s="814"/>
      <c r="R65" s="814"/>
      <c r="S65" s="814"/>
      <c r="T65" s="814"/>
      <c r="U65" s="814"/>
      <c r="V65" s="814"/>
      <c r="W65" s="814"/>
      <c r="X65" s="814"/>
      <c r="Y65" s="814"/>
      <c r="Z65" s="814"/>
      <c r="AA65" s="814"/>
      <c r="AB65" s="814"/>
      <c r="AC65" s="814"/>
      <c r="AD65" s="814"/>
      <c r="AE65" s="814"/>
      <c r="AF65" s="814">
        <v>6648</v>
      </c>
      <c r="AG65" s="814"/>
      <c r="AH65" s="814"/>
      <c r="AI65" s="814"/>
      <c r="AJ65" s="814"/>
      <c r="AK65" s="814"/>
      <c r="AL65" s="814"/>
      <c r="AM65" s="1427" t="s">
        <v>3065</v>
      </c>
    </row>
    <row r="66" s="787" customFormat="1" ht="18" customHeight="1" spans="1:39">
      <c r="A66" s="810">
        <v>45385</v>
      </c>
      <c r="B66" s="811" t="s">
        <v>2980</v>
      </c>
      <c r="C66" s="813">
        <v>1000019318</v>
      </c>
      <c r="D66" s="813" t="s">
        <v>2981</v>
      </c>
      <c r="E66" s="813">
        <v>77486</v>
      </c>
      <c r="F66" s="813">
        <v>10176</v>
      </c>
      <c r="G66" s="812" t="s">
        <v>3032</v>
      </c>
      <c r="H66" s="812"/>
      <c r="I66" s="813" t="s">
        <v>3003</v>
      </c>
      <c r="J66" s="814"/>
      <c r="K66" s="814"/>
      <c r="L66" s="814"/>
      <c r="M66" s="814"/>
      <c r="N66" s="814"/>
      <c r="O66" s="814"/>
      <c r="P66" s="814"/>
      <c r="Q66" s="814"/>
      <c r="R66" s="814"/>
      <c r="S66" s="814"/>
      <c r="T66" s="814"/>
      <c r="U66" s="814"/>
      <c r="V66" s="814"/>
      <c r="W66" s="814"/>
      <c r="X66" s="814"/>
      <c r="Y66" s="814"/>
      <c r="Z66" s="814"/>
      <c r="AA66" s="814"/>
      <c r="AB66" s="814"/>
      <c r="AC66" s="814"/>
      <c r="AD66" s="814"/>
      <c r="AE66" s="814"/>
      <c r="AF66" s="814"/>
      <c r="AG66" s="814">
        <v>10176</v>
      </c>
      <c r="AH66" s="814"/>
      <c r="AI66" s="814"/>
      <c r="AJ66" s="814"/>
      <c r="AK66" s="814"/>
      <c r="AL66" s="814"/>
      <c r="AM66" s="1427" t="s">
        <v>3065</v>
      </c>
    </row>
    <row r="67" s="787" customFormat="1" ht="18" customHeight="1" spans="1:39">
      <c r="A67" s="810">
        <v>45385</v>
      </c>
      <c r="B67" s="811" t="s">
        <v>2980</v>
      </c>
      <c r="C67" s="813">
        <v>1000019319</v>
      </c>
      <c r="D67" s="813" t="s">
        <v>2981</v>
      </c>
      <c r="E67" s="813">
        <v>77486</v>
      </c>
      <c r="F67" s="813">
        <v>6648</v>
      </c>
      <c r="G67" s="812" t="s">
        <v>3066</v>
      </c>
      <c r="H67" s="812"/>
      <c r="I67" s="813" t="s">
        <v>3064</v>
      </c>
      <c r="J67" s="814"/>
      <c r="K67" s="814"/>
      <c r="L67" s="814"/>
      <c r="M67" s="814"/>
      <c r="N67" s="814"/>
      <c r="O67" s="814"/>
      <c r="P67" s="814"/>
      <c r="Q67" s="814"/>
      <c r="R67" s="814"/>
      <c r="S67" s="814"/>
      <c r="T67" s="814"/>
      <c r="U67" s="814"/>
      <c r="V67" s="814"/>
      <c r="W67" s="814"/>
      <c r="X67" s="814"/>
      <c r="Y67" s="814"/>
      <c r="Z67" s="814"/>
      <c r="AA67" s="814"/>
      <c r="AB67" s="814"/>
      <c r="AC67" s="814"/>
      <c r="AD67" s="814"/>
      <c r="AE67" s="814"/>
      <c r="AF67" s="814"/>
      <c r="AG67" s="814"/>
      <c r="AH67" s="814">
        <v>6648</v>
      </c>
      <c r="AI67" s="814"/>
      <c r="AJ67" s="814"/>
      <c r="AK67" s="814"/>
      <c r="AL67" s="814"/>
      <c r="AM67" s="1427" t="s">
        <v>3065</v>
      </c>
    </row>
    <row r="68" s="787" customFormat="1" ht="18" customHeight="1" spans="1:39">
      <c r="A68" s="810">
        <v>45385</v>
      </c>
      <c r="B68" s="811" t="s">
        <v>2980</v>
      </c>
      <c r="C68" s="813">
        <v>1000019322</v>
      </c>
      <c r="D68" s="813" t="s">
        <v>2981</v>
      </c>
      <c r="E68" s="813" t="s">
        <v>3034</v>
      </c>
      <c r="F68" s="813">
        <v>20000</v>
      </c>
      <c r="G68" s="812" t="s">
        <v>3035</v>
      </c>
      <c r="H68" s="812"/>
      <c r="I68" s="813" t="s">
        <v>2991</v>
      </c>
      <c r="J68" s="814"/>
      <c r="K68" s="814">
        <v>20000</v>
      </c>
      <c r="L68" s="814"/>
      <c r="M68" s="814"/>
      <c r="N68" s="814"/>
      <c r="O68" s="814"/>
      <c r="P68" s="814"/>
      <c r="Q68" s="814"/>
      <c r="R68" s="814"/>
      <c r="S68" s="814"/>
      <c r="T68" s="814"/>
      <c r="U68" s="814"/>
      <c r="V68" s="814"/>
      <c r="W68" s="814"/>
      <c r="X68" s="814"/>
      <c r="Y68" s="814"/>
      <c r="Z68" s="814"/>
      <c r="AA68" s="814"/>
      <c r="AB68" s="814"/>
      <c r="AC68" s="814"/>
      <c r="AD68" s="814"/>
      <c r="AE68" s="814"/>
      <c r="AF68" s="814"/>
      <c r="AG68" s="814"/>
      <c r="AH68" s="814"/>
      <c r="AI68" s="814"/>
      <c r="AJ68" s="814"/>
      <c r="AK68" s="814"/>
      <c r="AL68" s="814"/>
      <c r="AM68" s="1427" t="s">
        <v>3067</v>
      </c>
    </row>
    <row r="69" s="787" customFormat="1" ht="18" customHeight="1" spans="1:39">
      <c r="A69" s="810">
        <v>45385</v>
      </c>
      <c r="B69" s="811" t="s">
        <v>2980</v>
      </c>
      <c r="C69" s="813">
        <v>1000019320</v>
      </c>
      <c r="D69" s="813" t="s">
        <v>3068</v>
      </c>
      <c r="E69" s="813" t="s">
        <v>2999</v>
      </c>
      <c r="F69" s="812">
        <v>12672</v>
      </c>
      <c r="G69" s="812" t="s">
        <v>2997</v>
      </c>
      <c r="H69" s="812"/>
      <c r="I69" s="813" t="s">
        <v>2991</v>
      </c>
      <c r="J69" s="814"/>
      <c r="K69" s="814"/>
      <c r="L69" s="814"/>
      <c r="M69" s="814"/>
      <c r="N69" s="814"/>
      <c r="O69" s="814"/>
      <c r="P69" s="814"/>
      <c r="Q69" s="814"/>
      <c r="R69" s="814"/>
      <c r="S69" s="814">
        <v>12672</v>
      </c>
      <c r="T69" s="814"/>
      <c r="U69" s="814"/>
      <c r="V69" s="814"/>
      <c r="W69" s="814"/>
      <c r="X69" s="814"/>
      <c r="Y69" s="814"/>
      <c r="Z69" s="814"/>
      <c r="AA69" s="814"/>
      <c r="AB69" s="814"/>
      <c r="AC69" s="814"/>
      <c r="AD69" s="814"/>
      <c r="AE69" s="814"/>
      <c r="AF69" s="814"/>
      <c r="AG69" s="814"/>
      <c r="AH69" s="814"/>
      <c r="AI69" s="814"/>
      <c r="AJ69" s="814"/>
      <c r="AK69" s="814"/>
      <c r="AL69" s="814"/>
      <c r="AM69" s="1427" t="s">
        <v>3069</v>
      </c>
    </row>
    <row r="70" s="787" customFormat="1" ht="18" customHeight="1" spans="1:39">
      <c r="A70" s="810">
        <v>45385</v>
      </c>
      <c r="B70" s="811" t="s">
        <v>2980</v>
      </c>
      <c r="C70" s="813">
        <v>1000019321</v>
      </c>
      <c r="D70" s="813" t="s">
        <v>3068</v>
      </c>
      <c r="E70" s="813">
        <v>77485</v>
      </c>
      <c r="F70" s="813">
        <v>152064</v>
      </c>
      <c r="G70" s="812" t="s">
        <v>2987</v>
      </c>
      <c r="H70" s="812"/>
      <c r="I70" s="813" t="s">
        <v>2994</v>
      </c>
      <c r="J70" s="814"/>
      <c r="K70" s="814"/>
      <c r="L70" s="814"/>
      <c r="M70" s="814"/>
      <c r="N70" s="814"/>
      <c r="O70" s="814">
        <v>152064</v>
      </c>
      <c r="P70" s="814"/>
      <c r="Q70" s="814"/>
      <c r="R70" s="814"/>
      <c r="S70" s="814"/>
      <c r="T70" s="814"/>
      <c r="U70" s="814"/>
      <c r="V70" s="814"/>
      <c r="W70" s="814"/>
      <c r="X70" s="814"/>
      <c r="Y70" s="814"/>
      <c r="Z70" s="814"/>
      <c r="AA70" s="814"/>
      <c r="AB70" s="814"/>
      <c r="AC70" s="814"/>
      <c r="AD70" s="814"/>
      <c r="AE70" s="814"/>
      <c r="AF70" s="814"/>
      <c r="AG70" s="814"/>
      <c r="AH70" s="814"/>
      <c r="AI70" s="814"/>
      <c r="AJ70" s="814"/>
      <c r="AK70" s="814"/>
      <c r="AL70" s="814"/>
      <c r="AM70" s="1427" t="s">
        <v>3069</v>
      </c>
    </row>
    <row r="71" s="787" customFormat="1" ht="18" customHeight="1" spans="1:39">
      <c r="A71" s="810">
        <v>45393</v>
      </c>
      <c r="B71" s="811" t="s">
        <v>2980</v>
      </c>
      <c r="C71" s="813" t="s">
        <v>3070</v>
      </c>
      <c r="D71" s="813" t="s">
        <v>3043</v>
      </c>
      <c r="E71" s="813">
        <v>77485</v>
      </c>
      <c r="F71" s="813">
        <v>100000</v>
      </c>
      <c r="G71" s="812" t="s">
        <v>2990</v>
      </c>
      <c r="H71" s="812" t="s">
        <v>16</v>
      </c>
      <c r="I71" s="813" t="s">
        <v>2991</v>
      </c>
      <c r="J71" s="814">
        <v>100000</v>
      </c>
      <c r="K71" s="814"/>
      <c r="L71" s="814"/>
      <c r="M71" s="814"/>
      <c r="N71" s="814"/>
      <c r="O71" s="814"/>
      <c r="P71" s="814"/>
      <c r="Q71" s="814"/>
      <c r="R71" s="814"/>
      <c r="S71" s="814"/>
      <c r="T71" s="814"/>
      <c r="U71" s="814"/>
      <c r="V71" s="814"/>
      <c r="W71" s="814"/>
      <c r="X71" s="814"/>
      <c r="Y71" s="814"/>
      <c r="Z71" s="814"/>
      <c r="AA71" s="814"/>
      <c r="AB71" s="814"/>
      <c r="AC71" s="814"/>
      <c r="AD71" s="814"/>
      <c r="AE71" s="814"/>
      <c r="AF71" s="814"/>
      <c r="AG71" s="814"/>
      <c r="AH71" s="814"/>
      <c r="AI71" s="814"/>
      <c r="AJ71" s="814"/>
      <c r="AK71" s="814"/>
      <c r="AL71" s="814"/>
      <c r="AM71" s="841"/>
    </row>
    <row r="72" s="787" customFormat="1" ht="18" customHeight="1" spans="1:39">
      <c r="A72" s="810">
        <v>45393</v>
      </c>
      <c r="B72" s="811" t="s">
        <v>2980</v>
      </c>
      <c r="C72" s="813" t="s">
        <v>3071</v>
      </c>
      <c r="D72" s="813" t="s">
        <v>3043</v>
      </c>
      <c r="E72" s="813">
        <v>77485</v>
      </c>
      <c r="F72" s="813">
        <v>110000</v>
      </c>
      <c r="G72" s="812" t="s">
        <v>2990</v>
      </c>
      <c r="H72" s="812" t="s">
        <v>3044</v>
      </c>
      <c r="I72" s="813" t="s">
        <v>2991</v>
      </c>
      <c r="J72" s="814">
        <v>110000</v>
      </c>
      <c r="K72" s="814"/>
      <c r="L72" s="814"/>
      <c r="M72" s="814"/>
      <c r="N72" s="814"/>
      <c r="O72" s="814"/>
      <c r="P72" s="814"/>
      <c r="Q72" s="814"/>
      <c r="R72" s="814"/>
      <c r="S72" s="814"/>
      <c r="T72" s="814"/>
      <c r="U72" s="814"/>
      <c r="V72" s="814"/>
      <c r="W72" s="814"/>
      <c r="X72" s="814"/>
      <c r="Y72" s="814"/>
      <c r="Z72" s="814"/>
      <c r="AA72" s="814"/>
      <c r="AB72" s="814"/>
      <c r="AC72" s="814"/>
      <c r="AD72" s="814"/>
      <c r="AE72" s="814"/>
      <c r="AF72" s="814"/>
      <c r="AG72" s="814"/>
      <c r="AH72" s="814"/>
      <c r="AI72" s="814"/>
      <c r="AJ72" s="814"/>
      <c r="AK72" s="814"/>
      <c r="AL72" s="814"/>
      <c r="AM72" s="841"/>
    </row>
    <row r="73" s="787" customFormat="1" ht="18" customHeight="1" spans="1:39">
      <c r="A73" s="810">
        <v>45393</v>
      </c>
      <c r="B73" s="811" t="s">
        <v>2980</v>
      </c>
      <c r="C73" s="813" t="s">
        <v>3072</v>
      </c>
      <c r="D73" s="813" t="s">
        <v>3043</v>
      </c>
      <c r="E73" s="813">
        <v>77485</v>
      </c>
      <c r="F73" s="813">
        <v>30000</v>
      </c>
      <c r="G73" s="812" t="s">
        <v>2993</v>
      </c>
      <c r="H73" s="812" t="s">
        <v>3047</v>
      </c>
      <c r="I73" s="813" t="s">
        <v>2994</v>
      </c>
      <c r="J73" s="814"/>
      <c r="K73" s="814"/>
      <c r="L73" s="814"/>
      <c r="M73" s="814"/>
      <c r="N73" s="814">
        <v>30000</v>
      </c>
      <c r="O73" s="814"/>
      <c r="P73" s="814"/>
      <c r="Q73" s="814"/>
      <c r="R73" s="814"/>
      <c r="S73" s="814"/>
      <c r="T73" s="814"/>
      <c r="U73" s="814"/>
      <c r="V73" s="814"/>
      <c r="W73" s="814"/>
      <c r="X73" s="814"/>
      <c r="Y73" s="814"/>
      <c r="Z73" s="814"/>
      <c r="AA73" s="814"/>
      <c r="AB73" s="814"/>
      <c r="AC73" s="814"/>
      <c r="AD73" s="814"/>
      <c r="AE73" s="814"/>
      <c r="AF73" s="814"/>
      <c r="AG73" s="814"/>
      <c r="AH73" s="814"/>
      <c r="AI73" s="814"/>
      <c r="AJ73" s="814"/>
      <c r="AK73" s="814"/>
      <c r="AL73" s="814"/>
      <c r="AM73" s="841"/>
    </row>
    <row r="74" s="787" customFormat="1" ht="18" customHeight="1" spans="1:39">
      <c r="A74" s="810">
        <v>45393</v>
      </c>
      <c r="B74" s="811" t="s">
        <v>2980</v>
      </c>
      <c r="C74" s="813" t="s">
        <v>3073</v>
      </c>
      <c r="D74" s="813" t="s">
        <v>3043</v>
      </c>
      <c r="E74" s="813" t="s">
        <v>3052</v>
      </c>
      <c r="F74" s="813">
        <v>500</v>
      </c>
      <c r="G74" s="812" t="s">
        <v>2997</v>
      </c>
      <c r="H74" s="812" t="s">
        <v>16</v>
      </c>
      <c r="I74" s="813" t="s">
        <v>2991</v>
      </c>
      <c r="J74" s="814"/>
      <c r="K74" s="814"/>
      <c r="L74" s="814"/>
      <c r="M74" s="814"/>
      <c r="N74" s="814"/>
      <c r="O74" s="814"/>
      <c r="P74" s="814"/>
      <c r="Q74" s="814"/>
      <c r="R74" s="814"/>
      <c r="S74" s="814"/>
      <c r="T74" s="814"/>
      <c r="U74" s="814"/>
      <c r="V74" s="814"/>
      <c r="W74" s="814"/>
      <c r="X74" s="814">
        <v>500</v>
      </c>
      <c r="Y74" s="814"/>
      <c r="Z74" s="814"/>
      <c r="AA74" s="814"/>
      <c r="AB74" s="814"/>
      <c r="AC74" s="814"/>
      <c r="AD74" s="814"/>
      <c r="AE74" s="814"/>
      <c r="AF74" s="814"/>
      <c r="AG74" s="814"/>
      <c r="AH74" s="814"/>
      <c r="AI74" s="814"/>
      <c r="AJ74" s="814"/>
      <c r="AK74" s="814"/>
      <c r="AL74" s="814"/>
      <c r="AM74" s="841"/>
    </row>
    <row r="75" s="787" customFormat="1" ht="18" customHeight="1" spans="1:39">
      <c r="A75" s="810">
        <v>45385</v>
      </c>
      <c r="B75" s="811" t="s">
        <v>2980</v>
      </c>
      <c r="C75" s="813">
        <v>1000019589</v>
      </c>
      <c r="D75" s="813" t="s">
        <v>3068</v>
      </c>
      <c r="E75" s="813" t="s">
        <v>2999</v>
      </c>
      <c r="F75" s="813">
        <v>5376</v>
      </c>
      <c r="G75" s="812" t="s">
        <v>2997</v>
      </c>
      <c r="H75" s="812"/>
      <c r="I75" s="813" t="s">
        <v>2991</v>
      </c>
      <c r="J75" s="814"/>
      <c r="K75" s="814"/>
      <c r="L75" s="814"/>
      <c r="M75" s="814"/>
      <c r="N75" s="814"/>
      <c r="O75" s="814"/>
      <c r="P75" s="814"/>
      <c r="Q75" s="814"/>
      <c r="R75" s="814"/>
      <c r="S75" s="814">
        <v>5376</v>
      </c>
      <c r="T75" s="814"/>
      <c r="U75" s="814"/>
      <c r="V75" s="814"/>
      <c r="W75" s="814"/>
      <c r="X75" s="814"/>
      <c r="Y75" s="814"/>
      <c r="Z75" s="814"/>
      <c r="AA75" s="814"/>
      <c r="AB75" s="814"/>
      <c r="AC75" s="814"/>
      <c r="AD75" s="814"/>
      <c r="AE75" s="814"/>
      <c r="AF75" s="814"/>
      <c r="AG75" s="814"/>
      <c r="AH75" s="814"/>
      <c r="AI75" s="814"/>
      <c r="AJ75" s="814"/>
      <c r="AK75" s="814"/>
      <c r="AL75" s="814"/>
      <c r="AM75" s="1427" t="s">
        <v>3069</v>
      </c>
    </row>
    <row r="76" s="787" customFormat="1" ht="18" customHeight="1" spans="1:39">
      <c r="A76" s="810">
        <v>45385</v>
      </c>
      <c r="B76" s="811" t="s">
        <v>2980</v>
      </c>
      <c r="C76" s="813">
        <v>1000019590</v>
      </c>
      <c r="D76" s="813" t="s">
        <v>3068</v>
      </c>
      <c r="E76" s="813">
        <v>77485</v>
      </c>
      <c r="F76" s="813">
        <v>64512</v>
      </c>
      <c r="G76" s="812" t="s">
        <v>2987</v>
      </c>
      <c r="H76" s="812"/>
      <c r="I76" s="813" t="s">
        <v>2994</v>
      </c>
      <c r="J76" s="814"/>
      <c r="K76" s="814"/>
      <c r="L76" s="814"/>
      <c r="M76" s="814"/>
      <c r="N76" s="814"/>
      <c r="O76" s="814">
        <v>64512</v>
      </c>
      <c r="P76" s="814"/>
      <c r="Q76" s="814"/>
      <c r="R76" s="814"/>
      <c r="S76" s="814"/>
      <c r="T76" s="814"/>
      <c r="U76" s="814"/>
      <c r="V76" s="814"/>
      <c r="W76" s="814"/>
      <c r="X76" s="814"/>
      <c r="Y76" s="814"/>
      <c r="Z76" s="814"/>
      <c r="AA76" s="814"/>
      <c r="AB76" s="814"/>
      <c r="AC76" s="814"/>
      <c r="AD76" s="814"/>
      <c r="AE76" s="814"/>
      <c r="AF76" s="814"/>
      <c r="AG76" s="814"/>
      <c r="AH76" s="814"/>
      <c r="AI76" s="814"/>
      <c r="AJ76" s="814"/>
      <c r="AK76" s="814"/>
      <c r="AL76" s="814"/>
      <c r="AM76" s="1427" t="s">
        <v>3069</v>
      </c>
    </row>
    <row r="77" s="787" customFormat="1" ht="18" customHeight="1" spans="1:39">
      <c r="A77" s="810">
        <v>45406</v>
      </c>
      <c r="B77" s="811" t="s">
        <v>2980</v>
      </c>
      <c r="C77" s="813" t="s">
        <v>3074</v>
      </c>
      <c r="D77" s="813" t="s">
        <v>3043</v>
      </c>
      <c r="E77" s="813">
        <v>77485</v>
      </c>
      <c r="F77" s="813">
        <v>50000</v>
      </c>
      <c r="G77" s="812" t="s">
        <v>2993</v>
      </c>
      <c r="H77" s="812" t="s">
        <v>3044</v>
      </c>
      <c r="I77" s="813" t="s">
        <v>2994</v>
      </c>
      <c r="J77" s="814"/>
      <c r="K77" s="814"/>
      <c r="L77" s="814"/>
      <c r="M77" s="814"/>
      <c r="N77" s="814">
        <v>50000</v>
      </c>
      <c r="O77" s="814"/>
      <c r="P77" s="814"/>
      <c r="Q77" s="814"/>
      <c r="R77" s="814"/>
      <c r="S77" s="814"/>
      <c r="T77" s="814"/>
      <c r="U77" s="814"/>
      <c r="V77" s="814"/>
      <c r="W77" s="814"/>
      <c r="X77" s="814"/>
      <c r="Y77" s="814"/>
      <c r="Z77" s="814"/>
      <c r="AA77" s="814"/>
      <c r="AB77" s="814"/>
      <c r="AC77" s="814"/>
      <c r="AD77" s="814"/>
      <c r="AE77" s="814"/>
      <c r="AF77" s="814"/>
      <c r="AG77" s="814"/>
      <c r="AH77" s="814"/>
      <c r="AI77" s="814"/>
      <c r="AJ77" s="814"/>
      <c r="AK77" s="814"/>
      <c r="AL77" s="814"/>
      <c r="AM77" s="841"/>
    </row>
    <row r="78" s="787" customFormat="1" ht="18" customHeight="1" spans="1:39">
      <c r="A78" s="810">
        <v>45406</v>
      </c>
      <c r="B78" s="811" t="s">
        <v>2980</v>
      </c>
      <c r="C78" s="813" t="s">
        <v>3075</v>
      </c>
      <c r="D78" s="813" t="s">
        <v>3043</v>
      </c>
      <c r="E78" s="813" t="s">
        <v>3049</v>
      </c>
      <c r="F78" s="813">
        <v>500</v>
      </c>
      <c r="G78" s="812" t="s">
        <v>2997</v>
      </c>
      <c r="H78" s="812" t="s">
        <v>16</v>
      </c>
      <c r="I78" s="813" t="s">
        <v>2991</v>
      </c>
      <c r="J78" s="814"/>
      <c r="K78" s="814"/>
      <c r="L78" s="814"/>
      <c r="M78" s="814"/>
      <c r="N78" s="814"/>
      <c r="O78" s="814"/>
      <c r="P78" s="814"/>
      <c r="Q78" s="814"/>
      <c r="R78" s="814"/>
      <c r="S78" s="814"/>
      <c r="T78" s="814"/>
      <c r="U78" s="814"/>
      <c r="V78" s="814">
        <v>500</v>
      </c>
      <c r="W78" s="814"/>
      <c r="X78" s="814"/>
      <c r="Y78" s="814"/>
      <c r="Z78" s="814"/>
      <c r="AA78" s="814"/>
      <c r="AB78" s="814"/>
      <c r="AC78" s="814"/>
      <c r="AD78" s="814"/>
      <c r="AE78" s="814"/>
      <c r="AF78" s="814"/>
      <c r="AG78" s="814"/>
      <c r="AH78" s="814"/>
      <c r="AI78" s="814"/>
      <c r="AJ78" s="814"/>
      <c r="AK78" s="814"/>
      <c r="AL78" s="814"/>
      <c r="AM78" s="841"/>
    </row>
    <row r="79" s="787" customFormat="1" ht="18" customHeight="1" spans="1:39">
      <c r="A79" s="810">
        <v>45412</v>
      </c>
      <c r="B79" s="811" t="s">
        <v>2980</v>
      </c>
      <c r="C79" s="813" t="s">
        <v>3076</v>
      </c>
      <c r="D79" s="813" t="s">
        <v>3043</v>
      </c>
      <c r="E79" s="813">
        <v>77485</v>
      </c>
      <c r="F79" s="813">
        <v>60000</v>
      </c>
      <c r="G79" s="812" t="s">
        <v>2990</v>
      </c>
      <c r="H79" s="812" t="s">
        <v>3044</v>
      </c>
      <c r="I79" s="813" t="s">
        <v>2991</v>
      </c>
      <c r="J79" s="814">
        <v>60000</v>
      </c>
      <c r="K79" s="814"/>
      <c r="L79" s="814"/>
      <c r="M79" s="814"/>
      <c r="N79" s="814"/>
      <c r="O79" s="814"/>
      <c r="P79" s="814"/>
      <c r="Q79" s="814"/>
      <c r="R79" s="814"/>
      <c r="S79" s="814"/>
      <c r="T79" s="814"/>
      <c r="U79" s="814"/>
      <c r="V79" s="814"/>
      <c r="W79" s="814"/>
      <c r="X79" s="814"/>
      <c r="Y79" s="814"/>
      <c r="Z79" s="814"/>
      <c r="AA79" s="814"/>
      <c r="AB79" s="814"/>
      <c r="AC79" s="814"/>
      <c r="AD79" s="814"/>
      <c r="AE79" s="814"/>
      <c r="AF79" s="814"/>
      <c r="AG79" s="814"/>
      <c r="AH79" s="814"/>
      <c r="AI79" s="814"/>
      <c r="AJ79" s="814"/>
      <c r="AK79" s="814"/>
      <c r="AL79" s="814"/>
      <c r="AM79" s="841"/>
    </row>
    <row r="80" s="787" customFormat="1" ht="18" customHeight="1" spans="1:39">
      <c r="A80" s="810">
        <v>45412</v>
      </c>
      <c r="B80" s="811" t="s">
        <v>2980</v>
      </c>
      <c r="C80" s="813" t="s">
        <v>3077</v>
      </c>
      <c r="D80" s="813" t="s">
        <v>3043</v>
      </c>
      <c r="E80" s="813">
        <v>77485</v>
      </c>
      <c r="F80" s="813">
        <v>20000</v>
      </c>
      <c r="G80" s="812" t="s">
        <v>2990</v>
      </c>
      <c r="H80" s="812" t="s">
        <v>3044</v>
      </c>
      <c r="I80" s="813" t="s">
        <v>3003</v>
      </c>
      <c r="J80" s="814"/>
      <c r="K80" s="814"/>
      <c r="L80" s="814"/>
      <c r="M80" s="814">
        <v>20000</v>
      </c>
      <c r="N80" s="814"/>
      <c r="O80" s="814"/>
      <c r="P80" s="814"/>
      <c r="Q80" s="814"/>
      <c r="R80" s="814"/>
      <c r="S80" s="814"/>
      <c r="T80" s="814"/>
      <c r="U80" s="814"/>
      <c r="V80" s="814"/>
      <c r="W80" s="814"/>
      <c r="X80" s="814"/>
      <c r="Y80" s="814"/>
      <c r="Z80" s="814"/>
      <c r="AA80" s="814"/>
      <c r="AB80" s="814"/>
      <c r="AC80" s="814"/>
      <c r="AD80" s="814"/>
      <c r="AE80" s="814"/>
      <c r="AF80" s="814"/>
      <c r="AG80" s="814"/>
      <c r="AH80" s="814"/>
      <c r="AI80" s="814"/>
      <c r="AJ80" s="814"/>
      <c r="AK80" s="814"/>
      <c r="AL80" s="814"/>
      <c r="AM80" s="841"/>
    </row>
    <row r="81" s="787" customFormat="1" ht="18" customHeight="1" spans="1:39">
      <c r="A81" s="810">
        <v>45412</v>
      </c>
      <c r="B81" s="811" t="s">
        <v>2980</v>
      </c>
      <c r="C81" s="813">
        <v>1000020032</v>
      </c>
      <c r="D81" s="813" t="s">
        <v>3068</v>
      </c>
      <c r="E81" s="813">
        <v>77486</v>
      </c>
      <c r="F81" s="813">
        <v>10000</v>
      </c>
      <c r="G81" s="812" t="s">
        <v>3030</v>
      </c>
      <c r="H81" s="812"/>
      <c r="I81" s="813" t="s">
        <v>3064</v>
      </c>
      <c r="J81" s="814"/>
      <c r="K81" s="814"/>
      <c r="L81" s="814"/>
      <c r="M81" s="814"/>
      <c r="N81" s="814"/>
      <c r="O81" s="814"/>
      <c r="P81" s="814"/>
      <c r="Q81" s="814"/>
      <c r="R81" s="814"/>
      <c r="S81" s="814"/>
      <c r="T81" s="814"/>
      <c r="U81" s="814"/>
      <c r="V81" s="814"/>
      <c r="W81" s="814"/>
      <c r="X81" s="814"/>
      <c r="Y81" s="814"/>
      <c r="Z81" s="814"/>
      <c r="AA81" s="814"/>
      <c r="AB81" s="814"/>
      <c r="AC81" s="814"/>
      <c r="AD81" s="814"/>
      <c r="AE81" s="814"/>
      <c r="AF81" s="814">
        <v>10000</v>
      </c>
      <c r="AG81" s="814"/>
      <c r="AH81" s="814"/>
      <c r="AI81" s="814"/>
      <c r="AJ81" s="814"/>
      <c r="AK81" s="814"/>
      <c r="AL81" s="814"/>
      <c r="AM81" s="1427" t="s">
        <v>3078</v>
      </c>
    </row>
    <row r="82" s="787" customFormat="1" ht="18" customHeight="1" spans="1:39">
      <c r="A82" s="810">
        <v>45412</v>
      </c>
      <c r="B82" s="811" t="s">
        <v>2980</v>
      </c>
      <c r="C82" s="813">
        <v>1000020033</v>
      </c>
      <c r="D82" s="813" t="s">
        <v>3068</v>
      </c>
      <c r="E82" s="813">
        <v>77486</v>
      </c>
      <c r="F82" s="813">
        <v>10000</v>
      </c>
      <c r="G82" s="812" t="s">
        <v>3032</v>
      </c>
      <c r="H82" s="812"/>
      <c r="I82" s="813" t="s">
        <v>3003</v>
      </c>
      <c r="J82" s="814"/>
      <c r="K82" s="814"/>
      <c r="L82" s="814"/>
      <c r="M82" s="814"/>
      <c r="N82" s="814"/>
      <c r="O82" s="814"/>
      <c r="P82" s="814"/>
      <c r="Q82" s="814"/>
      <c r="R82" s="814"/>
      <c r="S82" s="814"/>
      <c r="T82" s="814"/>
      <c r="U82" s="814"/>
      <c r="V82" s="814"/>
      <c r="W82" s="814"/>
      <c r="X82" s="814"/>
      <c r="Y82" s="814"/>
      <c r="Z82" s="814"/>
      <c r="AA82" s="814"/>
      <c r="AB82" s="814"/>
      <c r="AC82" s="814"/>
      <c r="AD82" s="814"/>
      <c r="AE82" s="814"/>
      <c r="AF82" s="814"/>
      <c r="AG82" s="814">
        <v>10000</v>
      </c>
      <c r="AH82" s="814"/>
      <c r="AI82" s="814"/>
      <c r="AJ82" s="814"/>
      <c r="AK82" s="814"/>
      <c r="AL82" s="814"/>
      <c r="AM82" s="1427" t="s">
        <v>3078</v>
      </c>
    </row>
    <row r="83" s="787" customFormat="1" ht="18" customHeight="1" spans="1:39">
      <c r="A83" s="810">
        <v>45412</v>
      </c>
      <c r="B83" s="811" t="s">
        <v>2980</v>
      </c>
      <c r="C83" s="813">
        <v>1000020034</v>
      </c>
      <c r="D83" s="813" t="s">
        <v>3068</v>
      </c>
      <c r="E83" s="813">
        <v>77486</v>
      </c>
      <c r="F83" s="813">
        <v>10000</v>
      </c>
      <c r="G83" s="812" t="s">
        <v>3066</v>
      </c>
      <c r="H83" s="812"/>
      <c r="I83" s="813" t="s">
        <v>3064</v>
      </c>
      <c r="J83" s="814"/>
      <c r="K83" s="814"/>
      <c r="L83" s="814"/>
      <c r="M83" s="814"/>
      <c r="N83" s="814"/>
      <c r="O83" s="814"/>
      <c r="P83" s="814"/>
      <c r="Q83" s="814"/>
      <c r="R83" s="814"/>
      <c r="S83" s="814"/>
      <c r="T83" s="814"/>
      <c r="U83" s="814"/>
      <c r="V83" s="814"/>
      <c r="W83" s="814"/>
      <c r="X83" s="814"/>
      <c r="Y83" s="814"/>
      <c r="Z83" s="814"/>
      <c r="AA83" s="814"/>
      <c r="AB83" s="814"/>
      <c r="AC83" s="814"/>
      <c r="AD83" s="814"/>
      <c r="AE83" s="814"/>
      <c r="AF83" s="814"/>
      <c r="AG83" s="814"/>
      <c r="AH83" s="814">
        <v>10000</v>
      </c>
      <c r="AI83" s="814"/>
      <c r="AJ83" s="814"/>
      <c r="AK83" s="814"/>
      <c r="AL83" s="814"/>
      <c r="AM83" s="1427" t="s">
        <v>3078</v>
      </c>
    </row>
    <row r="84" s="787" customFormat="1" ht="18" customHeight="1" spans="1:39">
      <c r="A84" s="810">
        <v>45412</v>
      </c>
      <c r="B84" s="811" t="s">
        <v>2980</v>
      </c>
      <c r="C84" s="813">
        <v>1000020058</v>
      </c>
      <c r="D84" s="813" t="s">
        <v>3068</v>
      </c>
      <c r="E84" s="813" t="s">
        <v>2999</v>
      </c>
      <c r="F84" s="813">
        <v>686</v>
      </c>
      <c r="G84" s="812" t="s">
        <v>2997</v>
      </c>
      <c r="H84" s="812" t="s">
        <v>3044</v>
      </c>
      <c r="I84" s="813" t="s">
        <v>2991</v>
      </c>
      <c r="J84" s="814"/>
      <c r="K84" s="814"/>
      <c r="L84" s="814"/>
      <c r="M84" s="814"/>
      <c r="N84" s="814"/>
      <c r="O84" s="814"/>
      <c r="P84" s="814"/>
      <c r="Q84" s="814"/>
      <c r="R84" s="814"/>
      <c r="S84" s="814">
        <v>686</v>
      </c>
      <c r="T84" s="814"/>
      <c r="U84" s="814"/>
      <c r="V84" s="814"/>
      <c r="W84" s="814"/>
      <c r="X84" s="814"/>
      <c r="Y84" s="814"/>
      <c r="Z84" s="814"/>
      <c r="AA84" s="814"/>
      <c r="AB84" s="814"/>
      <c r="AC84" s="814"/>
      <c r="AD84" s="814"/>
      <c r="AE84" s="814"/>
      <c r="AF84" s="814"/>
      <c r="AG84" s="814"/>
      <c r="AH84" s="814"/>
      <c r="AI84" s="814"/>
      <c r="AJ84" s="814"/>
      <c r="AK84" s="814"/>
      <c r="AL84" s="814"/>
      <c r="AM84" s="1427" t="s">
        <v>3079</v>
      </c>
    </row>
    <row r="85" s="787" customFormat="1" ht="18" customHeight="1" spans="1:39">
      <c r="A85" s="810">
        <v>45378</v>
      </c>
      <c r="B85" s="811" t="s">
        <v>2980</v>
      </c>
      <c r="C85" s="813" t="s">
        <v>3080</v>
      </c>
      <c r="D85" s="813" t="s">
        <v>3043</v>
      </c>
      <c r="E85" s="813" t="s">
        <v>3052</v>
      </c>
      <c r="F85" s="813">
        <v>500</v>
      </c>
      <c r="G85" s="812" t="s">
        <v>2997</v>
      </c>
      <c r="H85" s="812" t="s">
        <v>16</v>
      </c>
      <c r="I85" s="813" t="s">
        <v>3003</v>
      </c>
      <c r="J85" s="814"/>
      <c r="K85" s="814"/>
      <c r="L85" s="814"/>
      <c r="M85" s="814"/>
      <c r="N85" s="814"/>
      <c r="O85" s="814"/>
      <c r="P85" s="814"/>
      <c r="Q85" s="814"/>
      <c r="R85" s="814"/>
      <c r="S85" s="814"/>
      <c r="T85" s="814"/>
      <c r="U85" s="814"/>
      <c r="V85" s="814"/>
      <c r="W85" s="814"/>
      <c r="X85" s="814"/>
      <c r="Y85" s="814">
        <v>500</v>
      </c>
      <c r="Z85" s="814"/>
      <c r="AA85" s="814"/>
      <c r="AB85" s="814"/>
      <c r="AC85" s="814"/>
      <c r="AD85" s="814"/>
      <c r="AE85" s="814"/>
      <c r="AF85" s="814"/>
      <c r="AG85" s="814"/>
      <c r="AH85" s="814"/>
      <c r="AI85" s="814"/>
      <c r="AJ85" s="814"/>
      <c r="AK85" s="814"/>
      <c r="AL85" s="814"/>
      <c r="AM85" s="841" t="s">
        <v>3081</v>
      </c>
    </row>
    <row r="86" s="787" customFormat="1" ht="18" customHeight="1" spans="1:39">
      <c r="A86" s="810">
        <v>45423</v>
      </c>
      <c r="B86" s="811" t="s">
        <v>2980</v>
      </c>
      <c r="C86" s="813" t="s">
        <v>3082</v>
      </c>
      <c r="D86" s="813" t="s">
        <v>3043</v>
      </c>
      <c r="E86" s="813">
        <v>77485</v>
      </c>
      <c r="F86" s="813">
        <v>50000</v>
      </c>
      <c r="G86" s="812" t="s">
        <v>2993</v>
      </c>
      <c r="H86" s="812" t="s">
        <v>3044</v>
      </c>
      <c r="I86" s="813" t="s">
        <v>2994</v>
      </c>
      <c r="J86" s="814"/>
      <c r="K86" s="814"/>
      <c r="L86" s="814"/>
      <c r="M86" s="814"/>
      <c r="N86" s="814">
        <v>50000</v>
      </c>
      <c r="O86" s="814"/>
      <c r="P86" s="814"/>
      <c r="Q86" s="814"/>
      <c r="R86" s="814"/>
      <c r="S86" s="814"/>
      <c r="T86" s="814"/>
      <c r="U86" s="814"/>
      <c r="V86" s="814"/>
      <c r="W86" s="814"/>
      <c r="X86" s="814"/>
      <c r="Y86" s="814"/>
      <c r="Z86" s="814"/>
      <c r="AA86" s="814"/>
      <c r="AB86" s="814"/>
      <c r="AC86" s="814"/>
      <c r="AD86" s="814"/>
      <c r="AE86" s="814"/>
      <c r="AF86" s="814"/>
      <c r="AG86" s="814"/>
      <c r="AH86" s="814"/>
      <c r="AI86" s="814"/>
      <c r="AJ86" s="814"/>
      <c r="AK86" s="814"/>
      <c r="AL86" s="814"/>
      <c r="AM86" s="841"/>
    </row>
    <row r="87" s="787" customFormat="1" ht="18" customHeight="1" spans="1:39">
      <c r="A87" s="810">
        <v>45423</v>
      </c>
      <c r="B87" s="811" t="s">
        <v>2980</v>
      </c>
      <c r="C87" s="813" t="s">
        <v>3083</v>
      </c>
      <c r="D87" s="813" t="s">
        <v>3043</v>
      </c>
      <c r="E87" s="813" t="s">
        <v>3049</v>
      </c>
      <c r="F87" s="813">
        <v>1000</v>
      </c>
      <c r="G87" s="812" t="s">
        <v>2997</v>
      </c>
      <c r="H87" s="812" t="s">
        <v>16</v>
      </c>
      <c r="I87" s="813" t="s">
        <v>2991</v>
      </c>
      <c r="J87" s="814"/>
      <c r="K87" s="814"/>
      <c r="L87" s="814"/>
      <c r="M87" s="814"/>
      <c r="N87" s="814"/>
      <c r="O87" s="814"/>
      <c r="P87" s="814"/>
      <c r="Q87" s="814"/>
      <c r="R87" s="814"/>
      <c r="S87" s="814"/>
      <c r="T87" s="814"/>
      <c r="U87" s="814"/>
      <c r="V87" s="814">
        <v>1000</v>
      </c>
      <c r="W87" s="814"/>
      <c r="X87" s="814"/>
      <c r="Y87" s="814"/>
      <c r="Z87" s="814"/>
      <c r="AA87" s="814"/>
      <c r="AB87" s="814"/>
      <c r="AC87" s="814"/>
      <c r="AD87" s="814"/>
      <c r="AE87" s="814"/>
      <c r="AF87" s="814"/>
      <c r="AG87" s="814"/>
      <c r="AH87" s="814"/>
      <c r="AI87" s="814"/>
      <c r="AJ87" s="814"/>
      <c r="AK87" s="814"/>
      <c r="AL87" s="814"/>
      <c r="AM87" s="841"/>
    </row>
    <row r="88" s="787" customFormat="1" ht="18" customHeight="1" spans="1:39">
      <c r="A88" s="810">
        <v>45423</v>
      </c>
      <c r="B88" s="811" t="s">
        <v>2980</v>
      </c>
      <c r="C88" s="813" t="s">
        <v>3084</v>
      </c>
      <c r="D88" s="813" t="s">
        <v>3043</v>
      </c>
      <c r="E88" s="813" t="s">
        <v>3049</v>
      </c>
      <c r="F88" s="813">
        <v>500</v>
      </c>
      <c r="G88" s="812" t="s">
        <v>2997</v>
      </c>
      <c r="H88" s="812" t="s">
        <v>16</v>
      </c>
      <c r="I88" s="813" t="s">
        <v>3003</v>
      </c>
      <c r="J88" s="814"/>
      <c r="K88" s="814"/>
      <c r="L88" s="814"/>
      <c r="M88" s="814"/>
      <c r="N88" s="814"/>
      <c r="O88" s="814"/>
      <c r="P88" s="814"/>
      <c r="Q88" s="814"/>
      <c r="R88" s="814"/>
      <c r="S88" s="814"/>
      <c r="T88" s="814"/>
      <c r="U88" s="814"/>
      <c r="V88" s="814"/>
      <c r="W88" s="814">
        <v>500</v>
      </c>
      <c r="X88" s="814"/>
      <c r="Y88" s="814"/>
      <c r="Z88" s="814"/>
      <c r="AA88" s="814"/>
      <c r="AB88" s="814"/>
      <c r="AC88" s="814"/>
      <c r="AD88" s="814"/>
      <c r="AE88" s="814"/>
      <c r="AF88" s="814"/>
      <c r="AG88" s="814"/>
      <c r="AH88" s="814"/>
      <c r="AI88" s="814"/>
      <c r="AJ88" s="814"/>
      <c r="AK88" s="814"/>
      <c r="AL88" s="814"/>
      <c r="AM88" s="841"/>
    </row>
    <row r="89" s="787" customFormat="1" ht="18" customHeight="1" spans="1:39">
      <c r="A89" s="810">
        <v>45423</v>
      </c>
      <c r="B89" s="811" t="s">
        <v>2980</v>
      </c>
      <c r="C89" s="813" t="s">
        <v>3085</v>
      </c>
      <c r="D89" s="813" t="s">
        <v>3043</v>
      </c>
      <c r="E89" s="813" t="s">
        <v>3052</v>
      </c>
      <c r="F89" s="813">
        <v>500</v>
      </c>
      <c r="G89" s="812" t="s">
        <v>2997</v>
      </c>
      <c r="H89" s="812" t="s">
        <v>16</v>
      </c>
      <c r="I89" s="813" t="s">
        <v>2991</v>
      </c>
      <c r="J89" s="814"/>
      <c r="K89" s="814"/>
      <c r="L89" s="814"/>
      <c r="M89" s="814"/>
      <c r="N89" s="814"/>
      <c r="O89" s="814"/>
      <c r="P89" s="814"/>
      <c r="Q89" s="814"/>
      <c r="R89" s="814"/>
      <c r="S89" s="814"/>
      <c r="T89" s="814"/>
      <c r="U89" s="814"/>
      <c r="V89" s="814"/>
      <c r="W89" s="814"/>
      <c r="X89" s="814">
        <v>500</v>
      </c>
      <c r="Y89" s="814"/>
      <c r="Z89" s="814"/>
      <c r="AA89" s="814"/>
      <c r="AB89" s="814"/>
      <c r="AC89" s="814"/>
      <c r="AD89" s="814"/>
      <c r="AE89" s="814"/>
      <c r="AF89" s="814"/>
      <c r="AG89" s="814"/>
      <c r="AH89" s="814"/>
      <c r="AI89" s="814"/>
      <c r="AJ89" s="814"/>
      <c r="AK89" s="814"/>
      <c r="AL89" s="814"/>
      <c r="AM89" s="841"/>
    </row>
    <row r="90" s="787" customFormat="1" ht="18" customHeight="1" spans="1:39">
      <c r="A90" s="810">
        <v>45423</v>
      </c>
      <c r="B90" s="811" t="s">
        <v>2980</v>
      </c>
      <c r="C90" s="813" t="s">
        <v>3086</v>
      </c>
      <c r="D90" s="813" t="s">
        <v>3043</v>
      </c>
      <c r="E90" s="813" t="s">
        <v>3052</v>
      </c>
      <c r="F90" s="813">
        <v>500</v>
      </c>
      <c r="G90" s="812" t="s">
        <v>2997</v>
      </c>
      <c r="H90" s="812" t="s">
        <v>16</v>
      </c>
      <c r="I90" s="813" t="s">
        <v>3003</v>
      </c>
      <c r="J90" s="814"/>
      <c r="K90" s="814"/>
      <c r="L90" s="814"/>
      <c r="M90" s="814"/>
      <c r="N90" s="814"/>
      <c r="O90" s="814"/>
      <c r="P90" s="814"/>
      <c r="Q90" s="814"/>
      <c r="R90" s="814"/>
      <c r="S90" s="814"/>
      <c r="T90" s="814"/>
      <c r="U90" s="814"/>
      <c r="V90" s="814"/>
      <c r="W90" s="814"/>
      <c r="X90" s="814"/>
      <c r="Y90" s="814">
        <v>500</v>
      </c>
      <c r="Z90" s="814"/>
      <c r="AA90" s="814"/>
      <c r="AB90" s="814"/>
      <c r="AC90" s="814"/>
      <c r="AD90" s="814"/>
      <c r="AE90" s="814"/>
      <c r="AF90" s="814"/>
      <c r="AG90" s="814"/>
      <c r="AH90" s="814"/>
      <c r="AI90" s="814"/>
      <c r="AJ90" s="814"/>
      <c r="AK90" s="814"/>
      <c r="AL90" s="814"/>
      <c r="AM90" s="841"/>
    </row>
    <row r="91" s="787" customFormat="1" ht="18" customHeight="1" spans="1:39">
      <c r="A91" s="810"/>
      <c r="B91" s="811"/>
      <c r="C91" s="813"/>
      <c r="D91" s="813" t="s">
        <v>3062</v>
      </c>
      <c r="E91" s="813" t="s">
        <v>2999</v>
      </c>
      <c r="F91" s="813">
        <v>6200</v>
      </c>
      <c r="G91" s="812" t="s">
        <v>2997</v>
      </c>
      <c r="H91" s="812" t="s">
        <v>16</v>
      </c>
      <c r="I91" s="813" t="s">
        <v>2991</v>
      </c>
      <c r="J91" s="814"/>
      <c r="K91" s="814"/>
      <c r="L91" s="814"/>
      <c r="M91" s="814"/>
      <c r="N91" s="814"/>
      <c r="O91" s="814"/>
      <c r="P91" s="814"/>
      <c r="Q91" s="814"/>
      <c r="R91" s="814">
        <v>6200</v>
      </c>
      <c r="S91" s="814"/>
      <c r="T91" s="814"/>
      <c r="U91" s="814"/>
      <c r="V91" s="814"/>
      <c r="W91" s="814"/>
      <c r="X91" s="814"/>
      <c r="Y91" s="814"/>
      <c r="Z91" s="814"/>
      <c r="AA91" s="814"/>
      <c r="AB91" s="814"/>
      <c r="AC91" s="814"/>
      <c r="AD91" s="814"/>
      <c r="AE91" s="814"/>
      <c r="AF91" s="814"/>
      <c r="AG91" s="814"/>
      <c r="AH91" s="814"/>
      <c r="AI91" s="814"/>
      <c r="AJ91" s="814"/>
      <c r="AK91" s="814"/>
      <c r="AL91" s="814"/>
      <c r="AM91" s="841"/>
    </row>
    <row r="92" s="787" customFormat="1" ht="18" customHeight="1" spans="1:39">
      <c r="A92" s="810"/>
      <c r="B92" s="811"/>
      <c r="C92" s="813"/>
      <c r="D92" s="813" t="s">
        <v>3062</v>
      </c>
      <c r="E92" s="813" t="s">
        <v>2999</v>
      </c>
      <c r="F92" s="813">
        <v>300</v>
      </c>
      <c r="G92" s="812" t="s">
        <v>2997</v>
      </c>
      <c r="H92" s="812" t="s">
        <v>16</v>
      </c>
      <c r="I92" s="813" t="s">
        <v>3003</v>
      </c>
      <c r="J92" s="814"/>
      <c r="K92" s="814"/>
      <c r="L92" s="814"/>
      <c r="M92" s="814"/>
      <c r="N92" s="814"/>
      <c r="O92" s="814"/>
      <c r="P92" s="814"/>
      <c r="Q92" s="814"/>
      <c r="R92" s="814"/>
      <c r="S92" s="814"/>
      <c r="T92" s="814">
        <v>300</v>
      </c>
      <c r="U92" s="814"/>
      <c r="V92" s="814"/>
      <c r="W92" s="814"/>
      <c r="X92" s="814"/>
      <c r="Y92" s="814"/>
      <c r="Z92" s="814"/>
      <c r="AA92" s="814"/>
      <c r="AB92" s="814"/>
      <c r="AC92" s="814"/>
      <c r="AD92" s="814"/>
      <c r="AE92" s="814"/>
      <c r="AF92" s="814"/>
      <c r="AG92" s="814"/>
      <c r="AH92" s="814"/>
      <c r="AI92" s="814"/>
      <c r="AJ92" s="814"/>
      <c r="AK92" s="814"/>
      <c r="AL92" s="814"/>
      <c r="AM92" s="841"/>
    </row>
    <row r="93" s="787" customFormat="1" ht="18" customHeight="1" spans="1:39">
      <c r="A93" s="810">
        <v>45446</v>
      </c>
      <c r="B93" s="811" t="s">
        <v>2980</v>
      </c>
      <c r="C93" s="813" t="s">
        <v>3087</v>
      </c>
      <c r="D93" s="813" t="s">
        <v>3043</v>
      </c>
      <c r="E93" s="813">
        <v>77485</v>
      </c>
      <c r="F93" s="813">
        <v>50000</v>
      </c>
      <c r="G93" s="812" t="s">
        <v>2990</v>
      </c>
      <c r="H93" s="812" t="s">
        <v>3044</v>
      </c>
      <c r="I93" s="813" t="s">
        <v>2991</v>
      </c>
      <c r="J93" s="814">
        <v>50000</v>
      </c>
      <c r="K93" s="814"/>
      <c r="L93" s="814"/>
      <c r="M93" s="814"/>
      <c r="N93" s="814"/>
      <c r="O93" s="814"/>
      <c r="P93" s="814"/>
      <c r="Q93" s="814"/>
      <c r="R93" s="814"/>
      <c r="S93" s="814"/>
      <c r="T93" s="814"/>
      <c r="U93" s="814"/>
      <c r="V93" s="814"/>
      <c r="W93" s="814"/>
      <c r="X93" s="814"/>
      <c r="Y93" s="814"/>
      <c r="Z93" s="814"/>
      <c r="AA93" s="814"/>
      <c r="AB93" s="814"/>
      <c r="AC93" s="814"/>
      <c r="AD93" s="814"/>
      <c r="AE93" s="814"/>
      <c r="AF93" s="814"/>
      <c r="AG93" s="814"/>
      <c r="AH93" s="814"/>
      <c r="AI93" s="814"/>
      <c r="AJ93" s="814"/>
      <c r="AK93" s="814"/>
      <c r="AL93" s="814"/>
      <c r="AM93" s="841"/>
    </row>
    <row r="94" s="787" customFormat="1" ht="18" customHeight="1" spans="1:39">
      <c r="A94" s="810">
        <v>45446</v>
      </c>
      <c r="B94" s="811" t="s">
        <v>2980</v>
      </c>
      <c r="C94" s="813" t="s">
        <v>3088</v>
      </c>
      <c r="D94" s="813" t="s">
        <v>3043</v>
      </c>
      <c r="E94" s="813">
        <v>77485</v>
      </c>
      <c r="F94" s="813">
        <v>30000</v>
      </c>
      <c r="G94" s="812" t="s">
        <v>2990</v>
      </c>
      <c r="H94" s="812" t="s">
        <v>3044</v>
      </c>
      <c r="I94" s="813" t="s">
        <v>3003</v>
      </c>
      <c r="J94" s="814"/>
      <c r="K94" s="814"/>
      <c r="L94" s="814"/>
      <c r="M94" s="814">
        <v>30000</v>
      </c>
      <c r="N94" s="814"/>
      <c r="O94" s="814"/>
      <c r="P94" s="814"/>
      <c r="Q94" s="814"/>
      <c r="R94" s="814"/>
      <c r="S94" s="814"/>
      <c r="T94" s="814"/>
      <c r="U94" s="814"/>
      <c r="V94" s="814"/>
      <c r="W94" s="814"/>
      <c r="X94" s="814"/>
      <c r="Y94" s="814"/>
      <c r="Z94" s="814"/>
      <c r="AA94" s="814"/>
      <c r="AB94" s="814"/>
      <c r="AC94" s="814"/>
      <c r="AD94" s="814"/>
      <c r="AE94" s="814"/>
      <c r="AF94" s="814"/>
      <c r="AG94" s="814"/>
      <c r="AH94" s="814"/>
      <c r="AI94" s="814"/>
      <c r="AJ94" s="814"/>
      <c r="AK94" s="814"/>
      <c r="AL94" s="814"/>
      <c r="AM94" s="841"/>
    </row>
    <row r="95" s="787" customFormat="1" ht="18" customHeight="1" spans="1:39">
      <c r="A95" s="810">
        <v>45446</v>
      </c>
      <c r="B95" s="811" t="s">
        <v>2980</v>
      </c>
      <c r="C95" s="813" t="s">
        <v>3089</v>
      </c>
      <c r="D95" s="813" t="s">
        <v>3043</v>
      </c>
      <c r="E95" s="813">
        <v>77485</v>
      </c>
      <c r="F95" s="813">
        <v>100000</v>
      </c>
      <c r="G95" s="812" t="s">
        <v>2987</v>
      </c>
      <c r="H95" s="812" t="s">
        <v>3047</v>
      </c>
      <c r="I95" s="813" t="s">
        <v>2994</v>
      </c>
      <c r="J95" s="814"/>
      <c r="K95" s="814"/>
      <c r="L95" s="814"/>
      <c r="M95" s="814"/>
      <c r="N95" s="814">
        <v>100000</v>
      </c>
      <c r="O95" s="814"/>
      <c r="P95" s="814"/>
      <c r="Q95" s="814"/>
      <c r="R95" s="814"/>
      <c r="S95" s="814"/>
      <c r="T95" s="814"/>
      <c r="U95" s="814"/>
      <c r="V95" s="814"/>
      <c r="W95" s="814"/>
      <c r="X95" s="814"/>
      <c r="Y95" s="814"/>
      <c r="Z95" s="814"/>
      <c r="AA95" s="814"/>
      <c r="AB95" s="814"/>
      <c r="AC95" s="814"/>
      <c r="AD95" s="814"/>
      <c r="AE95" s="814"/>
      <c r="AF95" s="814"/>
      <c r="AG95" s="814"/>
      <c r="AH95" s="814"/>
      <c r="AI95" s="814"/>
      <c r="AJ95" s="814"/>
      <c r="AK95" s="814"/>
      <c r="AL95" s="814"/>
      <c r="AM95" s="841" t="s">
        <v>3045</v>
      </c>
    </row>
    <row r="96" s="787" customFormat="1" ht="18" customHeight="1" spans="1:39">
      <c r="A96" s="810">
        <v>45446</v>
      </c>
      <c r="B96" s="811" t="s">
        <v>2980</v>
      </c>
      <c r="C96" s="813" t="s">
        <v>3090</v>
      </c>
      <c r="D96" s="813" t="s">
        <v>3043</v>
      </c>
      <c r="E96" s="813" t="s">
        <v>3049</v>
      </c>
      <c r="F96" s="813">
        <v>700</v>
      </c>
      <c r="G96" s="812" t="s">
        <v>2997</v>
      </c>
      <c r="H96" s="812" t="s">
        <v>16</v>
      </c>
      <c r="I96" s="813" t="s">
        <v>3003</v>
      </c>
      <c r="J96" s="814"/>
      <c r="K96" s="814"/>
      <c r="L96" s="814"/>
      <c r="M96" s="814"/>
      <c r="N96" s="814"/>
      <c r="O96" s="814"/>
      <c r="P96" s="814"/>
      <c r="Q96" s="814"/>
      <c r="R96" s="814"/>
      <c r="S96" s="814"/>
      <c r="T96" s="814"/>
      <c r="U96" s="814"/>
      <c r="V96" s="814"/>
      <c r="W96" s="814">
        <v>700</v>
      </c>
      <c r="X96" s="814"/>
      <c r="Y96" s="814"/>
      <c r="Z96" s="814"/>
      <c r="AA96" s="814"/>
      <c r="AB96" s="814"/>
      <c r="AC96" s="814"/>
      <c r="AD96" s="814"/>
      <c r="AE96" s="814"/>
      <c r="AF96" s="814"/>
      <c r="AG96" s="814"/>
      <c r="AH96" s="814"/>
      <c r="AI96" s="814"/>
      <c r="AJ96" s="814"/>
      <c r="AK96" s="814"/>
      <c r="AL96" s="814"/>
      <c r="AM96" s="841"/>
    </row>
    <row r="97" s="787" customFormat="1" ht="18" customHeight="1" spans="1:39">
      <c r="A97" s="810">
        <v>45446</v>
      </c>
      <c r="B97" s="811" t="s">
        <v>2980</v>
      </c>
      <c r="C97" s="813" t="s">
        <v>3091</v>
      </c>
      <c r="D97" s="813" t="s">
        <v>3043</v>
      </c>
      <c r="E97" s="813" t="s">
        <v>3052</v>
      </c>
      <c r="F97" s="813">
        <v>1000</v>
      </c>
      <c r="G97" s="812" t="s">
        <v>2997</v>
      </c>
      <c r="H97" s="812" t="s">
        <v>16</v>
      </c>
      <c r="I97" s="813" t="s">
        <v>3003</v>
      </c>
      <c r="J97" s="814"/>
      <c r="K97" s="814"/>
      <c r="L97" s="814"/>
      <c r="M97" s="814"/>
      <c r="N97" s="814"/>
      <c r="O97" s="814"/>
      <c r="P97" s="814"/>
      <c r="Q97" s="814"/>
      <c r="R97" s="814"/>
      <c r="S97" s="814"/>
      <c r="T97" s="814"/>
      <c r="U97" s="814"/>
      <c r="V97" s="814"/>
      <c r="W97" s="814"/>
      <c r="X97" s="814"/>
      <c r="Y97" s="814">
        <v>1000</v>
      </c>
      <c r="Z97" s="814"/>
      <c r="AA97" s="814"/>
      <c r="AB97" s="814"/>
      <c r="AC97" s="814"/>
      <c r="AD97" s="814"/>
      <c r="AE97" s="814"/>
      <c r="AF97" s="814"/>
      <c r="AG97" s="814"/>
      <c r="AH97" s="814"/>
      <c r="AI97" s="814"/>
      <c r="AJ97" s="814"/>
      <c r="AK97" s="814"/>
      <c r="AL97" s="814"/>
      <c r="AM97" s="841"/>
    </row>
    <row r="98" s="787" customFormat="1" ht="18" customHeight="1" spans="1:39">
      <c r="A98" s="810">
        <v>45467</v>
      </c>
      <c r="B98" s="811" t="s">
        <v>2980</v>
      </c>
      <c r="C98" s="813" t="s">
        <v>3092</v>
      </c>
      <c r="D98" s="813" t="s">
        <v>2989</v>
      </c>
      <c r="E98" s="813">
        <v>77485</v>
      </c>
      <c r="F98" s="813">
        <v>80000</v>
      </c>
      <c r="G98" s="812" t="s">
        <v>2990</v>
      </c>
      <c r="H98" s="812" t="s">
        <v>3044</v>
      </c>
      <c r="I98" s="813" t="s">
        <v>2991</v>
      </c>
      <c r="J98" s="814">
        <v>80000</v>
      </c>
      <c r="K98" s="814"/>
      <c r="L98" s="814"/>
      <c r="M98" s="814"/>
      <c r="N98" s="814"/>
      <c r="O98" s="814"/>
      <c r="P98" s="814"/>
      <c r="Q98" s="814"/>
      <c r="R98" s="814"/>
      <c r="S98" s="814"/>
      <c r="T98" s="814"/>
      <c r="U98" s="814"/>
      <c r="V98" s="814"/>
      <c r="W98" s="814"/>
      <c r="X98" s="814"/>
      <c r="Y98" s="814"/>
      <c r="Z98" s="814"/>
      <c r="AA98" s="814"/>
      <c r="AB98" s="814"/>
      <c r="AC98" s="814"/>
      <c r="AD98" s="814"/>
      <c r="AE98" s="814"/>
      <c r="AF98" s="814"/>
      <c r="AG98" s="814"/>
      <c r="AH98" s="814"/>
      <c r="AI98" s="814"/>
      <c r="AJ98" s="814"/>
      <c r="AK98" s="814"/>
      <c r="AL98" s="814"/>
      <c r="AM98" s="841"/>
    </row>
    <row r="99" s="787" customFormat="1" ht="18" customHeight="1" spans="1:39">
      <c r="A99" s="810">
        <v>45467</v>
      </c>
      <c r="B99" s="811" t="s">
        <v>2980</v>
      </c>
      <c r="C99" s="813" t="s">
        <v>3093</v>
      </c>
      <c r="D99" s="813" t="s">
        <v>2989</v>
      </c>
      <c r="E99" s="813">
        <v>77485</v>
      </c>
      <c r="F99" s="813">
        <v>70000</v>
      </c>
      <c r="G99" s="812" t="s">
        <v>2993</v>
      </c>
      <c r="H99" s="812" t="s">
        <v>3047</v>
      </c>
      <c r="I99" s="813" t="s">
        <v>2994</v>
      </c>
      <c r="J99" s="814"/>
      <c r="K99" s="814"/>
      <c r="L99" s="814"/>
      <c r="M99" s="814"/>
      <c r="N99" s="814">
        <v>70000</v>
      </c>
      <c r="O99" s="814"/>
      <c r="P99" s="814"/>
      <c r="Q99" s="814"/>
      <c r="R99" s="814"/>
      <c r="S99" s="814"/>
      <c r="T99" s="814"/>
      <c r="U99" s="814"/>
      <c r="V99" s="814"/>
      <c r="W99" s="814"/>
      <c r="X99" s="814"/>
      <c r="Y99" s="814"/>
      <c r="Z99" s="814"/>
      <c r="AA99" s="814"/>
      <c r="AB99" s="814"/>
      <c r="AC99" s="814"/>
      <c r="AD99" s="814"/>
      <c r="AE99" s="814"/>
      <c r="AF99" s="814"/>
      <c r="AG99" s="814"/>
      <c r="AH99" s="814"/>
      <c r="AI99" s="814"/>
      <c r="AJ99" s="814"/>
      <c r="AK99" s="814"/>
      <c r="AL99" s="814"/>
      <c r="AM99" s="841"/>
    </row>
    <row r="100" s="787" customFormat="1" ht="18" customHeight="1" spans="1:39">
      <c r="A100" s="810">
        <v>45467</v>
      </c>
      <c r="B100" s="811" t="s">
        <v>2980</v>
      </c>
      <c r="C100" s="813" t="s">
        <v>3094</v>
      </c>
      <c r="D100" s="813" t="s">
        <v>2989</v>
      </c>
      <c r="E100" s="813" t="s">
        <v>2982</v>
      </c>
      <c r="F100" s="813">
        <v>300</v>
      </c>
      <c r="G100" s="812" t="s">
        <v>2983</v>
      </c>
      <c r="H100" s="812" t="s">
        <v>16</v>
      </c>
      <c r="I100" s="813" t="s">
        <v>3003</v>
      </c>
      <c r="J100" s="814"/>
      <c r="K100" s="814"/>
      <c r="L100" s="814"/>
      <c r="M100" s="814"/>
      <c r="N100" s="814"/>
      <c r="O100" s="814"/>
      <c r="P100" s="814"/>
      <c r="Q100" s="814"/>
      <c r="R100" s="814"/>
      <c r="S100" s="814"/>
      <c r="T100" s="814"/>
      <c r="U100" s="814"/>
      <c r="V100" s="814"/>
      <c r="W100" s="814"/>
      <c r="X100" s="814"/>
      <c r="Y100" s="814"/>
      <c r="Z100" s="814"/>
      <c r="AA100" s="814"/>
      <c r="AB100" s="814">
        <v>300</v>
      </c>
      <c r="AC100" s="814"/>
      <c r="AD100" s="814"/>
      <c r="AE100" s="814"/>
      <c r="AF100" s="814"/>
      <c r="AG100" s="814"/>
      <c r="AH100" s="814"/>
      <c r="AI100" s="814"/>
      <c r="AJ100" s="814"/>
      <c r="AK100" s="814"/>
      <c r="AL100" s="814"/>
      <c r="AM100" s="841"/>
    </row>
    <row r="101" s="787" customFormat="1" ht="18" customHeight="1" spans="1:39">
      <c r="A101" s="810">
        <v>45470</v>
      </c>
      <c r="B101" s="811" t="s">
        <v>2980</v>
      </c>
      <c r="C101" s="813">
        <v>1000021371</v>
      </c>
      <c r="D101" s="813" t="s">
        <v>3095</v>
      </c>
      <c r="E101" s="813" t="s">
        <v>3034</v>
      </c>
      <c r="F101" s="813">
        <v>25560</v>
      </c>
      <c r="G101" s="812" t="s">
        <v>3096</v>
      </c>
      <c r="H101" s="812"/>
      <c r="I101" s="813" t="s">
        <v>2991</v>
      </c>
      <c r="J101" s="814"/>
      <c r="K101" s="814">
        <v>25560</v>
      </c>
      <c r="L101" s="814"/>
      <c r="M101" s="814"/>
      <c r="N101" s="814"/>
      <c r="O101" s="814"/>
      <c r="P101" s="814"/>
      <c r="Q101" s="814"/>
      <c r="R101" s="814"/>
      <c r="S101" s="814"/>
      <c r="T101" s="814"/>
      <c r="U101" s="814"/>
      <c r="V101" s="814"/>
      <c r="W101" s="814"/>
      <c r="X101" s="814"/>
      <c r="Y101" s="814"/>
      <c r="Z101" s="814"/>
      <c r="AA101" s="814"/>
      <c r="AB101" s="814"/>
      <c r="AC101" s="814"/>
      <c r="AD101" s="814"/>
      <c r="AE101" s="814"/>
      <c r="AF101" s="814"/>
      <c r="AG101" s="814"/>
      <c r="AH101" s="814"/>
      <c r="AI101" s="814"/>
      <c r="AJ101" s="814"/>
      <c r="AK101" s="814"/>
      <c r="AL101" s="814"/>
      <c r="AM101" s="1427" t="s">
        <v>3097</v>
      </c>
    </row>
    <row r="102" s="787" customFormat="1" ht="18" customHeight="1" spans="1:39">
      <c r="A102" s="810">
        <v>45470</v>
      </c>
      <c r="B102" s="811" t="s">
        <v>2980</v>
      </c>
      <c r="C102" s="813">
        <v>1000021372</v>
      </c>
      <c r="D102" s="813" t="s">
        <v>3095</v>
      </c>
      <c r="E102" s="813">
        <v>77486</v>
      </c>
      <c r="F102" s="813">
        <v>12780</v>
      </c>
      <c r="G102" s="812" t="s">
        <v>3030</v>
      </c>
      <c r="H102" s="812"/>
      <c r="I102" s="813" t="s">
        <v>3064</v>
      </c>
      <c r="J102" s="814"/>
      <c r="K102" s="814"/>
      <c r="L102" s="814"/>
      <c r="M102" s="814"/>
      <c r="N102" s="814"/>
      <c r="O102" s="814"/>
      <c r="P102" s="814"/>
      <c r="Q102" s="814"/>
      <c r="R102" s="814"/>
      <c r="S102" s="814"/>
      <c r="T102" s="814"/>
      <c r="U102" s="814"/>
      <c r="V102" s="814"/>
      <c r="W102" s="814"/>
      <c r="X102" s="814"/>
      <c r="Y102" s="814"/>
      <c r="Z102" s="814"/>
      <c r="AA102" s="814"/>
      <c r="AB102" s="814"/>
      <c r="AC102" s="814"/>
      <c r="AD102" s="814"/>
      <c r="AE102" s="814"/>
      <c r="AF102" s="814">
        <v>12780</v>
      </c>
      <c r="AG102" s="814"/>
      <c r="AH102" s="814"/>
      <c r="AI102" s="814"/>
      <c r="AJ102" s="814"/>
      <c r="AK102" s="814"/>
      <c r="AL102" s="814"/>
      <c r="AM102" s="1427" t="s">
        <v>3097</v>
      </c>
    </row>
    <row r="103" s="787" customFormat="1" ht="18" customHeight="1" spans="1:39">
      <c r="A103" s="810">
        <v>45470</v>
      </c>
      <c r="B103" s="811" t="s">
        <v>2980</v>
      </c>
      <c r="C103" s="813">
        <v>1000021373</v>
      </c>
      <c r="D103" s="813" t="s">
        <v>3095</v>
      </c>
      <c r="E103" s="813">
        <v>77486</v>
      </c>
      <c r="F103" s="813">
        <v>12780</v>
      </c>
      <c r="G103" s="812" t="s">
        <v>3032</v>
      </c>
      <c r="H103" s="812"/>
      <c r="I103" s="813" t="s">
        <v>3003</v>
      </c>
      <c r="J103" s="814"/>
      <c r="K103" s="814"/>
      <c r="L103" s="814"/>
      <c r="M103" s="814"/>
      <c r="N103" s="814"/>
      <c r="O103" s="814"/>
      <c r="P103" s="814"/>
      <c r="Q103" s="814"/>
      <c r="R103" s="814"/>
      <c r="S103" s="814"/>
      <c r="T103" s="814"/>
      <c r="U103" s="814"/>
      <c r="V103" s="814"/>
      <c r="W103" s="814"/>
      <c r="X103" s="814"/>
      <c r="Y103" s="814"/>
      <c r="Z103" s="814"/>
      <c r="AA103" s="814"/>
      <c r="AB103" s="814"/>
      <c r="AC103" s="814"/>
      <c r="AD103" s="814"/>
      <c r="AE103" s="814"/>
      <c r="AF103" s="814"/>
      <c r="AG103" s="814">
        <v>12780</v>
      </c>
      <c r="AH103" s="814"/>
      <c r="AI103" s="814"/>
      <c r="AJ103" s="814"/>
      <c r="AK103" s="814"/>
      <c r="AL103" s="814"/>
      <c r="AM103" s="1427" t="s">
        <v>3097</v>
      </c>
    </row>
    <row r="104" s="787" customFormat="1" ht="18" customHeight="1" spans="1:39">
      <c r="A104" s="810">
        <v>45470</v>
      </c>
      <c r="B104" s="811" t="s">
        <v>2980</v>
      </c>
      <c r="C104" s="813">
        <v>1000021374</v>
      </c>
      <c r="D104" s="813" t="s">
        <v>3095</v>
      </c>
      <c r="E104" s="813">
        <v>77486</v>
      </c>
      <c r="F104" s="813">
        <v>12780</v>
      </c>
      <c r="G104" s="812" t="s">
        <v>3066</v>
      </c>
      <c r="H104" s="812"/>
      <c r="I104" s="813" t="s">
        <v>3064</v>
      </c>
      <c r="J104" s="814"/>
      <c r="K104" s="814"/>
      <c r="L104" s="814"/>
      <c r="M104" s="814"/>
      <c r="N104" s="814"/>
      <c r="O104" s="814"/>
      <c r="P104" s="814"/>
      <c r="Q104" s="814"/>
      <c r="R104" s="814"/>
      <c r="S104" s="814"/>
      <c r="T104" s="814"/>
      <c r="U104" s="814"/>
      <c r="V104" s="814"/>
      <c r="W104" s="814"/>
      <c r="X104" s="814"/>
      <c r="Y104" s="814"/>
      <c r="Z104" s="814"/>
      <c r="AA104" s="814"/>
      <c r="AB104" s="814"/>
      <c r="AC104" s="814"/>
      <c r="AD104" s="814"/>
      <c r="AE104" s="814"/>
      <c r="AF104" s="814"/>
      <c r="AG104" s="814"/>
      <c r="AH104" s="814">
        <v>12780</v>
      </c>
      <c r="AI104" s="814"/>
      <c r="AJ104" s="814"/>
      <c r="AK104" s="814"/>
      <c r="AL104" s="814"/>
      <c r="AM104" s="1427" t="s">
        <v>3097</v>
      </c>
    </row>
    <row r="105" s="787" customFormat="1" ht="18" customHeight="1" spans="1:39">
      <c r="A105" s="810">
        <v>45475</v>
      </c>
      <c r="B105" s="811" t="s">
        <v>2980</v>
      </c>
      <c r="C105" s="813" t="s">
        <v>3092</v>
      </c>
      <c r="D105" s="813" t="s">
        <v>3043</v>
      </c>
      <c r="E105" s="813">
        <v>77485</v>
      </c>
      <c r="F105" s="813">
        <v>20000</v>
      </c>
      <c r="G105" s="812" t="s">
        <v>2990</v>
      </c>
      <c r="H105" s="812" t="s">
        <v>3044</v>
      </c>
      <c r="I105" s="813" t="s">
        <v>3003</v>
      </c>
      <c r="J105" s="814"/>
      <c r="K105" s="814"/>
      <c r="L105" s="814"/>
      <c r="M105" s="814">
        <v>20000</v>
      </c>
      <c r="N105" s="814"/>
      <c r="O105" s="814"/>
      <c r="P105" s="814"/>
      <c r="Q105" s="814"/>
      <c r="R105" s="814"/>
      <c r="S105" s="814"/>
      <c r="T105" s="814"/>
      <c r="U105" s="814"/>
      <c r="V105" s="814"/>
      <c r="W105" s="814"/>
      <c r="X105" s="814"/>
      <c r="Y105" s="814"/>
      <c r="Z105" s="814"/>
      <c r="AA105" s="814"/>
      <c r="AB105" s="814"/>
      <c r="AC105" s="814"/>
      <c r="AD105" s="814"/>
      <c r="AE105" s="814"/>
      <c r="AF105" s="814"/>
      <c r="AG105" s="814"/>
      <c r="AH105" s="814"/>
      <c r="AI105" s="814"/>
      <c r="AJ105" s="814"/>
      <c r="AK105" s="814"/>
      <c r="AL105" s="814"/>
      <c r="AM105" s="841"/>
    </row>
    <row r="106" s="787" customFormat="1" ht="18" customHeight="1" spans="1:39">
      <c r="A106" s="810">
        <v>45475</v>
      </c>
      <c r="B106" s="811" t="s">
        <v>2980</v>
      </c>
      <c r="C106" s="813" t="s">
        <v>3098</v>
      </c>
      <c r="D106" s="813" t="s">
        <v>3043</v>
      </c>
      <c r="E106" s="813">
        <v>77485</v>
      </c>
      <c r="F106" s="813">
        <v>60000</v>
      </c>
      <c r="G106" s="812" t="s">
        <v>2993</v>
      </c>
      <c r="H106" s="812" t="s">
        <v>3047</v>
      </c>
      <c r="I106" s="813" t="s">
        <v>2994</v>
      </c>
      <c r="J106" s="814"/>
      <c r="K106" s="814"/>
      <c r="L106" s="814"/>
      <c r="M106" s="814"/>
      <c r="N106" s="814">
        <v>60000</v>
      </c>
      <c r="O106" s="814"/>
      <c r="P106" s="814"/>
      <c r="Q106" s="814"/>
      <c r="R106" s="814"/>
      <c r="S106" s="814"/>
      <c r="T106" s="814"/>
      <c r="U106" s="814"/>
      <c r="V106" s="814"/>
      <c r="W106" s="814"/>
      <c r="X106" s="814"/>
      <c r="Y106" s="814"/>
      <c r="Z106" s="814"/>
      <c r="AA106" s="814"/>
      <c r="AB106" s="814"/>
      <c r="AC106" s="814"/>
      <c r="AD106" s="814"/>
      <c r="AE106" s="814"/>
      <c r="AF106" s="814"/>
      <c r="AG106" s="814"/>
      <c r="AH106" s="814"/>
      <c r="AI106" s="814"/>
      <c r="AJ106" s="814"/>
      <c r="AK106" s="814"/>
      <c r="AL106" s="814"/>
      <c r="AM106" s="841"/>
    </row>
    <row r="107" s="787" customFormat="1" ht="18" customHeight="1" spans="1:39">
      <c r="A107" s="810">
        <v>45475</v>
      </c>
      <c r="B107" s="811" t="s">
        <v>2980</v>
      </c>
      <c r="C107" s="813" t="s">
        <v>3099</v>
      </c>
      <c r="D107" s="813" t="s">
        <v>3043</v>
      </c>
      <c r="E107" s="813" t="s">
        <v>3049</v>
      </c>
      <c r="F107" s="813">
        <v>1000</v>
      </c>
      <c r="G107" s="812" t="s">
        <v>2997</v>
      </c>
      <c r="H107" s="812" t="s">
        <v>16</v>
      </c>
      <c r="I107" s="813" t="s">
        <v>2991</v>
      </c>
      <c r="J107" s="814"/>
      <c r="K107" s="814"/>
      <c r="L107" s="814"/>
      <c r="M107" s="814"/>
      <c r="N107" s="814"/>
      <c r="O107" s="814"/>
      <c r="P107" s="814"/>
      <c r="Q107" s="814"/>
      <c r="R107" s="814"/>
      <c r="S107" s="814"/>
      <c r="T107" s="814"/>
      <c r="U107" s="814"/>
      <c r="V107" s="814">
        <v>1000</v>
      </c>
      <c r="W107" s="814"/>
      <c r="X107" s="814"/>
      <c r="Y107" s="814"/>
      <c r="Z107" s="814"/>
      <c r="AA107" s="814"/>
      <c r="AB107" s="814"/>
      <c r="AC107" s="814"/>
      <c r="AD107" s="814"/>
      <c r="AE107" s="814"/>
      <c r="AF107" s="814"/>
      <c r="AG107" s="814"/>
      <c r="AH107" s="814"/>
      <c r="AI107" s="814"/>
      <c r="AJ107" s="814"/>
      <c r="AK107" s="814"/>
      <c r="AL107" s="814"/>
      <c r="AM107" s="841"/>
    </row>
    <row r="108" s="787" customFormat="1" ht="18" customHeight="1" spans="1:39">
      <c r="A108" s="810">
        <v>45475</v>
      </c>
      <c r="B108" s="811" t="s">
        <v>2980</v>
      </c>
      <c r="C108" s="813" t="s">
        <v>3100</v>
      </c>
      <c r="D108" s="813" t="s">
        <v>3043</v>
      </c>
      <c r="E108" s="813" t="s">
        <v>3052</v>
      </c>
      <c r="F108" s="813">
        <v>500</v>
      </c>
      <c r="G108" s="812" t="s">
        <v>2997</v>
      </c>
      <c r="H108" s="812" t="s">
        <v>16</v>
      </c>
      <c r="I108" s="813" t="s">
        <v>2991</v>
      </c>
      <c r="J108" s="814"/>
      <c r="K108" s="814"/>
      <c r="L108" s="814"/>
      <c r="M108" s="814"/>
      <c r="N108" s="814"/>
      <c r="O108" s="814"/>
      <c r="P108" s="814"/>
      <c r="Q108" s="814"/>
      <c r="R108" s="814"/>
      <c r="S108" s="814"/>
      <c r="T108" s="814"/>
      <c r="U108" s="814"/>
      <c r="V108" s="814"/>
      <c r="W108" s="814"/>
      <c r="X108" s="814">
        <v>500</v>
      </c>
      <c r="Y108" s="814"/>
      <c r="Z108" s="814"/>
      <c r="AA108" s="814"/>
      <c r="AB108" s="814"/>
      <c r="AC108" s="814"/>
      <c r="AD108" s="814"/>
      <c r="AE108" s="814"/>
      <c r="AF108" s="814"/>
      <c r="AG108" s="814"/>
      <c r="AH108" s="814"/>
      <c r="AI108" s="814"/>
      <c r="AJ108" s="814"/>
      <c r="AK108" s="814"/>
      <c r="AL108" s="814"/>
      <c r="AM108" s="841"/>
    </row>
    <row r="109" s="787" customFormat="1" ht="18" customHeight="1" spans="1:39">
      <c r="A109" s="810">
        <v>45475</v>
      </c>
      <c r="B109" s="811" t="s">
        <v>2980</v>
      </c>
      <c r="C109" s="813" t="s">
        <v>3101</v>
      </c>
      <c r="D109" s="813" t="s">
        <v>3043</v>
      </c>
      <c r="E109" s="813" t="s">
        <v>3052</v>
      </c>
      <c r="F109" s="813">
        <v>600</v>
      </c>
      <c r="G109" s="812" t="s">
        <v>2997</v>
      </c>
      <c r="H109" s="812" t="s">
        <v>16</v>
      </c>
      <c r="I109" s="813" t="s">
        <v>3003</v>
      </c>
      <c r="J109" s="814"/>
      <c r="K109" s="814"/>
      <c r="L109" s="814"/>
      <c r="M109" s="814"/>
      <c r="N109" s="814"/>
      <c r="O109" s="814"/>
      <c r="P109" s="814"/>
      <c r="Q109" s="814"/>
      <c r="R109" s="814"/>
      <c r="S109" s="814"/>
      <c r="T109" s="814"/>
      <c r="U109" s="814"/>
      <c r="V109" s="814"/>
      <c r="W109" s="814"/>
      <c r="X109" s="814"/>
      <c r="Y109" s="814">
        <v>600</v>
      </c>
      <c r="Z109" s="814"/>
      <c r="AA109" s="814"/>
      <c r="AB109" s="814"/>
      <c r="AC109" s="814"/>
      <c r="AD109" s="814"/>
      <c r="AE109" s="814"/>
      <c r="AF109" s="814"/>
      <c r="AG109" s="814"/>
      <c r="AH109" s="814"/>
      <c r="AI109" s="814"/>
      <c r="AJ109" s="814"/>
      <c r="AK109" s="814"/>
      <c r="AL109" s="814"/>
      <c r="AM109" s="841"/>
    </row>
    <row r="110" s="787" customFormat="1" ht="18" customHeight="1" spans="1:39">
      <c r="A110" s="810"/>
      <c r="B110" s="811" t="s">
        <v>2980</v>
      </c>
      <c r="C110" s="813" t="s">
        <v>3102</v>
      </c>
      <c r="D110" s="813" t="s">
        <v>3103</v>
      </c>
      <c r="E110" s="813" t="s">
        <v>2996</v>
      </c>
      <c r="F110" s="813">
        <v>790</v>
      </c>
      <c r="G110" s="812" t="s">
        <v>2997</v>
      </c>
      <c r="H110" s="812" t="s">
        <v>16</v>
      </c>
      <c r="I110" s="813" t="s">
        <v>3003</v>
      </c>
      <c r="J110" s="814"/>
      <c r="K110" s="814"/>
      <c r="L110" s="814"/>
      <c r="M110" s="814"/>
      <c r="N110" s="814"/>
      <c r="O110" s="814"/>
      <c r="P110" s="814"/>
      <c r="Q110" s="814">
        <v>790</v>
      </c>
      <c r="R110" s="814"/>
      <c r="S110" s="814"/>
      <c r="T110" s="814"/>
      <c r="U110" s="814"/>
      <c r="V110" s="814"/>
      <c r="W110" s="814"/>
      <c r="X110" s="814"/>
      <c r="Y110" s="814"/>
      <c r="Z110" s="814"/>
      <c r="AA110" s="814"/>
      <c r="AB110" s="814"/>
      <c r="AC110" s="814"/>
      <c r="AD110" s="814"/>
      <c r="AE110" s="814"/>
      <c r="AF110" s="814"/>
      <c r="AG110" s="814"/>
      <c r="AH110" s="814"/>
      <c r="AI110" s="814"/>
      <c r="AJ110" s="814"/>
      <c r="AK110" s="814"/>
      <c r="AL110" s="814"/>
      <c r="AM110" s="841"/>
    </row>
    <row r="111" s="787" customFormat="1" ht="18" customHeight="1" spans="1:39">
      <c r="A111" s="810">
        <v>45475</v>
      </c>
      <c r="B111" s="811" t="s">
        <v>2980</v>
      </c>
      <c r="C111" s="813">
        <v>1000021525</v>
      </c>
      <c r="D111" s="813" t="s">
        <v>3095</v>
      </c>
      <c r="E111" s="813" t="s">
        <v>3034</v>
      </c>
      <c r="F111" s="813">
        <v>6000</v>
      </c>
      <c r="G111" s="812" t="s">
        <v>3096</v>
      </c>
      <c r="H111" s="812"/>
      <c r="I111" s="813" t="s">
        <v>2991</v>
      </c>
      <c r="J111" s="814"/>
      <c r="K111" s="814">
        <v>6000</v>
      </c>
      <c r="L111" s="814"/>
      <c r="M111" s="814"/>
      <c r="N111" s="814"/>
      <c r="O111" s="814"/>
      <c r="P111" s="814"/>
      <c r="Q111" s="814"/>
      <c r="R111" s="814"/>
      <c r="S111" s="814"/>
      <c r="T111" s="814"/>
      <c r="U111" s="814"/>
      <c r="V111" s="814"/>
      <c r="W111" s="814"/>
      <c r="X111" s="814"/>
      <c r="Y111" s="814"/>
      <c r="Z111" s="814"/>
      <c r="AA111" s="814"/>
      <c r="AB111" s="814"/>
      <c r="AC111" s="814"/>
      <c r="AD111" s="814"/>
      <c r="AE111" s="814"/>
      <c r="AF111" s="814"/>
      <c r="AG111" s="814"/>
      <c r="AH111" s="814"/>
      <c r="AI111" s="814"/>
      <c r="AJ111" s="814"/>
      <c r="AK111" s="814"/>
      <c r="AL111" s="814"/>
      <c r="AM111" s="1427" t="s">
        <v>3104</v>
      </c>
    </row>
    <row r="112" s="787" customFormat="1" ht="18" customHeight="1" spans="1:39">
      <c r="A112" s="810">
        <v>45475</v>
      </c>
      <c r="B112" s="811" t="s">
        <v>2980</v>
      </c>
      <c r="C112" s="813">
        <v>1000021526</v>
      </c>
      <c r="D112" s="813" t="s">
        <v>3095</v>
      </c>
      <c r="E112" s="813">
        <v>77486</v>
      </c>
      <c r="F112" s="813">
        <v>3000</v>
      </c>
      <c r="G112" s="812" t="s">
        <v>3030</v>
      </c>
      <c r="H112" s="812"/>
      <c r="I112" s="813" t="s">
        <v>3064</v>
      </c>
      <c r="J112" s="814"/>
      <c r="K112" s="814"/>
      <c r="L112" s="814"/>
      <c r="M112" s="814"/>
      <c r="N112" s="814"/>
      <c r="O112" s="814"/>
      <c r="P112" s="814"/>
      <c r="Q112" s="814"/>
      <c r="R112" s="814"/>
      <c r="S112" s="814"/>
      <c r="T112" s="814"/>
      <c r="U112" s="814"/>
      <c r="V112" s="814"/>
      <c r="W112" s="814"/>
      <c r="X112" s="814"/>
      <c r="Y112" s="814"/>
      <c r="Z112" s="814"/>
      <c r="AA112" s="814"/>
      <c r="AB112" s="814"/>
      <c r="AC112" s="814"/>
      <c r="AD112" s="814"/>
      <c r="AE112" s="814"/>
      <c r="AF112" s="814">
        <v>3000</v>
      </c>
      <c r="AG112" s="814"/>
      <c r="AH112" s="814"/>
      <c r="AI112" s="814"/>
      <c r="AJ112" s="814"/>
      <c r="AK112" s="814"/>
      <c r="AL112" s="814"/>
      <c r="AM112" s="1427" t="s">
        <v>3104</v>
      </c>
    </row>
    <row r="113" s="787" customFormat="1" ht="18" customHeight="1" spans="1:39">
      <c r="A113" s="810">
        <v>45475</v>
      </c>
      <c r="B113" s="811" t="s">
        <v>2980</v>
      </c>
      <c r="C113" s="813">
        <v>1000021527</v>
      </c>
      <c r="D113" s="813" t="s">
        <v>3095</v>
      </c>
      <c r="E113" s="813">
        <v>77486</v>
      </c>
      <c r="F113" s="813">
        <v>3000</v>
      </c>
      <c r="G113" s="812" t="s">
        <v>3032</v>
      </c>
      <c r="H113" s="812"/>
      <c r="I113" s="813" t="s">
        <v>3003</v>
      </c>
      <c r="J113" s="814"/>
      <c r="K113" s="814"/>
      <c r="L113" s="814"/>
      <c r="M113" s="814"/>
      <c r="N113" s="814"/>
      <c r="O113" s="814"/>
      <c r="P113" s="814"/>
      <c r="Q113" s="814"/>
      <c r="R113" s="814"/>
      <c r="S113" s="814"/>
      <c r="T113" s="814"/>
      <c r="U113" s="814"/>
      <c r="V113" s="814"/>
      <c r="W113" s="814"/>
      <c r="X113" s="814"/>
      <c r="Y113" s="814"/>
      <c r="Z113" s="814"/>
      <c r="AA113" s="814"/>
      <c r="AB113" s="814"/>
      <c r="AC113" s="814"/>
      <c r="AD113" s="814"/>
      <c r="AE113" s="814"/>
      <c r="AF113" s="814"/>
      <c r="AG113" s="814">
        <v>3000</v>
      </c>
      <c r="AH113" s="814"/>
      <c r="AI113" s="814"/>
      <c r="AJ113" s="814"/>
      <c r="AK113" s="814"/>
      <c r="AL113" s="814"/>
      <c r="AM113" s="1427" t="s">
        <v>3104</v>
      </c>
    </row>
    <row r="114" s="787" customFormat="1" ht="18" customHeight="1" spans="1:39">
      <c r="A114" s="810">
        <v>45475</v>
      </c>
      <c r="B114" s="811" t="s">
        <v>2980</v>
      </c>
      <c r="C114" s="813">
        <v>1000021528</v>
      </c>
      <c r="D114" s="813" t="s">
        <v>3095</v>
      </c>
      <c r="E114" s="813">
        <v>77486</v>
      </c>
      <c r="F114" s="813">
        <v>3000</v>
      </c>
      <c r="G114" s="812" t="s">
        <v>3066</v>
      </c>
      <c r="H114" s="812"/>
      <c r="I114" s="813" t="s">
        <v>3064</v>
      </c>
      <c r="J114" s="814"/>
      <c r="K114" s="814"/>
      <c r="L114" s="814"/>
      <c r="M114" s="814"/>
      <c r="N114" s="814"/>
      <c r="O114" s="814"/>
      <c r="P114" s="814"/>
      <c r="Q114" s="814"/>
      <c r="R114" s="814"/>
      <c r="S114" s="814"/>
      <c r="T114" s="814"/>
      <c r="U114" s="814"/>
      <c r="V114" s="814"/>
      <c r="W114" s="814"/>
      <c r="X114" s="814"/>
      <c r="Y114" s="814"/>
      <c r="Z114" s="814"/>
      <c r="AA114" s="814"/>
      <c r="AB114" s="814"/>
      <c r="AC114" s="814"/>
      <c r="AD114" s="814"/>
      <c r="AE114" s="814"/>
      <c r="AF114" s="814"/>
      <c r="AG114" s="814"/>
      <c r="AH114" s="814">
        <v>3000</v>
      </c>
      <c r="AI114" s="814"/>
      <c r="AJ114" s="814"/>
      <c r="AK114" s="814"/>
      <c r="AL114" s="814"/>
      <c r="AM114" s="1427" t="s">
        <v>3104</v>
      </c>
    </row>
    <row r="115" s="787" customFormat="1" ht="18" customHeight="1" spans="1:39">
      <c r="A115" s="810">
        <v>45484</v>
      </c>
      <c r="B115" s="811" t="s">
        <v>2980</v>
      </c>
      <c r="C115" s="813">
        <v>17006693</v>
      </c>
      <c r="D115" s="813"/>
      <c r="E115" s="813">
        <v>77486</v>
      </c>
      <c r="F115" s="813">
        <v>7680</v>
      </c>
      <c r="G115" s="812" t="s">
        <v>3030</v>
      </c>
      <c r="H115" s="812"/>
      <c r="I115" s="813" t="s">
        <v>3064</v>
      </c>
      <c r="J115" s="814"/>
      <c r="K115" s="814"/>
      <c r="L115" s="814"/>
      <c r="M115" s="814"/>
      <c r="N115" s="814"/>
      <c r="O115" s="814"/>
      <c r="P115" s="814"/>
      <c r="Q115" s="814"/>
      <c r="R115" s="814"/>
      <c r="S115" s="814"/>
      <c r="T115" s="814"/>
      <c r="U115" s="814"/>
      <c r="V115" s="814"/>
      <c r="W115" s="814"/>
      <c r="X115" s="814"/>
      <c r="Y115" s="814"/>
      <c r="Z115" s="814"/>
      <c r="AA115" s="814"/>
      <c r="AB115" s="814"/>
      <c r="AC115" s="814"/>
      <c r="AD115" s="814"/>
      <c r="AE115" s="814"/>
      <c r="AF115" s="814">
        <v>7680</v>
      </c>
      <c r="AG115" s="814"/>
      <c r="AH115" s="814"/>
      <c r="AI115" s="814"/>
      <c r="AJ115" s="814"/>
      <c r="AK115" s="814"/>
      <c r="AL115" s="814"/>
      <c r="AM115" s="1427" t="s">
        <v>3105</v>
      </c>
    </row>
    <row r="116" s="787" customFormat="1" ht="18" customHeight="1" spans="1:39">
      <c r="A116" s="810">
        <v>45484</v>
      </c>
      <c r="B116" s="811" t="s">
        <v>2980</v>
      </c>
      <c r="C116" s="813" t="s">
        <v>3092</v>
      </c>
      <c r="D116" s="813"/>
      <c r="E116" s="813">
        <v>77486</v>
      </c>
      <c r="F116" s="813">
        <v>7680</v>
      </c>
      <c r="G116" s="812" t="s">
        <v>3032</v>
      </c>
      <c r="H116" s="812"/>
      <c r="I116" s="813" t="s">
        <v>2991</v>
      </c>
      <c r="J116" s="814"/>
      <c r="K116" s="814"/>
      <c r="L116" s="814"/>
      <c r="M116" s="814"/>
      <c r="N116" s="814"/>
      <c r="O116" s="814"/>
      <c r="P116" s="814"/>
      <c r="Q116" s="814"/>
      <c r="R116" s="814"/>
      <c r="S116" s="814"/>
      <c r="T116" s="814"/>
      <c r="U116" s="814"/>
      <c r="V116" s="814"/>
      <c r="W116" s="814"/>
      <c r="X116" s="814"/>
      <c r="Y116" s="814"/>
      <c r="Z116" s="814"/>
      <c r="AA116" s="814"/>
      <c r="AB116" s="814"/>
      <c r="AC116" s="814"/>
      <c r="AD116" s="814"/>
      <c r="AE116" s="814"/>
      <c r="AF116" s="814"/>
      <c r="AG116" s="814">
        <v>7680</v>
      </c>
      <c r="AH116" s="814"/>
      <c r="AI116" s="814"/>
      <c r="AJ116" s="814"/>
      <c r="AK116" s="814"/>
      <c r="AL116" s="814"/>
      <c r="AM116" s="1427" t="s">
        <v>3105</v>
      </c>
    </row>
    <row r="117" s="787" customFormat="1" ht="18" customHeight="1" spans="1:39">
      <c r="A117" s="810">
        <v>45484</v>
      </c>
      <c r="B117" s="811" t="s">
        <v>2980</v>
      </c>
      <c r="C117" s="813">
        <v>17006695</v>
      </c>
      <c r="D117" s="813"/>
      <c r="E117" s="813">
        <v>77486</v>
      </c>
      <c r="F117" s="813">
        <v>7680</v>
      </c>
      <c r="G117" s="812" t="s">
        <v>3066</v>
      </c>
      <c r="H117" s="812"/>
      <c r="I117" s="813" t="s">
        <v>3064</v>
      </c>
      <c r="J117" s="814"/>
      <c r="K117" s="814"/>
      <c r="L117" s="814"/>
      <c r="M117" s="814"/>
      <c r="N117" s="814"/>
      <c r="O117" s="814"/>
      <c r="P117" s="814"/>
      <c r="Q117" s="814"/>
      <c r="R117" s="814"/>
      <c r="S117" s="814"/>
      <c r="T117" s="814"/>
      <c r="U117" s="814"/>
      <c r="V117" s="814"/>
      <c r="W117" s="814"/>
      <c r="X117" s="814"/>
      <c r="Y117" s="814"/>
      <c r="Z117" s="814"/>
      <c r="AA117" s="814"/>
      <c r="AB117" s="814"/>
      <c r="AC117" s="814"/>
      <c r="AD117" s="814"/>
      <c r="AE117" s="814"/>
      <c r="AF117" s="814"/>
      <c r="AG117" s="814"/>
      <c r="AH117" s="814">
        <v>7680</v>
      </c>
      <c r="AI117" s="814"/>
      <c r="AJ117" s="814"/>
      <c r="AK117" s="814"/>
      <c r="AL117" s="814"/>
      <c r="AM117" s="1427" t="s">
        <v>3105</v>
      </c>
    </row>
    <row r="118" s="787" customFormat="1" ht="18" customHeight="1" spans="1:39">
      <c r="A118" s="810">
        <v>45490</v>
      </c>
      <c r="B118" s="811" t="s">
        <v>2980</v>
      </c>
      <c r="C118" s="813" t="s">
        <v>3092</v>
      </c>
      <c r="D118" s="813" t="s">
        <v>3043</v>
      </c>
      <c r="E118" s="813">
        <v>77485</v>
      </c>
      <c r="F118" s="813">
        <v>50000</v>
      </c>
      <c r="G118" s="812" t="s">
        <v>2990</v>
      </c>
      <c r="H118" s="812" t="s">
        <v>3044</v>
      </c>
      <c r="I118" s="813" t="s">
        <v>2991</v>
      </c>
      <c r="J118" s="814">
        <v>50000</v>
      </c>
      <c r="K118" s="814"/>
      <c r="L118" s="814"/>
      <c r="M118" s="814"/>
      <c r="N118" s="814"/>
      <c r="O118" s="814"/>
      <c r="P118" s="814"/>
      <c r="Q118" s="814"/>
      <c r="R118" s="814"/>
      <c r="S118" s="814"/>
      <c r="T118" s="814"/>
      <c r="U118" s="814"/>
      <c r="V118" s="814"/>
      <c r="W118" s="814"/>
      <c r="X118" s="814"/>
      <c r="Y118" s="814"/>
      <c r="Z118" s="814"/>
      <c r="AA118" s="814"/>
      <c r="AB118" s="814"/>
      <c r="AC118" s="814"/>
      <c r="AD118" s="814"/>
      <c r="AE118" s="814"/>
      <c r="AF118" s="814"/>
      <c r="AG118" s="814"/>
      <c r="AH118" s="814"/>
      <c r="AI118" s="814"/>
      <c r="AJ118" s="814"/>
      <c r="AK118" s="814"/>
      <c r="AL118" s="814"/>
      <c r="AM118" s="841"/>
    </row>
    <row r="119" s="787" customFormat="1" ht="18" customHeight="1" spans="1:39">
      <c r="A119" s="810">
        <v>45490</v>
      </c>
      <c r="B119" s="811" t="s">
        <v>2980</v>
      </c>
      <c r="C119" s="813" t="s">
        <v>3106</v>
      </c>
      <c r="D119" s="813" t="s">
        <v>3043</v>
      </c>
      <c r="E119" s="813">
        <v>77485</v>
      </c>
      <c r="F119" s="813">
        <v>50000</v>
      </c>
      <c r="G119" s="812" t="s">
        <v>2993</v>
      </c>
      <c r="H119" s="812" t="s">
        <v>3047</v>
      </c>
      <c r="I119" s="813" t="s">
        <v>2994</v>
      </c>
      <c r="J119" s="814"/>
      <c r="K119" s="814"/>
      <c r="L119" s="814"/>
      <c r="M119" s="814"/>
      <c r="N119" s="814">
        <v>50000</v>
      </c>
      <c r="O119" s="814"/>
      <c r="P119" s="814"/>
      <c r="Q119" s="814"/>
      <c r="R119" s="814"/>
      <c r="S119" s="814"/>
      <c r="T119" s="814"/>
      <c r="U119" s="814"/>
      <c r="V119" s="814"/>
      <c r="W119" s="814"/>
      <c r="X119" s="814"/>
      <c r="Y119" s="814"/>
      <c r="Z119" s="814"/>
      <c r="AA119" s="814"/>
      <c r="AB119" s="814"/>
      <c r="AC119" s="814"/>
      <c r="AD119" s="814"/>
      <c r="AE119" s="814"/>
      <c r="AF119" s="814"/>
      <c r="AG119" s="814"/>
      <c r="AH119" s="814"/>
      <c r="AI119" s="814"/>
      <c r="AJ119" s="814"/>
      <c r="AK119" s="814"/>
      <c r="AL119" s="814"/>
      <c r="AM119" s="841"/>
    </row>
    <row r="120" s="787" customFormat="1" ht="18" customHeight="1" spans="1:39">
      <c r="A120" s="810">
        <v>45499</v>
      </c>
      <c r="B120" s="811" t="s">
        <v>2980</v>
      </c>
      <c r="C120" s="813" t="s">
        <v>3092</v>
      </c>
      <c r="D120" s="813" t="s">
        <v>3043</v>
      </c>
      <c r="E120" s="813">
        <v>77485</v>
      </c>
      <c r="F120" s="813">
        <v>100000</v>
      </c>
      <c r="G120" s="812" t="s">
        <v>2990</v>
      </c>
      <c r="H120" s="812" t="s">
        <v>3044</v>
      </c>
      <c r="I120" s="813" t="s">
        <v>2991</v>
      </c>
      <c r="J120" s="814">
        <v>100000</v>
      </c>
      <c r="K120" s="814"/>
      <c r="L120" s="814"/>
      <c r="M120" s="814"/>
      <c r="N120" s="814"/>
      <c r="O120" s="814"/>
      <c r="P120" s="814"/>
      <c r="Q120" s="814"/>
      <c r="R120" s="814"/>
      <c r="S120" s="814"/>
      <c r="T120" s="814"/>
      <c r="U120" s="814"/>
      <c r="V120" s="814"/>
      <c r="W120" s="814"/>
      <c r="X120" s="814"/>
      <c r="Y120" s="814"/>
      <c r="Z120" s="814"/>
      <c r="AA120" s="814"/>
      <c r="AB120" s="814"/>
      <c r="AC120" s="814"/>
      <c r="AD120" s="814"/>
      <c r="AE120" s="814"/>
      <c r="AF120" s="814"/>
      <c r="AG120" s="814"/>
      <c r="AH120" s="814"/>
      <c r="AI120" s="814"/>
      <c r="AJ120" s="814"/>
      <c r="AK120" s="814"/>
      <c r="AL120" s="814"/>
      <c r="AM120" s="841"/>
    </row>
    <row r="121" s="787" customFormat="1" ht="18" customHeight="1" spans="1:39">
      <c r="A121" s="810">
        <v>45499</v>
      </c>
      <c r="B121" s="811" t="s">
        <v>2980</v>
      </c>
      <c r="C121" s="813" t="s">
        <v>3107</v>
      </c>
      <c r="D121" s="813" t="s">
        <v>3043</v>
      </c>
      <c r="E121" s="813">
        <v>77485</v>
      </c>
      <c r="F121" s="813">
        <v>150000</v>
      </c>
      <c r="G121" s="812" t="s">
        <v>2993</v>
      </c>
      <c r="H121" s="812" t="s">
        <v>3047</v>
      </c>
      <c r="I121" s="813" t="s">
        <v>2994</v>
      </c>
      <c r="J121" s="814"/>
      <c r="K121" s="814"/>
      <c r="L121" s="814"/>
      <c r="M121" s="814"/>
      <c r="N121" s="814">
        <v>150000</v>
      </c>
      <c r="O121" s="814"/>
      <c r="P121" s="814"/>
      <c r="Q121" s="814"/>
      <c r="R121" s="814"/>
      <c r="S121" s="814"/>
      <c r="T121" s="814"/>
      <c r="U121" s="814"/>
      <c r="V121" s="814"/>
      <c r="W121" s="814"/>
      <c r="X121" s="814"/>
      <c r="Y121" s="814"/>
      <c r="Z121" s="814"/>
      <c r="AA121" s="814"/>
      <c r="AB121" s="814"/>
      <c r="AC121" s="814"/>
      <c r="AD121" s="814"/>
      <c r="AE121" s="814"/>
      <c r="AF121" s="814"/>
      <c r="AG121" s="814"/>
      <c r="AH121" s="814"/>
      <c r="AI121" s="814"/>
      <c r="AJ121" s="814"/>
      <c r="AK121" s="814"/>
      <c r="AL121" s="814"/>
      <c r="AM121" s="841"/>
    </row>
    <row r="122" s="787" customFormat="1" ht="18" customHeight="1" spans="1:39">
      <c r="A122" s="810">
        <v>45499</v>
      </c>
      <c r="B122" s="811" t="s">
        <v>2980</v>
      </c>
      <c r="C122" s="813" t="s">
        <v>3108</v>
      </c>
      <c r="D122" s="813" t="s">
        <v>3043</v>
      </c>
      <c r="E122" s="813" t="s">
        <v>3049</v>
      </c>
      <c r="F122" s="813">
        <v>500</v>
      </c>
      <c r="G122" s="812" t="s">
        <v>2997</v>
      </c>
      <c r="H122" s="812" t="s">
        <v>16</v>
      </c>
      <c r="I122" s="813" t="s">
        <v>2991</v>
      </c>
      <c r="J122" s="814"/>
      <c r="K122" s="814"/>
      <c r="L122" s="814"/>
      <c r="M122" s="814"/>
      <c r="N122" s="814"/>
      <c r="O122" s="814"/>
      <c r="P122" s="814"/>
      <c r="Q122" s="814"/>
      <c r="R122" s="814"/>
      <c r="S122" s="814"/>
      <c r="T122" s="814"/>
      <c r="U122" s="814"/>
      <c r="V122" s="814">
        <v>500</v>
      </c>
      <c r="W122" s="814"/>
      <c r="X122" s="814"/>
      <c r="Y122" s="814"/>
      <c r="Z122" s="814"/>
      <c r="AA122" s="814"/>
      <c r="AB122" s="814"/>
      <c r="AC122" s="814"/>
      <c r="AD122" s="814"/>
      <c r="AE122" s="814"/>
      <c r="AF122" s="814"/>
      <c r="AG122" s="814"/>
      <c r="AH122" s="814"/>
      <c r="AI122" s="814"/>
      <c r="AJ122" s="814"/>
      <c r="AK122" s="814"/>
      <c r="AL122" s="814"/>
      <c r="AM122" s="841"/>
    </row>
    <row r="123" s="787" customFormat="1" ht="18" customHeight="1" spans="1:39">
      <c r="A123" s="810">
        <v>45499</v>
      </c>
      <c r="B123" s="811" t="s">
        <v>2980</v>
      </c>
      <c r="C123" s="813" t="s">
        <v>3109</v>
      </c>
      <c r="D123" s="813" t="s">
        <v>3043</v>
      </c>
      <c r="E123" s="813" t="s">
        <v>3049</v>
      </c>
      <c r="F123" s="813">
        <v>500</v>
      </c>
      <c r="G123" s="812" t="s">
        <v>2997</v>
      </c>
      <c r="H123" s="812" t="s">
        <v>16</v>
      </c>
      <c r="I123" s="813" t="s">
        <v>3003</v>
      </c>
      <c r="J123" s="814"/>
      <c r="K123" s="814"/>
      <c r="L123" s="814"/>
      <c r="M123" s="814"/>
      <c r="N123" s="814"/>
      <c r="O123" s="814"/>
      <c r="P123" s="814"/>
      <c r="Q123" s="814"/>
      <c r="R123" s="814"/>
      <c r="S123" s="814"/>
      <c r="T123" s="814"/>
      <c r="U123" s="814"/>
      <c r="V123" s="814"/>
      <c r="W123" s="814">
        <v>500</v>
      </c>
      <c r="X123" s="814"/>
      <c r="Y123" s="814"/>
      <c r="Z123" s="814"/>
      <c r="AA123" s="814"/>
      <c r="AB123" s="814"/>
      <c r="AC123" s="814"/>
      <c r="AD123" s="814"/>
      <c r="AE123" s="814"/>
      <c r="AF123" s="814"/>
      <c r="AG123" s="814"/>
      <c r="AH123" s="814"/>
      <c r="AI123" s="814"/>
      <c r="AJ123" s="814"/>
      <c r="AK123" s="814"/>
      <c r="AL123" s="814"/>
      <c r="AM123" s="841"/>
    </row>
    <row r="124" s="787" customFormat="1" ht="18" customHeight="1" spans="1:39">
      <c r="A124" s="810">
        <v>45510</v>
      </c>
      <c r="B124" s="811" t="s">
        <v>2980</v>
      </c>
      <c r="C124" s="813" t="s">
        <v>3092</v>
      </c>
      <c r="D124" s="813" t="s">
        <v>3095</v>
      </c>
      <c r="E124" s="813" t="s">
        <v>2996</v>
      </c>
      <c r="F124" s="813">
        <v>1000</v>
      </c>
      <c r="G124" s="812" t="s">
        <v>2997</v>
      </c>
      <c r="H124" s="812" t="s">
        <v>16</v>
      </c>
      <c r="I124" s="813" t="s">
        <v>2991</v>
      </c>
      <c r="J124" s="814"/>
      <c r="K124" s="814"/>
      <c r="L124" s="814"/>
      <c r="M124" s="814"/>
      <c r="N124" s="814"/>
      <c r="O124" s="814"/>
      <c r="P124" s="814">
        <v>1000</v>
      </c>
      <c r="Q124" s="814"/>
      <c r="R124" s="814"/>
      <c r="S124" s="814"/>
      <c r="T124" s="814"/>
      <c r="U124" s="814"/>
      <c r="V124" s="814"/>
      <c r="W124" s="814"/>
      <c r="X124" s="814"/>
      <c r="Y124" s="814"/>
      <c r="Z124" s="814"/>
      <c r="AA124" s="814"/>
      <c r="AB124" s="814"/>
      <c r="AC124" s="814"/>
      <c r="AD124" s="814"/>
      <c r="AE124" s="814"/>
      <c r="AF124" s="814"/>
      <c r="AG124" s="814"/>
      <c r="AH124" s="814"/>
      <c r="AI124" s="814"/>
      <c r="AJ124" s="814"/>
      <c r="AK124" s="814"/>
      <c r="AL124" s="814"/>
      <c r="AM124" s="841"/>
    </row>
    <row r="125" s="787" customFormat="1" ht="18" customHeight="1" spans="1:39">
      <c r="A125" s="810">
        <v>45510</v>
      </c>
      <c r="B125" s="811" t="s">
        <v>2980</v>
      </c>
      <c r="C125" s="813">
        <v>1000022311</v>
      </c>
      <c r="D125" s="813" t="s">
        <v>3043</v>
      </c>
      <c r="E125" s="813" t="s">
        <v>3052</v>
      </c>
      <c r="F125" s="813">
        <v>500</v>
      </c>
      <c r="G125" s="812" t="s">
        <v>2997</v>
      </c>
      <c r="H125" s="812" t="s">
        <v>16</v>
      </c>
      <c r="I125" s="813" t="s">
        <v>2991</v>
      </c>
      <c r="J125" s="814"/>
      <c r="K125" s="814"/>
      <c r="L125" s="814"/>
      <c r="M125" s="814"/>
      <c r="N125" s="814"/>
      <c r="O125" s="814"/>
      <c r="P125" s="814"/>
      <c r="Q125" s="814"/>
      <c r="R125" s="814"/>
      <c r="S125" s="814"/>
      <c r="T125" s="814"/>
      <c r="U125" s="814"/>
      <c r="V125" s="814"/>
      <c r="W125" s="814"/>
      <c r="X125" s="814">
        <v>500</v>
      </c>
      <c r="Y125" s="814"/>
      <c r="Z125" s="814"/>
      <c r="AA125" s="814"/>
      <c r="AB125" s="814"/>
      <c r="AC125" s="814"/>
      <c r="AD125" s="814"/>
      <c r="AE125" s="814"/>
      <c r="AF125" s="814"/>
      <c r="AG125" s="814"/>
      <c r="AH125" s="814"/>
      <c r="AI125" s="814"/>
      <c r="AJ125" s="814"/>
      <c r="AK125" s="814"/>
      <c r="AL125" s="814"/>
      <c r="AM125" s="841"/>
    </row>
    <row r="126" s="787" customFormat="1" ht="18" customHeight="1" spans="1:39">
      <c r="A126" s="810">
        <v>45478</v>
      </c>
      <c r="B126" s="811" t="s">
        <v>2980</v>
      </c>
      <c r="C126" s="813">
        <v>1000021657</v>
      </c>
      <c r="D126" s="813" t="s">
        <v>3068</v>
      </c>
      <c r="E126" s="813" t="s">
        <v>2996</v>
      </c>
      <c r="F126" s="813">
        <v>500</v>
      </c>
      <c r="G126" s="812" t="s">
        <v>2997</v>
      </c>
      <c r="H126" s="812"/>
      <c r="I126" s="813" t="s">
        <v>3003</v>
      </c>
      <c r="J126" s="814"/>
      <c r="K126" s="814"/>
      <c r="L126" s="814"/>
      <c r="M126" s="814"/>
      <c r="N126" s="814"/>
      <c r="O126" s="814"/>
      <c r="P126" s="814"/>
      <c r="Q126" s="814">
        <v>500</v>
      </c>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41"/>
    </row>
    <row r="127" s="787" customFormat="1" ht="18" customHeight="1" spans="1:39">
      <c r="A127" s="810">
        <v>45520</v>
      </c>
      <c r="B127" s="811" t="s">
        <v>2980</v>
      </c>
      <c r="C127" s="813">
        <v>1000022487</v>
      </c>
      <c r="D127" s="813" t="s">
        <v>3068</v>
      </c>
      <c r="E127" s="813">
        <v>77485</v>
      </c>
      <c r="F127" s="813">
        <v>20760</v>
      </c>
      <c r="G127" s="812" t="s">
        <v>2987</v>
      </c>
      <c r="H127" s="812"/>
      <c r="I127" s="813" t="s">
        <v>2994</v>
      </c>
      <c r="J127" s="814"/>
      <c r="K127" s="814"/>
      <c r="L127" s="814"/>
      <c r="M127" s="814"/>
      <c r="N127" s="814"/>
      <c r="O127" s="814">
        <v>20760</v>
      </c>
      <c r="P127" s="814"/>
      <c r="Q127" s="814"/>
      <c r="R127" s="814"/>
      <c r="S127" s="814"/>
      <c r="T127" s="814"/>
      <c r="U127" s="814"/>
      <c r="V127" s="814"/>
      <c r="W127" s="814"/>
      <c r="X127" s="814"/>
      <c r="Y127" s="814"/>
      <c r="Z127" s="814"/>
      <c r="AA127" s="814"/>
      <c r="AB127" s="814"/>
      <c r="AC127" s="814"/>
      <c r="AD127" s="814"/>
      <c r="AE127" s="814"/>
      <c r="AF127" s="814"/>
      <c r="AG127" s="814"/>
      <c r="AH127" s="814"/>
      <c r="AI127" s="814"/>
      <c r="AJ127" s="814"/>
      <c r="AK127" s="814"/>
      <c r="AL127" s="814"/>
      <c r="AM127" s="1427" t="s">
        <v>3110</v>
      </c>
    </row>
    <row r="128" s="787" customFormat="1" ht="18" customHeight="1" spans="1:39">
      <c r="A128" s="810">
        <v>45520</v>
      </c>
      <c r="B128" s="811" t="s">
        <v>2980</v>
      </c>
      <c r="C128" s="813">
        <v>1000022488</v>
      </c>
      <c r="D128" s="813" t="s">
        <v>3068</v>
      </c>
      <c r="E128" s="813" t="s">
        <v>2999</v>
      </c>
      <c r="F128" s="813">
        <v>1730</v>
      </c>
      <c r="G128" s="812" t="s">
        <v>2997</v>
      </c>
      <c r="H128" s="812"/>
      <c r="I128" s="813" t="s">
        <v>2991</v>
      </c>
      <c r="J128" s="814"/>
      <c r="K128" s="814"/>
      <c r="L128" s="814"/>
      <c r="M128" s="814"/>
      <c r="N128" s="814"/>
      <c r="O128" s="814"/>
      <c r="P128" s="814"/>
      <c r="Q128" s="814"/>
      <c r="R128" s="814"/>
      <c r="S128" s="814">
        <v>1730</v>
      </c>
      <c r="T128" s="814"/>
      <c r="U128" s="814"/>
      <c r="V128" s="814"/>
      <c r="W128" s="814"/>
      <c r="X128" s="814"/>
      <c r="Y128" s="814"/>
      <c r="Z128" s="814"/>
      <c r="AA128" s="814"/>
      <c r="AB128" s="814"/>
      <c r="AC128" s="814"/>
      <c r="AD128" s="814"/>
      <c r="AE128" s="814"/>
      <c r="AF128" s="814"/>
      <c r="AG128" s="814"/>
      <c r="AH128" s="814"/>
      <c r="AI128" s="814"/>
      <c r="AJ128" s="814"/>
      <c r="AK128" s="814"/>
      <c r="AL128" s="814"/>
      <c r="AM128" s="1427" t="s">
        <v>3110</v>
      </c>
    </row>
    <row r="129" s="787" customFormat="1" ht="18" customHeight="1" spans="1:39">
      <c r="A129" s="810">
        <v>45537</v>
      </c>
      <c r="B129" s="811" t="s">
        <v>2980</v>
      </c>
      <c r="C129" s="813">
        <v>1000022837</v>
      </c>
      <c r="D129" s="813"/>
      <c r="E129" s="813">
        <v>77486</v>
      </c>
      <c r="F129" s="813">
        <v>5000</v>
      </c>
      <c r="G129" s="812" t="s">
        <v>3032</v>
      </c>
      <c r="H129" s="812" t="s">
        <v>3044</v>
      </c>
      <c r="I129" s="813"/>
      <c r="J129" s="814"/>
      <c r="K129" s="814"/>
      <c r="L129" s="814"/>
      <c r="M129" s="814"/>
      <c r="N129" s="814"/>
      <c r="O129" s="814"/>
      <c r="P129" s="814"/>
      <c r="Q129" s="814"/>
      <c r="R129" s="814"/>
      <c r="S129" s="814"/>
      <c r="T129" s="814"/>
      <c r="U129" s="814"/>
      <c r="V129" s="814"/>
      <c r="W129" s="814"/>
      <c r="X129" s="814"/>
      <c r="Y129" s="814"/>
      <c r="Z129" s="814"/>
      <c r="AA129" s="814"/>
      <c r="AB129" s="814"/>
      <c r="AC129" s="814"/>
      <c r="AD129" s="814"/>
      <c r="AE129" s="814"/>
      <c r="AF129" s="814"/>
      <c r="AG129" s="814">
        <v>5000</v>
      </c>
      <c r="AH129" s="814"/>
      <c r="AI129" s="814"/>
      <c r="AJ129" s="814"/>
      <c r="AK129" s="814"/>
      <c r="AL129" s="814"/>
      <c r="AM129" s="1427" t="s">
        <v>3111</v>
      </c>
    </row>
    <row r="130" s="787" customFormat="1" ht="18" customHeight="1" spans="1:39">
      <c r="A130" s="810">
        <v>45537</v>
      </c>
      <c r="B130" s="811" t="s">
        <v>2980</v>
      </c>
      <c r="C130" s="813">
        <v>1000022838</v>
      </c>
      <c r="D130" s="813"/>
      <c r="E130" s="813">
        <v>77486</v>
      </c>
      <c r="F130" s="813">
        <v>2808</v>
      </c>
      <c r="G130" s="812" t="s">
        <v>3030</v>
      </c>
      <c r="H130" s="812" t="s">
        <v>1527</v>
      </c>
      <c r="I130" s="813"/>
      <c r="J130" s="814"/>
      <c r="K130" s="814"/>
      <c r="L130" s="814"/>
      <c r="M130" s="814"/>
      <c r="N130" s="814"/>
      <c r="O130" s="814"/>
      <c r="P130" s="814"/>
      <c r="Q130" s="814"/>
      <c r="R130" s="814"/>
      <c r="S130" s="814"/>
      <c r="T130" s="814"/>
      <c r="U130" s="814"/>
      <c r="V130" s="814"/>
      <c r="W130" s="814"/>
      <c r="X130" s="814"/>
      <c r="Y130" s="814"/>
      <c r="Z130" s="814"/>
      <c r="AA130" s="814"/>
      <c r="AB130" s="814"/>
      <c r="AC130" s="814"/>
      <c r="AD130" s="814"/>
      <c r="AE130" s="814"/>
      <c r="AF130" s="814">
        <v>2808</v>
      </c>
      <c r="AG130" s="814"/>
      <c r="AH130" s="814"/>
      <c r="AI130" s="814"/>
      <c r="AJ130" s="814"/>
      <c r="AK130" s="814"/>
      <c r="AL130" s="814"/>
      <c r="AM130" s="1427" t="s">
        <v>3111</v>
      </c>
    </row>
    <row r="131" s="787" customFormat="1" ht="18" customHeight="1" spans="1:39">
      <c r="A131" s="810">
        <v>45537</v>
      </c>
      <c r="B131" s="811" t="s">
        <v>2980</v>
      </c>
      <c r="C131" s="813">
        <v>1000022839</v>
      </c>
      <c r="D131" s="813"/>
      <c r="E131" s="813">
        <v>77486</v>
      </c>
      <c r="F131" s="813">
        <v>5000</v>
      </c>
      <c r="G131" s="812" t="s">
        <v>3066</v>
      </c>
      <c r="H131" s="812" t="s">
        <v>1527</v>
      </c>
      <c r="I131" s="813"/>
      <c r="J131" s="814"/>
      <c r="K131" s="814"/>
      <c r="L131" s="814"/>
      <c r="M131" s="814"/>
      <c r="N131" s="814"/>
      <c r="O131" s="814"/>
      <c r="P131" s="814"/>
      <c r="Q131" s="814"/>
      <c r="R131" s="814"/>
      <c r="S131" s="814"/>
      <c r="T131" s="814"/>
      <c r="U131" s="814"/>
      <c r="V131" s="814"/>
      <c r="W131" s="814"/>
      <c r="X131" s="814"/>
      <c r="Y131" s="814"/>
      <c r="Z131" s="814"/>
      <c r="AA131" s="814"/>
      <c r="AB131" s="814"/>
      <c r="AC131" s="814"/>
      <c r="AD131" s="814"/>
      <c r="AE131" s="814"/>
      <c r="AF131" s="814"/>
      <c r="AG131" s="814"/>
      <c r="AH131" s="814">
        <v>5000</v>
      </c>
      <c r="AI131" s="814"/>
      <c r="AJ131" s="814"/>
      <c r="AK131" s="814"/>
      <c r="AL131" s="814"/>
      <c r="AM131" s="1427" t="s">
        <v>3111</v>
      </c>
    </row>
    <row r="132" s="787" customFormat="1" ht="18" customHeight="1" spans="1:39">
      <c r="A132" s="810">
        <v>45549</v>
      </c>
      <c r="B132" s="811" t="s">
        <v>2980</v>
      </c>
      <c r="C132" s="813">
        <v>1000023174</v>
      </c>
      <c r="D132" s="813" t="s">
        <v>3068</v>
      </c>
      <c r="E132" s="813" t="s">
        <v>2999</v>
      </c>
      <c r="F132" s="813">
        <v>500</v>
      </c>
      <c r="G132" s="812" t="s">
        <v>2997</v>
      </c>
      <c r="H132" s="812"/>
      <c r="I132" s="813"/>
      <c r="J132" s="814"/>
      <c r="K132" s="814"/>
      <c r="L132" s="814"/>
      <c r="M132" s="814"/>
      <c r="N132" s="814"/>
      <c r="O132" s="814"/>
      <c r="P132" s="814"/>
      <c r="Q132" s="814"/>
      <c r="R132" s="814"/>
      <c r="S132" s="814">
        <v>500</v>
      </c>
      <c r="T132" s="814"/>
      <c r="U132" s="814"/>
      <c r="V132" s="814"/>
      <c r="W132" s="814"/>
      <c r="X132" s="814"/>
      <c r="Y132" s="814"/>
      <c r="Z132" s="814"/>
      <c r="AA132" s="814"/>
      <c r="AB132" s="814"/>
      <c r="AC132" s="814"/>
      <c r="AD132" s="814"/>
      <c r="AE132" s="814"/>
      <c r="AF132" s="814"/>
      <c r="AG132" s="814"/>
      <c r="AH132" s="814"/>
      <c r="AI132" s="814"/>
      <c r="AJ132" s="814"/>
      <c r="AK132" s="814"/>
      <c r="AL132" s="814"/>
      <c r="AM132" s="841" t="s">
        <v>3112</v>
      </c>
    </row>
    <row r="133" s="787" customFormat="1" ht="18" customHeight="1" spans="1:39">
      <c r="A133" s="810">
        <v>45559</v>
      </c>
      <c r="B133" s="811" t="s">
        <v>2980</v>
      </c>
      <c r="C133" s="813" t="s">
        <v>3092</v>
      </c>
      <c r="D133" s="813" t="s">
        <v>3043</v>
      </c>
      <c r="E133" s="813">
        <v>77485</v>
      </c>
      <c r="F133" s="813">
        <v>100000</v>
      </c>
      <c r="G133" s="812" t="s">
        <v>2990</v>
      </c>
      <c r="H133" s="812" t="s">
        <v>3044</v>
      </c>
      <c r="I133" s="813" t="s">
        <v>2991</v>
      </c>
      <c r="J133" s="814">
        <v>100000</v>
      </c>
      <c r="K133" s="814"/>
      <c r="L133" s="814"/>
      <c r="M133" s="814"/>
      <c r="N133" s="814"/>
      <c r="O133" s="814"/>
      <c r="P133" s="814"/>
      <c r="Q133" s="814"/>
      <c r="R133" s="814"/>
      <c r="S133" s="814"/>
      <c r="T133" s="814"/>
      <c r="U133" s="814"/>
      <c r="V133" s="814"/>
      <c r="W133" s="814"/>
      <c r="X133" s="814"/>
      <c r="Y133" s="814"/>
      <c r="Z133" s="814"/>
      <c r="AA133" s="814"/>
      <c r="AB133" s="814"/>
      <c r="AC133" s="814"/>
      <c r="AD133" s="814"/>
      <c r="AE133" s="814"/>
      <c r="AF133" s="814"/>
      <c r="AG133" s="814"/>
      <c r="AH133" s="814"/>
      <c r="AI133" s="814"/>
      <c r="AJ133" s="814"/>
      <c r="AK133" s="814"/>
      <c r="AL133" s="814"/>
      <c r="AM133" s="841"/>
    </row>
    <row r="134" s="787" customFormat="1" ht="18" customHeight="1" spans="1:39">
      <c r="A134" s="810">
        <v>45559</v>
      </c>
      <c r="B134" s="811" t="s">
        <v>2980</v>
      </c>
      <c r="C134" s="813" t="s">
        <v>3113</v>
      </c>
      <c r="D134" s="813" t="s">
        <v>3043</v>
      </c>
      <c r="E134" s="813">
        <v>77485</v>
      </c>
      <c r="F134" s="813">
        <v>50000</v>
      </c>
      <c r="G134" s="812" t="s">
        <v>2993</v>
      </c>
      <c r="H134" s="812" t="s">
        <v>3047</v>
      </c>
      <c r="I134" s="813" t="s">
        <v>2994</v>
      </c>
      <c r="J134" s="814"/>
      <c r="K134" s="814"/>
      <c r="L134" s="814"/>
      <c r="M134" s="814"/>
      <c r="N134" s="814">
        <v>50000</v>
      </c>
      <c r="O134" s="814"/>
      <c r="P134" s="814"/>
      <c r="Q134" s="814"/>
      <c r="R134" s="814"/>
      <c r="S134" s="814"/>
      <c r="T134" s="814"/>
      <c r="U134" s="814"/>
      <c r="V134" s="814"/>
      <c r="W134" s="814"/>
      <c r="X134" s="814"/>
      <c r="Y134" s="814"/>
      <c r="Z134" s="814"/>
      <c r="AA134" s="814"/>
      <c r="AB134" s="814"/>
      <c r="AC134" s="814"/>
      <c r="AD134" s="814"/>
      <c r="AE134" s="814"/>
      <c r="AF134" s="814"/>
      <c r="AG134" s="814"/>
      <c r="AH134" s="814"/>
      <c r="AI134" s="814"/>
      <c r="AJ134" s="814"/>
      <c r="AK134" s="814"/>
      <c r="AL134" s="814"/>
      <c r="AM134" s="841"/>
    </row>
    <row r="135" s="787" customFormat="1" ht="18" customHeight="1" spans="1:39">
      <c r="A135" s="810">
        <v>45559</v>
      </c>
      <c r="B135" s="811" t="s">
        <v>2980</v>
      </c>
      <c r="C135" s="813" t="s">
        <v>3114</v>
      </c>
      <c r="D135" s="813" t="s">
        <v>3043</v>
      </c>
      <c r="E135" s="813" t="s">
        <v>3049</v>
      </c>
      <c r="F135" s="813">
        <v>1800</v>
      </c>
      <c r="G135" s="812" t="s">
        <v>2997</v>
      </c>
      <c r="H135" s="812" t="s">
        <v>16</v>
      </c>
      <c r="I135" s="813" t="s">
        <v>2991</v>
      </c>
      <c r="J135" s="814"/>
      <c r="K135" s="814"/>
      <c r="L135" s="814"/>
      <c r="M135" s="814"/>
      <c r="N135" s="814"/>
      <c r="O135" s="814"/>
      <c r="P135" s="814"/>
      <c r="Q135" s="814"/>
      <c r="R135" s="814"/>
      <c r="S135" s="814"/>
      <c r="T135" s="814"/>
      <c r="U135" s="814"/>
      <c r="V135" s="814">
        <v>1800</v>
      </c>
      <c r="W135" s="814"/>
      <c r="X135" s="814"/>
      <c r="Y135" s="814"/>
      <c r="Z135" s="814"/>
      <c r="AA135" s="814"/>
      <c r="AB135" s="814"/>
      <c r="AC135" s="814"/>
      <c r="AD135" s="814"/>
      <c r="AE135" s="814"/>
      <c r="AF135" s="814"/>
      <c r="AG135" s="814"/>
      <c r="AH135" s="814"/>
      <c r="AI135" s="814"/>
      <c r="AJ135" s="814"/>
      <c r="AK135" s="814"/>
      <c r="AL135" s="814"/>
      <c r="AM135" s="841"/>
    </row>
    <row r="136" s="787" customFormat="1" ht="18" customHeight="1" spans="1:39">
      <c r="A136" s="810">
        <v>45559</v>
      </c>
      <c r="B136" s="811" t="s">
        <v>2980</v>
      </c>
      <c r="C136" s="813" t="s">
        <v>3115</v>
      </c>
      <c r="D136" s="813" t="s">
        <v>3043</v>
      </c>
      <c r="E136" s="813" t="s">
        <v>3052</v>
      </c>
      <c r="F136" s="813">
        <v>500</v>
      </c>
      <c r="G136" s="812" t="s">
        <v>2997</v>
      </c>
      <c r="H136" s="812" t="s">
        <v>16</v>
      </c>
      <c r="I136" s="813" t="s">
        <v>2991</v>
      </c>
      <c r="J136" s="814"/>
      <c r="K136" s="814"/>
      <c r="L136" s="814"/>
      <c r="M136" s="814"/>
      <c r="N136" s="814"/>
      <c r="O136" s="814"/>
      <c r="P136" s="814"/>
      <c r="Q136" s="814"/>
      <c r="R136" s="814"/>
      <c r="S136" s="814"/>
      <c r="T136" s="814"/>
      <c r="U136" s="814"/>
      <c r="V136" s="814"/>
      <c r="W136" s="814"/>
      <c r="X136" s="814">
        <v>500</v>
      </c>
      <c r="Y136" s="814"/>
      <c r="Z136" s="814"/>
      <c r="AA136" s="814"/>
      <c r="AB136" s="814"/>
      <c r="AC136" s="814"/>
      <c r="AD136" s="814"/>
      <c r="AE136" s="814"/>
      <c r="AF136" s="814"/>
      <c r="AG136" s="814"/>
      <c r="AH136" s="814"/>
      <c r="AI136" s="814"/>
      <c r="AJ136" s="814"/>
      <c r="AK136" s="814"/>
      <c r="AL136" s="814"/>
      <c r="AM136" s="841"/>
    </row>
    <row r="137" s="787" customFormat="1" ht="18" customHeight="1" spans="1:39">
      <c r="A137" s="810">
        <v>45575</v>
      </c>
      <c r="B137" s="811" t="s">
        <v>2980</v>
      </c>
      <c r="C137" s="813" t="s">
        <v>3116</v>
      </c>
      <c r="D137" s="813" t="s">
        <v>3068</v>
      </c>
      <c r="E137" s="813" t="s">
        <v>2996</v>
      </c>
      <c r="F137" s="813">
        <v>1519</v>
      </c>
      <c r="G137" s="812" t="s">
        <v>2997</v>
      </c>
      <c r="H137" s="812" t="s">
        <v>16</v>
      </c>
      <c r="I137" s="813" t="s">
        <v>2991</v>
      </c>
      <c r="J137" s="814"/>
      <c r="K137" s="814"/>
      <c r="L137" s="814"/>
      <c r="M137" s="814"/>
      <c r="N137" s="814"/>
      <c r="O137" s="814"/>
      <c r="P137" s="814">
        <v>1519</v>
      </c>
      <c r="Q137" s="814"/>
      <c r="R137" s="814"/>
      <c r="S137" s="814"/>
      <c r="T137" s="814"/>
      <c r="U137" s="814"/>
      <c r="V137" s="814"/>
      <c r="W137" s="814"/>
      <c r="X137" s="814"/>
      <c r="Y137" s="814"/>
      <c r="Z137" s="814"/>
      <c r="AA137" s="814"/>
      <c r="AB137" s="814"/>
      <c r="AC137" s="814"/>
      <c r="AD137" s="814"/>
      <c r="AE137" s="814"/>
      <c r="AF137" s="814"/>
      <c r="AG137" s="814"/>
      <c r="AH137" s="814"/>
      <c r="AI137" s="814"/>
      <c r="AJ137" s="814"/>
      <c r="AK137" s="814"/>
      <c r="AL137" s="814"/>
      <c r="AM137" s="841" t="s">
        <v>3117</v>
      </c>
    </row>
    <row r="138" s="787" customFormat="1" ht="18" customHeight="1" spans="1:39">
      <c r="A138" s="810">
        <v>45577</v>
      </c>
      <c r="B138" s="811" t="s">
        <v>2980</v>
      </c>
      <c r="C138" s="813" t="s">
        <v>3118</v>
      </c>
      <c r="D138" s="813" t="s">
        <v>3068</v>
      </c>
      <c r="E138" s="813">
        <v>77485</v>
      </c>
      <c r="F138" s="813">
        <v>20000</v>
      </c>
      <c r="G138" s="812" t="s">
        <v>2987</v>
      </c>
      <c r="H138" s="812" t="s">
        <v>1527</v>
      </c>
      <c r="I138" s="813"/>
      <c r="J138" s="814"/>
      <c r="K138" s="814"/>
      <c r="L138" s="814"/>
      <c r="M138" s="814"/>
      <c r="N138" s="814"/>
      <c r="O138" s="814">
        <v>20000</v>
      </c>
      <c r="P138" s="814"/>
      <c r="Q138" s="814"/>
      <c r="R138" s="814"/>
      <c r="S138" s="814"/>
      <c r="T138" s="814"/>
      <c r="U138" s="814"/>
      <c r="V138" s="814"/>
      <c r="W138" s="814"/>
      <c r="X138" s="814"/>
      <c r="Y138" s="814"/>
      <c r="Z138" s="814"/>
      <c r="AA138" s="814"/>
      <c r="AB138" s="814"/>
      <c r="AC138" s="814"/>
      <c r="AD138" s="814"/>
      <c r="AE138" s="814"/>
      <c r="AF138" s="814"/>
      <c r="AG138" s="814"/>
      <c r="AH138" s="814"/>
      <c r="AI138" s="814"/>
      <c r="AJ138" s="814"/>
      <c r="AK138" s="814"/>
      <c r="AL138" s="814"/>
      <c r="AM138" s="841" t="s">
        <v>3119</v>
      </c>
    </row>
    <row r="139" s="787" customFormat="1" ht="18" customHeight="1" spans="1:39">
      <c r="A139" s="810">
        <v>45593</v>
      </c>
      <c r="B139" s="811" t="s">
        <v>2980</v>
      </c>
      <c r="C139" s="813" t="s">
        <v>3120</v>
      </c>
      <c r="D139" s="813" t="s">
        <v>3068</v>
      </c>
      <c r="E139" s="813" t="s">
        <v>2999</v>
      </c>
      <c r="F139" s="813">
        <v>1996</v>
      </c>
      <c r="G139" s="812" t="s">
        <v>2997</v>
      </c>
      <c r="H139" s="812" t="s">
        <v>1527</v>
      </c>
      <c r="I139" s="813"/>
      <c r="J139" s="814"/>
      <c r="K139" s="814"/>
      <c r="L139" s="814"/>
      <c r="M139" s="814"/>
      <c r="N139" s="814"/>
      <c r="O139" s="814"/>
      <c r="P139" s="814"/>
      <c r="Q139" s="814"/>
      <c r="R139" s="814"/>
      <c r="S139" s="814">
        <v>1996</v>
      </c>
      <c r="T139" s="814"/>
      <c r="U139" s="814"/>
      <c r="V139" s="814"/>
      <c r="W139" s="814"/>
      <c r="X139" s="814"/>
      <c r="Y139" s="814"/>
      <c r="Z139" s="814"/>
      <c r="AA139" s="814"/>
      <c r="AB139" s="814"/>
      <c r="AC139" s="814"/>
      <c r="AD139" s="814"/>
      <c r="AE139" s="814"/>
      <c r="AF139" s="814"/>
      <c r="AG139" s="814"/>
      <c r="AH139" s="814"/>
      <c r="AI139" s="814"/>
      <c r="AJ139" s="814"/>
      <c r="AK139" s="814"/>
      <c r="AL139" s="814"/>
      <c r="AM139" s="841" t="s">
        <v>3121</v>
      </c>
    </row>
    <row r="140" s="787" customFormat="1" ht="18" customHeight="1" spans="1:39">
      <c r="A140" s="810">
        <v>45593</v>
      </c>
      <c r="B140" s="811" t="s">
        <v>2980</v>
      </c>
      <c r="C140" s="813" t="s">
        <v>3122</v>
      </c>
      <c r="D140" s="813" t="s">
        <v>3068</v>
      </c>
      <c r="E140" s="813">
        <v>77485</v>
      </c>
      <c r="F140" s="813">
        <v>20000</v>
      </c>
      <c r="G140" s="812" t="s">
        <v>2987</v>
      </c>
      <c r="H140" s="812" t="s">
        <v>1527</v>
      </c>
      <c r="I140" s="813"/>
      <c r="J140" s="814"/>
      <c r="K140" s="814"/>
      <c r="L140" s="814"/>
      <c r="M140" s="814"/>
      <c r="N140" s="814"/>
      <c r="O140" s="814">
        <v>20000</v>
      </c>
      <c r="P140" s="814"/>
      <c r="Q140" s="814"/>
      <c r="R140" s="814"/>
      <c r="S140" s="814"/>
      <c r="T140" s="814"/>
      <c r="U140" s="814"/>
      <c r="V140" s="814"/>
      <c r="W140" s="814"/>
      <c r="X140" s="814"/>
      <c r="Y140" s="814"/>
      <c r="Z140" s="814"/>
      <c r="AA140" s="814"/>
      <c r="AB140" s="814"/>
      <c r="AC140" s="814"/>
      <c r="AD140" s="814"/>
      <c r="AE140" s="814"/>
      <c r="AF140" s="814"/>
      <c r="AG140" s="814"/>
      <c r="AH140" s="814"/>
      <c r="AI140" s="814"/>
      <c r="AJ140" s="814"/>
      <c r="AK140" s="814"/>
      <c r="AL140" s="814"/>
      <c r="AM140" s="841" t="s">
        <v>3123</v>
      </c>
    </row>
    <row r="141" s="787" customFormat="1" ht="18" customHeight="1" spans="1:39">
      <c r="A141" s="810">
        <v>45594</v>
      </c>
      <c r="B141" s="811" t="s">
        <v>2980</v>
      </c>
      <c r="C141" s="813" t="s">
        <v>3124</v>
      </c>
      <c r="D141" s="813" t="s">
        <v>3095</v>
      </c>
      <c r="E141" s="813" t="s">
        <v>2996</v>
      </c>
      <c r="F141" s="813">
        <v>500</v>
      </c>
      <c r="G141" s="812" t="s">
        <v>2997</v>
      </c>
      <c r="H141" s="812" t="s">
        <v>1527</v>
      </c>
      <c r="I141" s="813"/>
      <c r="J141" s="814"/>
      <c r="K141" s="814"/>
      <c r="L141" s="814"/>
      <c r="M141" s="814"/>
      <c r="N141" s="814"/>
      <c r="O141" s="814"/>
      <c r="P141" s="814">
        <v>500</v>
      </c>
      <c r="Q141" s="814"/>
      <c r="R141" s="814"/>
      <c r="S141" s="814"/>
      <c r="T141" s="814"/>
      <c r="U141" s="814"/>
      <c r="V141" s="814"/>
      <c r="W141" s="814"/>
      <c r="X141" s="814"/>
      <c r="Y141" s="814"/>
      <c r="Z141" s="814"/>
      <c r="AA141" s="814"/>
      <c r="AB141" s="814"/>
      <c r="AC141" s="814"/>
      <c r="AD141" s="814"/>
      <c r="AE141" s="814"/>
      <c r="AF141" s="814"/>
      <c r="AG141" s="814"/>
      <c r="AH141" s="814"/>
      <c r="AI141" s="814"/>
      <c r="AJ141" s="814"/>
      <c r="AK141" s="814"/>
      <c r="AL141" s="814"/>
      <c r="AM141" s="841" t="s">
        <v>3125</v>
      </c>
    </row>
    <row r="142" s="787" customFormat="1" ht="18" customHeight="1" spans="1:39">
      <c r="A142" s="810">
        <v>45595</v>
      </c>
      <c r="B142" s="811" t="s">
        <v>2980</v>
      </c>
      <c r="C142" s="813" t="s">
        <v>3092</v>
      </c>
      <c r="D142" s="813" t="s">
        <v>3043</v>
      </c>
      <c r="E142" s="813">
        <v>77485</v>
      </c>
      <c r="F142" s="813">
        <v>150000</v>
      </c>
      <c r="G142" s="812" t="s">
        <v>2990</v>
      </c>
      <c r="H142" s="812" t="s">
        <v>3044</v>
      </c>
      <c r="I142" s="813" t="s">
        <v>2991</v>
      </c>
      <c r="J142" s="814">
        <v>150000</v>
      </c>
      <c r="K142" s="814"/>
      <c r="L142" s="814"/>
      <c r="M142" s="814"/>
      <c r="N142" s="814"/>
      <c r="O142" s="814"/>
      <c r="P142" s="814"/>
      <c r="Q142" s="814"/>
      <c r="R142" s="814"/>
      <c r="S142" s="814"/>
      <c r="T142" s="814"/>
      <c r="U142" s="814"/>
      <c r="V142" s="814"/>
      <c r="W142" s="814"/>
      <c r="X142" s="814"/>
      <c r="Y142" s="814"/>
      <c r="Z142" s="814"/>
      <c r="AA142" s="814"/>
      <c r="AB142" s="814"/>
      <c r="AC142" s="814"/>
      <c r="AD142" s="814"/>
      <c r="AE142" s="814"/>
      <c r="AF142" s="814"/>
      <c r="AG142" s="814"/>
      <c r="AH142" s="814"/>
      <c r="AI142" s="814"/>
      <c r="AJ142" s="814"/>
      <c r="AK142" s="814"/>
      <c r="AL142" s="814"/>
      <c r="AM142" s="841"/>
    </row>
    <row r="143" s="787" customFormat="1" ht="18" customHeight="1" spans="1:39">
      <c r="A143" s="810">
        <v>45595</v>
      </c>
      <c r="B143" s="811" t="s">
        <v>2980</v>
      </c>
      <c r="C143" s="813" t="s">
        <v>3126</v>
      </c>
      <c r="D143" s="813" t="s">
        <v>3043</v>
      </c>
      <c r="E143" s="813">
        <v>77485</v>
      </c>
      <c r="F143" s="813">
        <v>100000</v>
      </c>
      <c r="G143" s="812" t="s">
        <v>2993</v>
      </c>
      <c r="H143" s="812" t="s">
        <v>3047</v>
      </c>
      <c r="I143" s="813" t="s">
        <v>2994</v>
      </c>
      <c r="J143" s="814"/>
      <c r="K143" s="814"/>
      <c r="L143" s="814"/>
      <c r="M143" s="814"/>
      <c r="N143" s="814">
        <v>100000</v>
      </c>
      <c r="O143" s="814"/>
      <c r="P143" s="814"/>
      <c r="Q143" s="814"/>
      <c r="R143" s="814"/>
      <c r="S143" s="814"/>
      <c r="T143" s="814"/>
      <c r="U143" s="814"/>
      <c r="V143" s="814"/>
      <c r="W143" s="814"/>
      <c r="X143" s="814"/>
      <c r="Y143" s="814"/>
      <c r="Z143" s="814"/>
      <c r="AA143" s="814"/>
      <c r="AB143" s="814"/>
      <c r="AC143" s="814"/>
      <c r="AD143" s="814"/>
      <c r="AE143" s="814"/>
      <c r="AF143" s="814"/>
      <c r="AG143" s="814"/>
      <c r="AH143" s="814"/>
      <c r="AI143" s="814"/>
      <c r="AJ143" s="814"/>
      <c r="AK143" s="814"/>
      <c r="AL143" s="814"/>
      <c r="AM143" s="841"/>
    </row>
    <row r="144" s="787" customFormat="1" ht="18" customHeight="1" spans="1:39">
      <c r="A144" s="810">
        <v>45604</v>
      </c>
      <c r="B144" s="811" t="s">
        <v>2980</v>
      </c>
      <c r="C144" s="813" t="s">
        <v>3127</v>
      </c>
      <c r="D144" s="813" t="s">
        <v>3068</v>
      </c>
      <c r="E144" s="813" t="s">
        <v>2999</v>
      </c>
      <c r="F144" s="813">
        <v>500</v>
      </c>
      <c r="G144" s="812" t="s">
        <v>2997</v>
      </c>
      <c r="H144" s="812" t="s">
        <v>1527</v>
      </c>
      <c r="I144" s="813"/>
      <c r="J144" s="814"/>
      <c r="K144" s="814"/>
      <c r="L144" s="814"/>
      <c r="M144" s="814"/>
      <c r="N144" s="814"/>
      <c r="O144" s="814"/>
      <c r="P144" s="814"/>
      <c r="Q144" s="814"/>
      <c r="R144" s="814"/>
      <c r="S144" s="814"/>
      <c r="T144" s="814"/>
      <c r="U144" s="814"/>
      <c r="V144" s="814"/>
      <c r="W144" s="814"/>
      <c r="X144" s="814"/>
      <c r="Y144" s="814"/>
      <c r="Z144" s="814"/>
      <c r="AA144" s="814"/>
      <c r="AB144" s="814"/>
      <c r="AC144" s="814"/>
      <c r="AD144" s="814"/>
      <c r="AE144" s="814"/>
      <c r="AF144" s="814"/>
      <c r="AG144" s="814"/>
      <c r="AH144" s="814"/>
      <c r="AI144" s="814"/>
      <c r="AJ144" s="814"/>
      <c r="AK144" s="814"/>
      <c r="AL144" s="814"/>
      <c r="AM144" s="841" t="s">
        <v>3128</v>
      </c>
    </row>
    <row r="145" s="787" customFormat="1" ht="18" customHeight="1" spans="1:39">
      <c r="A145" s="810">
        <v>45608</v>
      </c>
      <c r="B145" s="811" t="s">
        <v>2980</v>
      </c>
      <c r="C145" s="813" t="s">
        <v>3129</v>
      </c>
      <c r="D145" s="813" t="s">
        <v>3095</v>
      </c>
      <c r="E145" s="813">
        <v>77486</v>
      </c>
      <c r="F145" s="813">
        <v>12000</v>
      </c>
      <c r="G145" s="812" t="s">
        <v>3032</v>
      </c>
      <c r="H145" s="812"/>
      <c r="I145" s="813"/>
      <c r="J145" s="814"/>
      <c r="K145" s="814"/>
      <c r="L145" s="814"/>
      <c r="M145" s="814"/>
      <c r="N145" s="814"/>
      <c r="O145" s="814"/>
      <c r="P145" s="814"/>
      <c r="Q145" s="814"/>
      <c r="R145" s="814"/>
      <c r="S145" s="814"/>
      <c r="T145" s="814"/>
      <c r="U145" s="814"/>
      <c r="V145" s="814"/>
      <c r="W145" s="814"/>
      <c r="X145" s="814"/>
      <c r="Y145" s="814"/>
      <c r="Z145" s="814"/>
      <c r="AA145" s="814"/>
      <c r="AB145" s="814"/>
      <c r="AC145" s="814"/>
      <c r="AD145" s="814"/>
      <c r="AE145" s="814"/>
      <c r="AF145" s="814"/>
      <c r="AG145" s="814">
        <v>12000</v>
      </c>
      <c r="AH145" s="814"/>
      <c r="AI145" s="814"/>
      <c r="AJ145" s="814"/>
      <c r="AK145" s="814"/>
      <c r="AL145" s="814"/>
      <c r="AM145" s="841" t="s">
        <v>3130</v>
      </c>
    </row>
    <row r="146" s="787" customFormat="1" ht="18" customHeight="1" spans="1:39">
      <c r="A146" s="810">
        <v>45608</v>
      </c>
      <c r="B146" s="811" t="s">
        <v>2980</v>
      </c>
      <c r="C146" s="813" t="s">
        <v>3131</v>
      </c>
      <c r="D146" s="813" t="s">
        <v>3095</v>
      </c>
      <c r="E146" s="813">
        <v>77486</v>
      </c>
      <c r="F146" s="813">
        <v>12000</v>
      </c>
      <c r="G146" s="812" t="s">
        <v>3030</v>
      </c>
      <c r="H146" s="812"/>
      <c r="I146" s="813"/>
      <c r="J146" s="814"/>
      <c r="K146" s="814"/>
      <c r="L146" s="814"/>
      <c r="M146" s="814"/>
      <c r="N146" s="814"/>
      <c r="O146" s="814"/>
      <c r="P146" s="814"/>
      <c r="Q146" s="814"/>
      <c r="R146" s="814"/>
      <c r="S146" s="814"/>
      <c r="T146" s="814"/>
      <c r="U146" s="814"/>
      <c r="V146" s="814"/>
      <c r="W146" s="814"/>
      <c r="X146" s="814"/>
      <c r="Y146" s="814"/>
      <c r="Z146" s="814"/>
      <c r="AA146" s="814"/>
      <c r="AB146" s="814"/>
      <c r="AC146" s="814"/>
      <c r="AD146" s="814"/>
      <c r="AE146" s="814"/>
      <c r="AF146" s="814">
        <v>12000</v>
      </c>
      <c r="AG146" s="814"/>
      <c r="AH146" s="814"/>
      <c r="AI146" s="814"/>
      <c r="AJ146" s="814"/>
      <c r="AK146" s="814"/>
      <c r="AL146" s="814"/>
      <c r="AM146" s="841" t="s">
        <v>3130</v>
      </c>
    </row>
    <row r="147" s="787" customFormat="1" ht="18" customHeight="1" spans="1:39">
      <c r="A147" s="810">
        <v>45608</v>
      </c>
      <c r="B147" s="811" t="s">
        <v>2980</v>
      </c>
      <c r="C147" s="813" t="s">
        <v>3132</v>
      </c>
      <c r="D147" s="813" t="s">
        <v>3095</v>
      </c>
      <c r="E147" s="813">
        <v>77486</v>
      </c>
      <c r="F147" s="813">
        <v>12000</v>
      </c>
      <c r="G147" s="812" t="s">
        <v>3066</v>
      </c>
      <c r="H147" s="812"/>
      <c r="I147" s="813"/>
      <c r="J147" s="814"/>
      <c r="K147" s="814"/>
      <c r="L147" s="814"/>
      <c r="M147" s="814"/>
      <c r="N147" s="814"/>
      <c r="O147" s="814"/>
      <c r="P147" s="814"/>
      <c r="Q147" s="814"/>
      <c r="R147" s="814"/>
      <c r="S147" s="814"/>
      <c r="T147" s="814"/>
      <c r="U147" s="814"/>
      <c r="V147" s="814"/>
      <c r="W147" s="814"/>
      <c r="X147" s="814"/>
      <c r="Y147" s="814"/>
      <c r="Z147" s="814"/>
      <c r="AA147" s="814"/>
      <c r="AB147" s="814"/>
      <c r="AC147" s="814"/>
      <c r="AD147" s="814"/>
      <c r="AE147" s="814"/>
      <c r="AF147" s="814"/>
      <c r="AG147" s="814"/>
      <c r="AH147" s="814">
        <v>12000</v>
      </c>
      <c r="AI147" s="814"/>
      <c r="AJ147" s="814"/>
      <c r="AK147" s="814"/>
      <c r="AL147" s="814"/>
      <c r="AM147" s="841" t="s">
        <v>3130</v>
      </c>
    </row>
    <row r="148" s="787" customFormat="1" ht="18" customHeight="1" spans="1:39">
      <c r="A148" s="810">
        <v>45611</v>
      </c>
      <c r="B148" s="811" t="s">
        <v>2980</v>
      </c>
      <c r="C148" s="813" t="s">
        <v>3092</v>
      </c>
      <c r="D148" s="813" t="s">
        <v>3043</v>
      </c>
      <c r="E148" s="813">
        <v>77485</v>
      </c>
      <c r="F148" s="813">
        <v>50000</v>
      </c>
      <c r="G148" s="812" t="s">
        <v>2990</v>
      </c>
      <c r="H148" s="812" t="s">
        <v>3044</v>
      </c>
      <c r="I148" s="813" t="s">
        <v>2991</v>
      </c>
      <c r="J148" s="814">
        <v>50000</v>
      </c>
      <c r="K148" s="814"/>
      <c r="L148" s="814"/>
      <c r="M148" s="814"/>
      <c r="N148" s="814"/>
      <c r="O148" s="814"/>
      <c r="P148" s="814"/>
      <c r="Q148" s="814"/>
      <c r="R148" s="814"/>
      <c r="S148" s="814"/>
      <c r="T148" s="814"/>
      <c r="U148" s="814"/>
      <c r="V148" s="814"/>
      <c r="W148" s="814"/>
      <c r="X148" s="814"/>
      <c r="Y148" s="814"/>
      <c r="Z148" s="814"/>
      <c r="AA148" s="814"/>
      <c r="AB148" s="814"/>
      <c r="AC148" s="814"/>
      <c r="AD148" s="814"/>
      <c r="AE148" s="814"/>
      <c r="AF148" s="814"/>
      <c r="AG148" s="814"/>
      <c r="AH148" s="814"/>
      <c r="AI148" s="814"/>
      <c r="AJ148" s="814"/>
      <c r="AK148" s="814"/>
      <c r="AL148" s="814"/>
      <c r="AM148" s="841"/>
    </row>
    <row r="149" s="787" customFormat="1" ht="18" customHeight="1" spans="1:39">
      <c r="A149" s="810">
        <v>45611</v>
      </c>
      <c r="B149" s="811" t="s">
        <v>2980</v>
      </c>
      <c r="C149" s="813" t="s">
        <v>3133</v>
      </c>
      <c r="D149" s="813" t="s">
        <v>3043</v>
      </c>
      <c r="E149" s="813">
        <v>77485</v>
      </c>
      <c r="F149" s="813">
        <v>50000</v>
      </c>
      <c r="G149" s="812" t="s">
        <v>2993</v>
      </c>
      <c r="H149" s="812" t="s">
        <v>3047</v>
      </c>
      <c r="I149" s="813" t="s">
        <v>2994</v>
      </c>
      <c r="J149" s="814"/>
      <c r="K149" s="814"/>
      <c r="L149" s="814"/>
      <c r="M149" s="814"/>
      <c r="N149" s="814">
        <v>50000</v>
      </c>
      <c r="O149" s="814"/>
      <c r="P149" s="814"/>
      <c r="Q149" s="814"/>
      <c r="R149" s="814"/>
      <c r="S149" s="814"/>
      <c r="T149" s="814"/>
      <c r="U149" s="814"/>
      <c r="V149" s="814"/>
      <c r="W149" s="814"/>
      <c r="X149" s="814"/>
      <c r="Y149" s="814"/>
      <c r="Z149" s="814"/>
      <c r="AA149" s="814"/>
      <c r="AB149" s="814"/>
      <c r="AC149" s="814"/>
      <c r="AD149" s="814"/>
      <c r="AE149" s="814"/>
      <c r="AF149" s="814"/>
      <c r="AG149" s="814"/>
      <c r="AH149" s="814"/>
      <c r="AI149" s="814"/>
      <c r="AJ149" s="814"/>
      <c r="AK149" s="814"/>
      <c r="AL149" s="814"/>
      <c r="AM149" s="841"/>
    </row>
    <row r="150" s="787" customFormat="1" ht="18" customHeight="1" spans="1:39">
      <c r="A150" s="810">
        <v>45611</v>
      </c>
      <c r="B150" s="811" t="s">
        <v>2980</v>
      </c>
      <c r="C150" s="813" t="s">
        <v>3134</v>
      </c>
      <c r="D150" s="813" t="s">
        <v>3043</v>
      </c>
      <c r="E150" s="813" t="s">
        <v>3049</v>
      </c>
      <c r="F150" s="813">
        <v>1000</v>
      </c>
      <c r="G150" s="812" t="s">
        <v>2997</v>
      </c>
      <c r="H150" s="812" t="s">
        <v>16</v>
      </c>
      <c r="I150" s="813" t="s">
        <v>2991</v>
      </c>
      <c r="J150" s="814"/>
      <c r="K150" s="814"/>
      <c r="L150" s="814"/>
      <c r="M150" s="814"/>
      <c r="N150" s="814"/>
      <c r="O150" s="814"/>
      <c r="P150" s="814"/>
      <c r="Q150" s="814"/>
      <c r="R150" s="814"/>
      <c r="S150" s="814"/>
      <c r="T150" s="814"/>
      <c r="U150" s="814"/>
      <c r="V150" s="814">
        <v>1000</v>
      </c>
      <c r="W150" s="814"/>
      <c r="X150" s="814"/>
      <c r="Y150" s="814"/>
      <c r="Z150" s="814"/>
      <c r="AA150" s="814"/>
      <c r="AB150" s="814"/>
      <c r="AC150" s="814"/>
      <c r="AD150" s="814"/>
      <c r="AE150" s="814"/>
      <c r="AF150" s="814"/>
      <c r="AG150" s="814"/>
      <c r="AH150" s="814"/>
      <c r="AI150" s="814"/>
      <c r="AJ150" s="814"/>
      <c r="AK150" s="814"/>
      <c r="AL150" s="814"/>
      <c r="AM150" s="841"/>
    </row>
    <row r="151" s="787" customFormat="1" ht="18" customHeight="1" spans="1:39">
      <c r="A151" s="810">
        <v>45611</v>
      </c>
      <c r="B151" s="811" t="s">
        <v>2980</v>
      </c>
      <c r="C151" s="813" t="s">
        <v>3135</v>
      </c>
      <c r="D151" s="813" t="s">
        <v>3043</v>
      </c>
      <c r="E151" s="813" t="s">
        <v>3052</v>
      </c>
      <c r="F151" s="813">
        <v>500</v>
      </c>
      <c r="G151" s="812" t="s">
        <v>2997</v>
      </c>
      <c r="H151" s="812" t="s">
        <v>16</v>
      </c>
      <c r="I151" s="813" t="s">
        <v>2991</v>
      </c>
      <c r="J151" s="814"/>
      <c r="K151" s="814"/>
      <c r="L151" s="814"/>
      <c r="M151" s="814"/>
      <c r="N151" s="814"/>
      <c r="O151" s="814"/>
      <c r="P151" s="814"/>
      <c r="Q151" s="814"/>
      <c r="R151" s="814"/>
      <c r="S151" s="814"/>
      <c r="T151" s="814"/>
      <c r="U151" s="814"/>
      <c r="V151" s="814"/>
      <c r="W151" s="814"/>
      <c r="X151" s="814">
        <v>500</v>
      </c>
      <c r="Y151" s="814"/>
      <c r="Z151" s="814"/>
      <c r="AA151" s="814"/>
      <c r="AB151" s="814"/>
      <c r="AC151" s="814"/>
      <c r="AD151" s="814"/>
      <c r="AE151" s="814"/>
      <c r="AF151" s="814"/>
      <c r="AG151" s="814"/>
      <c r="AH151" s="814"/>
      <c r="AI151" s="814"/>
      <c r="AJ151" s="814"/>
      <c r="AK151" s="814"/>
      <c r="AL151" s="814"/>
      <c r="AM151" s="841"/>
    </row>
    <row r="152" s="787" customFormat="1" ht="18" customHeight="1" spans="1:39">
      <c r="A152" s="810">
        <v>45611</v>
      </c>
      <c r="B152" s="811" t="s">
        <v>2980</v>
      </c>
      <c r="C152" s="813" t="s">
        <v>3136</v>
      </c>
      <c r="D152" s="813"/>
      <c r="E152" s="813" t="s">
        <v>3034</v>
      </c>
      <c r="F152" s="813">
        <v>24000</v>
      </c>
      <c r="G152" s="812" t="s">
        <v>3096</v>
      </c>
      <c r="H152" s="812" t="s">
        <v>16</v>
      </c>
      <c r="I152" s="813" t="s">
        <v>2991</v>
      </c>
      <c r="J152" s="814"/>
      <c r="K152" s="814">
        <v>24000</v>
      </c>
      <c r="L152" s="814"/>
      <c r="M152" s="814"/>
      <c r="N152" s="814"/>
      <c r="O152" s="814"/>
      <c r="P152" s="814"/>
      <c r="Q152" s="814"/>
      <c r="R152" s="814"/>
      <c r="S152" s="814"/>
      <c r="T152" s="814"/>
      <c r="U152" s="814"/>
      <c r="V152" s="814"/>
      <c r="W152" s="814"/>
      <c r="X152" s="814"/>
      <c r="Y152" s="814"/>
      <c r="Z152" s="814"/>
      <c r="AA152" s="814"/>
      <c r="AB152" s="814"/>
      <c r="AC152" s="814"/>
      <c r="AD152" s="814"/>
      <c r="AE152" s="814"/>
      <c r="AF152" s="814"/>
      <c r="AG152" s="814"/>
      <c r="AH152" s="814"/>
      <c r="AI152" s="814"/>
      <c r="AJ152" s="814"/>
      <c r="AK152" s="814"/>
      <c r="AL152" s="814"/>
      <c r="AM152" s="841"/>
    </row>
    <row r="153" s="787" customFormat="1" ht="18" customHeight="1" spans="1:39">
      <c r="A153" s="810">
        <v>45617</v>
      </c>
      <c r="B153" s="811" t="s">
        <v>2980</v>
      </c>
      <c r="C153" s="813" t="s">
        <v>3092</v>
      </c>
      <c r="D153" s="813" t="s">
        <v>3043</v>
      </c>
      <c r="E153" s="813">
        <v>77485</v>
      </c>
      <c r="F153" s="813">
        <v>20000</v>
      </c>
      <c r="G153" s="812" t="s">
        <v>2990</v>
      </c>
      <c r="H153" s="812" t="s">
        <v>3044</v>
      </c>
      <c r="I153" s="813" t="s">
        <v>3003</v>
      </c>
      <c r="J153" s="814"/>
      <c r="K153" s="814"/>
      <c r="L153" s="814"/>
      <c r="M153" s="814">
        <v>20000</v>
      </c>
      <c r="N153" s="814"/>
      <c r="O153" s="814"/>
      <c r="P153" s="814"/>
      <c r="Q153" s="814"/>
      <c r="R153" s="814"/>
      <c r="S153" s="814"/>
      <c r="T153" s="814"/>
      <c r="U153" s="814"/>
      <c r="V153" s="814"/>
      <c r="W153" s="814"/>
      <c r="X153" s="814"/>
      <c r="Y153" s="814"/>
      <c r="Z153" s="814"/>
      <c r="AA153" s="814"/>
      <c r="AB153" s="814"/>
      <c r="AC153" s="814"/>
      <c r="AD153" s="814"/>
      <c r="AE153" s="814"/>
      <c r="AF153" s="814"/>
      <c r="AG153" s="814"/>
      <c r="AH153" s="814"/>
      <c r="AI153" s="814"/>
      <c r="AJ153" s="814"/>
      <c r="AK153" s="814"/>
      <c r="AL153" s="814"/>
      <c r="AM153" s="841"/>
    </row>
    <row r="154" s="787" customFormat="1" ht="18" customHeight="1" spans="1:39">
      <c r="A154" s="810">
        <v>45617</v>
      </c>
      <c r="B154" s="811" t="s">
        <v>2980</v>
      </c>
      <c r="C154" s="813" t="s">
        <v>3137</v>
      </c>
      <c r="D154" s="813" t="s">
        <v>3043</v>
      </c>
      <c r="E154" s="813" t="s">
        <v>3049</v>
      </c>
      <c r="F154" s="813">
        <v>500</v>
      </c>
      <c r="G154" s="812" t="s">
        <v>2997</v>
      </c>
      <c r="H154" s="812" t="s">
        <v>16</v>
      </c>
      <c r="I154" s="813" t="s">
        <v>2991</v>
      </c>
      <c r="J154" s="814"/>
      <c r="K154" s="814"/>
      <c r="L154" s="814"/>
      <c r="M154" s="814"/>
      <c r="N154" s="814"/>
      <c r="O154" s="814"/>
      <c r="P154" s="814"/>
      <c r="Q154" s="814"/>
      <c r="R154" s="814"/>
      <c r="S154" s="814"/>
      <c r="T154" s="814"/>
      <c r="U154" s="814"/>
      <c r="V154" s="814">
        <v>500</v>
      </c>
      <c r="W154" s="814"/>
      <c r="X154" s="814"/>
      <c r="Y154" s="814"/>
      <c r="Z154" s="814"/>
      <c r="AA154" s="814"/>
      <c r="AB154" s="814"/>
      <c r="AC154" s="814"/>
      <c r="AD154" s="814"/>
      <c r="AE154" s="814"/>
      <c r="AF154" s="814"/>
      <c r="AG154" s="814"/>
      <c r="AH154" s="814"/>
      <c r="AI154" s="814"/>
      <c r="AJ154" s="814"/>
      <c r="AK154" s="814"/>
      <c r="AL154" s="814"/>
      <c r="AM154" s="841"/>
    </row>
    <row r="155" s="787" customFormat="1" ht="18" customHeight="1" spans="1:39">
      <c r="A155" s="810">
        <v>45617</v>
      </c>
      <c r="B155" s="811" t="s">
        <v>2980</v>
      </c>
      <c r="C155" s="813" t="s">
        <v>3138</v>
      </c>
      <c r="D155" s="813" t="s">
        <v>3043</v>
      </c>
      <c r="E155" s="813" t="s">
        <v>3052</v>
      </c>
      <c r="F155" s="813">
        <v>1000</v>
      </c>
      <c r="G155" s="812" t="s">
        <v>2997</v>
      </c>
      <c r="H155" s="812" t="s">
        <v>16</v>
      </c>
      <c r="I155" s="813" t="s">
        <v>3003</v>
      </c>
      <c r="J155" s="814"/>
      <c r="K155" s="814"/>
      <c r="L155" s="814"/>
      <c r="M155" s="814"/>
      <c r="N155" s="814"/>
      <c r="O155" s="814"/>
      <c r="P155" s="814"/>
      <c r="Q155" s="814"/>
      <c r="R155" s="814"/>
      <c r="S155" s="814"/>
      <c r="T155" s="814"/>
      <c r="U155" s="814"/>
      <c r="V155" s="814"/>
      <c r="W155" s="814"/>
      <c r="X155" s="814"/>
      <c r="Y155" s="814">
        <v>1000</v>
      </c>
      <c r="Z155" s="814"/>
      <c r="AA155" s="814"/>
      <c r="AB155" s="814"/>
      <c r="AC155" s="814"/>
      <c r="AD155" s="814"/>
      <c r="AE155" s="814"/>
      <c r="AF155" s="814"/>
      <c r="AG155" s="814"/>
      <c r="AH155" s="814"/>
      <c r="AI155" s="814"/>
      <c r="AJ155" s="814"/>
      <c r="AK155" s="814"/>
      <c r="AL155" s="814"/>
      <c r="AM155" s="841"/>
    </row>
    <row r="156" s="787" customFormat="1" ht="18" customHeight="1" spans="1:39">
      <c r="A156" s="810">
        <v>45621</v>
      </c>
      <c r="B156" s="811" t="s">
        <v>2980</v>
      </c>
      <c r="C156" s="813" t="s">
        <v>3139</v>
      </c>
      <c r="D156" s="813" t="s">
        <v>3068</v>
      </c>
      <c r="E156" s="813">
        <v>77485</v>
      </c>
      <c r="F156" s="813">
        <v>20000</v>
      </c>
      <c r="G156" s="812" t="s">
        <v>2987</v>
      </c>
      <c r="H156" s="812" t="s">
        <v>1527</v>
      </c>
      <c r="I156" s="813" t="s">
        <v>1527</v>
      </c>
      <c r="J156" s="814"/>
      <c r="K156" s="814"/>
      <c r="L156" s="814"/>
      <c r="M156" s="814"/>
      <c r="N156" s="814"/>
      <c r="O156" s="814">
        <v>20000</v>
      </c>
      <c r="P156" s="814"/>
      <c r="Q156" s="814"/>
      <c r="R156" s="814"/>
      <c r="S156" s="814"/>
      <c r="T156" s="814"/>
      <c r="U156" s="814"/>
      <c r="V156" s="814"/>
      <c r="W156" s="814"/>
      <c r="X156" s="814"/>
      <c r="Y156" s="814"/>
      <c r="Z156" s="814"/>
      <c r="AA156" s="814"/>
      <c r="AB156" s="814"/>
      <c r="AC156" s="814"/>
      <c r="AD156" s="814"/>
      <c r="AE156" s="814"/>
      <c r="AF156" s="814"/>
      <c r="AG156" s="814"/>
      <c r="AH156" s="814"/>
      <c r="AI156" s="814"/>
      <c r="AJ156" s="814"/>
      <c r="AK156" s="814"/>
      <c r="AL156" s="814"/>
      <c r="AM156" s="841" t="s">
        <v>3140</v>
      </c>
    </row>
    <row r="157" s="787" customFormat="1" ht="18" customHeight="1" spans="1:39">
      <c r="A157" s="810">
        <v>45621</v>
      </c>
      <c r="B157" s="811" t="s">
        <v>2980</v>
      </c>
      <c r="C157" s="813" t="s">
        <v>3141</v>
      </c>
      <c r="D157" s="813" t="s">
        <v>3068</v>
      </c>
      <c r="E157" s="813" t="s">
        <v>2999</v>
      </c>
      <c r="F157" s="813">
        <v>1996</v>
      </c>
      <c r="G157" s="812" t="s">
        <v>2997</v>
      </c>
      <c r="H157" s="812" t="s">
        <v>1527</v>
      </c>
      <c r="I157" s="813" t="s">
        <v>1527</v>
      </c>
      <c r="J157" s="814"/>
      <c r="K157" s="814"/>
      <c r="L157" s="814"/>
      <c r="M157" s="814"/>
      <c r="N157" s="814"/>
      <c r="O157" s="814"/>
      <c r="P157" s="814"/>
      <c r="Q157" s="814"/>
      <c r="R157" s="814"/>
      <c r="S157" s="814">
        <v>1996</v>
      </c>
      <c r="T157" s="814"/>
      <c r="U157" s="814"/>
      <c r="V157" s="814"/>
      <c r="W157" s="814"/>
      <c r="X157" s="814"/>
      <c r="Y157" s="814"/>
      <c r="Z157" s="814"/>
      <c r="AA157" s="814"/>
      <c r="AB157" s="814"/>
      <c r="AC157" s="814"/>
      <c r="AD157" s="814"/>
      <c r="AE157" s="814"/>
      <c r="AF157" s="814"/>
      <c r="AG157" s="814"/>
      <c r="AH157" s="814"/>
      <c r="AI157" s="814"/>
      <c r="AJ157" s="814"/>
      <c r="AK157" s="814"/>
      <c r="AL157" s="814"/>
      <c r="AM157" s="841" t="s">
        <v>3142</v>
      </c>
    </row>
    <row r="158" s="787" customFormat="1" ht="18" customHeight="1" spans="1:39">
      <c r="A158" s="810"/>
      <c r="B158" s="811"/>
      <c r="C158" s="813" t="s">
        <v>3143</v>
      </c>
      <c r="D158" s="813"/>
      <c r="E158" s="813" t="s">
        <v>3144</v>
      </c>
      <c r="F158" s="813">
        <v>1556</v>
      </c>
      <c r="G158" s="812" t="s">
        <v>2997</v>
      </c>
      <c r="H158" s="812" t="s">
        <v>1527</v>
      </c>
      <c r="I158" s="813" t="s">
        <v>1527</v>
      </c>
      <c r="J158" s="814"/>
      <c r="K158" s="814"/>
      <c r="L158" s="814"/>
      <c r="M158" s="814"/>
      <c r="N158" s="814"/>
      <c r="O158" s="814"/>
      <c r="P158" s="814"/>
      <c r="Q158" s="814"/>
      <c r="R158" s="814"/>
      <c r="S158" s="814"/>
      <c r="T158" s="814"/>
      <c r="U158" s="814">
        <v>1556</v>
      </c>
      <c r="V158" s="814"/>
      <c r="W158" s="814"/>
      <c r="X158" s="814"/>
      <c r="Y158" s="814"/>
      <c r="Z158" s="814"/>
      <c r="AA158" s="814"/>
      <c r="AB158" s="814"/>
      <c r="AC158" s="814"/>
      <c r="AD158" s="814"/>
      <c r="AE158" s="814"/>
      <c r="AF158" s="814"/>
      <c r="AG158" s="814"/>
      <c r="AH158" s="814"/>
      <c r="AI158" s="814"/>
      <c r="AJ158" s="814"/>
      <c r="AK158" s="814"/>
      <c r="AL158" s="814"/>
      <c r="AM158" s="841"/>
    </row>
    <row r="159" s="787" customFormat="1" ht="18" customHeight="1" spans="1:39">
      <c r="A159" s="810">
        <v>45637</v>
      </c>
      <c r="B159" s="811" t="s">
        <v>2980</v>
      </c>
      <c r="C159" s="813" t="s">
        <v>3145</v>
      </c>
      <c r="D159" s="813" t="s">
        <v>3068</v>
      </c>
      <c r="E159" s="813">
        <v>77485</v>
      </c>
      <c r="F159" s="813">
        <v>20000</v>
      </c>
      <c r="G159" s="812" t="s">
        <v>2987</v>
      </c>
      <c r="H159" s="812" t="s">
        <v>1527</v>
      </c>
      <c r="I159" s="813" t="s">
        <v>1527</v>
      </c>
      <c r="J159" s="814"/>
      <c r="K159" s="814"/>
      <c r="L159" s="814"/>
      <c r="M159" s="814"/>
      <c r="N159" s="814"/>
      <c r="O159" s="814">
        <v>20000</v>
      </c>
      <c r="P159" s="814"/>
      <c r="Q159" s="814"/>
      <c r="R159" s="814"/>
      <c r="S159" s="814"/>
      <c r="T159" s="814"/>
      <c r="U159" s="814"/>
      <c r="V159" s="814"/>
      <c r="W159" s="814"/>
      <c r="X159" s="814"/>
      <c r="Y159" s="814"/>
      <c r="Z159" s="814"/>
      <c r="AA159" s="814"/>
      <c r="AB159" s="814"/>
      <c r="AC159" s="814"/>
      <c r="AD159" s="814"/>
      <c r="AE159" s="814"/>
      <c r="AF159" s="814"/>
      <c r="AG159" s="814"/>
      <c r="AH159" s="814"/>
      <c r="AI159" s="814"/>
      <c r="AJ159" s="814"/>
      <c r="AK159" s="814"/>
      <c r="AL159" s="814"/>
      <c r="AM159" s="841" t="s">
        <v>3146</v>
      </c>
    </row>
    <row r="160" s="787" customFormat="1" ht="18" customHeight="1" spans="1:39">
      <c r="A160" s="810">
        <v>45637</v>
      </c>
      <c r="B160" s="811" t="s">
        <v>2980</v>
      </c>
      <c r="C160" s="813" t="s">
        <v>3147</v>
      </c>
      <c r="D160" s="813" t="s">
        <v>3068</v>
      </c>
      <c r="E160" s="813" t="s">
        <v>2999</v>
      </c>
      <c r="F160" s="813">
        <v>1248</v>
      </c>
      <c r="G160" s="812" t="s">
        <v>2997</v>
      </c>
      <c r="H160" s="812" t="s">
        <v>1527</v>
      </c>
      <c r="I160" s="813" t="s">
        <v>1527</v>
      </c>
      <c r="J160" s="814"/>
      <c r="K160" s="814"/>
      <c r="L160" s="814"/>
      <c r="M160" s="814"/>
      <c r="N160" s="814"/>
      <c r="O160" s="814"/>
      <c r="P160" s="814"/>
      <c r="Q160" s="814"/>
      <c r="R160" s="814"/>
      <c r="S160" s="814">
        <v>1248</v>
      </c>
      <c r="T160" s="814"/>
      <c r="U160" s="814"/>
      <c r="V160" s="814"/>
      <c r="W160" s="814"/>
      <c r="X160" s="814"/>
      <c r="Y160" s="814"/>
      <c r="Z160" s="814"/>
      <c r="AA160" s="814"/>
      <c r="AB160" s="814"/>
      <c r="AC160" s="814"/>
      <c r="AD160" s="814"/>
      <c r="AE160" s="814"/>
      <c r="AF160" s="814"/>
      <c r="AG160" s="814"/>
      <c r="AH160" s="814"/>
      <c r="AI160" s="814"/>
      <c r="AJ160" s="814"/>
      <c r="AK160" s="814"/>
      <c r="AL160" s="814"/>
      <c r="AM160" s="841" t="s">
        <v>3148</v>
      </c>
    </row>
    <row r="161" s="787" customFormat="1" ht="18" customHeight="1" spans="1:39">
      <c r="A161" s="810">
        <v>45649</v>
      </c>
      <c r="B161" s="811" t="s">
        <v>2980</v>
      </c>
      <c r="C161" s="813" t="s">
        <v>3149</v>
      </c>
      <c r="D161" s="813" t="s">
        <v>3068</v>
      </c>
      <c r="E161" s="813">
        <v>77485</v>
      </c>
      <c r="F161" s="813">
        <v>20000</v>
      </c>
      <c r="G161" s="812" t="s">
        <v>2987</v>
      </c>
      <c r="H161" s="812" t="s">
        <v>1527</v>
      </c>
      <c r="I161" s="813" t="s">
        <v>1527</v>
      </c>
      <c r="J161" s="814"/>
      <c r="K161" s="814"/>
      <c r="L161" s="814"/>
      <c r="M161" s="814"/>
      <c r="N161" s="814"/>
      <c r="O161" s="814">
        <v>20000</v>
      </c>
      <c r="P161" s="814"/>
      <c r="Q161" s="814"/>
      <c r="R161" s="814"/>
      <c r="S161" s="814"/>
      <c r="T161" s="814"/>
      <c r="U161" s="814"/>
      <c r="V161" s="814"/>
      <c r="W161" s="814"/>
      <c r="X161" s="814"/>
      <c r="Y161" s="814"/>
      <c r="Z161" s="814"/>
      <c r="AA161" s="814"/>
      <c r="AB161" s="814"/>
      <c r="AC161" s="814"/>
      <c r="AD161" s="814"/>
      <c r="AE161" s="814"/>
      <c r="AF161" s="814"/>
      <c r="AG161" s="814"/>
      <c r="AH161" s="814"/>
      <c r="AI161" s="814"/>
      <c r="AJ161" s="814"/>
      <c r="AK161" s="814"/>
      <c r="AL161" s="814"/>
      <c r="AM161" s="841" t="s">
        <v>3150</v>
      </c>
    </row>
    <row r="162" s="787" customFormat="1" ht="18" customHeight="1" spans="1:39">
      <c r="A162" s="810">
        <v>45649</v>
      </c>
      <c r="B162" s="811" t="s">
        <v>2980</v>
      </c>
      <c r="C162" s="813" t="s">
        <v>3151</v>
      </c>
      <c r="D162" s="813" t="s">
        <v>3068</v>
      </c>
      <c r="E162" s="813" t="s">
        <v>2999</v>
      </c>
      <c r="F162" s="813">
        <v>1536</v>
      </c>
      <c r="G162" s="812" t="s">
        <v>2997</v>
      </c>
      <c r="H162" s="812" t="s">
        <v>1527</v>
      </c>
      <c r="I162" s="813" t="s">
        <v>1527</v>
      </c>
      <c r="J162" s="814"/>
      <c r="K162" s="814"/>
      <c r="L162" s="814"/>
      <c r="M162" s="814"/>
      <c r="N162" s="814"/>
      <c r="O162" s="814"/>
      <c r="P162" s="814"/>
      <c r="Q162" s="814"/>
      <c r="R162" s="814"/>
      <c r="S162" s="814">
        <v>1536</v>
      </c>
      <c r="T162" s="814"/>
      <c r="U162" s="814"/>
      <c r="V162" s="814"/>
      <c r="W162" s="814"/>
      <c r="X162" s="814"/>
      <c r="Y162" s="814"/>
      <c r="Z162" s="814"/>
      <c r="AA162" s="814"/>
      <c r="AB162" s="814"/>
      <c r="AC162" s="814"/>
      <c r="AD162" s="814"/>
      <c r="AE162" s="814"/>
      <c r="AF162" s="814"/>
      <c r="AG162" s="814"/>
      <c r="AH162" s="814"/>
      <c r="AI162" s="814"/>
      <c r="AJ162" s="814"/>
      <c r="AK162" s="814"/>
      <c r="AL162" s="814"/>
      <c r="AM162" s="841" t="s">
        <v>3152</v>
      </c>
    </row>
    <row r="163" s="787" customFormat="1" ht="18" customHeight="1" spans="1:39">
      <c r="A163" s="810">
        <v>45664</v>
      </c>
      <c r="B163" s="811" t="s">
        <v>2980</v>
      </c>
      <c r="C163" s="813" t="s">
        <v>3092</v>
      </c>
      <c r="D163" s="813" t="s">
        <v>3043</v>
      </c>
      <c r="E163" s="813">
        <v>77485</v>
      </c>
      <c r="F163" s="813">
        <v>50000</v>
      </c>
      <c r="G163" s="812" t="s">
        <v>2990</v>
      </c>
      <c r="H163" s="812" t="s">
        <v>3044</v>
      </c>
      <c r="I163" s="813" t="s">
        <v>2991</v>
      </c>
      <c r="J163" s="814">
        <v>50000</v>
      </c>
      <c r="K163" s="814"/>
      <c r="L163" s="814"/>
      <c r="M163" s="814"/>
      <c r="N163" s="814"/>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41"/>
    </row>
    <row r="164" s="787" customFormat="1" ht="18" customHeight="1" spans="1:39">
      <c r="A164" s="810">
        <v>45664</v>
      </c>
      <c r="B164" s="811" t="s">
        <v>2980</v>
      </c>
      <c r="C164" s="813" t="s">
        <v>3092</v>
      </c>
      <c r="D164" s="813" t="s">
        <v>3043</v>
      </c>
      <c r="E164" s="813">
        <v>77485</v>
      </c>
      <c r="F164" s="813">
        <v>20000</v>
      </c>
      <c r="G164" s="812" t="s">
        <v>2990</v>
      </c>
      <c r="H164" s="812" t="s">
        <v>3044</v>
      </c>
      <c r="I164" s="813" t="s">
        <v>3003</v>
      </c>
      <c r="J164" s="814"/>
      <c r="K164" s="814"/>
      <c r="L164" s="814"/>
      <c r="M164" s="814">
        <v>20000</v>
      </c>
      <c r="N164" s="814"/>
      <c r="O164" s="814"/>
      <c r="P164" s="814"/>
      <c r="Q164" s="814"/>
      <c r="R164" s="814"/>
      <c r="S164" s="814"/>
      <c r="T164" s="814"/>
      <c r="U164" s="814"/>
      <c r="V164" s="814"/>
      <c r="W164" s="814"/>
      <c r="X164" s="814"/>
      <c r="Y164" s="814"/>
      <c r="Z164" s="814"/>
      <c r="AA164" s="814"/>
      <c r="AB164" s="814"/>
      <c r="AC164" s="814"/>
      <c r="AD164" s="814"/>
      <c r="AE164" s="814"/>
      <c r="AF164" s="814"/>
      <c r="AG164" s="814"/>
      <c r="AH164" s="814"/>
      <c r="AI164" s="814"/>
      <c r="AJ164" s="814"/>
      <c r="AK164" s="814"/>
      <c r="AL164" s="814"/>
      <c r="AM164" s="841"/>
    </row>
    <row r="165" s="787" customFormat="1" ht="18" customHeight="1" spans="1:39">
      <c r="A165" s="810">
        <v>45664</v>
      </c>
      <c r="B165" s="811" t="s">
        <v>2980</v>
      </c>
      <c r="C165" s="813" t="s">
        <v>3153</v>
      </c>
      <c r="D165" s="813" t="s">
        <v>3043</v>
      </c>
      <c r="E165" s="813">
        <v>77485</v>
      </c>
      <c r="F165" s="813">
        <v>50000</v>
      </c>
      <c r="G165" s="812" t="s">
        <v>2993</v>
      </c>
      <c r="H165" s="812" t="s">
        <v>3047</v>
      </c>
      <c r="I165" s="813" t="s">
        <v>2994</v>
      </c>
      <c r="J165" s="814"/>
      <c r="K165" s="814"/>
      <c r="L165" s="814"/>
      <c r="M165" s="814"/>
      <c r="N165" s="814">
        <v>50000</v>
      </c>
      <c r="O165" s="814"/>
      <c r="P165" s="814"/>
      <c r="Q165" s="814"/>
      <c r="R165" s="814"/>
      <c r="S165" s="814"/>
      <c r="T165" s="814"/>
      <c r="U165" s="814"/>
      <c r="V165" s="814"/>
      <c r="W165" s="814"/>
      <c r="X165" s="814"/>
      <c r="Y165" s="814"/>
      <c r="Z165" s="814"/>
      <c r="AA165" s="814"/>
      <c r="AB165" s="814"/>
      <c r="AC165" s="814"/>
      <c r="AD165" s="814"/>
      <c r="AE165" s="814"/>
      <c r="AF165" s="814"/>
      <c r="AG165" s="814"/>
      <c r="AH165" s="814"/>
      <c r="AI165" s="814"/>
      <c r="AJ165" s="814"/>
      <c r="AK165" s="814"/>
      <c r="AL165" s="814"/>
      <c r="AM165" s="841"/>
    </row>
    <row r="166" s="787" customFormat="1" ht="18" customHeight="1" spans="1:39">
      <c r="A166" s="810">
        <v>45664</v>
      </c>
      <c r="B166" s="811" t="s">
        <v>2980</v>
      </c>
      <c r="C166" s="813" t="s">
        <v>3154</v>
      </c>
      <c r="D166" s="813" t="s">
        <v>3043</v>
      </c>
      <c r="E166" s="813" t="s">
        <v>3049</v>
      </c>
      <c r="F166" s="813">
        <v>800</v>
      </c>
      <c r="G166" s="812" t="s">
        <v>2997</v>
      </c>
      <c r="H166" s="812" t="s">
        <v>16</v>
      </c>
      <c r="I166" s="813" t="s">
        <v>2991</v>
      </c>
      <c r="J166" s="814"/>
      <c r="K166" s="814"/>
      <c r="L166" s="814"/>
      <c r="M166" s="814"/>
      <c r="N166" s="814"/>
      <c r="O166" s="814"/>
      <c r="P166" s="814"/>
      <c r="Q166" s="814"/>
      <c r="R166" s="814"/>
      <c r="S166" s="814"/>
      <c r="T166" s="814"/>
      <c r="U166" s="814"/>
      <c r="V166" s="814">
        <v>800</v>
      </c>
      <c r="W166" s="814"/>
      <c r="X166" s="814"/>
      <c r="Y166" s="814"/>
      <c r="Z166" s="814"/>
      <c r="AA166" s="814"/>
      <c r="AB166" s="814"/>
      <c r="AC166" s="814"/>
      <c r="AD166" s="814"/>
      <c r="AE166" s="814"/>
      <c r="AF166" s="814"/>
      <c r="AG166" s="814"/>
      <c r="AH166" s="814"/>
      <c r="AI166" s="814"/>
      <c r="AJ166" s="814"/>
      <c r="AK166" s="814"/>
      <c r="AL166" s="814"/>
      <c r="AM166" s="841"/>
    </row>
    <row r="167" s="787" customFormat="1" ht="18" customHeight="1" spans="1:39">
      <c r="A167" s="810">
        <v>45664</v>
      </c>
      <c r="B167" s="811" t="s">
        <v>2980</v>
      </c>
      <c r="C167" s="813" t="s">
        <v>3155</v>
      </c>
      <c r="D167" s="813" t="s">
        <v>3043</v>
      </c>
      <c r="E167" s="813" t="s">
        <v>3052</v>
      </c>
      <c r="F167" s="813">
        <v>500</v>
      </c>
      <c r="G167" s="812" t="s">
        <v>2997</v>
      </c>
      <c r="H167" s="812" t="s">
        <v>16</v>
      </c>
      <c r="I167" s="813" t="s">
        <v>3003</v>
      </c>
      <c r="J167" s="814"/>
      <c r="K167" s="814"/>
      <c r="L167" s="814"/>
      <c r="M167" s="814"/>
      <c r="N167" s="814"/>
      <c r="O167" s="814"/>
      <c r="P167" s="814"/>
      <c r="Q167" s="814"/>
      <c r="R167" s="814"/>
      <c r="S167" s="814"/>
      <c r="T167" s="814"/>
      <c r="U167" s="814"/>
      <c r="V167" s="814"/>
      <c r="W167" s="814"/>
      <c r="X167" s="814"/>
      <c r="Y167" s="814">
        <v>500</v>
      </c>
      <c r="Z167" s="814"/>
      <c r="AA167" s="814"/>
      <c r="AB167" s="814"/>
      <c r="AC167" s="814"/>
      <c r="AD167" s="814"/>
      <c r="AE167" s="814"/>
      <c r="AF167" s="814"/>
      <c r="AG167" s="814"/>
      <c r="AH167" s="814"/>
      <c r="AI167" s="814"/>
      <c r="AJ167" s="814"/>
      <c r="AK167" s="814"/>
      <c r="AL167" s="814"/>
      <c r="AM167" s="841"/>
    </row>
    <row r="168" s="787" customFormat="1" ht="18" customHeight="1" spans="1:39">
      <c r="A168" s="810">
        <v>45679</v>
      </c>
      <c r="B168" s="811" t="s">
        <v>2980</v>
      </c>
      <c r="C168" s="813" t="s">
        <v>3156</v>
      </c>
      <c r="D168" s="813" t="s">
        <v>3068</v>
      </c>
      <c r="E168" s="813">
        <v>77485</v>
      </c>
      <c r="F168" s="813">
        <v>20000</v>
      </c>
      <c r="G168" s="812" t="s">
        <v>3157</v>
      </c>
      <c r="H168" s="812" t="s">
        <v>1527</v>
      </c>
      <c r="I168" s="813" t="s">
        <v>1527</v>
      </c>
      <c r="J168" s="814"/>
      <c r="K168" s="814"/>
      <c r="L168" s="814"/>
      <c r="M168" s="814"/>
      <c r="N168" s="814"/>
      <c r="O168" s="814">
        <v>20000</v>
      </c>
      <c r="P168" s="814"/>
      <c r="Q168" s="814"/>
      <c r="R168" s="814"/>
      <c r="S168" s="814"/>
      <c r="T168" s="814"/>
      <c r="U168" s="814"/>
      <c r="V168" s="814"/>
      <c r="W168" s="814"/>
      <c r="X168" s="814"/>
      <c r="Y168" s="814"/>
      <c r="Z168" s="814"/>
      <c r="AA168" s="814"/>
      <c r="AB168" s="814"/>
      <c r="AC168" s="814"/>
      <c r="AD168" s="814"/>
      <c r="AE168" s="814"/>
      <c r="AF168" s="814"/>
      <c r="AG168" s="814"/>
      <c r="AH168" s="814"/>
      <c r="AI168" s="814"/>
      <c r="AJ168" s="814"/>
      <c r="AK168" s="814"/>
      <c r="AL168" s="814"/>
      <c r="AM168" s="841" t="s">
        <v>3158</v>
      </c>
    </row>
    <row r="169" s="787" customFormat="1" ht="18" customHeight="1" spans="1:39">
      <c r="A169" s="810">
        <v>45679</v>
      </c>
      <c r="B169" s="811" t="s">
        <v>2980</v>
      </c>
      <c r="C169" s="813" t="s">
        <v>3159</v>
      </c>
      <c r="D169" s="813" t="s">
        <v>3068</v>
      </c>
      <c r="E169" s="813" t="s">
        <v>2999</v>
      </c>
      <c r="F169" s="813">
        <v>1400</v>
      </c>
      <c r="G169" s="812" t="s">
        <v>2997</v>
      </c>
      <c r="H169" s="812" t="s">
        <v>1527</v>
      </c>
      <c r="I169" s="813" t="s">
        <v>1527</v>
      </c>
      <c r="J169" s="814"/>
      <c r="K169" s="814"/>
      <c r="L169" s="814"/>
      <c r="M169" s="814"/>
      <c r="N169" s="814"/>
      <c r="O169" s="814"/>
      <c r="P169" s="814"/>
      <c r="Q169" s="814"/>
      <c r="R169" s="814"/>
      <c r="S169" s="814">
        <v>1400</v>
      </c>
      <c r="T169" s="814"/>
      <c r="U169" s="814"/>
      <c r="V169" s="814"/>
      <c r="W169" s="814"/>
      <c r="X169" s="814"/>
      <c r="Y169" s="814"/>
      <c r="Z169" s="814"/>
      <c r="AA169" s="814"/>
      <c r="AB169" s="814"/>
      <c r="AC169" s="814"/>
      <c r="AD169" s="814"/>
      <c r="AE169" s="814"/>
      <c r="AF169" s="814"/>
      <c r="AG169" s="814"/>
      <c r="AH169" s="814"/>
      <c r="AI169" s="814"/>
      <c r="AJ169" s="814"/>
      <c r="AK169" s="814"/>
      <c r="AL169" s="814"/>
      <c r="AM169" s="841" t="s">
        <v>3160</v>
      </c>
    </row>
    <row r="170" s="787" customFormat="1" ht="18" customHeight="1" spans="1:39">
      <c r="A170" s="810">
        <v>45698</v>
      </c>
      <c r="B170" s="811" t="s">
        <v>2980</v>
      </c>
      <c r="C170" s="813" t="s">
        <v>3161</v>
      </c>
      <c r="D170" s="813" t="s">
        <v>3068</v>
      </c>
      <c r="E170" s="813" t="s">
        <v>2999</v>
      </c>
      <c r="F170" s="813">
        <v>500</v>
      </c>
      <c r="G170" s="812" t="s">
        <v>2997</v>
      </c>
      <c r="H170" s="812" t="s">
        <v>1527</v>
      </c>
      <c r="I170" s="813" t="s">
        <v>1527</v>
      </c>
      <c r="J170" s="814"/>
      <c r="K170" s="814"/>
      <c r="L170" s="814"/>
      <c r="M170" s="814"/>
      <c r="N170" s="814"/>
      <c r="O170" s="814"/>
      <c r="P170" s="814"/>
      <c r="Q170" s="814"/>
      <c r="R170" s="814"/>
      <c r="S170" s="814">
        <v>500</v>
      </c>
      <c r="T170" s="814"/>
      <c r="U170" s="814"/>
      <c r="V170" s="814"/>
      <c r="W170" s="814"/>
      <c r="X170" s="814"/>
      <c r="Y170" s="814"/>
      <c r="Z170" s="814"/>
      <c r="AA170" s="814"/>
      <c r="AB170" s="814"/>
      <c r="AC170" s="814"/>
      <c r="AD170" s="814"/>
      <c r="AE170" s="814"/>
      <c r="AF170" s="814"/>
      <c r="AG170" s="814"/>
      <c r="AH170" s="814"/>
      <c r="AI170" s="814"/>
      <c r="AJ170" s="814"/>
      <c r="AK170" s="814"/>
      <c r="AL170" s="814"/>
      <c r="AM170" s="841" t="s">
        <v>3162</v>
      </c>
    </row>
    <row r="171" s="787" customFormat="1" ht="18" customHeight="1" spans="1:39">
      <c r="A171" s="810">
        <v>45785</v>
      </c>
      <c r="B171" s="811" t="s">
        <v>2980</v>
      </c>
      <c r="C171" s="813" t="s">
        <v>3092</v>
      </c>
      <c r="D171" s="813" t="s">
        <v>3043</v>
      </c>
      <c r="E171" s="813">
        <v>77485</v>
      </c>
      <c r="F171" s="813">
        <v>20000</v>
      </c>
      <c r="G171" s="812" t="s">
        <v>2990</v>
      </c>
      <c r="H171" s="812" t="s">
        <v>3044</v>
      </c>
      <c r="I171" s="813" t="s">
        <v>2991</v>
      </c>
      <c r="J171" s="814">
        <v>20000</v>
      </c>
      <c r="K171" s="814"/>
      <c r="L171" s="814"/>
      <c r="M171" s="814"/>
      <c r="N171" s="814"/>
      <c r="O171" s="814"/>
      <c r="P171" s="814"/>
      <c r="Q171" s="814"/>
      <c r="R171" s="814"/>
      <c r="S171" s="814"/>
      <c r="T171" s="814"/>
      <c r="U171" s="814"/>
      <c r="V171" s="814"/>
      <c r="W171" s="814"/>
      <c r="X171" s="814"/>
      <c r="Y171" s="814"/>
      <c r="Z171" s="814"/>
      <c r="AA171" s="814"/>
      <c r="AB171" s="814"/>
      <c r="AC171" s="814"/>
      <c r="AD171" s="814"/>
      <c r="AE171" s="814"/>
      <c r="AF171" s="814"/>
      <c r="AG171" s="814"/>
      <c r="AH171" s="814"/>
      <c r="AI171" s="814"/>
      <c r="AJ171" s="814"/>
      <c r="AK171" s="814"/>
      <c r="AL171" s="814"/>
      <c r="AM171" s="841"/>
    </row>
    <row r="172" s="787" customFormat="1" ht="18" customHeight="1" spans="1:39">
      <c r="A172" s="810">
        <v>45785</v>
      </c>
      <c r="B172" s="811" t="s">
        <v>2980</v>
      </c>
      <c r="C172" s="813" t="s">
        <v>3092</v>
      </c>
      <c r="D172" s="813" t="s">
        <v>3043</v>
      </c>
      <c r="E172" s="813">
        <v>77485</v>
      </c>
      <c r="F172" s="813">
        <v>20000</v>
      </c>
      <c r="G172" s="812" t="s">
        <v>2990</v>
      </c>
      <c r="H172" s="812" t="s">
        <v>3044</v>
      </c>
      <c r="I172" s="813" t="s">
        <v>3003</v>
      </c>
      <c r="J172" s="814"/>
      <c r="K172" s="814"/>
      <c r="L172" s="814"/>
      <c r="M172" s="814">
        <v>20000</v>
      </c>
      <c r="N172" s="814"/>
      <c r="O172" s="814"/>
      <c r="P172" s="814"/>
      <c r="Q172" s="814"/>
      <c r="R172" s="814"/>
      <c r="S172" s="814"/>
      <c r="T172" s="814"/>
      <c r="U172" s="814"/>
      <c r="V172" s="814"/>
      <c r="W172" s="814"/>
      <c r="X172" s="814"/>
      <c r="Y172" s="814"/>
      <c r="Z172" s="814"/>
      <c r="AA172" s="814"/>
      <c r="AB172" s="814"/>
      <c r="AC172" s="814"/>
      <c r="AD172" s="814"/>
      <c r="AE172" s="814"/>
      <c r="AF172" s="814"/>
      <c r="AG172" s="814"/>
      <c r="AH172" s="814"/>
      <c r="AI172" s="814"/>
      <c r="AJ172" s="814"/>
      <c r="AK172" s="814"/>
      <c r="AL172" s="814"/>
      <c r="AM172" s="841"/>
    </row>
    <row r="173" s="787" customFormat="1" ht="18" customHeight="1" spans="1:39">
      <c r="A173" s="810">
        <v>45785</v>
      </c>
      <c r="B173" s="811" t="s">
        <v>2980</v>
      </c>
      <c r="C173" s="813" t="s">
        <v>3163</v>
      </c>
      <c r="D173" s="813" t="s">
        <v>3043</v>
      </c>
      <c r="E173" s="813">
        <v>77485</v>
      </c>
      <c r="F173" s="813">
        <v>40000</v>
      </c>
      <c r="G173" s="812" t="s">
        <v>2993</v>
      </c>
      <c r="H173" s="812" t="s">
        <v>3047</v>
      </c>
      <c r="I173" s="813" t="s">
        <v>2994</v>
      </c>
      <c r="J173" s="814"/>
      <c r="K173" s="814"/>
      <c r="L173" s="814"/>
      <c r="M173" s="814"/>
      <c r="N173" s="814">
        <v>40000</v>
      </c>
      <c r="O173" s="814"/>
      <c r="P173" s="814"/>
      <c r="Q173" s="814"/>
      <c r="R173" s="814"/>
      <c r="S173" s="814"/>
      <c r="T173" s="814"/>
      <c r="U173" s="814"/>
      <c r="V173" s="814"/>
      <c r="W173" s="814"/>
      <c r="X173" s="814"/>
      <c r="Y173" s="814"/>
      <c r="Z173" s="814"/>
      <c r="AA173" s="814"/>
      <c r="AB173" s="814"/>
      <c r="AC173" s="814"/>
      <c r="AD173" s="814"/>
      <c r="AE173" s="814"/>
      <c r="AF173" s="814"/>
      <c r="AG173" s="814"/>
      <c r="AH173" s="814"/>
      <c r="AI173" s="814"/>
      <c r="AJ173" s="814"/>
      <c r="AK173" s="814"/>
      <c r="AL173" s="814"/>
      <c r="AM173" s="841"/>
    </row>
    <row r="174" s="787" customFormat="1" ht="18" customHeight="1" spans="1:39">
      <c r="A174" s="810">
        <v>45785</v>
      </c>
      <c r="B174" s="811" t="s">
        <v>2980</v>
      </c>
      <c r="C174" s="813" t="s">
        <v>3164</v>
      </c>
      <c r="D174" s="813" t="s">
        <v>3043</v>
      </c>
      <c r="E174" s="813" t="s">
        <v>3052</v>
      </c>
      <c r="F174" s="813">
        <v>500</v>
      </c>
      <c r="G174" s="812" t="s">
        <v>2997</v>
      </c>
      <c r="H174" s="812" t="s">
        <v>16</v>
      </c>
      <c r="I174" s="813" t="s">
        <v>2991</v>
      </c>
      <c r="J174" s="814"/>
      <c r="K174" s="814"/>
      <c r="L174" s="814"/>
      <c r="M174" s="814"/>
      <c r="N174" s="814"/>
      <c r="O174" s="814"/>
      <c r="P174" s="814"/>
      <c r="Q174" s="814"/>
      <c r="R174" s="814"/>
      <c r="S174" s="814"/>
      <c r="T174" s="814"/>
      <c r="U174" s="814"/>
      <c r="V174" s="814"/>
      <c r="W174" s="814"/>
      <c r="X174" s="814">
        <v>500</v>
      </c>
      <c r="Y174" s="814"/>
      <c r="Z174" s="814"/>
      <c r="AA174" s="814"/>
      <c r="AB174" s="814"/>
      <c r="AC174" s="814"/>
      <c r="AD174" s="814"/>
      <c r="AE174" s="814"/>
      <c r="AF174" s="814"/>
      <c r="AG174" s="814"/>
      <c r="AH174" s="814"/>
      <c r="AI174" s="814"/>
      <c r="AJ174" s="814"/>
      <c r="AK174" s="814"/>
      <c r="AL174" s="814"/>
      <c r="AM174" s="841"/>
    </row>
    <row r="175" s="787" customFormat="1" ht="18" customHeight="1" spans="1:39">
      <c r="A175" s="810">
        <v>45785</v>
      </c>
      <c r="B175" s="811" t="s">
        <v>2980</v>
      </c>
      <c r="C175" s="813" t="s">
        <v>3165</v>
      </c>
      <c r="D175" s="813" t="s">
        <v>3043</v>
      </c>
      <c r="E175" s="813" t="s">
        <v>3052</v>
      </c>
      <c r="F175" s="813">
        <v>1000</v>
      </c>
      <c r="G175" s="812" t="s">
        <v>2997</v>
      </c>
      <c r="H175" s="812" t="s">
        <v>16</v>
      </c>
      <c r="I175" s="813" t="s">
        <v>3003</v>
      </c>
      <c r="J175" s="814"/>
      <c r="K175" s="814"/>
      <c r="L175" s="814"/>
      <c r="M175" s="814"/>
      <c r="N175" s="814"/>
      <c r="O175" s="814"/>
      <c r="P175" s="814"/>
      <c r="Q175" s="814"/>
      <c r="R175" s="814"/>
      <c r="S175" s="814"/>
      <c r="T175" s="814"/>
      <c r="U175" s="814"/>
      <c r="V175" s="814"/>
      <c r="W175" s="814"/>
      <c r="X175" s="814"/>
      <c r="Y175" s="814">
        <v>1000</v>
      </c>
      <c r="Z175" s="814"/>
      <c r="AA175" s="814"/>
      <c r="AB175" s="814"/>
      <c r="AC175" s="814"/>
      <c r="AD175" s="814"/>
      <c r="AE175" s="814"/>
      <c r="AF175" s="814"/>
      <c r="AG175" s="814"/>
      <c r="AH175" s="814"/>
      <c r="AI175" s="814"/>
      <c r="AJ175" s="814"/>
      <c r="AK175" s="814"/>
      <c r="AL175" s="814"/>
      <c r="AM175" s="841"/>
    </row>
    <row r="176" s="787" customFormat="1" ht="18" customHeight="1" spans="1:39">
      <c r="A176" s="810">
        <v>45799</v>
      </c>
      <c r="B176" s="811" t="s">
        <v>2980</v>
      </c>
      <c r="C176" s="813" t="s">
        <v>3166</v>
      </c>
      <c r="D176" s="813" t="s">
        <v>3167</v>
      </c>
      <c r="E176" s="813" t="s">
        <v>2999</v>
      </c>
      <c r="F176" s="813">
        <v>500</v>
      </c>
      <c r="G176" s="812" t="s">
        <v>2997</v>
      </c>
      <c r="H176" s="812" t="s">
        <v>3044</v>
      </c>
      <c r="I176" s="813" t="s">
        <v>2991</v>
      </c>
      <c r="J176" s="814"/>
      <c r="K176" s="814"/>
      <c r="L176" s="814"/>
      <c r="M176" s="814"/>
      <c r="N176" s="814"/>
      <c r="O176" s="814"/>
      <c r="P176" s="814"/>
      <c r="Q176" s="814"/>
      <c r="R176" s="814"/>
      <c r="S176" s="814">
        <v>500</v>
      </c>
      <c r="T176" s="814"/>
      <c r="U176" s="814"/>
      <c r="V176" s="814"/>
      <c r="W176" s="814"/>
      <c r="X176" s="814"/>
      <c r="Y176" s="814"/>
      <c r="Z176" s="814"/>
      <c r="AA176" s="814"/>
      <c r="AB176" s="814"/>
      <c r="AC176" s="814"/>
      <c r="AD176" s="814"/>
      <c r="AE176" s="814"/>
      <c r="AF176" s="814"/>
      <c r="AG176" s="814"/>
      <c r="AH176" s="814"/>
      <c r="AI176" s="814"/>
      <c r="AJ176" s="814"/>
      <c r="AK176" s="814"/>
      <c r="AL176" s="814"/>
      <c r="AM176" s="841" t="s">
        <v>3168</v>
      </c>
    </row>
    <row r="177" s="787" customFormat="1" ht="18" customHeight="1" spans="1:39">
      <c r="A177" s="810">
        <v>45797</v>
      </c>
      <c r="B177" s="811" t="s">
        <v>2980</v>
      </c>
      <c r="C177" s="813" t="s">
        <v>3092</v>
      </c>
      <c r="D177" s="813" t="s">
        <v>3043</v>
      </c>
      <c r="E177" s="813">
        <v>77485</v>
      </c>
      <c r="F177" s="813">
        <v>20000</v>
      </c>
      <c r="G177" s="812" t="s">
        <v>2990</v>
      </c>
      <c r="H177" s="812" t="s">
        <v>3044</v>
      </c>
      <c r="I177" s="813" t="s">
        <v>3003</v>
      </c>
      <c r="J177" s="814"/>
      <c r="K177" s="814"/>
      <c r="L177" s="814"/>
      <c r="M177" s="814">
        <v>20000</v>
      </c>
      <c r="N177" s="814"/>
      <c r="O177" s="814"/>
      <c r="P177" s="814"/>
      <c r="Q177" s="814"/>
      <c r="R177" s="814"/>
      <c r="S177" s="814"/>
      <c r="T177" s="814"/>
      <c r="U177" s="814"/>
      <c r="V177" s="814"/>
      <c r="W177" s="814"/>
      <c r="X177" s="814"/>
      <c r="Y177" s="814"/>
      <c r="Z177" s="814"/>
      <c r="AA177" s="814"/>
      <c r="AB177" s="814"/>
      <c r="AC177" s="814"/>
      <c r="AD177" s="814"/>
      <c r="AE177" s="814"/>
      <c r="AF177" s="814"/>
      <c r="AG177" s="814"/>
      <c r="AH177" s="814"/>
      <c r="AI177" s="814"/>
      <c r="AJ177" s="814"/>
      <c r="AK177" s="814"/>
      <c r="AL177" s="814"/>
      <c r="AM177" s="841"/>
    </row>
    <row r="178" s="787" customFormat="1" ht="18" customHeight="1" spans="1:39">
      <c r="A178" s="810">
        <v>45797</v>
      </c>
      <c r="B178" s="811" t="s">
        <v>2980</v>
      </c>
      <c r="C178" s="813" t="s">
        <v>3169</v>
      </c>
      <c r="D178" s="813" t="s">
        <v>3043</v>
      </c>
      <c r="E178" s="813">
        <v>77485</v>
      </c>
      <c r="F178" s="813">
        <v>20000</v>
      </c>
      <c r="G178" s="812" t="s">
        <v>2993</v>
      </c>
      <c r="H178" s="812" t="s">
        <v>3047</v>
      </c>
      <c r="I178" s="813" t="s">
        <v>2994</v>
      </c>
      <c r="J178" s="814"/>
      <c r="K178" s="814"/>
      <c r="L178" s="814"/>
      <c r="M178" s="814"/>
      <c r="N178" s="814">
        <v>20000</v>
      </c>
      <c r="O178" s="814"/>
      <c r="P178" s="814"/>
      <c r="Q178" s="814"/>
      <c r="R178" s="814"/>
      <c r="S178" s="814"/>
      <c r="T178" s="814"/>
      <c r="U178" s="814"/>
      <c r="V178" s="814"/>
      <c r="W178" s="814"/>
      <c r="X178" s="814"/>
      <c r="Y178" s="814"/>
      <c r="Z178" s="814"/>
      <c r="AA178" s="814"/>
      <c r="AB178" s="814"/>
      <c r="AC178" s="814"/>
      <c r="AD178" s="814"/>
      <c r="AE178" s="814"/>
      <c r="AF178" s="814"/>
      <c r="AG178" s="814"/>
      <c r="AH178" s="814"/>
      <c r="AI178" s="814"/>
      <c r="AJ178" s="814"/>
      <c r="AK178" s="814"/>
      <c r="AL178" s="814"/>
      <c r="AM178" s="841"/>
    </row>
    <row r="179" s="787" customFormat="1" ht="18" customHeight="1" spans="1:39">
      <c r="A179" s="810">
        <v>45797</v>
      </c>
      <c r="B179" s="811" t="s">
        <v>2980</v>
      </c>
      <c r="C179" s="813" t="s">
        <v>3170</v>
      </c>
      <c r="D179" s="813" t="s">
        <v>3043</v>
      </c>
      <c r="E179" s="813" t="s">
        <v>3052</v>
      </c>
      <c r="F179" s="813">
        <v>500</v>
      </c>
      <c r="G179" s="812" t="s">
        <v>2997</v>
      </c>
      <c r="H179" s="812" t="s">
        <v>16</v>
      </c>
      <c r="I179" s="813" t="s">
        <v>3003</v>
      </c>
      <c r="J179" s="814"/>
      <c r="K179" s="814"/>
      <c r="L179" s="814"/>
      <c r="M179" s="814"/>
      <c r="N179" s="814"/>
      <c r="O179" s="814"/>
      <c r="P179" s="814"/>
      <c r="Q179" s="814"/>
      <c r="R179" s="814"/>
      <c r="S179" s="814"/>
      <c r="T179" s="814"/>
      <c r="U179" s="814"/>
      <c r="V179" s="814"/>
      <c r="W179" s="814"/>
      <c r="X179" s="814"/>
      <c r="Y179" s="814">
        <v>500</v>
      </c>
      <c r="Z179" s="814"/>
      <c r="AA179" s="814"/>
      <c r="AB179" s="814"/>
      <c r="AC179" s="814"/>
      <c r="AD179" s="814"/>
      <c r="AE179" s="814"/>
      <c r="AF179" s="814"/>
      <c r="AG179" s="814"/>
      <c r="AH179" s="814"/>
      <c r="AI179" s="814"/>
      <c r="AJ179" s="814"/>
      <c r="AK179" s="814"/>
      <c r="AL179" s="814"/>
      <c r="AM179" s="841"/>
    </row>
    <row r="180" s="787" customFormat="1" ht="18" customHeight="1" spans="1:39">
      <c r="A180" s="810">
        <v>45842</v>
      </c>
      <c r="B180" s="811" t="s">
        <v>2980</v>
      </c>
      <c r="C180" s="813">
        <v>1000029743</v>
      </c>
      <c r="D180" s="813" t="s">
        <v>3043</v>
      </c>
      <c r="E180" s="813">
        <v>77486</v>
      </c>
      <c r="F180" s="813">
        <v>14580</v>
      </c>
      <c r="G180" s="812" t="s">
        <v>3032</v>
      </c>
      <c r="H180" s="812" t="s">
        <v>3044</v>
      </c>
      <c r="I180" s="813" t="s">
        <v>3003</v>
      </c>
      <c r="J180" s="814"/>
      <c r="K180" s="814"/>
      <c r="L180" s="814"/>
      <c r="M180" s="814"/>
      <c r="N180" s="814"/>
      <c r="O180" s="814"/>
      <c r="P180" s="814"/>
      <c r="Q180" s="814"/>
      <c r="R180" s="814"/>
      <c r="S180" s="814"/>
      <c r="T180" s="814"/>
      <c r="U180" s="814"/>
      <c r="V180" s="814"/>
      <c r="W180" s="814"/>
      <c r="X180" s="814"/>
      <c r="Y180" s="814"/>
      <c r="Z180" s="814"/>
      <c r="AA180" s="814"/>
      <c r="AB180" s="814"/>
      <c r="AC180" s="814"/>
      <c r="AD180" s="814"/>
      <c r="AE180" s="814"/>
      <c r="AF180" s="814"/>
      <c r="AG180" s="814">
        <v>14580</v>
      </c>
      <c r="AH180" s="814"/>
      <c r="AI180" s="814"/>
      <c r="AJ180" s="814"/>
      <c r="AK180" s="814"/>
      <c r="AL180" s="814"/>
      <c r="AM180" s="841" t="s">
        <v>3171</v>
      </c>
    </row>
    <row r="181" s="787" customFormat="1" ht="18" customHeight="1" spans="1:39">
      <c r="A181" s="810">
        <v>45842</v>
      </c>
      <c r="B181" s="811" t="s">
        <v>2980</v>
      </c>
      <c r="C181" s="813">
        <v>1000029744</v>
      </c>
      <c r="D181" s="813" t="s">
        <v>3043</v>
      </c>
      <c r="E181" s="813">
        <v>77486</v>
      </c>
      <c r="F181" s="813">
        <v>14580</v>
      </c>
      <c r="G181" s="812" t="s">
        <v>3172</v>
      </c>
      <c r="H181" s="812" t="s">
        <v>1527</v>
      </c>
      <c r="I181" s="813"/>
      <c r="J181" s="814"/>
      <c r="K181" s="814"/>
      <c r="L181" s="814"/>
      <c r="M181" s="814"/>
      <c r="N181" s="814"/>
      <c r="O181" s="814"/>
      <c r="P181" s="814"/>
      <c r="Q181" s="814"/>
      <c r="R181" s="814"/>
      <c r="S181" s="814"/>
      <c r="T181" s="814"/>
      <c r="U181" s="814"/>
      <c r="V181" s="814"/>
      <c r="W181" s="814"/>
      <c r="X181" s="814"/>
      <c r="Y181" s="814"/>
      <c r="Z181" s="814"/>
      <c r="AA181" s="814"/>
      <c r="AB181" s="814"/>
      <c r="AC181" s="814"/>
      <c r="AD181" s="814"/>
      <c r="AE181" s="814"/>
      <c r="AF181" s="814">
        <v>14580</v>
      </c>
      <c r="AG181" s="814"/>
      <c r="AH181" s="814"/>
      <c r="AI181" s="814"/>
      <c r="AJ181" s="814"/>
      <c r="AK181" s="814"/>
      <c r="AL181" s="814"/>
      <c r="AM181" s="841" t="s">
        <v>3171</v>
      </c>
    </row>
    <row r="182" s="787" customFormat="1" ht="18" customHeight="1" spans="1:39">
      <c r="A182" s="810">
        <v>45842</v>
      </c>
      <c r="B182" s="811" t="s">
        <v>2980</v>
      </c>
      <c r="C182" s="813">
        <v>1000029745</v>
      </c>
      <c r="D182" s="813" t="s">
        <v>3043</v>
      </c>
      <c r="E182" s="813">
        <v>77486</v>
      </c>
      <c r="F182" s="813">
        <v>14580</v>
      </c>
      <c r="G182" s="812" t="s">
        <v>3066</v>
      </c>
      <c r="H182" s="812" t="s">
        <v>1527</v>
      </c>
      <c r="I182" s="813"/>
      <c r="J182" s="814"/>
      <c r="K182" s="814"/>
      <c r="L182" s="814"/>
      <c r="M182" s="814"/>
      <c r="N182" s="814"/>
      <c r="O182" s="814"/>
      <c r="P182" s="814"/>
      <c r="Q182" s="814"/>
      <c r="R182" s="814"/>
      <c r="S182" s="814"/>
      <c r="T182" s="814"/>
      <c r="U182" s="814"/>
      <c r="V182" s="814"/>
      <c r="W182" s="814"/>
      <c r="X182" s="814"/>
      <c r="Y182" s="814"/>
      <c r="Z182" s="814"/>
      <c r="AA182" s="814"/>
      <c r="AB182" s="814"/>
      <c r="AC182" s="814"/>
      <c r="AD182" s="814"/>
      <c r="AE182" s="814"/>
      <c r="AF182" s="814"/>
      <c r="AG182" s="814"/>
      <c r="AH182" s="814">
        <v>14580</v>
      </c>
      <c r="AI182" s="814"/>
      <c r="AJ182" s="814"/>
      <c r="AK182" s="814"/>
      <c r="AL182" s="814"/>
      <c r="AM182" s="841" t="s">
        <v>3171</v>
      </c>
    </row>
    <row r="183" s="787" customFormat="1" ht="18" customHeight="1" spans="1:39">
      <c r="A183" s="810">
        <v>45842</v>
      </c>
      <c r="B183" s="811" t="s">
        <v>2980</v>
      </c>
      <c r="C183" s="813">
        <v>1000029746</v>
      </c>
      <c r="D183" s="813" t="s">
        <v>3043</v>
      </c>
      <c r="E183" s="813">
        <v>77601</v>
      </c>
      <c r="F183" s="813">
        <v>63936</v>
      </c>
      <c r="G183" s="812" t="s">
        <v>3173</v>
      </c>
      <c r="H183" s="812" t="s">
        <v>3044</v>
      </c>
      <c r="I183" s="813" t="s">
        <v>3003</v>
      </c>
      <c r="J183" s="814"/>
      <c r="K183" s="814"/>
      <c r="L183" s="814">
        <v>63936</v>
      </c>
      <c r="M183" s="814"/>
      <c r="N183" s="814"/>
      <c r="O183" s="814"/>
      <c r="P183" s="814"/>
      <c r="Q183" s="814"/>
      <c r="R183" s="814"/>
      <c r="S183" s="814"/>
      <c r="T183" s="814"/>
      <c r="U183" s="814"/>
      <c r="V183" s="814"/>
      <c r="W183" s="814"/>
      <c r="X183" s="814"/>
      <c r="Y183" s="814"/>
      <c r="Z183" s="814"/>
      <c r="AA183" s="814"/>
      <c r="AB183" s="814"/>
      <c r="AC183" s="814"/>
      <c r="AD183" s="814"/>
      <c r="AE183" s="814"/>
      <c r="AF183" s="814"/>
      <c r="AG183" s="814"/>
      <c r="AH183" s="814"/>
      <c r="AI183" s="814"/>
      <c r="AJ183" s="814"/>
      <c r="AK183" s="814"/>
      <c r="AL183" s="814"/>
      <c r="AM183" s="841" t="s">
        <v>3174</v>
      </c>
    </row>
    <row r="184" s="787" customFormat="1" ht="18" customHeight="1" spans="1:39">
      <c r="A184" s="810">
        <v>45842</v>
      </c>
      <c r="B184" s="811" t="s">
        <v>2980</v>
      </c>
      <c r="C184" s="813">
        <v>1000029747</v>
      </c>
      <c r="D184" s="813" t="s">
        <v>3043</v>
      </c>
      <c r="E184" s="813">
        <v>77601</v>
      </c>
      <c r="F184" s="813">
        <v>11592</v>
      </c>
      <c r="G184" s="812" t="s">
        <v>3175</v>
      </c>
      <c r="H184" s="812" t="s">
        <v>16</v>
      </c>
      <c r="I184" s="813" t="s">
        <v>3003</v>
      </c>
      <c r="J184" s="814"/>
      <c r="K184" s="814"/>
      <c r="L184" s="814"/>
      <c r="M184" s="814"/>
      <c r="N184" s="814"/>
      <c r="O184" s="814"/>
      <c r="P184" s="814"/>
      <c r="Q184" s="814"/>
      <c r="R184" s="814"/>
      <c r="S184" s="814"/>
      <c r="T184" s="814"/>
      <c r="U184" s="814"/>
      <c r="V184" s="814"/>
      <c r="W184" s="814"/>
      <c r="X184" s="814"/>
      <c r="Y184" s="814"/>
      <c r="Z184" s="814"/>
      <c r="AA184" s="814"/>
      <c r="AB184" s="814"/>
      <c r="AC184" s="814"/>
      <c r="AD184" s="814"/>
      <c r="AE184" s="814"/>
      <c r="AF184" s="814"/>
      <c r="AG184" s="814"/>
      <c r="AH184" s="814"/>
      <c r="AI184" s="814"/>
      <c r="AJ184" s="814">
        <v>11592</v>
      </c>
      <c r="AK184" s="814"/>
      <c r="AL184" s="814"/>
      <c r="AM184" s="841" t="s">
        <v>3176</v>
      </c>
    </row>
    <row r="185" s="787" customFormat="1" ht="18" customHeight="1" spans="1:39">
      <c r="A185" s="810">
        <v>45842</v>
      </c>
      <c r="B185" s="811" t="s">
        <v>2980</v>
      </c>
      <c r="C185" s="813">
        <v>1000029748</v>
      </c>
      <c r="D185" s="813" t="s">
        <v>3043</v>
      </c>
      <c r="E185" s="813">
        <v>77601</v>
      </c>
      <c r="F185" s="813">
        <v>11592</v>
      </c>
      <c r="G185" s="812" t="s">
        <v>3177</v>
      </c>
      <c r="H185" s="812" t="s">
        <v>1527</v>
      </c>
      <c r="I185" s="813"/>
      <c r="J185" s="814"/>
      <c r="K185" s="814"/>
      <c r="L185" s="814"/>
      <c r="M185" s="814"/>
      <c r="N185" s="814"/>
      <c r="O185" s="814"/>
      <c r="P185" s="814"/>
      <c r="Q185" s="814"/>
      <c r="R185" s="814"/>
      <c r="S185" s="814"/>
      <c r="T185" s="814"/>
      <c r="U185" s="814"/>
      <c r="V185" s="814"/>
      <c r="W185" s="814"/>
      <c r="X185" s="814"/>
      <c r="Y185" s="814"/>
      <c r="Z185" s="814"/>
      <c r="AA185" s="814"/>
      <c r="AB185" s="814"/>
      <c r="AC185" s="814"/>
      <c r="AD185" s="814"/>
      <c r="AE185" s="814"/>
      <c r="AF185" s="814"/>
      <c r="AG185" s="814"/>
      <c r="AH185" s="814"/>
      <c r="AI185" s="814">
        <v>11592</v>
      </c>
      <c r="AJ185" s="814"/>
      <c r="AK185" s="814"/>
      <c r="AL185" s="814"/>
      <c r="AM185" s="841" t="s">
        <v>3176</v>
      </c>
    </row>
    <row r="186" s="787" customFormat="1" ht="18" customHeight="1" spans="1:39">
      <c r="A186" s="810">
        <v>45842</v>
      </c>
      <c r="B186" s="811" t="s">
        <v>2980</v>
      </c>
      <c r="C186" s="813">
        <v>1000029749</v>
      </c>
      <c r="D186" s="813" t="s">
        <v>3043</v>
      </c>
      <c r="E186" s="813">
        <v>77601</v>
      </c>
      <c r="F186" s="813">
        <v>11592</v>
      </c>
      <c r="G186" s="812" t="s">
        <v>3178</v>
      </c>
      <c r="H186" s="812" t="s">
        <v>1527</v>
      </c>
      <c r="I186" s="813"/>
      <c r="J186" s="814"/>
      <c r="K186" s="814"/>
      <c r="L186" s="814"/>
      <c r="M186" s="814"/>
      <c r="N186" s="814"/>
      <c r="O186" s="814"/>
      <c r="P186" s="814"/>
      <c r="Q186" s="814"/>
      <c r="R186" s="814"/>
      <c r="S186" s="814"/>
      <c r="T186" s="814"/>
      <c r="U186" s="814"/>
      <c r="V186" s="814"/>
      <c r="W186" s="814"/>
      <c r="X186" s="814"/>
      <c r="Y186" s="814"/>
      <c r="Z186" s="814"/>
      <c r="AA186" s="814"/>
      <c r="AB186" s="814"/>
      <c r="AC186" s="814"/>
      <c r="AD186" s="814"/>
      <c r="AE186" s="814"/>
      <c r="AF186" s="814"/>
      <c r="AG186" s="814"/>
      <c r="AH186" s="814"/>
      <c r="AI186" s="814"/>
      <c r="AJ186" s="814"/>
      <c r="AK186" s="814">
        <v>11592</v>
      </c>
      <c r="AL186" s="814"/>
      <c r="AM186" s="841" t="s">
        <v>3176</v>
      </c>
    </row>
    <row r="187" s="787" customFormat="1" ht="18" customHeight="1" spans="1:39">
      <c r="A187" s="810">
        <v>45846</v>
      </c>
      <c r="B187" s="811" t="s">
        <v>2980</v>
      </c>
      <c r="C187" s="813" t="s">
        <v>3179</v>
      </c>
      <c r="D187" s="813" t="s">
        <v>3180</v>
      </c>
      <c r="E187" s="813">
        <v>77486</v>
      </c>
      <c r="F187" s="813">
        <v>8304</v>
      </c>
      <c r="G187" s="812" t="s">
        <v>3181</v>
      </c>
      <c r="H187" s="812"/>
      <c r="I187" s="813"/>
      <c r="J187" s="814"/>
      <c r="K187" s="814"/>
      <c r="L187" s="814"/>
      <c r="M187" s="814"/>
      <c r="N187" s="814"/>
      <c r="O187" s="814"/>
      <c r="P187" s="814"/>
      <c r="Q187" s="814"/>
      <c r="R187" s="814"/>
      <c r="S187" s="814"/>
      <c r="T187" s="814"/>
      <c r="U187" s="814"/>
      <c r="V187" s="814"/>
      <c r="W187" s="814"/>
      <c r="X187" s="814"/>
      <c r="Y187" s="814"/>
      <c r="Z187" s="814"/>
      <c r="AA187" s="814"/>
      <c r="AB187" s="814"/>
      <c r="AC187" s="814"/>
      <c r="AD187" s="814"/>
      <c r="AE187" s="814"/>
      <c r="AF187" s="814">
        <v>8304</v>
      </c>
      <c r="AG187" s="814"/>
      <c r="AH187" s="814"/>
      <c r="AI187" s="814"/>
      <c r="AJ187" s="814"/>
      <c r="AK187" s="814"/>
      <c r="AL187" s="814"/>
      <c r="AM187" s="841" t="s">
        <v>3182</v>
      </c>
    </row>
    <row r="188" s="787" customFormat="1" ht="18" customHeight="1" spans="1:39">
      <c r="A188" s="810">
        <v>45846</v>
      </c>
      <c r="B188" s="811" t="s">
        <v>2980</v>
      </c>
      <c r="C188" s="813" t="s">
        <v>3183</v>
      </c>
      <c r="D188" s="813" t="s">
        <v>3180</v>
      </c>
      <c r="E188" s="813">
        <v>77486</v>
      </c>
      <c r="F188" s="813">
        <v>8304</v>
      </c>
      <c r="G188" s="812" t="s">
        <v>3010</v>
      </c>
      <c r="H188" s="812"/>
      <c r="I188" s="813"/>
      <c r="J188" s="814"/>
      <c r="K188" s="814"/>
      <c r="L188" s="814"/>
      <c r="M188" s="814"/>
      <c r="N188" s="814"/>
      <c r="O188" s="814"/>
      <c r="P188" s="814"/>
      <c r="Q188" s="814"/>
      <c r="R188" s="814"/>
      <c r="S188" s="814"/>
      <c r="T188" s="814"/>
      <c r="U188" s="814"/>
      <c r="V188" s="814"/>
      <c r="W188" s="814"/>
      <c r="X188" s="814"/>
      <c r="Y188" s="814"/>
      <c r="Z188" s="814"/>
      <c r="AA188" s="814"/>
      <c r="AB188" s="814"/>
      <c r="AC188" s="814"/>
      <c r="AD188" s="814"/>
      <c r="AE188" s="814"/>
      <c r="AF188" s="814"/>
      <c r="AG188" s="814"/>
      <c r="AH188" s="814">
        <v>8304</v>
      </c>
      <c r="AI188" s="814"/>
      <c r="AJ188" s="814"/>
      <c r="AK188" s="814"/>
      <c r="AL188" s="814"/>
      <c r="AM188" s="841" t="s">
        <v>3182</v>
      </c>
    </row>
    <row r="189" s="787" customFormat="1" ht="18" customHeight="1" spans="1:39">
      <c r="A189" s="810">
        <v>45846</v>
      </c>
      <c r="B189" s="811" t="s">
        <v>2980</v>
      </c>
      <c r="C189" s="813" t="s">
        <v>3184</v>
      </c>
      <c r="D189" s="813" t="s">
        <v>3180</v>
      </c>
      <c r="E189" s="813">
        <v>77486</v>
      </c>
      <c r="F189" s="813">
        <v>8304</v>
      </c>
      <c r="G189" s="812" t="s">
        <v>3009</v>
      </c>
      <c r="H189" s="812"/>
      <c r="I189" s="813" t="s">
        <v>3003</v>
      </c>
      <c r="J189" s="814"/>
      <c r="K189" s="814"/>
      <c r="L189" s="814"/>
      <c r="M189" s="814"/>
      <c r="N189" s="814"/>
      <c r="O189" s="814"/>
      <c r="P189" s="814"/>
      <c r="Q189" s="814"/>
      <c r="R189" s="814"/>
      <c r="S189" s="814"/>
      <c r="T189" s="814"/>
      <c r="U189" s="814"/>
      <c r="V189" s="814"/>
      <c r="W189" s="814"/>
      <c r="X189" s="814"/>
      <c r="Y189" s="814"/>
      <c r="Z189" s="814"/>
      <c r="AA189" s="814"/>
      <c r="AB189" s="814"/>
      <c r="AC189" s="814"/>
      <c r="AD189" s="814"/>
      <c r="AE189" s="814"/>
      <c r="AF189" s="814"/>
      <c r="AG189" s="814">
        <v>8304</v>
      </c>
      <c r="AH189" s="814"/>
      <c r="AI189" s="814"/>
      <c r="AJ189" s="814"/>
      <c r="AK189" s="814"/>
      <c r="AL189" s="814"/>
      <c r="AM189" s="841" t="s">
        <v>3182</v>
      </c>
    </row>
    <row r="190" s="787" customFormat="1" ht="18" customHeight="1" spans="1:39">
      <c r="A190" s="810">
        <v>45855</v>
      </c>
      <c r="B190" s="811" t="s">
        <v>2980</v>
      </c>
      <c r="C190" s="813" t="s">
        <v>3185</v>
      </c>
      <c r="D190" s="813" t="s">
        <v>3167</v>
      </c>
      <c r="E190" s="813" t="s">
        <v>2999</v>
      </c>
      <c r="F190" s="813">
        <v>1284</v>
      </c>
      <c r="G190" s="812" t="s">
        <v>2997</v>
      </c>
      <c r="H190" s="812"/>
      <c r="I190" s="813"/>
      <c r="J190" s="814"/>
      <c r="K190" s="814"/>
      <c r="L190" s="814"/>
      <c r="M190" s="814"/>
      <c r="N190" s="814"/>
      <c r="O190" s="814"/>
      <c r="P190" s="814"/>
      <c r="Q190" s="814"/>
      <c r="R190" s="814"/>
      <c r="S190" s="814"/>
      <c r="T190" s="814"/>
      <c r="U190" s="814"/>
      <c r="V190" s="814"/>
      <c r="W190" s="814"/>
      <c r="X190" s="814"/>
      <c r="Y190" s="814"/>
      <c r="Z190" s="814"/>
      <c r="AA190" s="814"/>
      <c r="AB190" s="814"/>
      <c r="AC190" s="814"/>
      <c r="AD190" s="814"/>
      <c r="AE190" s="814"/>
      <c r="AF190" s="814"/>
      <c r="AG190" s="814"/>
      <c r="AH190" s="814"/>
      <c r="AI190" s="814"/>
      <c r="AJ190" s="814"/>
      <c r="AK190" s="814"/>
      <c r="AL190" s="814"/>
      <c r="AM190" s="841" t="s">
        <v>3186</v>
      </c>
    </row>
    <row r="191" s="787" customFormat="1" ht="18" customHeight="1" spans="1:39">
      <c r="A191" s="810">
        <v>45855</v>
      </c>
      <c r="B191" s="811" t="s">
        <v>2980</v>
      </c>
      <c r="C191" s="813" t="s">
        <v>3187</v>
      </c>
      <c r="D191" s="813" t="s">
        <v>3167</v>
      </c>
      <c r="E191" s="813">
        <v>77485</v>
      </c>
      <c r="F191" s="813">
        <v>20000</v>
      </c>
      <c r="G191" s="812" t="s">
        <v>2987</v>
      </c>
      <c r="H191" s="812"/>
      <c r="I191" s="813"/>
      <c r="J191" s="814"/>
      <c r="K191" s="814"/>
      <c r="L191" s="814"/>
      <c r="M191" s="814"/>
      <c r="N191" s="814"/>
      <c r="O191" s="814"/>
      <c r="P191" s="814"/>
      <c r="Q191" s="814"/>
      <c r="R191" s="814"/>
      <c r="S191" s="814"/>
      <c r="T191" s="814"/>
      <c r="U191" s="814"/>
      <c r="V191" s="814"/>
      <c r="W191" s="814"/>
      <c r="X191" s="814"/>
      <c r="Y191" s="814"/>
      <c r="Z191" s="814"/>
      <c r="AA191" s="814"/>
      <c r="AB191" s="814"/>
      <c r="AC191" s="814"/>
      <c r="AD191" s="814"/>
      <c r="AE191" s="814"/>
      <c r="AF191" s="814"/>
      <c r="AG191" s="814"/>
      <c r="AH191" s="814"/>
      <c r="AI191" s="814"/>
      <c r="AJ191" s="814"/>
      <c r="AK191" s="814"/>
      <c r="AL191" s="814"/>
      <c r="AM191" s="841" t="s">
        <v>3188</v>
      </c>
    </row>
    <row r="192" s="787" customFormat="1" ht="18" customHeight="1" spans="1:39">
      <c r="A192" s="810">
        <v>45855</v>
      </c>
      <c r="B192" s="811" t="s">
        <v>2980</v>
      </c>
      <c r="C192" s="812" t="s">
        <v>3092</v>
      </c>
      <c r="D192" s="813" t="s">
        <v>3043</v>
      </c>
      <c r="E192" s="813">
        <v>77485</v>
      </c>
      <c r="F192" s="813">
        <v>20000</v>
      </c>
      <c r="G192" s="812" t="s">
        <v>2990</v>
      </c>
      <c r="H192" s="812" t="s">
        <v>3044</v>
      </c>
      <c r="I192" s="813" t="s">
        <v>3003</v>
      </c>
      <c r="J192" s="814"/>
      <c r="K192" s="814"/>
      <c r="L192" s="814"/>
      <c r="M192" s="814">
        <v>20000</v>
      </c>
      <c r="N192" s="814"/>
      <c r="O192" s="814"/>
      <c r="P192" s="814"/>
      <c r="Q192" s="814"/>
      <c r="R192" s="814"/>
      <c r="S192" s="814"/>
      <c r="T192" s="814"/>
      <c r="U192" s="814"/>
      <c r="V192" s="814"/>
      <c r="W192" s="814"/>
      <c r="X192" s="814"/>
      <c r="Y192" s="814"/>
      <c r="Z192" s="814"/>
      <c r="AA192" s="814"/>
      <c r="AB192" s="814"/>
      <c r="AC192" s="814"/>
      <c r="AD192" s="814"/>
      <c r="AE192" s="814"/>
      <c r="AF192" s="814"/>
      <c r="AG192" s="814"/>
      <c r="AH192" s="814"/>
      <c r="AI192" s="814"/>
      <c r="AJ192" s="814"/>
      <c r="AK192" s="814"/>
      <c r="AL192" s="814"/>
      <c r="AM192" s="841"/>
    </row>
    <row r="193" s="787" customFormat="1" ht="18" customHeight="1" spans="1:39">
      <c r="A193" s="810">
        <v>45855</v>
      </c>
      <c r="B193" s="811" t="s">
        <v>2980</v>
      </c>
      <c r="C193" s="812">
        <v>1000030162</v>
      </c>
      <c r="D193" s="813" t="s">
        <v>3043</v>
      </c>
      <c r="E193" s="813">
        <v>77485</v>
      </c>
      <c r="F193" s="813">
        <v>100000</v>
      </c>
      <c r="G193" s="812" t="s">
        <v>2993</v>
      </c>
      <c r="H193" s="812" t="s">
        <v>3047</v>
      </c>
      <c r="I193" s="813" t="s">
        <v>2994</v>
      </c>
      <c r="J193" s="814"/>
      <c r="K193" s="814"/>
      <c r="L193" s="814"/>
      <c r="M193" s="814"/>
      <c r="N193" s="814">
        <v>100000</v>
      </c>
      <c r="O193" s="814"/>
      <c r="P193" s="814"/>
      <c r="Q193" s="814"/>
      <c r="R193" s="814"/>
      <c r="S193" s="814"/>
      <c r="T193" s="814"/>
      <c r="U193" s="814"/>
      <c r="V193" s="814"/>
      <c r="W193" s="814"/>
      <c r="X193" s="814"/>
      <c r="Y193" s="814"/>
      <c r="Z193" s="814"/>
      <c r="AA193" s="814"/>
      <c r="AB193" s="814"/>
      <c r="AC193" s="814"/>
      <c r="AD193" s="814"/>
      <c r="AE193" s="814"/>
      <c r="AF193" s="814"/>
      <c r="AG193" s="814"/>
      <c r="AH193" s="814"/>
      <c r="AI193" s="814"/>
      <c r="AJ193" s="814"/>
      <c r="AK193" s="814"/>
      <c r="AL193" s="814"/>
      <c r="AM193" s="841"/>
    </row>
    <row r="194" s="787" customFormat="1" ht="18" customHeight="1" spans="1:39">
      <c r="A194" s="810">
        <v>45855</v>
      </c>
      <c r="B194" s="811" t="s">
        <v>2980</v>
      </c>
      <c r="C194" s="812">
        <v>1000030163</v>
      </c>
      <c r="D194" s="813" t="s">
        <v>3043</v>
      </c>
      <c r="E194" s="813" t="s">
        <v>3049</v>
      </c>
      <c r="F194" s="813">
        <v>500</v>
      </c>
      <c r="G194" s="812" t="s">
        <v>2997</v>
      </c>
      <c r="H194" s="812" t="s">
        <v>16</v>
      </c>
      <c r="I194" s="813" t="s">
        <v>2991</v>
      </c>
      <c r="J194" s="814"/>
      <c r="K194" s="814" t="s">
        <v>2939</v>
      </c>
      <c r="L194" s="814"/>
      <c r="M194" s="814"/>
      <c r="N194" s="814"/>
      <c r="O194" s="814"/>
      <c r="P194" s="814"/>
      <c r="Q194" s="814"/>
      <c r="R194" s="814"/>
      <c r="S194" s="814"/>
      <c r="T194" s="814"/>
      <c r="U194" s="814"/>
      <c r="V194" s="814">
        <v>500</v>
      </c>
      <c r="W194" s="814"/>
      <c r="X194" s="814"/>
      <c r="Y194" s="814"/>
      <c r="Z194" s="814"/>
      <c r="AA194" s="814"/>
      <c r="AB194" s="814"/>
      <c r="AC194" s="814"/>
      <c r="AD194" s="814"/>
      <c r="AE194" s="814"/>
      <c r="AF194" s="814"/>
      <c r="AG194" s="814"/>
      <c r="AH194" s="814"/>
      <c r="AI194" s="814"/>
      <c r="AJ194" s="814"/>
      <c r="AK194" s="814"/>
      <c r="AL194" s="814"/>
      <c r="AM194" s="841"/>
    </row>
    <row r="195" s="787" customFormat="1" ht="18" customHeight="1" spans="1:39">
      <c r="A195" s="810">
        <v>45855</v>
      </c>
      <c r="B195" s="811" t="s">
        <v>2980</v>
      </c>
      <c r="C195" s="812">
        <v>1000030164</v>
      </c>
      <c r="D195" s="813" t="s">
        <v>3043</v>
      </c>
      <c r="E195" s="813" t="s">
        <v>3052</v>
      </c>
      <c r="F195" s="813">
        <v>500</v>
      </c>
      <c r="G195" s="812" t="s">
        <v>2997</v>
      </c>
      <c r="H195" s="812" t="s">
        <v>16</v>
      </c>
      <c r="I195" s="813" t="s">
        <v>3003</v>
      </c>
      <c r="J195" s="814"/>
      <c r="K195" s="814"/>
      <c r="L195" s="814"/>
      <c r="M195" s="814"/>
      <c r="N195" s="814"/>
      <c r="O195" s="814"/>
      <c r="P195" s="814"/>
      <c r="Q195" s="814"/>
      <c r="R195" s="814"/>
      <c r="S195" s="814"/>
      <c r="T195" s="814"/>
      <c r="U195" s="814"/>
      <c r="V195" s="814"/>
      <c r="W195" s="814"/>
      <c r="X195" s="814"/>
      <c r="Y195" s="814">
        <v>500</v>
      </c>
      <c r="Z195" s="814"/>
      <c r="AA195" s="814"/>
      <c r="AB195" s="814"/>
      <c r="AC195" s="814"/>
      <c r="AD195" s="814"/>
      <c r="AE195" s="814"/>
      <c r="AF195" s="814"/>
      <c r="AG195" s="814"/>
      <c r="AH195" s="814"/>
      <c r="AI195" s="814"/>
      <c r="AJ195" s="814"/>
      <c r="AK195" s="814"/>
      <c r="AL195" s="814"/>
      <c r="AM195" s="841"/>
    </row>
    <row r="196" s="787" customFormat="1" ht="18" customHeight="1" spans="1:39">
      <c r="A196" s="810">
        <v>45875</v>
      </c>
      <c r="B196" s="811" t="s">
        <v>2980</v>
      </c>
      <c r="C196" s="813" t="s">
        <v>3189</v>
      </c>
      <c r="D196" s="813" t="s">
        <v>3167</v>
      </c>
      <c r="E196" s="813" t="s">
        <v>2999</v>
      </c>
      <c r="F196" s="813">
        <v>500</v>
      </c>
      <c r="G196" s="812" t="s">
        <v>2997</v>
      </c>
      <c r="H196" s="812" t="s">
        <v>1527</v>
      </c>
      <c r="I196" s="813"/>
      <c r="J196" s="814"/>
      <c r="K196" s="814"/>
      <c r="L196" s="814"/>
      <c r="M196" s="814"/>
      <c r="N196" s="814"/>
      <c r="O196" s="814"/>
      <c r="P196" s="814"/>
      <c r="Q196" s="814"/>
      <c r="R196" s="814"/>
      <c r="S196" s="814">
        <v>500</v>
      </c>
      <c r="T196" s="814"/>
      <c r="U196" s="814"/>
      <c r="V196" s="814"/>
      <c r="W196" s="814"/>
      <c r="X196" s="814"/>
      <c r="Y196" s="814"/>
      <c r="Z196" s="814"/>
      <c r="AA196" s="814"/>
      <c r="AB196" s="814"/>
      <c r="AC196" s="814"/>
      <c r="AD196" s="814"/>
      <c r="AE196" s="814"/>
      <c r="AF196" s="814"/>
      <c r="AG196" s="814"/>
      <c r="AH196" s="814"/>
      <c r="AI196" s="814"/>
      <c r="AJ196" s="814"/>
      <c r="AK196" s="814"/>
      <c r="AL196" s="814"/>
      <c r="AM196" s="841" t="s">
        <v>3190</v>
      </c>
    </row>
    <row r="197" s="787" customFormat="1" ht="18" customHeight="1" spans="1:39">
      <c r="A197" s="810">
        <v>45884</v>
      </c>
      <c r="B197" s="811" t="s">
        <v>2980</v>
      </c>
      <c r="C197" s="812">
        <v>1000031009</v>
      </c>
      <c r="D197" s="813" t="s">
        <v>3167</v>
      </c>
      <c r="E197" s="813" t="s">
        <v>2999</v>
      </c>
      <c r="F197" s="813">
        <v>500</v>
      </c>
      <c r="G197" s="812" t="s">
        <v>2997</v>
      </c>
      <c r="H197" s="812" t="s">
        <v>1527</v>
      </c>
      <c r="I197" s="813"/>
      <c r="J197" s="814"/>
      <c r="K197" s="814"/>
      <c r="L197" s="814"/>
      <c r="M197" s="814"/>
      <c r="N197" s="814"/>
      <c r="O197" s="814"/>
      <c r="P197" s="814"/>
      <c r="Q197" s="814"/>
      <c r="R197" s="814"/>
      <c r="S197" s="814">
        <v>500</v>
      </c>
      <c r="T197" s="814"/>
      <c r="U197" s="814"/>
      <c r="V197" s="814"/>
      <c r="W197" s="814"/>
      <c r="X197" s="814"/>
      <c r="Y197" s="814"/>
      <c r="Z197" s="814"/>
      <c r="AA197" s="814"/>
      <c r="AB197" s="814"/>
      <c r="AC197" s="814"/>
      <c r="AD197" s="814"/>
      <c r="AE197" s="814"/>
      <c r="AF197" s="814"/>
      <c r="AG197" s="814"/>
      <c r="AH197" s="814"/>
      <c r="AI197" s="814"/>
      <c r="AJ197" s="814"/>
      <c r="AK197" s="814"/>
      <c r="AL197" s="814"/>
      <c r="AM197" s="841" t="s">
        <v>3191</v>
      </c>
    </row>
    <row r="198" s="787" customFormat="1" ht="18" customHeight="1" spans="1:39">
      <c r="A198" s="810">
        <v>45902</v>
      </c>
      <c r="B198" s="811" t="s">
        <v>2980</v>
      </c>
      <c r="C198" s="812" t="s">
        <v>3092</v>
      </c>
      <c r="D198" s="813" t="s">
        <v>2989</v>
      </c>
      <c r="E198" s="813">
        <v>77485</v>
      </c>
      <c r="F198" s="813">
        <v>20000</v>
      </c>
      <c r="G198" s="812" t="s">
        <v>2990</v>
      </c>
      <c r="H198" s="812" t="s">
        <v>3044</v>
      </c>
      <c r="I198" s="813" t="s">
        <v>2991</v>
      </c>
      <c r="J198" s="814">
        <v>20000</v>
      </c>
      <c r="K198" s="814"/>
      <c r="L198" s="814"/>
      <c r="M198" s="814"/>
      <c r="N198" s="814"/>
      <c r="O198" s="814"/>
      <c r="P198" s="814"/>
      <c r="Q198" s="814"/>
      <c r="R198" s="814"/>
      <c r="S198" s="814"/>
      <c r="T198" s="814"/>
      <c r="U198" s="814"/>
      <c r="V198" s="814"/>
      <c r="W198" s="814"/>
      <c r="X198" s="814"/>
      <c r="Y198" s="814"/>
      <c r="Z198" s="814"/>
      <c r="AA198" s="814"/>
      <c r="AB198" s="814"/>
      <c r="AC198" s="814"/>
      <c r="AD198" s="814"/>
      <c r="AE198" s="814"/>
      <c r="AF198" s="814"/>
      <c r="AG198" s="814"/>
      <c r="AH198" s="814"/>
      <c r="AI198" s="814"/>
      <c r="AJ198" s="814"/>
      <c r="AK198" s="814"/>
      <c r="AL198" s="814"/>
      <c r="AM198" s="841"/>
    </row>
    <row r="199" s="787" customFormat="1" ht="18" customHeight="1" spans="1:39">
      <c r="A199" s="810">
        <v>45905</v>
      </c>
      <c r="B199" s="811" t="s">
        <v>2980</v>
      </c>
      <c r="C199" s="812">
        <v>1000031790</v>
      </c>
      <c r="D199" s="813" t="s">
        <v>3192</v>
      </c>
      <c r="E199" s="813">
        <v>77486</v>
      </c>
      <c r="F199" s="813">
        <v>10000</v>
      </c>
      <c r="G199" s="812" t="s">
        <v>3030</v>
      </c>
      <c r="H199" s="812"/>
      <c r="I199" s="813"/>
      <c r="J199" s="814"/>
      <c r="K199" s="814"/>
      <c r="L199" s="814"/>
      <c r="M199" s="814"/>
      <c r="N199" s="813"/>
      <c r="O199" s="814"/>
      <c r="P199" s="814"/>
      <c r="Q199" s="814"/>
      <c r="R199" s="814"/>
      <c r="S199" s="814"/>
      <c r="T199" s="814"/>
      <c r="U199" s="814"/>
      <c r="V199" s="814"/>
      <c r="W199" s="814"/>
      <c r="X199" s="814"/>
      <c r="Y199" s="814"/>
      <c r="Z199" s="814"/>
      <c r="AA199" s="814"/>
      <c r="AB199" s="814"/>
      <c r="AC199" s="814"/>
      <c r="AD199" s="814"/>
      <c r="AE199" s="814"/>
      <c r="AF199" s="813">
        <v>10000</v>
      </c>
      <c r="AG199" s="814"/>
      <c r="AH199" s="814"/>
      <c r="AI199" s="814"/>
      <c r="AJ199" s="814"/>
      <c r="AK199" s="814"/>
      <c r="AL199" s="814"/>
      <c r="AM199" s="841" t="s">
        <v>3193</v>
      </c>
    </row>
    <row r="200" s="787" customFormat="1" ht="18" customHeight="1" spans="1:39">
      <c r="A200" s="810">
        <v>45905</v>
      </c>
      <c r="B200" s="811" t="s">
        <v>2980</v>
      </c>
      <c r="C200" s="812">
        <v>1000031792</v>
      </c>
      <c r="D200" s="813" t="s">
        <v>3192</v>
      </c>
      <c r="E200" s="813">
        <v>77486</v>
      </c>
      <c r="F200" s="813">
        <v>5000</v>
      </c>
      <c r="G200" s="812" t="s">
        <v>3032</v>
      </c>
      <c r="H200" s="812" t="s">
        <v>3044</v>
      </c>
      <c r="I200" s="813"/>
      <c r="J200" s="814"/>
      <c r="K200" s="814"/>
      <c r="L200" s="814"/>
      <c r="M200" s="814"/>
      <c r="N200" s="813"/>
      <c r="O200" s="814"/>
      <c r="P200" s="814"/>
      <c r="Q200" s="814"/>
      <c r="R200" s="814"/>
      <c r="S200" s="814"/>
      <c r="T200" s="814"/>
      <c r="U200" s="814"/>
      <c r="V200" s="814"/>
      <c r="W200" s="814"/>
      <c r="X200" s="814"/>
      <c r="Y200" s="814"/>
      <c r="Z200" s="814"/>
      <c r="AA200" s="814"/>
      <c r="AB200" s="814"/>
      <c r="AC200" s="814"/>
      <c r="AD200" s="814"/>
      <c r="AE200" s="814"/>
      <c r="AF200" s="814"/>
      <c r="AG200" s="813">
        <v>5000</v>
      </c>
      <c r="AH200" s="814"/>
      <c r="AI200" s="814"/>
      <c r="AJ200" s="814"/>
      <c r="AK200" s="814"/>
      <c r="AL200" s="814"/>
      <c r="AM200" s="841" t="s">
        <v>3193</v>
      </c>
    </row>
    <row r="201" s="787" customFormat="1" ht="18" customHeight="1" spans="1:39">
      <c r="A201" s="810">
        <v>45905</v>
      </c>
      <c r="B201" s="811" t="s">
        <v>2980</v>
      </c>
      <c r="C201" s="812">
        <v>1000031794</v>
      </c>
      <c r="D201" s="813" t="s">
        <v>3192</v>
      </c>
      <c r="E201" s="813">
        <v>77486</v>
      </c>
      <c r="F201" s="813">
        <v>5000</v>
      </c>
      <c r="G201" s="812" t="s">
        <v>3066</v>
      </c>
      <c r="H201" s="812"/>
      <c r="I201" s="813"/>
      <c r="J201" s="814"/>
      <c r="K201" s="814"/>
      <c r="L201" s="814"/>
      <c r="M201" s="814"/>
      <c r="N201" s="814"/>
      <c r="O201" s="814"/>
      <c r="P201" s="814"/>
      <c r="Q201" s="814"/>
      <c r="R201" s="814"/>
      <c r="S201" s="814"/>
      <c r="T201" s="814"/>
      <c r="U201" s="814"/>
      <c r="V201" s="814"/>
      <c r="W201" s="814"/>
      <c r="X201" s="814"/>
      <c r="Y201" s="814"/>
      <c r="Z201" s="814"/>
      <c r="AA201" s="814"/>
      <c r="AB201" s="814"/>
      <c r="AC201" s="814"/>
      <c r="AD201" s="814"/>
      <c r="AE201" s="814"/>
      <c r="AF201" s="814"/>
      <c r="AG201" s="814"/>
      <c r="AH201" s="813">
        <v>5000</v>
      </c>
      <c r="AI201" s="814"/>
      <c r="AJ201" s="814"/>
      <c r="AK201" s="814"/>
      <c r="AL201" s="814"/>
      <c r="AM201" s="841" t="s">
        <v>3193</v>
      </c>
    </row>
    <row r="202" s="787" customFormat="1" ht="18" customHeight="1" spans="1:39">
      <c r="A202" s="810">
        <v>45944</v>
      </c>
      <c r="B202" s="811" t="s">
        <v>3194</v>
      </c>
      <c r="C202" s="812" t="s">
        <v>3195</v>
      </c>
      <c r="D202" s="813" t="s">
        <v>2989</v>
      </c>
      <c r="E202" s="813" t="s">
        <v>3049</v>
      </c>
      <c r="F202" s="813">
        <v>500</v>
      </c>
      <c r="G202" s="812" t="s">
        <v>2997</v>
      </c>
      <c r="H202" s="812" t="s">
        <v>16</v>
      </c>
      <c r="I202" s="813" t="s">
        <v>2991</v>
      </c>
      <c r="J202" s="814"/>
      <c r="K202" s="814"/>
      <c r="L202" s="814"/>
      <c r="M202" s="814"/>
      <c r="N202" s="814"/>
      <c r="O202" s="814"/>
      <c r="P202" s="814"/>
      <c r="Q202" s="814"/>
      <c r="R202" s="814"/>
      <c r="S202" s="814"/>
      <c r="T202" s="814"/>
      <c r="U202" s="814"/>
      <c r="V202" s="814">
        <v>500</v>
      </c>
      <c r="W202" s="814"/>
      <c r="X202" s="814"/>
      <c r="Y202" s="814"/>
      <c r="Z202" s="814"/>
      <c r="AA202" s="814"/>
      <c r="AB202" s="814"/>
      <c r="AC202" s="814"/>
      <c r="AD202" s="814"/>
      <c r="AE202" s="814"/>
      <c r="AF202" s="814"/>
      <c r="AG202" s="814"/>
      <c r="AH202" s="813"/>
      <c r="AI202" s="814"/>
      <c r="AJ202" s="814"/>
      <c r="AK202" s="814"/>
      <c r="AL202" s="814"/>
      <c r="AM202" s="841"/>
    </row>
    <row r="203" s="787" customFormat="1" ht="18" customHeight="1" spans="1:39">
      <c r="A203" s="810">
        <v>45954</v>
      </c>
      <c r="B203" s="811" t="s">
        <v>2980</v>
      </c>
      <c r="C203" s="812" t="s">
        <v>3092</v>
      </c>
      <c r="D203" s="813" t="s">
        <v>2989</v>
      </c>
      <c r="E203" s="813">
        <v>77485</v>
      </c>
      <c r="F203" s="813">
        <v>20000</v>
      </c>
      <c r="G203" s="812" t="s">
        <v>2990</v>
      </c>
      <c r="H203" s="812" t="s">
        <v>3044</v>
      </c>
      <c r="I203" s="813" t="s">
        <v>2991</v>
      </c>
      <c r="J203" s="814">
        <v>20000</v>
      </c>
      <c r="K203" s="814"/>
      <c r="L203" s="814"/>
      <c r="M203" s="814"/>
      <c r="N203" s="814"/>
      <c r="O203" s="814"/>
      <c r="P203" s="814"/>
      <c r="Q203" s="814"/>
      <c r="R203" s="814"/>
      <c r="S203" s="814"/>
      <c r="T203" s="814"/>
      <c r="U203" s="814"/>
      <c r="V203" s="814"/>
      <c r="W203" s="814"/>
      <c r="X203" s="814"/>
      <c r="Y203" s="814"/>
      <c r="Z203" s="814"/>
      <c r="AA203" s="814"/>
      <c r="AB203" s="814"/>
      <c r="AC203" s="814"/>
      <c r="AD203" s="814"/>
      <c r="AE203" s="814"/>
      <c r="AF203" s="814"/>
      <c r="AG203" s="814"/>
      <c r="AH203" s="814"/>
      <c r="AI203" s="814"/>
      <c r="AJ203" s="814"/>
      <c r="AK203" s="814"/>
      <c r="AL203" s="814"/>
      <c r="AM203" s="841"/>
    </row>
    <row r="204" s="787" customFormat="1" ht="18" customHeight="1" spans="1:39">
      <c r="A204" s="810">
        <v>45954</v>
      </c>
      <c r="B204" s="811" t="s">
        <v>2980</v>
      </c>
      <c r="C204" s="813" t="s">
        <v>3092</v>
      </c>
      <c r="D204" s="813" t="s">
        <v>2989</v>
      </c>
      <c r="E204" s="813">
        <v>77485</v>
      </c>
      <c r="F204" s="813">
        <v>20000</v>
      </c>
      <c r="G204" s="812" t="s">
        <v>2990</v>
      </c>
      <c r="H204" s="812" t="s">
        <v>3044</v>
      </c>
      <c r="I204" s="813" t="s">
        <v>3003</v>
      </c>
      <c r="J204" s="814"/>
      <c r="K204" s="814"/>
      <c r="L204" s="814"/>
      <c r="M204" s="813">
        <v>20000</v>
      </c>
      <c r="N204" s="814"/>
      <c r="O204" s="814"/>
      <c r="P204" s="814"/>
      <c r="Q204" s="814"/>
      <c r="R204" s="814"/>
      <c r="S204" s="814"/>
      <c r="T204" s="814"/>
      <c r="U204" s="814"/>
      <c r="V204" s="814"/>
      <c r="W204" s="814"/>
      <c r="X204" s="814"/>
      <c r="Y204" s="814"/>
      <c r="Z204" s="814"/>
      <c r="AA204" s="814"/>
      <c r="AB204" s="814"/>
      <c r="AC204" s="814"/>
      <c r="AD204" s="814"/>
      <c r="AE204" s="814"/>
      <c r="AF204" s="814"/>
      <c r="AG204" s="814"/>
      <c r="AH204" s="814"/>
      <c r="AI204" s="814"/>
      <c r="AJ204" s="814"/>
      <c r="AK204" s="814"/>
      <c r="AL204" s="814"/>
      <c r="AM204" s="841"/>
    </row>
    <row r="205" s="787" customFormat="1" ht="18" customHeight="1" spans="1:39">
      <c r="A205" s="810">
        <v>45954</v>
      </c>
      <c r="B205" s="811" t="s">
        <v>2980</v>
      </c>
      <c r="C205" s="813" t="s">
        <v>3196</v>
      </c>
      <c r="D205" s="813" t="s">
        <v>2989</v>
      </c>
      <c r="E205" s="813">
        <v>77485</v>
      </c>
      <c r="F205" s="813">
        <v>20000</v>
      </c>
      <c r="G205" s="812" t="s">
        <v>2993</v>
      </c>
      <c r="H205" s="812" t="s">
        <v>3047</v>
      </c>
      <c r="I205" s="813" t="s">
        <v>2994</v>
      </c>
      <c r="J205" s="814"/>
      <c r="K205" s="814"/>
      <c r="L205" s="814"/>
      <c r="M205" s="814"/>
      <c r="N205" s="814"/>
      <c r="O205" s="814"/>
      <c r="P205" s="814"/>
      <c r="Q205" s="814"/>
      <c r="R205" s="814"/>
      <c r="S205" s="814"/>
      <c r="T205" s="814"/>
      <c r="U205" s="814"/>
      <c r="V205" s="814"/>
      <c r="W205" s="814"/>
      <c r="X205" s="814"/>
      <c r="Y205" s="814"/>
      <c r="Z205" s="814"/>
      <c r="AA205" s="814"/>
      <c r="AB205" s="814"/>
      <c r="AC205" s="814"/>
      <c r="AD205" s="814"/>
      <c r="AE205" s="814"/>
      <c r="AF205" s="813">
        <v>10000</v>
      </c>
      <c r="AG205" s="814"/>
      <c r="AH205" s="814"/>
      <c r="AI205" s="814"/>
      <c r="AJ205" s="814"/>
      <c r="AK205" s="814"/>
      <c r="AL205" s="814"/>
      <c r="AM205" s="841"/>
    </row>
    <row r="206" s="787" customFormat="1" ht="18" customHeight="1" spans="1:39">
      <c r="A206" s="810">
        <v>45960</v>
      </c>
      <c r="B206" s="811" t="s">
        <v>2980</v>
      </c>
      <c r="C206" s="813" t="s">
        <v>3197</v>
      </c>
      <c r="D206" s="813" t="s">
        <v>3198</v>
      </c>
      <c r="E206" s="813">
        <v>77486</v>
      </c>
      <c r="F206" s="813">
        <v>10000</v>
      </c>
      <c r="G206" s="812" t="s">
        <v>3030</v>
      </c>
      <c r="H206" s="812" t="s">
        <v>3199</v>
      </c>
      <c r="I206" s="813" t="s">
        <v>3199</v>
      </c>
      <c r="J206" s="814"/>
      <c r="K206" s="814"/>
      <c r="L206" s="814"/>
      <c r="M206" s="814"/>
      <c r="N206" s="813"/>
      <c r="O206" s="814"/>
      <c r="P206" s="814"/>
      <c r="Q206" s="814"/>
      <c r="R206" s="814"/>
      <c r="S206" s="814"/>
      <c r="T206" s="814"/>
      <c r="U206" s="814"/>
      <c r="V206" s="814"/>
      <c r="W206" s="814"/>
      <c r="X206" s="814"/>
      <c r="Y206" s="814"/>
      <c r="Z206" s="814"/>
      <c r="AA206" s="814"/>
      <c r="AB206" s="814"/>
      <c r="AC206" s="814"/>
      <c r="AD206" s="814"/>
      <c r="AE206" s="814"/>
      <c r="AF206" s="814"/>
      <c r="AG206" s="813">
        <v>10000</v>
      </c>
      <c r="AH206" s="814"/>
      <c r="AI206" s="814"/>
      <c r="AJ206" s="814"/>
      <c r="AK206" s="814"/>
      <c r="AL206" s="814"/>
      <c r="AM206" s="841"/>
    </row>
    <row r="207" s="787" customFormat="1" ht="18" customHeight="1" spans="1:39">
      <c r="A207" s="810">
        <v>45960</v>
      </c>
      <c r="B207" s="811" t="s">
        <v>2980</v>
      </c>
      <c r="C207" s="813" t="s">
        <v>3200</v>
      </c>
      <c r="D207" s="813" t="s">
        <v>3198</v>
      </c>
      <c r="E207" s="813">
        <v>77486</v>
      </c>
      <c r="F207" s="813">
        <v>10000</v>
      </c>
      <c r="G207" s="812" t="s">
        <v>3032</v>
      </c>
      <c r="H207" s="812" t="s">
        <v>1527</v>
      </c>
      <c r="I207" s="813" t="s">
        <v>2991</v>
      </c>
      <c r="J207" s="814"/>
      <c r="K207" s="814"/>
      <c r="L207" s="814"/>
      <c r="M207" s="814"/>
      <c r="N207" s="813"/>
      <c r="O207" s="814"/>
      <c r="P207" s="814"/>
      <c r="Q207" s="814"/>
      <c r="R207" s="814"/>
      <c r="S207" s="814"/>
      <c r="T207" s="814"/>
      <c r="U207" s="814"/>
      <c r="V207" s="814"/>
      <c r="W207" s="814"/>
      <c r="X207" s="814"/>
      <c r="Y207" s="814"/>
      <c r="Z207" s="814"/>
      <c r="AA207" s="814"/>
      <c r="AB207" s="814"/>
      <c r="AC207" s="814"/>
      <c r="AD207" s="814"/>
      <c r="AE207" s="814"/>
      <c r="AF207" s="814"/>
      <c r="AG207" s="814"/>
      <c r="AH207" s="813">
        <v>10000</v>
      </c>
      <c r="AI207" s="814"/>
      <c r="AJ207" s="814"/>
      <c r="AK207" s="814"/>
      <c r="AL207" s="814"/>
      <c r="AM207" s="841"/>
    </row>
    <row r="208" s="787" customFormat="1" ht="18" customHeight="1" spans="1:39">
      <c r="A208" s="810">
        <v>45960</v>
      </c>
      <c r="B208" s="811" t="s">
        <v>2980</v>
      </c>
      <c r="C208" s="813" t="s">
        <v>3201</v>
      </c>
      <c r="D208" s="813" t="s">
        <v>3198</v>
      </c>
      <c r="E208" s="813">
        <v>77486</v>
      </c>
      <c r="F208" s="813">
        <v>10000</v>
      </c>
      <c r="G208" s="812" t="s">
        <v>3066</v>
      </c>
      <c r="H208" s="812" t="s">
        <v>3199</v>
      </c>
      <c r="I208" s="813" t="s">
        <v>3199</v>
      </c>
      <c r="J208" s="814"/>
      <c r="K208" s="814"/>
      <c r="L208" s="814"/>
      <c r="M208" s="814"/>
      <c r="N208" s="813"/>
      <c r="O208" s="814"/>
      <c r="P208" s="814"/>
      <c r="Q208" s="814"/>
      <c r="R208" s="814"/>
      <c r="S208" s="814"/>
      <c r="T208" s="814"/>
      <c r="U208" s="814"/>
      <c r="V208" s="814"/>
      <c r="W208" s="814"/>
      <c r="X208" s="814"/>
      <c r="Y208" s="814"/>
      <c r="Z208" s="814"/>
      <c r="AA208" s="814"/>
      <c r="AB208" s="814"/>
      <c r="AC208" s="814"/>
      <c r="AD208" s="814"/>
      <c r="AE208" s="814"/>
      <c r="AF208" s="814"/>
      <c r="AG208" s="814"/>
      <c r="AH208" s="814"/>
      <c r="AI208" s="814"/>
      <c r="AJ208" s="814"/>
      <c r="AK208" s="814"/>
      <c r="AL208" s="814"/>
      <c r="AM208" s="841"/>
    </row>
    <row r="209" s="787" customFormat="1" ht="18" customHeight="1" spans="1:39">
      <c r="A209" s="810">
        <v>45960</v>
      </c>
      <c r="B209" s="811" t="s">
        <v>2980</v>
      </c>
      <c r="C209" s="813" t="s">
        <v>3092</v>
      </c>
      <c r="D209" s="813" t="s">
        <v>3202</v>
      </c>
      <c r="E209" s="813" t="s">
        <v>3203</v>
      </c>
      <c r="F209" s="813">
        <v>3650</v>
      </c>
      <c r="G209" s="812" t="s">
        <v>2997</v>
      </c>
      <c r="H209" s="812" t="s">
        <v>2991</v>
      </c>
      <c r="I209" s="813" t="s">
        <v>1527</v>
      </c>
      <c r="J209" s="814"/>
      <c r="K209" s="814"/>
      <c r="L209" s="814"/>
      <c r="M209" s="814"/>
      <c r="N209" s="813"/>
      <c r="O209" s="814"/>
      <c r="P209" s="814"/>
      <c r="Q209" s="814"/>
      <c r="R209" s="814"/>
      <c r="S209" s="814"/>
      <c r="T209" s="814"/>
      <c r="U209" s="813">
        <v>3650</v>
      </c>
      <c r="V209" s="814"/>
      <c r="W209" s="814"/>
      <c r="X209" s="814"/>
      <c r="Y209" s="814"/>
      <c r="Z209" s="814"/>
      <c r="AA209" s="814"/>
      <c r="AB209" s="814"/>
      <c r="AC209" s="814"/>
      <c r="AD209" s="814"/>
      <c r="AE209" s="814"/>
      <c r="AF209" s="814"/>
      <c r="AG209" s="814"/>
      <c r="AH209" s="814"/>
      <c r="AI209" s="814"/>
      <c r="AJ209" s="814"/>
      <c r="AK209" s="814"/>
      <c r="AL209" s="814"/>
      <c r="AM209" s="841" t="s">
        <v>3204</v>
      </c>
    </row>
    <row r="210" s="787" customFormat="1" ht="18" customHeight="1" spans="1:39">
      <c r="A210" s="810">
        <v>45960</v>
      </c>
      <c r="B210" s="811">
        <v>17007652</v>
      </c>
      <c r="C210" s="813" t="s">
        <v>3092</v>
      </c>
      <c r="D210" s="813" t="s">
        <v>2989</v>
      </c>
      <c r="E210" s="813">
        <v>77485</v>
      </c>
      <c r="F210" s="813">
        <v>20000</v>
      </c>
      <c r="G210" s="812" t="s">
        <v>2990</v>
      </c>
      <c r="H210" s="812" t="s">
        <v>2991</v>
      </c>
      <c r="I210" s="813" t="s">
        <v>3044</v>
      </c>
      <c r="J210" s="813">
        <v>20000</v>
      </c>
      <c r="K210" s="814"/>
      <c r="L210" s="814"/>
      <c r="M210" s="814"/>
      <c r="N210" s="813"/>
      <c r="O210" s="814"/>
      <c r="P210" s="814"/>
      <c r="Q210" s="814"/>
      <c r="R210" s="814"/>
      <c r="S210" s="814"/>
      <c r="T210" s="814"/>
      <c r="U210" s="814"/>
      <c r="V210" s="814"/>
      <c r="W210" s="814"/>
      <c r="X210" s="814"/>
      <c r="Y210" s="814"/>
      <c r="Z210" s="814"/>
      <c r="AA210" s="814"/>
      <c r="AB210" s="814"/>
      <c r="AC210" s="814"/>
      <c r="AD210" s="814"/>
      <c r="AE210" s="814"/>
      <c r="AF210" s="814"/>
      <c r="AG210" s="814"/>
      <c r="AH210" s="814"/>
      <c r="AI210" s="814"/>
      <c r="AJ210" s="814"/>
      <c r="AK210" s="814"/>
      <c r="AL210" s="814"/>
      <c r="AM210" s="841"/>
    </row>
    <row r="211" s="787" customFormat="1" ht="18" customHeight="1" spans="1:39">
      <c r="A211" s="810">
        <v>45960</v>
      </c>
      <c r="B211" s="811">
        <v>17007652</v>
      </c>
      <c r="C211" s="813" t="s">
        <v>3205</v>
      </c>
      <c r="D211" s="813" t="s">
        <v>2989</v>
      </c>
      <c r="E211" s="813">
        <v>77485</v>
      </c>
      <c r="F211" s="813">
        <v>20000</v>
      </c>
      <c r="G211" s="812" t="s">
        <v>2993</v>
      </c>
      <c r="H211" s="812" t="s">
        <v>2994</v>
      </c>
      <c r="I211" s="813" t="s">
        <v>3047</v>
      </c>
      <c r="J211" s="814"/>
      <c r="K211" s="814"/>
      <c r="L211" s="814"/>
      <c r="M211" s="814"/>
      <c r="N211" s="813">
        <v>20000</v>
      </c>
      <c r="O211" s="814"/>
      <c r="P211" s="814"/>
      <c r="Q211" s="814"/>
      <c r="R211" s="814"/>
      <c r="S211" s="814"/>
      <c r="T211" s="814"/>
      <c r="U211" s="814"/>
      <c r="V211" s="814"/>
      <c r="W211" s="814"/>
      <c r="X211" s="814"/>
      <c r="Y211" s="814"/>
      <c r="Z211" s="814"/>
      <c r="AA211" s="814"/>
      <c r="AB211" s="814"/>
      <c r="AC211" s="814"/>
      <c r="AD211" s="814"/>
      <c r="AE211" s="814"/>
      <c r="AF211" s="814"/>
      <c r="AG211" s="814"/>
      <c r="AH211" s="814"/>
      <c r="AI211" s="814"/>
      <c r="AJ211" s="814"/>
      <c r="AK211" s="814"/>
      <c r="AL211" s="814"/>
      <c r="AM211" s="841"/>
    </row>
    <row r="212" s="787" customFormat="1" ht="18" customHeight="1" spans="1:39">
      <c r="A212" s="810">
        <v>45960</v>
      </c>
      <c r="B212" s="811">
        <v>17007652</v>
      </c>
      <c r="C212" s="813" t="s">
        <v>3092</v>
      </c>
      <c r="D212" s="813" t="s">
        <v>2989</v>
      </c>
      <c r="E212" s="813">
        <v>77485</v>
      </c>
      <c r="F212" s="813">
        <v>20000</v>
      </c>
      <c r="G212" s="812" t="s">
        <v>2990</v>
      </c>
      <c r="H212" s="812" t="s">
        <v>2991</v>
      </c>
      <c r="I212" s="813" t="s">
        <v>3044</v>
      </c>
      <c r="J212" s="813">
        <v>20000</v>
      </c>
      <c r="K212" s="814"/>
      <c r="L212" s="814"/>
      <c r="M212" s="814"/>
      <c r="N212" s="813"/>
      <c r="O212" s="814"/>
      <c r="P212" s="814"/>
      <c r="Q212" s="814"/>
      <c r="R212" s="814"/>
      <c r="S212" s="814"/>
      <c r="T212" s="814"/>
      <c r="U212" s="814"/>
      <c r="V212" s="814"/>
      <c r="W212" s="814"/>
      <c r="X212" s="814"/>
      <c r="Y212" s="814"/>
      <c r="Z212" s="814"/>
      <c r="AA212" s="814"/>
      <c r="AB212" s="814"/>
      <c r="AC212" s="814"/>
      <c r="AD212" s="814"/>
      <c r="AE212" s="814"/>
      <c r="AF212" s="814"/>
      <c r="AG212" s="814"/>
      <c r="AH212" s="814"/>
      <c r="AI212" s="814"/>
      <c r="AJ212" s="814"/>
      <c r="AK212" s="814"/>
      <c r="AL212" s="814"/>
      <c r="AM212" s="841"/>
    </row>
    <row r="213" s="787" customFormat="1" ht="18" customHeight="1" spans="1:39">
      <c r="A213" s="810">
        <v>45960</v>
      </c>
      <c r="B213" s="811" t="s">
        <v>3206</v>
      </c>
      <c r="C213" s="813" t="s">
        <v>3207</v>
      </c>
      <c r="D213" s="813" t="s">
        <v>2989</v>
      </c>
      <c r="E213" s="813">
        <v>77485</v>
      </c>
      <c r="F213" s="813">
        <v>20000</v>
      </c>
      <c r="G213" s="812" t="s">
        <v>2993</v>
      </c>
      <c r="H213" s="812" t="s">
        <v>2994</v>
      </c>
      <c r="I213" s="813" t="s">
        <v>3208</v>
      </c>
      <c r="J213" s="814"/>
      <c r="K213" s="814"/>
      <c r="L213" s="814"/>
      <c r="M213" s="814"/>
      <c r="N213" s="813">
        <v>20000</v>
      </c>
      <c r="O213" s="814"/>
      <c r="P213" s="814"/>
      <c r="Q213" s="814"/>
      <c r="R213" s="814"/>
      <c r="S213" s="814"/>
      <c r="T213" s="814"/>
      <c r="U213" s="814"/>
      <c r="V213" s="814"/>
      <c r="W213" s="814"/>
      <c r="X213" s="814"/>
      <c r="Y213" s="814"/>
      <c r="Z213" s="814"/>
      <c r="AA213" s="814"/>
      <c r="AB213" s="814"/>
      <c r="AC213" s="814"/>
      <c r="AD213" s="814"/>
      <c r="AE213" s="814"/>
      <c r="AF213" s="814"/>
      <c r="AG213" s="814"/>
      <c r="AH213" s="814"/>
      <c r="AI213" s="814"/>
      <c r="AJ213" s="814"/>
      <c r="AK213" s="814"/>
      <c r="AL213" s="814"/>
      <c r="AM213" s="841"/>
    </row>
    <row r="214" s="787" customFormat="1" ht="18" customHeight="1" spans="1:39">
      <c r="A214" s="810">
        <v>45994</v>
      </c>
      <c r="B214" s="811">
        <v>17006695</v>
      </c>
      <c r="C214" s="813" t="s">
        <v>3209</v>
      </c>
      <c r="D214" s="813" t="s">
        <v>3210</v>
      </c>
      <c r="E214" s="813">
        <v>77486</v>
      </c>
      <c r="F214" s="813">
        <v>11376</v>
      </c>
      <c r="G214" s="812" t="s">
        <v>3010</v>
      </c>
      <c r="H214" s="812" t="s">
        <v>3199</v>
      </c>
      <c r="I214" s="813" t="s">
        <v>3199</v>
      </c>
      <c r="J214" s="814"/>
      <c r="K214" s="814"/>
      <c r="L214" s="814"/>
      <c r="M214" s="814"/>
      <c r="N214" s="813"/>
      <c r="O214" s="814"/>
      <c r="P214" s="814"/>
      <c r="Q214" s="814"/>
      <c r="R214" s="814"/>
      <c r="S214" s="814"/>
      <c r="T214" s="814"/>
      <c r="U214" s="814"/>
      <c r="V214" s="814"/>
      <c r="W214" s="814"/>
      <c r="X214" s="814"/>
      <c r="Y214" s="814"/>
      <c r="Z214" s="814"/>
      <c r="AA214" s="814"/>
      <c r="AB214" s="814"/>
      <c r="AC214" s="814"/>
      <c r="AD214" s="814"/>
      <c r="AE214" s="814"/>
      <c r="AF214" s="814"/>
      <c r="AG214" s="814"/>
      <c r="AH214" s="813">
        <v>11376</v>
      </c>
      <c r="AI214" s="814"/>
      <c r="AJ214" s="814"/>
      <c r="AK214" s="814"/>
      <c r="AL214" s="814"/>
      <c r="AM214" s="841"/>
    </row>
    <row r="215" s="787" customFormat="1" ht="18" customHeight="1" spans="1:39">
      <c r="A215" s="810">
        <v>45994</v>
      </c>
      <c r="B215" s="811">
        <v>17008889</v>
      </c>
      <c r="C215" s="813" t="s">
        <v>3211</v>
      </c>
      <c r="D215" s="813" t="s">
        <v>3210</v>
      </c>
      <c r="E215" s="813">
        <v>77486</v>
      </c>
      <c r="F215" s="813">
        <v>11376</v>
      </c>
      <c r="G215" s="812" t="s">
        <v>3009</v>
      </c>
      <c r="H215" s="812" t="s">
        <v>3003</v>
      </c>
      <c r="I215" s="813" t="s">
        <v>3044</v>
      </c>
      <c r="J215" s="814"/>
      <c r="K215" s="814"/>
      <c r="L215" s="814"/>
      <c r="M215" s="814"/>
      <c r="N215" s="813"/>
      <c r="O215" s="814"/>
      <c r="P215" s="814"/>
      <c r="Q215" s="814"/>
      <c r="R215" s="814"/>
      <c r="S215" s="814"/>
      <c r="T215" s="814"/>
      <c r="U215" s="814"/>
      <c r="V215" s="814"/>
      <c r="W215" s="814"/>
      <c r="X215" s="814"/>
      <c r="Y215" s="814"/>
      <c r="Z215" s="814"/>
      <c r="AA215" s="814"/>
      <c r="AB215" s="814"/>
      <c r="AC215" s="814"/>
      <c r="AD215" s="814"/>
      <c r="AE215" s="814"/>
      <c r="AF215" s="814"/>
      <c r="AG215" s="813">
        <v>11376</v>
      </c>
      <c r="AH215" s="814"/>
      <c r="AI215" s="814"/>
      <c r="AJ215" s="814"/>
      <c r="AK215" s="814"/>
      <c r="AL215" s="814"/>
      <c r="AM215" s="841"/>
    </row>
    <row r="216" s="787" customFormat="1" ht="18" customHeight="1" spans="1:39">
      <c r="A216" s="810">
        <v>45994</v>
      </c>
      <c r="B216" s="811">
        <v>17006693</v>
      </c>
      <c r="C216" s="813" t="s">
        <v>3212</v>
      </c>
      <c r="D216" s="813" t="s">
        <v>3210</v>
      </c>
      <c r="E216" s="813">
        <v>77486</v>
      </c>
      <c r="F216" s="813">
        <v>10000</v>
      </c>
      <c r="G216" s="812" t="s">
        <v>3008</v>
      </c>
      <c r="H216" s="812" t="s">
        <v>3199</v>
      </c>
      <c r="I216" s="813" t="s">
        <v>3199</v>
      </c>
      <c r="J216" s="814"/>
      <c r="K216" s="814"/>
      <c r="L216" s="814"/>
      <c r="M216" s="814"/>
      <c r="N216" s="813">
        <v>20000</v>
      </c>
      <c r="O216" s="814"/>
      <c r="P216" s="814"/>
      <c r="Q216" s="814"/>
      <c r="R216" s="814"/>
      <c r="S216" s="814"/>
      <c r="T216" s="814"/>
      <c r="U216" s="814"/>
      <c r="V216" s="814"/>
      <c r="W216" s="814"/>
      <c r="X216" s="814"/>
      <c r="Y216" s="814"/>
      <c r="Z216" s="814"/>
      <c r="AA216" s="814"/>
      <c r="AB216" s="814"/>
      <c r="AC216" s="814"/>
      <c r="AD216" s="814"/>
      <c r="AE216" s="814"/>
      <c r="AF216" s="813">
        <v>10000</v>
      </c>
      <c r="AG216" s="814"/>
      <c r="AH216" s="814"/>
      <c r="AI216" s="814"/>
      <c r="AJ216" s="814"/>
      <c r="AK216" s="814"/>
      <c r="AL216" s="814"/>
      <c r="AM216" s="841"/>
    </row>
    <row r="217" s="787" customFormat="1" ht="18" customHeight="1" spans="1:39">
      <c r="A217" s="810">
        <v>46083</v>
      </c>
      <c r="B217" s="811">
        <v>17007652</v>
      </c>
      <c r="C217" s="813" t="s">
        <v>3092</v>
      </c>
      <c r="D217" s="813" t="s">
        <v>2989</v>
      </c>
      <c r="E217" s="813">
        <v>77485</v>
      </c>
      <c r="F217" s="813">
        <v>100000</v>
      </c>
      <c r="G217" s="812" t="s">
        <v>2990</v>
      </c>
      <c r="H217" s="812" t="s">
        <v>2991</v>
      </c>
      <c r="I217" s="813" t="s">
        <v>3044</v>
      </c>
      <c r="J217" s="814">
        <v>100000</v>
      </c>
      <c r="K217" s="814"/>
      <c r="L217" s="814"/>
      <c r="M217" s="814"/>
      <c r="N217" s="813"/>
      <c r="O217" s="814"/>
      <c r="P217" s="814"/>
      <c r="Q217" s="814"/>
      <c r="R217" s="814"/>
      <c r="S217" s="814"/>
      <c r="T217" s="814"/>
      <c r="U217" s="814"/>
      <c r="V217" s="814"/>
      <c r="W217" s="814"/>
      <c r="X217" s="814"/>
      <c r="Y217" s="814"/>
      <c r="Z217" s="814"/>
      <c r="AA217" s="814"/>
      <c r="AB217" s="814"/>
      <c r="AC217" s="814"/>
      <c r="AD217" s="814"/>
      <c r="AE217" s="814"/>
      <c r="AF217" s="814"/>
      <c r="AG217" s="814"/>
      <c r="AH217" s="814"/>
      <c r="AI217" s="814"/>
      <c r="AJ217" s="814"/>
      <c r="AK217" s="814"/>
      <c r="AL217" s="814"/>
      <c r="AM217" s="841"/>
    </row>
    <row r="218" s="787" customFormat="1" ht="18" customHeight="1" spans="1:39">
      <c r="A218" s="810">
        <v>46083</v>
      </c>
      <c r="B218" s="811" t="s">
        <v>3206</v>
      </c>
      <c r="C218" s="813" t="s">
        <v>3213</v>
      </c>
      <c r="D218" s="813" t="s">
        <v>2989</v>
      </c>
      <c r="E218" s="813">
        <v>77485</v>
      </c>
      <c r="F218" s="813">
        <v>100000</v>
      </c>
      <c r="G218" s="812" t="s">
        <v>2993</v>
      </c>
      <c r="H218" s="812" t="s">
        <v>2994</v>
      </c>
      <c r="I218" s="813" t="s">
        <v>3208</v>
      </c>
      <c r="J218" s="814"/>
      <c r="K218" s="814"/>
      <c r="L218" s="814"/>
      <c r="M218" s="814"/>
      <c r="N218" s="814">
        <v>100000</v>
      </c>
      <c r="O218" s="814"/>
      <c r="P218" s="814"/>
      <c r="Q218" s="814"/>
      <c r="R218" s="814"/>
      <c r="S218" s="814"/>
      <c r="T218" s="814"/>
      <c r="U218" s="814"/>
      <c r="V218" s="814"/>
      <c r="W218" s="814"/>
      <c r="X218" s="814"/>
      <c r="Y218" s="814"/>
      <c r="Z218" s="814"/>
      <c r="AA218" s="814"/>
      <c r="AB218" s="814"/>
      <c r="AC218" s="814"/>
      <c r="AD218" s="814"/>
      <c r="AE218" s="814"/>
      <c r="AF218" s="814"/>
      <c r="AG218" s="814"/>
      <c r="AH218" s="814"/>
      <c r="AI218" s="814"/>
      <c r="AJ218" s="814"/>
      <c r="AK218" s="814"/>
      <c r="AL218" s="814"/>
      <c r="AM218" s="841"/>
    </row>
    <row r="219" s="787" customFormat="1" ht="18" customHeight="1" spans="1:39">
      <c r="A219" s="810">
        <v>46083</v>
      </c>
      <c r="B219" s="811">
        <v>17007654</v>
      </c>
      <c r="C219" s="813" t="s">
        <v>3214</v>
      </c>
      <c r="D219" s="813" t="s">
        <v>2989</v>
      </c>
      <c r="E219" s="813" t="s">
        <v>3049</v>
      </c>
      <c r="F219" s="813">
        <v>500</v>
      </c>
      <c r="G219" s="812" t="s">
        <v>2997</v>
      </c>
      <c r="H219" s="812" t="s">
        <v>2991</v>
      </c>
      <c r="I219" s="813" t="s">
        <v>16</v>
      </c>
      <c r="J219" s="814"/>
      <c r="K219" s="814"/>
      <c r="L219" s="814"/>
      <c r="M219" s="814"/>
      <c r="N219" s="814"/>
      <c r="O219" s="814"/>
      <c r="P219" s="814"/>
      <c r="Q219" s="814"/>
      <c r="R219" s="814"/>
      <c r="S219" s="814"/>
      <c r="T219" s="814"/>
      <c r="U219" s="814"/>
      <c r="V219" s="814">
        <v>500</v>
      </c>
      <c r="W219" s="814"/>
      <c r="X219" s="814"/>
      <c r="Y219" s="814"/>
      <c r="Z219" s="814"/>
      <c r="AA219" s="814"/>
      <c r="AB219" s="814"/>
      <c r="AC219" s="814"/>
      <c r="AD219" s="814"/>
      <c r="AE219" s="814"/>
      <c r="AF219" s="814"/>
      <c r="AG219" s="814"/>
      <c r="AH219" s="814"/>
      <c r="AI219" s="814"/>
      <c r="AJ219" s="814"/>
      <c r="AK219" s="814"/>
      <c r="AL219" s="814"/>
      <c r="AM219" s="841"/>
    </row>
    <row r="220" s="787" customFormat="1" ht="18" customHeight="1" spans="1:39">
      <c r="A220" s="810">
        <v>46093</v>
      </c>
      <c r="B220" s="811">
        <v>17007652</v>
      </c>
      <c r="C220" s="813" t="s">
        <v>3092</v>
      </c>
      <c r="D220" s="813" t="s">
        <v>2989</v>
      </c>
      <c r="E220" s="813">
        <v>77485</v>
      </c>
      <c r="F220" s="813">
        <v>80000</v>
      </c>
      <c r="G220" s="812" t="s">
        <v>2990</v>
      </c>
      <c r="H220" s="812" t="s">
        <v>2991</v>
      </c>
      <c r="I220" s="813" t="s">
        <v>3044</v>
      </c>
      <c r="J220" s="814">
        <v>80000</v>
      </c>
      <c r="K220" s="814"/>
      <c r="L220" s="814"/>
      <c r="M220" s="814"/>
      <c r="N220" s="814"/>
      <c r="O220" s="814"/>
      <c r="P220" s="814"/>
      <c r="Q220" s="814"/>
      <c r="R220" s="814"/>
      <c r="S220" s="814"/>
      <c r="T220" s="814"/>
      <c r="U220" s="814"/>
      <c r="V220" s="814"/>
      <c r="W220" s="814"/>
      <c r="X220" s="814"/>
      <c r="Y220" s="814"/>
      <c r="Z220" s="814"/>
      <c r="AA220" s="814"/>
      <c r="AB220" s="814"/>
      <c r="AC220" s="814"/>
      <c r="AD220" s="814"/>
      <c r="AE220" s="814"/>
      <c r="AF220" s="814"/>
      <c r="AG220" s="814"/>
      <c r="AH220" s="814"/>
      <c r="AI220" s="814"/>
      <c r="AJ220" s="814"/>
      <c r="AK220" s="814"/>
      <c r="AL220" s="814"/>
      <c r="AM220" s="841"/>
    </row>
    <row r="221" s="787" customFormat="1" ht="18" customHeight="1" spans="1:39">
      <c r="A221" s="810">
        <v>46093</v>
      </c>
      <c r="B221" s="811" t="s">
        <v>3206</v>
      </c>
      <c r="C221" s="813"/>
      <c r="D221" s="813" t="s">
        <v>2989</v>
      </c>
      <c r="E221" s="813">
        <v>77485</v>
      </c>
      <c r="F221" s="813">
        <v>80000</v>
      </c>
      <c r="G221" s="812" t="s">
        <v>2993</v>
      </c>
      <c r="H221" s="812" t="s">
        <v>2994</v>
      </c>
      <c r="I221" s="813" t="s">
        <v>3208</v>
      </c>
      <c r="J221" s="814"/>
      <c r="K221" s="814"/>
      <c r="L221" s="814"/>
      <c r="M221" s="814"/>
      <c r="N221" s="814">
        <v>80000</v>
      </c>
      <c r="O221" s="814"/>
      <c r="P221" s="814"/>
      <c r="Q221" s="814"/>
      <c r="R221" s="814"/>
      <c r="S221" s="814"/>
      <c r="T221" s="814"/>
      <c r="U221" s="814"/>
      <c r="V221" s="814"/>
      <c r="W221" s="814"/>
      <c r="X221" s="814"/>
      <c r="Y221" s="814"/>
      <c r="Z221" s="814"/>
      <c r="AA221" s="814"/>
      <c r="AB221" s="814"/>
      <c r="AC221" s="814"/>
      <c r="AD221" s="814"/>
      <c r="AE221" s="814"/>
      <c r="AF221" s="814"/>
      <c r="AG221" s="814"/>
      <c r="AH221" s="814"/>
      <c r="AI221" s="814"/>
      <c r="AJ221" s="814"/>
      <c r="AK221" s="814"/>
      <c r="AL221" s="814"/>
      <c r="AM221" s="841"/>
    </row>
    <row r="222" s="787" customFormat="1" ht="18" customHeight="1" spans="1:39">
      <c r="A222" s="810">
        <v>46151</v>
      </c>
      <c r="B222" s="846" t="s">
        <v>3092</v>
      </c>
      <c r="C222" s="846" t="s">
        <v>3055</v>
      </c>
      <c r="D222" s="813" t="s">
        <v>3095</v>
      </c>
      <c r="E222" s="813" t="s">
        <v>3144</v>
      </c>
      <c r="F222" s="813">
        <v>369</v>
      </c>
      <c r="G222" s="812" t="s">
        <v>2997</v>
      </c>
      <c r="H222" s="812" t="s">
        <v>2991</v>
      </c>
      <c r="I222" s="813" t="s">
        <v>1527</v>
      </c>
      <c r="J222" s="814"/>
      <c r="K222" s="814"/>
      <c r="L222" s="814"/>
      <c r="M222" s="814"/>
      <c r="N222" s="814"/>
      <c r="O222" s="814"/>
      <c r="P222" s="814"/>
      <c r="Q222" s="814"/>
      <c r="R222" s="814"/>
      <c r="S222" s="814"/>
      <c r="T222" s="814"/>
      <c r="U222" s="813">
        <v>369</v>
      </c>
      <c r="V222" s="814"/>
      <c r="W222" s="814"/>
      <c r="X222" s="814"/>
      <c r="Y222" s="814"/>
      <c r="Z222" s="814"/>
      <c r="AA222" s="814"/>
      <c r="AB222" s="814"/>
      <c r="AC222" s="814"/>
      <c r="AD222" s="814"/>
      <c r="AE222" s="814"/>
      <c r="AF222" s="814"/>
      <c r="AG222" s="814"/>
      <c r="AH222" s="814"/>
      <c r="AI222" s="814"/>
      <c r="AJ222" s="814"/>
      <c r="AK222" s="814"/>
      <c r="AL222" s="814"/>
      <c r="AM222" s="841" t="s">
        <v>3215</v>
      </c>
    </row>
    <row r="223" s="787" customFormat="1" ht="18" customHeight="1" spans="1:39">
      <c r="A223" s="810">
        <v>46190</v>
      </c>
      <c r="B223" s="846">
        <v>17007652</v>
      </c>
      <c r="C223" s="846" t="s">
        <v>3092</v>
      </c>
      <c r="D223" s="816" t="s">
        <v>3216</v>
      </c>
      <c r="E223" s="813">
        <v>77485</v>
      </c>
      <c r="F223" s="813">
        <v>40000</v>
      </c>
      <c r="G223" s="812" t="s">
        <v>2990</v>
      </c>
      <c r="H223" s="812" t="s">
        <v>2991</v>
      </c>
      <c r="I223" s="813" t="s">
        <v>3044</v>
      </c>
      <c r="J223" s="813">
        <v>40000</v>
      </c>
      <c r="K223" s="814"/>
      <c r="L223" s="814"/>
      <c r="M223" s="814"/>
      <c r="N223" s="814"/>
      <c r="O223" s="814"/>
      <c r="P223" s="814"/>
      <c r="Q223" s="814"/>
      <c r="R223" s="814"/>
      <c r="S223" s="814"/>
      <c r="T223" s="814"/>
      <c r="U223" s="813"/>
      <c r="V223" s="814"/>
      <c r="W223" s="814"/>
      <c r="X223" s="814"/>
      <c r="Y223" s="814"/>
      <c r="Z223" s="814"/>
      <c r="AA223" s="814"/>
      <c r="AB223" s="814"/>
      <c r="AC223" s="814"/>
      <c r="AD223" s="814"/>
      <c r="AE223" s="814"/>
      <c r="AF223" s="814"/>
      <c r="AG223" s="814"/>
      <c r="AH223" s="814"/>
      <c r="AI223" s="814"/>
      <c r="AJ223" s="814"/>
      <c r="AK223" s="814"/>
      <c r="AL223" s="814"/>
      <c r="AM223" s="841" t="s">
        <v>3217</v>
      </c>
    </row>
    <row r="224" s="787" customFormat="1" ht="18" customHeight="1" spans="1:39">
      <c r="A224" s="810">
        <v>46190</v>
      </c>
      <c r="B224" s="846">
        <v>17012367</v>
      </c>
      <c r="C224" s="846">
        <v>1000041509</v>
      </c>
      <c r="D224" s="816" t="s">
        <v>3216</v>
      </c>
      <c r="E224" s="813">
        <v>77485</v>
      </c>
      <c r="F224" s="813">
        <v>50000</v>
      </c>
      <c r="G224" s="812" t="s">
        <v>2993</v>
      </c>
      <c r="H224" s="812" t="s">
        <v>2994</v>
      </c>
      <c r="I224" s="813" t="s">
        <v>3208</v>
      </c>
      <c r="J224" s="814"/>
      <c r="K224" s="814"/>
      <c r="L224" s="814"/>
      <c r="M224" s="814"/>
      <c r="N224" s="813">
        <v>50000</v>
      </c>
      <c r="O224" s="814"/>
      <c r="P224" s="814"/>
      <c r="Q224" s="814"/>
      <c r="R224" s="814"/>
      <c r="S224" s="814"/>
      <c r="T224" s="814"/>
      <c r="U224" s="813"/>
      <c r="V224" s="814"/>
      <c r="W224" s="814"/>
      <c r="X224" s="814"/>
      <c r="Y224" s="814"/>
      <c r="Z224" s="814"/>
      <c r="AA224" s="814"/>
      <c r="AB224" s="814"/>
      <c r="AC224" s="814"/>
      <c r="AD224" s="814"/>
      <c r="AE224" s="814"/>
      <c r="AF224" s="814"/>
      <c r="AG224" s="814"/>
      <c r="AH224" s="814"/>
      <c r="AI224" s="814"/>
      <c r="AJ224" s="814"/>
      <c r="AK224" s="814"/>
      <c r="AL224" s="814"/>
      <c r="AM224" s="841"/>
    </row>
    <row r="225" s="787" customFormat="1" ht="18" customHeight="1" spans="1:39">
      <c r="A225" s="810">
        <v>46190</v>
      </c>
      <c r="B225" s="846">
        <v>17007656</v>
      </c>
      <c r="C225" s="846">
        <v>1000041510</v>
      </c>
      <c r="D225" s="816" t="s">
        <v>3216</v>
      </c>
      <c r="E225" s="813" t="s">
        <v>3052</v>
      </c>
      <c r="F225" s="813">
        <v>500</v>
      </c>
      <c r="G225" s="812" t="s">
        <v>2997</v>
      </c>
      <c r="H225" s="812" t="s">
        <v>2991</v>
      </c>
      <c r="I225" s="813" t="s">
        <v>16</v>
      </c>
      <c r="J225" s="814"/>
      <c r="K225" s="814"/>
      <c r="L225" s="814"/>
      <c r="M225" s="814"/>
      <c r="N225" s="814"/>
      <c r="O225" s="814"/>
      <c r="P225" s="814"/>
      <c r="Q225" s="814"/>
      <c r="R225" s="814"/>
      <c r="S225" s="814"/>
      <c r="T225" s="814"/>
      <c r="U225" s="813"/>
      <c r="V225" s="814"/>
      <c r="W225" s="814"/>
      <c r="X225" s="813">
        <v>500</v>
      </c>
      <c r="Y225" s="814"/>
      <c r="Z225" s="814"/>
      <c r="AA225" s="814"/>
      <c r="AB225" s="814"/>
      <c r="AC225" s="814"/>
      <c r="AD225" s="814"/>
      <c r="AE225" s="814"/>
      <c r="AF225" s="814"/>
      <c r="AG225" s="814"/>
      <c r="AH225" s="814"/>
      <c r="AI225" s="814"/>
      <c r="AJ225" s="814"/>
      <c r="AK225" s="814"/>
      <c r="AL225" s="814"/>
      <c r="AM225" s="841"/>
    </row>
    <row r="226" s="787" customFormat="1" ht="18" customHeight="1" spans="1:39">
      <c r="A226" s="810">
        <v>46199</v>
      </c>
      <c r="B226" s="846">
        <v>17014001</v>
      </c>
      <c r="C226" s="812">
        <v>1000041759</v>
      </c>
      <c r="D226" s="816" t="s">
        <v>3218</v>
      </c>
      <c r="E226" s="813">
        <v>77486</v>
      </c>
      <c r="F226" s="814">
        <v>5000</v>
      </c>
      <c r="G226" s="812" t="s">
        <v>3032</v>
      </c>
      <c r="H226" s="812" t="s">
        <v>3003</v>
      </c>
      <c r="I226" s="813" t="s">
        <v>3199</v>
      </c>
      <c r="J226" s="814"/>
      <c r="K226" s="814"/>
      <c r="L226" s="814"/>
      <c r="M226" s="814"/>
      <c r="N226" s="814"/>
      <c r="O226" s="814"/>
      <c r="P226" s="814"/>
      <c r="Q226" s="814"/>
      <c r="R226" s="814"/>
      <c r="S226" s="814"/>
      <c r="T226" s="814"/>
      <c r="U226" s="813"/>
      <c r="V226" s="814"/>
      <c r="W226" s="814"/>
      <c r="X226" s="813"/>
      <c r="Y226" s="814"/>
      <c r="Z226" s="814"/>
      <c r="AA226" s="814"/>
      <c r="AB226" s="814"/>
      <c r="AC226" s="814"/>
      <c r="AD226" s="814"/>
      <c r="AE226" s="814"/>
      <c r="AF226" s="814">
        <v>5000</v>
      </c>
      <c r="AG226" s="814"/>
      <c r="AH226" s="814"/>
      <c r="AI226" s="814"/>
      <c r="AJ226" s="814"/>
      <c r="AK226" s="814"/>
      <c r="AL226" s="814"/>
      <c r="AM226" s="841" t="s">
        <v>3219</v>
      </c>
    </row>
    <row r="227" s="787" customFormat="1" ht="18" customHeight="1" spans="1:39">
      <c r="A227" s="810">
        <v>46199</v>
      </c>
      <c r="B227" s="846">
        <v>17006695</v>
      </c>
      <c r="C227" s="812">
        <v>1000041760</v>
      </c>
      <c r="D227" s="816" t="s">
        <v>3218</v>
      </c>
      <c r="E227" s="813">
        <v>77486</v>
      </c>
      <c r="F227" s="814">
        <v>5000</v>
      </c>
      <c r="G227" s="812" t="s">
        <v>3066</v>
      </c>
      <c r="H227" s="812" t="s">
        <v>3199</v>
      </c>
      <c r="I227" s="813" t="s">
        <v>3199</v>
      </c>
      <c r="J227" s="814"/>
      <c r="K227" s="814"/>
      <c r="L227" s="814"/>
      <c r="M227" s="814"/>
      <c r="N227" s="814"/>
      <c r="O227" s="814"/>
      <c r="P227" s="814"/>
      <c r="Q227" s="814"/>
      <c r="R227" s="814"/>
      <c r="S227" s="814"/>
      <c r="T227" s="814"/>
      <c r="U227" s="813"/>
      <c r="V227" s="814"/>
      <c r="W227" s="814"/>
      <c r="X227" s="813"/>
      <c r="Y227" s="814"/>
      <c r="Z227" s="814"/>
      <c r="AA227" s="814"/>
      <c r="AB227" s="814"/>
      <c r="AC227" s="814"/>
      <c r="AD227" s="814"/>
      <c r="AE227" s="814"/>
      <c r="AF227" s="814"/>
      <c r="AG227" s="814">
        <v>5000</v>
      </c>
      <c r="AH227" s="814"/>
      <c r="AI227" s="814"/>
      <c r="AJ227" s="814"/>
      <c r="AK227" s="814"/>
      <c r="AL227" s="814"/>
      <c r="AM227" s="841" t="s">
        <v>3219</v>
      </c>
    </row>
    <row r="228" s="787" customFormat="1" ht="18" customHeight="1" spans="1:39">
      <c r="A228" s="810">
        <v>46199</v>
      </c>
      <c r="B228" s="846">
        <v>17006693</v>
      </c>
      <c r="C228" s="812">
        <v>1000041761</v>
      </c>
      <c r="D228" s="816" t="s">
        <v>3218</v>
      </c>
      <c r="E228" s="813">
        <v>77486</v>
      </c>
      <c r="F228" s="814">
        <v>10000</v>
      </c>
      <c r="G228" s="812" t="s">
        <v>3172</v>
      </c>
      <c r="H228" s="812" t="s">
        <v>3199</v>
      </c>
      <c r="I228" s="813" t="s">
        <v>3199</v>
      </c>
      <c r="J228" s="814"/>
      <c r="K228" s="814"/>
      <c r="L228" s="814"/>
      <c r="M228" s="814"/>
      <c r="N228" s="814"/>
      <c r="O228" s="814"/>
      <c r="P228" s="814"/>
      <c r="Q228" s="814"/>
      <c r="R228" s="814"/>
      <c r="S228" s="814"/>
      <c r="T228" s="814"/>
      <c r="U228" s="813"/>
      <c r="V228" s="814"/>
      <c r="W228" s="814"/>
      <c r="X228" s="813"/>
      <c r="Y228" s="814"/>
      <c r="Z228" s="814"/>
      <c r="AA228" s="814"/>
      <c r="AB228" s="814"/>
      <c r="AC228" s="814"/>
      <c r="AD228" s="814"/>
      <c r="AE228" s="814"/>
      <c r="AF228" s="814"/>
      <c r="AG228" s="814"/>
      <c r="AH228" s="814">
        <v>10000</v>
      </c>
      <c r="AI228" s="814"/>
      <c r="AJ228" s="814"/>
      <c r="AK228" s="814"/>
      <c r="AL228" s="814"/>
      <c r="AM228" s="841" t="s">
        <v>3219</v>
      </c>
    </row>
    <row r="229" s="786" customFormat="1" ht="18" customHeight="1" spans="1:39">
      <c r="A229" s="806">
        <v>46204</v>
      </c>
      <c r="B229" s="847" t="s">
        <v>3092</v>
      </c>
      <c r="C229" s="807" t="s">
        <v>3055</v>
      </c>
      <c r="D229" s="818" t="s">
        <v>3095</v>
      </c>
      <c r="E229" s="805" t="s">
        <v>3144</v>
      </c>
      <c r="F229" s="805">
        <v>2208</v>
      </c>
      <c r="G229" s="807" t="s">
        <v>2997</v>
      </c>
      <c r="H229" s="807" t="s">
        <v>2991</v>
      </c>
      <c r="I229" s="805" t="s">
        <v>1527</v>
      </c>
      <c r="J229" s="808"/>
      <c r="K229" s="808"/>
      <c r="L229" s="808"/>
      <c r="M229" s="808"/>
      <c r="N229" s="808"/>
      <c r="O229" s="808"/>
      <c r="P229" s="808"/>
      <c r="Q229" s="808"/>
      <c r="R229" s="808"/>
      <c r="S229" s="808"/>
      <c r="T229" s="808"/>
      <c r="U229" s="805">
        <v>2208</v>
      </c>
      <c r="V229" s="808"/>
      <c r="W229" s="808"/>
      <c r="X229" s="805"/>
      <c r="Y229" s="808"/>
      <c r="Z229" s="808"/>
      <c r="AA229" s="808"/>
      <c r="AB229" s="808"/>
      <c r="AC229" s="808"/>
      <c r="AD229" s="808"/>
      <c r="AE229" s="808"/>
      <c r="AF229" s="808"/>
      <c r="AG229" s="808"/>
      <c r="AH229" s="808"/>
      <c r="AI229" s="808"/>
      <c r="AJ229" s="808"/>
      <c r="AK229" s="808"/>
      <c r="AL229" s="808"/>
      <c r="AM229" s="848" t="s">
        <v>3220</v>
      </c>
    </row>
    <row r="230" s="786" customFormat="1" ht="18" customHeight="1" spans="1:39">
      <c r="A230" s="806">
        <v>46245</v>
      </c>
      <c r="B230" s="847">
        <v>17014001</v>
      </c>
      <c r="C230" s="807">
        <v>1000043873</v>
      </c>
      <c r="D230" s="818" t="s">
        <v>3218</v>
      </c>
      <c r="E230" s="805">
        <v>77486</v>
      </c>
      <c r="F230" s="805">
        <v>5000</v>
      </c>
      <c r="G230" s="807" t="s">
        <v>3032</v>
      </c>
      <c r="H230" s="807" t="s">
        <v>3003</v>
      </c>
      <c r="I230" s="805" t="s">
        <v>3199</v>
      </c>
      <c r="J230" s="808"/>
      <c r="K230" s="808"/>
      <c r="L230" s="808"/>
      <c r="M230" s="808"/>
      <c r="N230" s="808"/>
      <c r="O230" s="808"/>
      <c r="P230" s="808"/>
      <c r="Q230" s="808"/>
      <c r="R230" s="808"/>
      <c r="S230" s="808"/>
      <c r="T230" s="808"/>
      <c r="U230" s="805"/>
      <c r="V230" s="808"/>
      <c r="W230" s="808"/>
      <c r="X230" s="805"/>
      <c r="Y230" s="808"/>
      <c r="Z230" s="808"/>
      <c r="AA230" s="808"/>
      <c r="AB230" s="808"/>
      <c r="AC230" s="808"/>
      <c r="AD230" s="808"/>
      <c r="AE230" s="808"/>
      <c r="AF230" s="805">
        <v>5000</v>
      </c>
      <c r="AG230" s="808"/>
      <c r="AH230" s="808"/>
      <c r="AI230" s="808"/>
      <c r="AJ230" s="808"/>
      <c r="AK230" s="808"/>
      <c r="AL230" s="808"/>
      <c r="AM230" s="848" t="s">
        <v>3221</v>
      </c>
    </row>
    <row r="231" s="786" customFormat="1" ht="18" customHeight="1" spans="1:39">
      <c r="A231" s="806">
        <v>46245</v>
      </c>
      <c r="B231" s="847">
        <v>17006695</v>
      </c>
      <c r="C231" s="847">
        <v>1000043874</v>
      </c>
      <c r="D231" s="818" t="s">
        <v>3218</v>
      </c>
      <c r="E231" s="805">
        <v>77486</v>
      </c>
      <c r="F231" s="805">
        <v>5000</v>
      </c>
      <c r="G231" s="807" t="s">
        <v>3066</v>
      </c>
      <c r="H231" s="807" t="s">
        <v>3199</v>
      </c>
      <c r="I231" s="805" t="s">
        <v>3199</v>
      </c>
      <c r="J231" s="808"/>
      <c r="K231" s="808"/>
      <c r="L231" s="808"/>
      <c r="M231" s="808"/>
      <c r="N231" s="808"/>
      <c r="O231" s="808"/>
      <c r="P231" s="808"/>
      <c r="Q231" s="808"/>
      <c r="R231" s="808"/>
      <c r="S231" s="808"/>
      <c r="T231" s="808"/>
      <c r="U231" s="805"/>
      <c r="V231" s="808"/>
      <c r="W231" s="808"/>
      <c r="X231" s="805"/>
      <c r="Y231" s="808"/>
      <c r="Z231" s="808"/>
      <c r="AA231" s="808"/>
      <c r="AB231" s="808"/>
      <c r="AC231" s="808"/>
      <c r="AD231" s="808"/>
      <c r="AE231" s="808"/>
      <c r="AF231" s="808"/>
      <c r="AG231" s="805">
        <v>5000</v>
      </c>
      <c r="AH231" s="808"/>
      <c r="AI231" s="808"/>
      <c r="AJ231" s="808"/>
      <c r="AK231" s="808"/>
      <c r="AL231" s="808"/>
      <c r="AM231" s="849" t="s">
        <v>3221</v>
      </c>
    </row>
    <row r="232" s="786" customFormat="1" ht="18" customHeight="1" spans="1:39">
      <c r="A232" s="806">
        <v>46245</v>
      </c>
      <c r="B232" s="804">
        <v>17006693</v>
      </c>
      <c r="C232" s="805">
        <v>1000043875</v>
      </c>
      <c r="D232" s="818" t="s">
        <v>3218</v>
      </c>
      <c r="E232" s="805">
        <v>77486</v>
      </c>
      <c r="F232" s="805">
        <v>10000</v>
      </c>
      <c r="G232" s="807" t="s">
        <v>3172</v>
      </c>
      <c r="H232" s="807" t="s">
        <v>3199</v>
      </c>
      <c r="I232" s="805" t="s">
        <v>3199</v>
      </c>
      <c r="J232" s="808"/>
      <c r="K232" s="808"/>
      <c r="L232" s="808"/>
      <c r="M232" s="808"/>
      <c r="N232" s="808"/>
      <c r="O232" s="808"/>
      <c r="P232" s="808"/>
      <c r="Q232" s="808"/>
      <c r="R232" s="808"/>
      <c r="S232" s="808"/>
      <c r="T232" s="808"/>
      <c r="U232" s="808"/>
      <c r="V232" s="808"/>
      <c r="W232" s="808"/>
      <c r="X232" s="808"/>
      <c r="Y232" s="808"/>
      <c r="Z232" s="808"/>
      <c r="AA232" s="808"/>
      <c r="AB232" s="808"/>
      <c r="AC232" s="808"/>
      <c r="AD232" s="808"/>
      <c r="AE232" s="808"/>
      <c r="AF232" s="808"/>
      <c r="AG232" s="808"/>
      <c r="AH232" s="805">
        <v>10000</v>
      </c>
      <c r="AI232" s="808"/>
      <c r="AJ232" s="808"/>
      <c r="AK232" s="808"/>
      <c r="AL232" s="808"/>
      <c r="AM232" s="849" t="s">
        <v>3222</v>
      </c>
    </row>
    <row r="233" s="787" customFormat="1" ht="18" customHeight="1" spans="1:39">
      <c r="A233" s="810"/>
      <c r="B233" s="811"/>
      <c r="C233" s="813"/>
      <c r="D233" s="813"/>
      <c r="E233" s="813"/>
      <c r="F233" s="813"/>
      <c r="G233" s="812"/>
      <c r="H233" s="812"/>
      <c r="I233" s="813"/>
      <c r="J233" s="814"/>
      <c r="K233" s="814"/>
      <c r="L233" s="814"/>
      <c r="M233" s="814"/>
      <c r="N233" s="814"/>
      <c r="O233" s="814"/>
      <c r="P233" s="814"/>
      <c r="Q233" s="814"/>
      <c r="R233" s="814"/>
      <c r="S233" s="814"/>
      <c r="T233" s="814"/>
      <c r="U233" s="814"/>
      <c r="V233" s="814"/>
      <c r="W233" s="814"/>
      <c r="X233" s="814"/>
      <c r="Y233" s="814"/>
      <c r="Z233" s="814"/>
      <c r="AA233" s="814"/>
      <c r="AB233" s="814"/>
      <c r="AC233" s="814"/>
      <c r="AD233" s="814"/>
      <c r="AE233" s="814"/>
      <c r="AF233" s="814"/>
      <c r="AG233" s="814"/>
      <c r="AH233" s="814"/>
      <c r="AI233" s="814"/>
      <c r="AJ233" s="814"/>
      <c r="AK233" s="814"/>
      <c r="AL233" s="814"/>
      <c r="AM233" s="841"/>
    </row>
    <row r="234" s="787" customFormat="1" ht="18" customHeight="1" spans="1:39">
      <c r="A234" s="810"/>
      <c r="B234" s="811"/>
      <c r="C234" s="813"/>
      <c r="D234" s="813"/>
      <c r="E234" s="813"/>
      <c r="F234" s="813"/>
      <c r="G234" s="812"/>
      <c r="H234" s="812"/>
      <c r="I234" s="813"/>
      <c r="J234" s="814"/>
      <c r="K234" s="814"/>
      <c r="L234" s="814"/>
      <c r="M234" s="814"/>
      <c r="N234" s="814"/>
      <c r="O234" s="814"/>
      <c r="P234" s="814"/>
      <c r="Q234" s="814"/>
      <c r="R234" s="814"/>
      <c r="S234" s="814"/>
      <c r="T234" s="814"/>
      <c r="U234" s="814"/>
      <c r="V234" s="814"/>
      <c r="W234" s="814"/>
      <c r="X234" s="814"/>
      <c r="Y234" s="814"/>
      <c r="Z234" s="814"/>
      <c r="AA234" s="814"/>
      <c r="AB234" s="814"/>
      <c r="AC234" s="814"/>
      <c r="AD234" s="814"/>
      <c r="AE234" s="814"/>
      <c r="AF234" s="814"/>
      <c r="AG234" s="814"/>
      <c r="AH234" s="814"/>
      <c r="AI234" s="814"/>
      <c r="AJ234" s="814"/>
      <c r="AK234" s="814"/>
      <c r="AL234" s="814"/>
      <c r="AM234" s="841"/>
    </row>
    <row r="235" s="787" customFormat="1" ht="18" customHeight="1" spans="1:39">
      <c r="A235" s="810"/>
      <c r="B235" s="811"/>
      <c r="C235" s="813"/>
      <c r="D235" s="813"/>
      <c r="E235" s="813"/>
      <c r="F235" s="813"/>
      <c r="G235" s="812"/>
      <c r="H235" s="812"/>
      <c r="I235" s="813"/>
      <c r="J235" s="814"/>
      <c r="K235" s="814"/>
      <c r="L235" s="814"/>
      <c r="M235" s="814"/>
      <c r="N235" s="814"/>
      <c r="O235" s="814"/>
      <c r="P235" s="814"/>
      <c r="Q235" s="814"/>
      <c r="R235" s="814"/>
      <c r="S235" s="814"/>
      <c r="T235" s="814"/>
      <c r="U235" s="814"/>
      <c r="V235" s="814"/>
      <c r="W235" s="814"/>
      <c r="X235" s="814"/>
      <c r="Y235" s="814"/>
      <c r="Z235" s="814"/>
      <c r="AA235" s="814"/>
      <c r="AB235" s="814"/>
      <c r="AC235" s="814"/>
      <c r="AD235" s="814"/>
      <c r="AE235" s="814"/>
      <c r="AF235" s="814"/>
      <c r="AG235" s="814"/>
      <c r="AH235" s="814"/>
      <c r="AI235" s="814"/>
      <c r="AJ235" s="814"/>
      <c r="AK235" s="814"/>
      <c r="AL235" s="814"/>
      <c r="AM235" s="841"/>
    </row>
    <row r="236" s="787" customFormat="1" ht="18" customHeight="1" spans="1:39">
      <c r="A236" s="810"/>
      <c r="B236" s="811"/>
      <c r="C236" s="813" t="s">
        <v>3223</v>
      </c>
      <c r="D236" s="813"/>
      <c r="E236" s="813">
        <v>77486</v>
      </c>
      <c r="F236" s="813"/>
      <c r="G236" s="812"/>
      <c r="H236" s="812"/>
      <c r="I236" s="813"/>
      <c r="J236" s="814"/>
      <c r="K236" s="814"/>
      <c r="L236" s="814"/>
      <c r="M236" s="814"/>
      <c r="N236" s="814"/>
      <c r="O236" s="814"/>
      <c r="P236" s="814"/>
      <c r="Q236" s="814"/>
      <c r="R236" s="814"/>
      <c r="S236" s="814"/>
      <c r="T236" s="814"/>
      <c r="U236" s="814"/>
      <c r="V236" s="814"/>
      <c r="W236" s="814"/>
      <c r="X236" s="814"/>
      <c r="Y236" s="814"/>
      <c r="Z236" s="814"/>
      <c r="AA236" s="814"/>
      <c r="AB236" s="814"/>
      <c r="AC236" s="814"/>
      <c r="AD236" s="814"/>
      <c r="AE236" s="814"/>
      <c r="AF236" s="814">
        <v>43904</v>
      </c>
      <c r="AG236" s="814">
        <v>43184</v>
      </c>
      <c r="AH236" s="814">
        <v>46712</v>
      </c>
      <c r="AI236" s="814"/>
      <c r="AJ236" s="814"/>
      <c r="AK236" s="814"/>
      <c r="AL236" s="814"/>
      <c r="AM236" s="841"/>
    </row>
    <row r="237" s="787" customFormat="1" ht="18" customHeight="1" spans="1:39">
      <c r="A237" s="810"/>
      <c r="B237" s="811"/>
      <c r="C237" s="813"/>
      <c r="D237" s="813"/>
      <c r="E237" s="813"/>
      <c r="F237" s="813"/>
      <c r="G237" s="812"/>
      <c r="H237" s="812"/>
      <c r="I237" s="813"/>
      <c r="J237" s="814"/>
      <c r="K237" s="814"/>
      <c r="L237" s="814"/>
      <c r="M237" s="814"/>
      <c r="N237" s="814"/>
      <c r="O237" s="814"/>
      <c r="P237" s="814"/>
      <c r="Q237" s="814"/>
      <c r="R237" s="814"/>
      <c r="S237" s="814"/>
      <c r="T237" s="814"/>
      <c r="U237" s="814"/>
      <c r="V237" s="814"/>
      <c r="W237" s="814"/>
      <c r="X237" s="814"/>
      <c r="Y237" s="814"/>
      <c r="Z237" s="814"/>
      <c r="AA237" s="814"/>
      <c r="AB237" s="814"/>
      <c r="AC237" s="814"/>
      <c r="AD237" s="814"/>
      <c r="AE237" s="814"/>
      <c r="AF237" s="814"/>
      <c r="AG237" s="814"/>
      <c r="AH237" s="814"/>
      <c r="AI237" s="814"/>
      <c r="AJ237" s="814"/>
      <c r="AK237" s="814"/>
      <c r="AL237" s="814"/>
      <c r="AM237" s="841"/>
    </row>
    <row r="238" spans="1:39">
      <c r="A238" s="850"/>
      <c r="B238" s="813"/>
      <c r="C238" s="851"/>
      <c r="D238" s="851"/>
      <c r="E238" s="851"/>
      <c r="F238" s="851"/>
      <c r="G238" s="852"/>
      <c r="H238" s="852"/>
      <c r="I238" s="852"/>
      <c r="J238" s="820"/>
      <c r="K238" s="820"/>
      <c r="L238" s="820"/>
      <c r="M238" s="820"/>
      <c r="N238" s="820"/>
      <c r="O238" s="820"/>
      <c r="P238" s="820"/>
      <c r="Q238" s="820"/>
      <c r="R238" s="822"/>
      <c r="S238" s="822"/>
      <c r="T238" s="822"/>
      <c r="U238" s="822"/>
      <c r="V238" s="822"/>
      <c r="W238" s="822"/>
      <c r="X238" s="822"/>
      <c r="Y238" s="822"/>
      <c r="Z238" s="822"/>
      <c r="AA238" s="822"/>
      <c r="AB238" s="822"/>
      <c r="AC238" s="822"/>
      <c r="AD238" s="822"/>
      <c r="AE238" s="822"/>
      <c r="AF238" s="822"/>
      <c r="AG238" s="822"/>
      <c r="AH238" s="820"/>
      <c r="AI238" s="820"/>
      <c r="AJ238" s="820"/>
      <c r="AK238" s="820"/>
      <c r="AL238" s="822"/>
      <c r="AM238" s="823"/>
    </row>
    <row r="239" spans="1:39">
      <c r="A239" s="819"/>
      <c r="B239" s="820"/>
      <c r="C239" s="820"/>
      <c r="D239" s="820"/>
      <c r="E239" s="821"/>
      <c r="F239" s="821"/>
      <c r="G239" s="822"/>
      <c r="H239" s="822"/>
      <c r="I239" s="821"/>
      <c r="J239" s="820"/>
      <c r="K239" s="820"/>
      <c r="L239" s="820"/>
      <c r="M239" s="820"/>
      <c r="N239" s="820"/>
      <c r="O239" s="820"/>
      <c r="P239" s="820"/>
      <c r="Q239" s="820"/>
      <c r="R239" s="822"/>
      <c r="S239" s="822"/>
      <c r="T239" s="822"/>
      <c r="U239" s="822"/>
      <c r="V239" s="822"/>
      <c r="W239" s="822"/>
      <c r="X239" s="822"/>
      <c r="Y239" s="822"/>
      <c r="Z239" s="822"/>
      <c r="AA239" s="822"/>
      <c r="AB239" s="822"/>
      <c r="AC239" s="822"/>
      <c r="AD239" s="822"/>
      <c r="AE239" s="822"/>
      <c r="AF239" s="822"/>
      <c r="AG239" s="822"/>
      <c r="AH239" s="820"/>
      <c r="AI239" s="820"/>
      <c r="AJ239" s="820"/>
      <c r="AK239" s="820"/>
      <c r="AL239" s="822"/>
      <c r="AM239" s="823"/>
    </row>
    <row r="240" spans="1:39">
      <c r="A240" s="824" t="s">
        <v>38</v>
      </c>
      <c r="B240" s="825"/>
      <c r="C240" s="825"/>
      <c r="D240" s="825"/>
      <c r="E240" s="825"/>
      <c r="F240" s="825"/>
      <c r="G240" s="825"/>
      <c r="H240" s="825"/>
      <c r="I240" s="826"/>
      <c r="J240" s="828">
        <f>SUM(J3:J239)</f>
        <v>2254000</v>
      </c>
      <c r="K240" s="828">
        <f>SUM(K3:K239)</f>
        <v>160760</v>
      </c>
      <c r="L240" s="828">
        <f>SUM(L3:L239)</f>
        <v>63936</v>
      </c>
      <c r="M240" s="828">
        <f>SUM(M3:M239)</f>
        <v>312000</v>
      </c>
      <c r="N240" s="828">
        <f t="shared" ref="M240:U240" si="0">SUM(N3:N239)</f>
        <v>2450000</v>
      </c>
      <c r="O240" s="828">
        <f t="shared" si="0"/>
        <v>357336</v>
      </c>
      <c r="P240" s="828">
        <f t="shared" si="0"/>
        <v>37019</v>
      </c>
      <c r="Q240" s="828">
        <f t="shared" si="0"/>
        <v>4790</v>
      </c>
      <c r="R240" s="828">
        <f t="shared" si="0"/>
        <v>18000</v>
      </c>
      <c r="S240" s="828">
        <f t="shared" si="0"/>
        <v>31140</v>
      </c>
      <c r="T240" s="828">
        <f t="shared" si="0"/>
        <v>1000</v>
      </c>
      <c r="U240" s="828">
        <f t="shared" si="0"/>
        <v>7783</v>
      </c>
      <c r="V240" s="828">
        <f t="shared" ref="V240:AC240" si="1">SUM(V3:V239)</f>
        <v>11100</v>
      </c>
      <c r="W240" s="828">
        <f t="shared" si="1"/>
        <v>2200</v>
      </c>
      <c r="X240" s="828">
        <f t="shared" si="1"/>
        <v>4500</v>
      </c>
      <c r="Y240" s="828">
        <f t="shared" si="1"/>
        <v>6100</v>
      </c>
      <c r="Z240" s="828">
        <f t="shared" si="1"/>
        <v>1761</v>
      </c>
      <c r="AA240" s="828">
        <f t="shared" si="1"/>
        <v>1801</v>
      </c>
      <c r="AB240" s="828">
        <f t="shared" si="1"/>
        <v>600</v>
      </c>
      <c r="AC240" s="828">
        <f t="shared" si="1"/>
        <v>300</v>
      </c>
      <c r="AD240" s="828">
        <f t="shared" ref="AD240:AL240" si="2">SUM(AD3:AD239)</f>
        <v>105660</v>
      </c>
      <c r="AE240" s="828">
        <f t="shared" si="2"/>
        <v>105660</v>
      </c>
      <c r="AF240" s="828">
        <f t="shared" si="2"/>
        <v>204304</v>
      </c>
      <c r="AG240" s="828">
        <f t="shared" si="2"/>
        <v>200680</v>
      </c>
      <c r="AH240" s="828">
        <f t="shared" si="2"/>
        <v>210680</v>
      </c>
      <c r="AI240" s="828">
        <f t="shared" si="2"/>
        <v>11592</v>
      </c>
      <c r="AJ240" s="828">
        <f t="shared" si="2"/>
        <v>11592</v>
      </c>
      <c r="AK240" s="828">
        <f t="shared" si="2"/>
        <v>11592</v>
      </c>
      <c r="AL240" s="828">
        <f t="shared" si="2"/>
        <v>8308</v>
      </c>
      <c r="AM240" s="829"/>
    </row>
    <row r="241" spans="1:39">
      <c r="A241" s="837"/>
      <c r="B241" s="838"/>
      <c r="C241" s="838"/>
      <c r="D241" s="838"/>
      <c r="E241" s="838"/>
      <c r="F241" s="838"/>
      <c r="G241" s="838"/>
      <c r="H241" s="838"/>
      <c r="I241" s="839"/>
      <c r="J241" s="833"/>
      <c r="K241" s="833"/>
      <c r="L241" s="833"/>
      <c r="M241" s="833"/>
      <c r="N241" s="833"/>
      <c r="O241" s="833"/>
      <c r="P241" s="833"/>
      <c r="Q241" s="833"/>
      <c r="R241" s="833"/>
      <c r="S241" s="833"/>
      <c r="T241" s="833"/>
      <c r="U241" s="833"/>
      <c r="V241" s="833"/>
      <c r="W241" s="833"/>
      <c r="X241" s="833"/>
      <c r="Y241" s="833"/>
      <c r="Z241" s="833"/>
      <c r="AA241" s="833"/>
      <c r="AB241" s="833"/>
      <c r="AC241" s="833"/>
      <c r="AD241" s="833"/>
      <c r="AE241" s="833"/>
      <c r="AF241" s="833"/>
      <c r="AG241" s="833"/>
      <c r="AH241" s="833"/>
      <c r="AI241" s="833"/>
      <c r="AJ241" s="833"/>
      <c r="AK241" s="833"/>
      <c r="AL241" s="833"/>
      <c r="AM241" s="834"/>
    </row>
    <row r="242" spans="1:39">
      <c r="A242" s="824" t="s">
        <v>39</v>
      </c>
      <c r="B242" s="825"/>
      <c r="C242" s="825"/>
      <c r="D242" s="825"/>
      <c r="E242" s="825"/>
      <c r="F242" s="825"/>
      <c r="G242" s="825"/>
      <c r="H242" s="825"/>
      <c r="I242" s="826"/>
      <c r="J242" s="828">
        <f>'77485 S3 明细'!AM390+J246</f>
        <v>2310876</v>
      </c>
      <c r="K242" s="828">
        <f>'77485 S3 明细'!AN390+K246</f>
        <v>137304</v>
      </c>
      <c r="L242" s="828">
        <f>'77485 S3 明细'!AO390</f>
        <v>61128</v>
      </c>
      <c r="M242" s="828">
        <f>'77485 S3 明细'!AP390+M246</f>
        <v>298587</v>
      </c>
      <c r="N242" s="828">
        <f>'77485 S3 明细'!AR390+'77485 S3 明细'!AS390+N246</f>
        <v>2498355</v>
      </c>
      <c r="O242" s="828">
        <f>'77485 S3 明细'!AU390+O246</f>
        <v>344472</v>
      </c>
      <c r="P242" s="828">
        <f>'77485 S3 明细'!AV390+P246</f>
        <v>36932.5714285714</v>
      </c>
      <c r="Q242" s="828">
        <f>'77485 S3 明细'!AW390+Q246</f>
        <v>4551</v>
      </c>
      <c r="R242" s="828">
        <f>'77485 S3 明细'!AX390+R246</f>
        <v>16115</v>
      </c>
      <c r="S242" s="828">
        <f>'77485 S3 明细'!AZ390+S246</f>
        <v>29282</v>
      </c>
      <c r="T242" s="828">
        <f>'77485 S3 明细'!BA390+T246</f>
        <v>922</v>
      </c>
      <c r="U242" s="828">
        <f>'77485 S3 明细'!BB390+U246</f>
        <v>10190</v>
      </c>
      <c r="V242" s="828">
        <f>'77485 S3 明细'!BC390+V246</f>
        <v>11084</v>
      </c>
      <c r="W242" s="828">
        <f>'77485 S3 明细'!BD390+W246</f>
        <v>1818</v>
      </c>
      <c r="X242" s="828">
        <f>'77485 S3 明细'!BE390+X246</f>
        <v>4322.48</v>
      </c>
      <c r="Y242" s="828">
        <f>'77485 S3 明细'!BF390+Y246</f>
        <v>6149</v>
      </c>
      <c r="Z242" s="828">
        <f>'77485 S3 明细'!BG390+Z246</f>
        <v>1761</v>
      </c>
      <c r="AA242" s="828">
        <f>'77485 S3 明细'!BH390+AA246</f>
        <v>1801</v>
      </c>
      <c r="AB242" s="828">
        <f>'77485 S3 明细'!BI390+AB246</f>
        <v>586</v>
      </c>
      <c r="AC242" s="828">
        <f>'77485 S3 明细'!BJ390+AC246</f>
        <v>298</v>
      </c>
      <c r="AD242" s="828">
        <f>'77485 S3 明细'!BK390+AD246</f>
        <v>105660</v>
      </c>
      <c r="AE242" s="828">
        <f>'77485 S3 明细'!BL390+AE246</f>
        <v>105660</v>
      </c>
      <c r="AF242" s="828">
        <f>'77485 S3 明细'!BN390+AF246</f>
        <v>302244</v>
      </c>
      <c r="AG242" s="828">
        <f>'77485 S3 明细'!BO390+AG246</f>
        <v>186228</v>
      </c>
      <c r="AH242" s="828">
        <f>'77485 S3 明细'!BQ390+AH246</f>
        <v>302244</v>
      </c>
      <c r="AI242" s="828">
        <f>'77485 S3 明细'!BR390</f>
        <v>11592</v>
      </c>
      <c r="AJ242" s="828">
        <f>'77485 S3 明细'!BS390</f>
        <v>11592</v>
      </c>
      <c r="AK242" s="828">
        <f>'77485 S3 明细'!BT390</f>
        <v>11592</v>
      </c>
      <c r="AL242" s="828">
        <f>'77485 S3 明细'!BT390+AL246</f>
        <v>19900</v>
      </c>
      <c r="AM242" s="829"/>
    </row>
    <row r="243" spans="1:39">
      <c r="A243" s="853"/>
      <c r="B243" s="853"/>
      <c r="C243" s="853"/>
      <c r="D243" s="853"/>
      <c r="E243" s="853"/>
      <c r="F243" s="853"/>
      <c r="G243" s="854"/>
      <c r="H243" s="854"/>
      <c r="I243" s="854"/>
      <c r="J243" s="833"/>
      <c r="K243" s="833"/>
      <c r="L243" s="833"/>
      <c r="M243" s="833"/>
      <c r="N243" s="833"/>
      <c r="O243" s="833"/>
      <c r="P243" s="833"/>
      <c r="Q243" s="833"/>
      <c r="R243" s="833"/>
      <c r="S243" s="833"/>
      <c r="T243" s="833"/>
      <c r="U243" s="833"/>
      <c r="V243" s="833"/>
      <c r="W243" s="833"/>
      <c r="X243" s="833"/>
      <c r="Y243" s="833"/>
      <c r="Z243" s="833"/>
      <c r="AA243" s="833"/>
      <c r="AB243" s="833"/>
      <c r="AC243" s="833"/>
      <c r="AD243" s="833"/>
      <c r="AE243" s="833"/>
      <c r="AF243" s="833"/>
      <c r="AG243" s="833"/>
      <c r="AH243" s="833"/>
      <c r="AI243" s="833"/>
      <c r="AJ243" s="833"/>
      <c r="AK243" s="833"/>
      <c r="AL243" s="833"/>
      <c r="AM243" s="834"/>
    </row>
    <row r="244" spans="1:39">
      <c r="A244" s="837" t="s">
        <v>40</v>
      </c>
      <c r="B244" s="838"/>
      <c r="C244" s="838"/>
      <c r="D244" s="838"/>
      <c r="E244" s="838"/>
      <c r="F244" s="838"/>
      <c r="G244" s="838"/>
      <c r="H244" s="838"/>
      <c r="I244" s="839"/>
      <c r="J244" s="840">
        <f t="shared" ref="J244:L244" si="3">J240-J242</f>
        <v>-56876</v>
      </c>
      <c r="K244" s="840">
        <f t="shared" si="3"/>
        <v>23456</v>
      </c>
      <c r="L244" s="840">
        <f t="shared" si="3"/>
        <v>2808</v>
      </c>
      <c r="M244" s="840">
        <f t="shared" ref="M244:U244" si="4">M240-M242</f>
        <v>13413</v>
      </c>
      <c r="N244" s="840">
        <f t="shared" si="4"/>
        <v>-48355</v>
      </c>
      <c r="O244" s="840">
        <f t="shared" si="4"/>
        <v>12864</v>
      </c>
      <c r="P244" s="840">
        <f t="shared" si="4"/>
        <v>86.4285714286016</v>
      </c>
      <c r="Q244" s="840">
        <f t="shared" si="4"/>
        <v>239</v>
      </c>
      <c r="R244" s="840">
        <f t="shared" si="4"/>
        <v>1885</v>
      </c>
      <c r="S244" s="840">
        <f t="shared" si="4"/>
        <v>1858</v>
      </c>
      <c r="T244" s="840">
        <f t="shared" si="4"/>
        <v>78</v>
      </c>
      <c r="U244" s="840">
        <f t="shared" si="4"/>
        <v>-2407</v>
      </c>
      <c r="V244" s="840">
        <f t="shared" ref="V244:AC244" si="5">V240-V242</f>
        <v>16</v>
      </c>
      <c r="W244" s="840">
        <f t="shared" si="5"/>
        <v>382</v>
      </c>
      <c r="X244" s="840">
        <f t="shared" si="5"/>
        <v>177.52</v>
      </c>
      <c r="Y244" s="840">
        <f t="shared" si="5"/>
        <v>-49</v>
      </c>
      <c r="Z244" s="840">
        <f t="shared" si="5"/>
        <v>0</v>
      </c>
      <c r="AA244" s="840">
        <f t="shared" si="5"/>
        <v>0</v>
      </c>
      <c r="AB244" s="840">
        <f t="shared" si="5"/>
        <v>14</v>
      </c>
      <c r="AC244" s="840">
        <f t="shared" si="5"/>
        <v>2</v>
      </c>
      <c r="AD244" s="840">
        <f t="shared" ref="AD244:AL244" si="6">AD240-AD242</f>
        <v>0</v>
      </c>
      <c r="AE244" s="840">
        <f t="shared" si="6"/>
        <v>0</v>
      </c>
      <c r="AF244" s="840">
        <f t="shared" si="6"/>
        <v>-97940</v>
      </c>
      <c r="AG244" s="840">
        <f t="shared" si="6"/>
        <v>14452</v>
      </c>
      <c r="AH244" s="840">
        <f t="shared" si="6"/>
        <v>-91564</v>
      </c>
      <c r="AI244" s="840">
        <f t="shared" si="6"/>
        <v>0</v>
      </c>
      <c r="AJ244" s="840">
        <f t="shared" si="6"/>
        <v>0</v>
      </c>
      <c r="AK244" s="840">
        <f t="shared" si="6"/>
        <v>0</v>
      </c>
      <c r="AL244" s="840">
        <f t="shared" si="6"/>
        <v>-11592</v>
      </c>
      <c r="AM244" s="814"/>
    </row>
    <row r="246" spans="1:39">
      <c r="H246" s="785" t="s">
        <v>41</v>
      </c>
      <c r="J246" s="785">
        <v>1699946</v>
      </c>
      <c r="K246" s="785">
        <v>131592</v>
      </c>
      <c r="M246" s="785">
        <v>190819</v>
      </c>
      <c r="N246" s="785">
        <v>1829822</v>
      </c>
      <c r="O246" s="785">
        <v>237336</v>
      </c>
      <c r="P246" s="785">
        <v>36932.5714285714</v>
      </c>
      <c r="Q246" s="785">
        <v>4551</v>
      </c>
      <c r="R246" s="785">
        <v>16115</v>
      </c>
      <c r="S246" s="785">
        <v>19970</v>
      </c>
      <c r="T246" s="785">
        <v>922</v>
      </c>
      <c r="U246" s="785">
        <v>0</v>
      </c>
      <c r="V246" s="785">
        <v>7946</v>
      </c>
      <c r="W246" s="785">
        <v>1726</v>
      </c>
      <c r="X246" s="785">
        <v>2908</v>
      </c>
      <c r="Y246" s="785">
        <v>2595</v>
      </c>
      <c r="Z246" s="785">
        <v>1761</v>
      </c>
      <c r="AA246" s="785">
        <v>1801</v>
      </c>
      <c r="AB246" s="785">
        <v>586</v>
      </c>
      <c r="AC246" s="785">
        <v>211</v>
      </c>
      <c r="AD246" s="785">
        <v>105660</v>
      </c>
      <c r="AE246" s="785">
        <v>105660</v>
      </c>
      <c r="AF246" s="785">
        <v>124848</v>
      </c>
      <c r="AG246" s="785">
        <v>124848</v>
      </c>
      <c r="AH246" s="785">
        <v>124848</v>
      </c>
      <c r="AL246" s="785">
        <v>8308</v>
      </c>
    </row>
  </sheetData>
  <sheetProtection formatCells="0" formatColumns="0" formatRows="0" insertRows="0" insertColumns="0" insertHyperlinks="0" deleteColumns="0" deleteRows="0" sort="0" autoFilter="0" pivotTables="0"/>
  <autoFilter xmlns:etc="http://www.wps.cn/officeDocument/2017/etCustomData" ref="A2:AM236" etc:filterBottomFollowUsedRange="0">
    <extLst/>
  </autoFilter>
  <mergeCells count="5">
    <mergeCell ref="A1:I1"/>
    <mergeCell ref="A240:I240"/>
    <mergeCell ref="A241:I241"/>
    <mergeCell ref="A242:I242"/>
    <mergeCell ref="A244:I244"/>
  </mergeCells>
  <conditionalFormatting sqref="U244">
    <cfRule type="cellIs" dxfId="0" priority="1" operator="lessThan">
      <formula>0</formula>
    </cfRule>
  </conditionalFormatting>
  <conditionalFormatting sqref="AE244">
    <cfRule type="cellIs" dxfId="0" priority="2" operator="lessThan">
      <formula>0</formula>
    </cfRule>
  </conditionalFormatting>
  <conditionalFormatting sqref="A244:T244 V244:AD244 AF244:AM244">
    <cfRule type="cellIs" dxfId="0" priority="3" operator="lessThan">
      <formula>0</formula>
    </cfRule>
  </conditionalFormatting>
  <pageMargins left="0.699305555555556" right="0.699305555555556"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1"/>
  <sheetViews>
    <sheetView workbookViewId="0">
      <pane xSplit="8" ySplit="2" topLeftCell="AI65" activePane="bottomRight" state="frozen"/>
      <selection/>
      <selection pane="topRight"/>
      <selection pane="bottomLeft"/>
      <selection pane="bottomRight" activeCell="D65" sqref="D65"/>
    </sheetView>
  </sheetViews>
  <sheetFormatPr defaultColWidth="9" defaultRowHeight="13.5"/>
  <cols>
    <col min="1" max="2" width="9" style="785"/>
    <col min="3" max="3" width="10.3333333333333" style="785"/>
    <col min="4" max="4" width="11.95" style="785" customWidth="1"/>
    <col min="5" max="5" width="17.025" style="785" customWidth="1"/>
    <col min="6" max="6" width="9" style="785"/>
    <col min="7" max="7" width="12.5833333333333" style="785" customWidth="1"/>
    <col min="8" max="8" width="9" style="785"/>
    <col min="9" max="9" width="12.5833333333333" style="785" customWidth="1"/>
    <col min="10" max="10" width="9" style="785"/>
    <col min="11" max="11" width="9.225" style="785"/>
    <col min="12" max="13" width="10.1083333333333" style="785" customWidth="1"/>
    <col min="14" max="14" width="12.8" style="785"/>
    <col min="15" max="15" width="9" style="785"/>
    <col min="16" max="22" width="9.225" style="785"/>
    <col min="23" max="33" width="9" style="785"/>
    <col min="34" max="34" width="51.3833333333333" style="785" customWidth="1"/>
    <col min="35" max="16384" width="9" style="785"/>
  </cols>
  <sheetData>
    <row r="1" s="785" customFormat="1" ht="34" customHeight="1" spans="1:34">
      <c r="A1" s="788" t="s">
        <v>3224</v>
      </c>
      <c r="B1" s="788"/>
      <c r="C1" s="788"/>
      <c r="D1" s="788"/>
      <c r="E1" s="788"/>
      <c r="F1" s="788"/>
      <c r="G1" s="788"/>
      <c r="H1" s="788"/>
      <c r="I1" s="788"/>
      <c r="J1" s="789"/>
      <c r="K1" s="789"/>
      <c r="L1" s="789"/>
      <c r="M1" s="789"/>
      <c r="N1" s="789"/>
      <c r="O1" s="789"/>
      <c r="P1" s="790"/>
      <c r="Q1" s="790"/>
      <c r="R1" s="790"/>
      <c r="S1" s="790"/>
      <c r="T1" s="790"/>
      <c r="U1" s="790"/>
      <c r="V1" s="790"/>
      <c r="W1" s="790"/>
      <c r="X1" s="790"/>
      <c r="Y1" s="790"/>
      <c r="Z1" s="790"/>
      <c r="AA1" s="790"/>
      <c r="AB1" s="789"/>
      <c r="AC1" s="789"/>
      <c r="AD1" s="789"/>
      <c r="AE1" s="789"/>
      <c r="AF1" s="789"/>
      <c r="AG1" s="789"/>
      <c r="AH1" s="789"/>
    </row>
    <row r="2" s="785" customFormat="1" ht="39" customHeight="1" spans="1:34">
      <c r="A2" s="791" t="s">
        <v>1</v>
      </c>
      <c r="B2" s="791" t="s">
        <v>3</v>
      </c>
      <c r="C2" s="791" t="s">
        <v>2</v>
      </c>
      <c r="D2" s="791" t="s">
        <v>2956</v>
      </c>
      <c r="E2" s="791" t="s">
        <v>4</v>
      </c>
      <c r="F2" s="791" t="s">
        <v>5</v>
      </c>
      <c r="G2" s="791" t="s">
        <v>6</v>
      </c>
      <c r="H2" s="791" t="s">
        <v>2958</v>
      </c>
      <c r="I2" s="791" t="s">
        <v>2957</v>
      </c>
      <c r="J2" s="794" t="s">
        <v>3225</v>
      </c>
      <c r="K2" s="795" t="s">
        <v>150</v>
      </c>
      <c r="L2" s="794" t="s">
        <v>3226</v>
      </c>
      <c r="M2" s="794" t="s">
        <v>3227</v>
      </c>
      <c r="N2" s="794" t="s">
        <v>3228</v>
      </c>
      <c r="O2" s="795" t="s">
        <v>3229</v>
      </c>
      <c r="P2" s="794" t="s">
        <v>3230</v>
      </c>
      <c r="Q2" s="795" t="s">
        <v>3231</v>
      </c>
      <c r="R2" s="797" t="s">
        <v>2969</v>
      </c>
      <c r="S2" s="798" t="s">
        <v>2970</v>
      </c>
      <c r="T2" s="795" t="s">
        <v>2971</v>
      </c>
      <c r="U2" s="798" t="s">
        <v>2972</v>
      </c>
      <c r="V2" s="795" t="s">
        <v>2973</v>
      </c>
      <c r="W2" s="794" t="s">
        <v>167</v>
      </c>
      <c r="X2" s="799" t="s">
        <v>168</v>
      </c>
      <c r="Y2" s="795" t="s">
        <v>3232</v>
      </c>
      <c r="Z2" s="795" t="s">
        <v>3233</v>
      </c>
      <c r="AA2" s="795" t="s">
        <v>3234</v>
      </c>
      <c r="AB2" s="795" t="s">
        <v>3235</v>
      </c>
      <c r="AC2" s="800" t="s">
        <v>2976</v>
      </c>
      <c r="AD2" s="800" t="s">
        <v>2976</v>
      </c>
      <c r="AE2" s="801" t="s">
        <v>1517</v>
      </c>
      <c r="AF2" s="801" t="s">
        <v>1518</v>
      </c>
      <c r="AG2" s="801" t="s">
        <v>1519</v>
      </c>
      <c r="AH2" s="802" t="s">
        <v>12</v>
      </c>
    </row>
    <row r="3" s="787" customFormat="1" ht="18" customHeight="1" spans="1:34">
      <c r="A3" s="810">
        <v>45854</v>
      </c>
      <c r="B3" s="811" t="s">
        <v>3236</v>
      </c>
      <c r="C3" s="813">
        <v>17011157</v>
      </c>
      <c r="D3" s="813" t="s">
        <v>3237</v>
      </c>
      <c r="E3" s="813">
        <v>77770</v>
      </c>
      <c r="F3" s="813">
        <v>150000</v>
      </c>
      <c r="G3" s="812" t="s">
        <v>2990</v>
      </c>
      <c r="H3" s="813" t="s">
        <v>2991</v>
      </c>
      <c r="I3" s="812" t="s">
        <v>16</v>
      </c>
      <c r="J3" s="814">
        <v>150000</v>
      </c>
      <c r="K3" s="814"/>
      <c r="L3" s="814"/>
      <c r="M3" s="814"/>
      <c r="N3" s="814"/>
      <c r="O3" s="814"/>
      <c r="P3" s="814"/>
      <c r="Q3" s="814"/>
      <c r="R3" s="814"/>
      <c r="S3" s="814"/>
      <c r="T3" s="814"/>
      <c r="U3" s="814"/>
      <c r="V3" s="814"/>
      <c r="W3" s="814"/>
      <c r="X3" s="814"/>
      <c r="Y3" s="814"/>
      <c r="Z3" s="814"/>
      <c r="AA3" s="814"/>
      <c r="AB3" s="814"/>
      <c r="AC3" s="814"/>
      <c r="AD3" s="814"/>
      <c r="AE3" s="814"/>
      <c r="AF3" s="814"/>
      <c r="AG3" s="814"/>
      <c r="AH3" s="841"/>
    </row>
    <row r="4" s="787" customFormat="1" ht="18" customHeight="1" spans="1:34">
      <c r="A4" s="810">
        <v>45854</v>
      </c>
      <c r="B4" s="811" t="s">
        <v>3238</v>
      </c>
      <c r="C4" s="813">
        <v>17011158</v>
      </c>
      <c r="D4" s="813" t="s">
        <v>3237</v>
      </c>
      <c r="E4" s="813">
        <v>77770</v>
      </c>
      <c r="F4" s="813">
        <v>150000</v>
      </c>
      <c r="G4" s="812" t="s">
        <v>2993</v>
      </c>
      <c r="H4" s="813" t="s">
        <v>2994</v>
      </c>
      <c r="I4" s="812" t="s">
        <v>16</v>
      </c>
      <c r="J4" s="814"/>
      <c r="K4" s="814"/>
      <c r="L4" s="814"/>
      <c r="M4" s="814">
        <v>150000</v>
      </c>
      <c r="N4" s="814"/>
      <c r="O4" s="814"/>
      <c r="P4" s="814"/>
      <c r="Q4" s="814"/>
      <c r="R4" s="814"/>
      <c r="S4" s="814"/>
      <c r="T4" s="814"/>
      <c r="U4" s="814"/>
      <c r="V4" s="814"/>
      <c r="W4" s="814"/>
      <c r="X4" s="814"/>
      <c r="Y4" s="814"/>
      <c r="Z4" s="814"/>
      <c r="AA4" s="814"/>
      <c r="AB4" s="814"/>
      <c r="AC4" s="814"/>
      <c r="AD4" s="814"/>
      <c r="AE4" s="814"/>
      <c r="AF4" s="814"/>
      <c r="AG4" s="814"/>
      <c r="AH4" s="841"/>
    </row>
    <row r="5" s="787" customFormat="1" ht="18" customHeight="1" spans="1:34">
      <c r="A5" s="810">
        <v>45855</v>
      </c>
      <c r="B5" s="811" t="s">
        <v>3239</v>
      </c>
      <c r="C5" s="813" t="s">
        <v>3240</v>
      </c>
      <c r="D5" s="813" t="s">
        <v>3237</v>
      </c>
      <c r="E5" s="813" t="s">
        <v>3241</v>
      </c>
      <c r="F5" s="813">
        <v>500</v>
      </c>
      <c r="G5" s="812" t="s">
        <v>2997</v>
      </c>
      <c r="H5" s="813" t="s">
        <v>2991</v>
      </c>
      <c r="I5" s="812" t="s">
        <v>16</v>
      </c>
      <c r="J5" s="814"/>
      <c r="K5" s="814"/>
      <c r="L5" s="814"/>
      <c r="M5" s="814"/>
      <c r="N5" s="814">
        <f>F5</f>
        <v>500</v>
      </c>
      <c r="O5" s="814"/>
      <c r="P5" s="814"/>
      <c r="Q5" s="814"/>
      <c r="R5" s="814"/>
      <c r="S5" s="814"/>
      <c r="T5" s="814"/>
      <c r="U5" s="814"/>
      <c r="V5" s="814"/>
      <c r="W5" s="814"/>
      <c r="X5" s="814"/>
      <c r="Y5" s="814"/>
      <c r="Z5" s="814"/>
      <c r="AA5" s="814"/>
      <c r="AB5" s="814"/>
      <c r="AC5" s="814"/>
      <c r="AD5" s="814"/>
      <c r="AE5" s="814"/>
      <c r="AF5" s="814"/>
      <c r="AG5" s="814"/>
      <c r="AH5" s="841"/>
    </row>
    <row r="6" s="787" customFormat="1" ht="18" customHeight="1" spans="1:34">
      <c r="A6" s="810">
        <v>45870</v>
      </c>
      <c r="B6" s="811" t="s">
        <v>3242</v>
      </c>
      <c r="C6" s="813" t="s">
        <v>3240</v>
      </c>
      <c r="D6" s="813" t="s">
        <v>3237</v>
      </c>
      <c r="E6" s="813" t="s">
        <v>3243</v>
      </c>
      <c r="F6" s="813">
        <v>500</v>
      </c>
      <c r="G6" s="812" t="s">
        <v>2997</v>
      </c>
      <c r="H6" s="813" t="s">
        <v>2991</v>
      </c>
      <c r="I6" s="812" t="s">
        <v>16</v>
      </c>
      <c r="J6" s="814"/>
      <c r="K6" s="814"/>
      <c r="L6" s="814"/>
      <c r="M6" s="814"/>
      <c r="N6" s="814"/>
      <c r="O6" s="814"/>
      <c r="P6" s="814">
        <f>F6</f>
        <v>500</v>
      </c>
      <c r="Q6" s="814"/>
      <c r="R6" s="814"/>
      <c r="S6" s="814"/>
      <c r="T6" s="814"/>
      <c r="U6" s="814"/>
      <c r="V6" s="814"/>
      <c r="W6" s="814"/>
      <c r="X6" s="814"/>
      <c r="Y6" s="814"/>
      <c r="Z6" s="814"/>
      <c r="AA6" s="814"/>
      <c r="AB6" s="814"/>
      <c r="AC6" s="814"/>
      <c r="AD6" s="814"/>
      <c r="AE6" s="814"/>
      <c r="AF6" s="814"/>
      <c r="AG6" s="814"/>
      <c r="AH6" s="841"/>
    </row>
    <row r="7" s="787" customFormat="1" ht="18" customHeight="1" spans="1:34">
      <c r="A7" s="810">
        <v>45870</v>
      </c>
      <c r="B7" s="811">
        <v>1000030668</v>
      </c>
      <c r="C7" s="813">
        <v>17011157</v>
      </c>
      <c r="D7" s="813" t="s">
        <v>3237</v>
      </c>
      <c r="E7" s="813" t="s">
        <v>3241</v>
      </c>
      <c r="F7" s="813">
        <v>500</v>
      </c>
      <c r="G7" s="812" t="s">
        <v>2997</v>
      </c>
      <c r="H7" s="813" t="s">
        <v>2991</v>
      </c>
      <c r="I7" s="812" t="s">
        <v>16</v>
      </c>
      <c r="J7" s="813"/>
      <c r="K7" s="814"/>
      <c r="L7" s="814"/>
      <c r="M7" s="814"/>
      <c r="N7" s="813">
        <v>500</v>
      </c>
      <c r="O7" s="814"/>
      <c r="P7" s="814"/>
      <c r="Q7" s="814"/>
      <c r="R7" s="814"/>
      <c r="S7" s="814"/>
      <c r="T7" s="814"/>
      <c r="U7" s="814"/>
      <c r="V7" s="814"/>
      <c r="W7" s="814"/>
      <c r="X7" s="814"/>
      <c r="Y7" s="814"/>
      <c r="Z7" s="814"/>
      <c r="AA7" s="814"/>
      <c r="AB7" s="814"/>
      <c r="AC7" s="814"/>
      <c r="AD7" s="814"/>
      <c r="AE7" s="814"/>
      <c r="AF7" s="814"/>
      <c r="AG7" s="814"/>
      <c r="AH7" s="841"/>
    </row>
    <row r="8" s="787" customFormat="1" ht="22.5" spans="1:34">
      <c r="A8" s="810">
        <v>45891</v>
      </c>
      <c r="B8" s="811" t="s">
        <v>3244</v>
      </c>
      <c r="C8" s="813">
        <v>17011414</v>
      </c>
      <c r="D8" s="813" t="s">
        <v>3245</v>
      </c>
      <c r="E8" s="813" t="s">
        <v>3246</v>
      </c>
      <c r="F8" s="813">
        <v>500</v>
      </c>
      <c r="G8" s="812" t="s">
        <v>2997</v>
      </c>
      <c r="H8" s="813" t="s">
        <v>2991</v>
      </c>
      <c r="I8" s="812" t="s">
        <v>16</v>
      </c>
      <c r="J8" s="814"/>
      <c r="K8" s="814"/>
      <c r="L8" s="814"/>
      <c r="M8" s="814"/>
      <c r="N8" s="814"/>
      <c r="O8" s="814"/>
      <c r="P8" s="814"/>
      <c r="Q8" s="814"/>
      <c r="R8" s="814">
        <v>500</v>
      </c>
      <c r="S8" s="814"/>
      <c r="T8" s="814"/>
      <c r="U8" s="814"/>
      <c r="V8" s="814"/>
      <c r="W8" s="814"/>
      <c r="X8" s="814"/>
      <c r="Y8" s="814"/>
      <c r="Z8" s="814"/>
      <c r="AA8" s="814"/>
      <c r="AB8" s="814"/>
      <c r="AC8" s="814"/>
      <c r="AD8" s="814"/>
      <c r="AE8" s="814"/>
      <c r="AF8" s="814"/>
      <c r="AG8" s="814"/>
      <c r="AH8" s="815" t="s">
        <v>3247</v>
      </c>
    </row>
    <row r="9" s="787" customFormat="1" ht="22.5" spans="1:34">
      <c r="A9" s="810">
        <v>45891</v>
      </c>
      <c r="B9" s="811" t="s">
        <v>3248</v>
      </c>
      <c r="C9" s="813">
        <v>17011414</v>
      </c>
      <c r="D9" s="813" t="s">
        <v>3245</v>
      </c>
      <c r="E9" s="813" t="s">
        <v>3246</v>
      </c>
      <c r="F9" s="813">
        <v>6518</v>
      </c>
      <c r="G9" s="812" t="s">
        <v>2997</v>
      </c>
      <c r="H9" s="813" t="s">
        <v>2991</v>
      </c>
      <c r="I9" s="812" t="s">
        <v>16</v>
      </c>
      <c r="J9" s="814"/>
      <c r="K9" s="814"/>
      <c r="L9" s="814"/>
      <c r="M9" s="814"/>
      <c r="N9" s="814"/>
      <c r="O9" s="814"/>
      <c r="P9" s="814"/>
      <c r="Q9" s="814"/>
      <c r="R9" s="814">
        <f>F9</f>
        <v>6518</v>
      </c>
      <c r="S9" s="814"/>
      <c r="T9" s="814"/>
      <c r="U9" s="814"/>
      <c r="V9" s="814"/>
      <c r="W9" s="814"/>
      <c r="X9" s="814"/>
      <c r="Y9" s="814"/>
      <c r="Z9" s="814"/>
      <c r="AA9" s="814"/>
      <c r="AB9" s="814"/>
      <c r="AC9" s="814"/>
      <c r="AD9" s="814"/>
      <c r="AE9" s="814"/>
      <c r="AF9" s="814"/>
      <c r="AG9" s="814"/>
      <c r="AH9" s="815" t="s">
        <v>3249</v>
      </c>
    </row>
    <row r="10" s="787" customFormat="1" ht="18" customHeight="1" spans="1:34">
      <c r="A10" s="810"/>
      <c r="B10" s="811"/>
      <c r="C10" s="813" t="s">
        <v>3223</v>
      </c>
      <c r="D10" s="813"/>
      <c r="E10" s="813">
        <v>77486</v>
      </c>
      <c r="F10" s="813"/>
      <c r="G10" s="812"/>
      <c r="H10" s="813"/>
      <c r="I10" s="812"/>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41"/>
    </row>
    <row r="11" s="787" customFormat="1" spans="1:34">
      <c r="A11" s="810">
        <v>45903</v>
      </c>
      <c r="B11" s="811">
        <v>1000031804</v>
      </c>
      <c r="C11" s="813">
        <v>17011157</v>
      </c>
      <c r="D11" s="813" t="s">
        <v>3237</v>
      </c>
      <c r="E11" s="813">
        <v>77770</v>
      </c>
      <c r="F11" s="813">
        <v>200000</v>
      </c>
      <c r="G11" s="812" t="s">
        <v>2990</v>
      </c>
      <c r="H11" s="813" t="s">
        <v>2991</v>
      </c>
      <c r="I11" s="812" t="s">
        <v>16</v>
      </c>
      <c r="J11" s="813">
        <v>200000</v>
      </c>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5"/>
    </row>
    <row r="12" s="787" customFormat="1" spans="1:34">
      <c r="A12" s="810">
        <v>45903</v>
      </c>
      <c r="B12" s="811">
        <v>1000031805</v>
      </c>
      <c r="C12" s="813">
        <v>17011190</v>
      </c>
      <c r="D12" s="813" t="s">
        <v>3237</v>
      </c>
      <c r="E12" s="813">
        <v>77770</v>
      </c>
      <c r="F12" s="813">
        <v>20000</v>
      </c>
      <c r="G12" s="812" t="s">
        <v>2990</v>
      </c>
      <c r="H12" s="813" t="s">
        <v>3003</v>
      </c>
      <c r="I12" s="812" t="s">
        <v>16</v>
      </c>
      <c r="J12" s="814"/>
      <c r="K12" s="813">
        <v>20000</v>
      </c>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5"/>
    </row>
    <row r="13" s="787" customFormat="1" spans="1:34">
      <c r="A13" s="810">
        <v>45903</v>
      </c>
      <c r="B13" s="811">
        <v>1000031806</v>
      </c>
      <c r="C13" s="813">
        <v>17011158</v>
      </c>
      <c r="D13" s="813" t="s">
        <v>3237</v>
      </c>
      <c r="E13" s="813">
        <v>77770</v>
      </c>
      <c r="F13" s="813">
        <v>200000</v>
      </c>
      <c r="G13" s="812" t="s">
        <v>2993</v>
      </c>
      <c r="H13" s="813" t="s">
        <v>2994</v>
      </c>
      <c r="I13" s="812" t="s">
        <v>16</v>
      </c>
      <c r="J13" s="814"/>
      <c r="K13" s="814"/>
      <c r="L13" s="813"/>
      <c r="M13" s="813">
        <v>200000</v>
      </c>
      <c r="N13" s="814"/>
      <c r="O13" s="814"/>
      <c r="P13" s="814"/>
      <c r="Q13" s="814"/>
      <c r="R13" s="814"/>
      <c r="S13" s="814"/>
      <c r="T13" s="814"/>
      <c r="U13" s="814"/>
      <c r="V13" s="814"/>
      <c r="W13" s="814"/>
      <c r="X13" s="814"/>
      <c r="Y13" s="814"/>
      <c r="Z13" s="814"/>
      <c r="AA13" s="814"/>
      <c r="AB13" s="814"/>
      <c r="AC13" s="814"/>
      <c r="AD13" s="814"/>
      <c r="AE13" s="814"/>
      <c r="AF13" s="814"/>
      <c r="AG13" s="814"/>
      <c r="AH13" s="815"/>
    </row>
    <row r="14" s="787" customFormat="1" spans="1:34">
      <c r="A14" s="810">
        <v>45903</v>
      </c>
      <c r="B14" s="811">
        <v>1000031807</v>
      </c>
      <c r="C14" s="813" t="s">
        <v>3240</v>
      </c>
      <c r="D14" s="813" t="s">
        <v>3237</v>
      </c>
      <c r="E14" s="813" t="s">
        <v>3241</v>
      </c>
      <c r="F14" s="813">
        <v>1000</v>
      </c>
      <c r="G14" s="812" t="s">
        <v>2997</v>
      </c>
      <c r="H14" s="813" t="s">
        <v>2991</v>
      </c>
      <c r="I14" s="812" t="s">
        <v>16</v>
      </c>
      <c r="J14" s="814"/>
      <c r="K14" s="814"/>
      <c r="L14" s="814"/>
      <c r="M14" s="814"/>
      <c r="N14" s="813">
        <v>1000</v>
      </c>
      <c r="O14" s="814"/>
      <c r="P14" s="814"/>
      <c r="Q14" s="814"/>
      <c r="R14" s="814"/>
      <c r="S14" s="814"/>
      <c r="T14" s="814"/>
      <c r="U14" s="814"/>
      <c r="V14" s="814"/>
      <c r="W14" s="814"/>
      <c r="X14" s="814"/>
      <c r="Y14" s="814"/>
      <c r="Z14" s="814"/>
      <c r="AA14" s="814"/>
      <c r="AB14" s="814"/>
      <c r="AC14" s="814"/>
      <c r="AD14" s="814"/>
      <c r="AE14" s="814"/>
      <c r="AF14" s="814"/>
      <c r="AG14" s="814"/>
      <c r="AH14" s="815"/>
    </row>
    <row r="15" s="787" customFormat="1" spans="1:34">
      <c r="A15" s="810">
        <v>45903</v>
      </c>
      <c r="B15" s="811">
        <v>1000031808</v>
      </c>
      <c r="C15" s="813">
        <v>17011591</v>
      </c>
      <c r="D15" s="813" t="s">
        <v>3237</v>
      </c>
      <c r="E15" s="813" t="s">
        <v>3241</v>
      </c>
      <c r="F15" s="813">
        <v>500</v>
      </c>
      <c r="G15" s="812" t="s">
        <v>2997</v>
      </c>
      <c r="H15" s="813" t="s">
        <v>3003</v>
      </c>
      <c r="I15" s="812" t="s">
        <v>16</v>
      </c>
      <c r="J15" s="814"/>
      <c r="K15" s="814"/>
      <c r="L15" s="814"/>
      <c r="M15" s="814"/>
      <c r="N15" s="814"/>
      <c r="O15" s="813">
        <v>500</v>
      </c>
      <c r="P15" s="814"/>
      <c r="Q15" s="814"/>
      <c r="R15" s="814"/>
      <c r="S15" s="814"/>
      <c r="T15" s="814"/>
      <c r="U15" s="814"/>
      <c r="V15" s="814"/>
      <c r="W15" s="814"/>
      <c r="X15" s="814"/>
      <c r="Y15" s="814"/>
      <c r="Z15" s="814"/>
      <c r="AA15" s="814"/>
      <c r="AB15" s="814"/>
      <c r="AC15" s="814"/>
      <c r="AD15" s="814"/>
      <c r="AE15" s="814"/>
      <c r="AF15" s="814"/>
      <c r="AG15" s="814"/>
      <c r="AH15" s="815"/>
    </row>
    <row r="16" s="787" customFormat="1" spans="1:34">
      <c r="A16" s="810">
        <v>45903</v>
      </c>
      <c r="B16" s="811">
        <v>1000031809</v>
      </c>
      <c r="C16" s="813" t="s">
        <v>3250</v>
      </c>
      <c r="D16" s="813" t="s">
        <v>3237</v>
      </c>
      <c r="E16" s="813" t="s">
        <v>3243</v>
      </c>
      <c r="F16" s="813">
        <v>3000</v>
      </c>
      <c r="G16" s="812" t="s">
        <v>2997</v>
      </c>
      <c r="H16" s="813" t="s">
        <v>2991</v>
      </c>
      <c r="I16" s="812" t="s">
        <v>16</v>
      </c>
      <c r="J16" s="814"/>
      <c r="K16" s="814"/>
      <c r="L16" s="814"/>
      <c r="M16" s="814"/>
      <c r="N16" s="814"/>
      <c r="O16" s="814"/>
      <c r="P16" s="813">
        <v>3000</v>
      </c>
      <c r="Q16" s="814"/>
      <c r="R16" s="814"/>
      <c r="S16" s="814"/>
      <c r="T16" s="814"/>
      <c r="U16" s="814"/>
      <c r="V16" s="814"/>
      <c r="W16" s="814"/>
      <c r="X16" s="814"/>
      <c r="Y16" s="814"/>
      <c r="Z16" s="814"/>
      <c r="AA16" s="814"/>
      <c r="AB16" s="814"/>
      <c r="AC16" s="814"/>
      <c r="AD16" s="814"/>
      <c r="AE16" s="814"/>
      <c r="AF16" s="814"/>
      <c r="AG16" s="814"/>
      <c r="AH16" s="815"/>
    </row>
    <row r="17" s="787" customFormat="1" spans="1:34">
      <c r="A17" s="810">
        <v>45912</v>
      </c>
      <c r="B17" s="811" t="s">
        <v>3251</v>
      </c>
      <c r="C17" s="813">
        <v>17011695</v>
      </c>
      <c r="D17" s="812" t="s">
        <v>3252</v>
      </c>
      <c r="E17" s="813">
        <v>77806</v>
      </c>
      <c r="F17" s="813">
        <v>10000</v>
      </c>
      <c r="G17" s="812" t="s">
        <v>3008</v>
      </c>
      <c r="H17" s="813"/>
      <c r="I17" s="812"/>
      <c r="J17" s="814"/>
      <c r="K17" s="814"/>
      <c r="L17" s="814"/>
      <c r="M17" s="814"/>
      <c r="N17" s="814"/>
      <c r="O17" s="814"/>
      <c r="P17" s="813"/>
      <c r="Q17" s="814"/>
      <c r="R17" s="814"/>
      <c r="S17" s="814"/>
      <c r="T17" s="814"/>
      <c r="U17" s="814"/>
      <c r="V17" s="814"/>
      <c r="W17" s="814"/>
      <c r="X17" s="814"/>
      <c r="Y17" s="814"/>
      <c r="Z17" s="814"/>
      <c r="AA17" s="814"/>
      <c r="AB17" s="814"/>
      <c r="AC17" s="814"/>
      <c r="AD17" s="814"/>
      <c r="AE17" s="813">
        <v>10000</v>
      </c>
      <c r="AF17" s="814"/>
      <c r="AG17" s="814"/>
      <c r="AH17" s="815" t="s">
        <v>3253</v>
      </c>
    </row>
    <row r="18" s="787" customFormat="1" spans="1:34">
      <c r="A18" s="810">
        <v>45912</v>
      </c>
      <c r="B18" s="811" t="s">
        <v>3254</v>
      </c>
      <c r="C18" s="813">
        <v>17011696</v>
      </c>
      <c r="D18" s="812" t="s">
        <v>3252</v>
      </c>
      <c r="E18" s="813">
        <v>77806</v>
      </c>
      <c r="F18" s="813">
        <v>5000</v>
      </c>
      <c r="G18" s="812" t="s">
        <v>3255</v>
      </c>
      <c r="H18" s="813"/>
      <c r="I18" s="812"/>
      <c r="J18" s="814"/>
      <c r="K18" s="814"/>
      <c r="L18" s="814"/>
      <c r="M18" s="814"/>
      <c r="N18" s="814"/>
      <c r="O18" s="814"/>
      <c r="P18" s="813"/>
      <c r="Q18" s="814"/>
      <c r="R18" s="814"/>
      <c r="S18" s="814"/>
      <c r="T18" s="814"/>
      <c r="U18" s="814"/>
      <c r="V18" s="814"/>
      <c r="W18" s="814"/>
      <c r="X18" s="814"/>
      <c r="Y18" s="814"/>
      <c r="Z18" s="814"/>
      <c r="AA18" s="814"/>
      <c r="AB18" s="814"/>
      <c r="AC18" s="814"/>
      <c r="AD18" s="814"/>
      <c r="AE18" s="814"/>
      <c r="AF18" s="813">
        <v>5000</v>
      </c>
      <c r="AG18" s="814"/>
      <c r="AH18" s="815" t="s">
        <v>3253</v>
      </c>
    </row>
    <row r="19" s="787" customFormat="1" spans="1:34">
      <c r="A19" s="810">
        <v>45912</v>
      </c>
      <c r="B19" s="811" t="s">
        <v>3256</v>
      </c>
      <c r="C19" s="813">
        <v>17011697</v>
      </c>
      <c r="D19" s="812" t="s">
        <v>3252</v>
      </c>
      <c r="E19" s="813">
        <v>77806</v>
      </c>
      <c r="F19" s="813">
        <v>5000</v>
      </c>
      <c r="G19" s="812" t="s">
        <v>3009</v>
      </c>
      <c r="H19" s="813" t="s">
        <v>3003</v>
      </c>
      <c r="I19" s="812"/>
      <c r="J19" s="814"/>
      <c r="K19" s="814"/>
      <c r="L19" s="814"/>
      <c r="M19" s="814"/>
      <c r="N19" s="814"/>
      <c r="O19" s="814"/>
      <c r="P19" s="813"/>
      <c r="Q19" s="814"/>
      <c r="R19" s="814"/>
      <c r="S19" s="814"/>
      <c r="T19" s="814"/>
      <c r="U19" s="814"/>
      <c r="V19" s="814"/>
      <c r="W19" s="814"/>
      <c r="X19" s="814"/>
      <c r="Y19" s="814"/>
      <c r="Z19" s="814"/>
      <c r="AA19" s="814"/>
      <c r="AB19" s="814"/>
      <c r="AC19" s="814"/>
      <c r="AD19" s="814"/>
      <c r="AE19" s="814"/>
      <c r="AF19" s="814"/>
      <c r="AG19" s="813">
        <v>5000</v>
      </c>
      <c r="AH19" s="815" t="s">
        <v>3253</v>
      </c>
    </row>
    <row r="20" s="787" customFormat="1" spans="1:34">
      <c r="A20" s="810">
        <v>45922</v>
      </c>
      <c r="B20" s="811">
        <v>1000032261</v>
      </c>
      <c r="C20" s="813">
        <v>17011157</v>
      </c>
      <c r="D20" s="812" t="s">
        <v>3237</v>
      </c>
      <c r="E20" s="813">
        <v>77770</v>
      </c>
      <c r="F20" s="813">
        <v>200000</v>
      </c>
      <c r="G20" s="812" t="s">
        <v>2990</v>
      </c>
      <c r="H20" s="813" t="s">
        <v>2991</v>
      </c>
      <c r="I20" s="812" t="s">
        <v>16</v>
      </c>
      <c r="J20" s="814">
        <v>200000</v>
      </c>
      <c r="K20" s="814"/>
      <c r="L20" s="814"/>
      <c r="M20" s="814"/>
      <c r="N20" s="814"/>
      <c r="O20" s="814"/>
      <c r="P20" s="813"/>
      <c r="Q20" s="814"/>
      <c r="R20" s="814"/>
      <c r="S20" s="814"/>
      <c r="T20" s="814"/>
      <c r="U20" s="814"/>
      <c r="V20" s="814"/>
      <c r="W20" s="814"/>
      <c r="X20" s="814"/>
      <c r="Y20" s="814"/>
      <c r="Z20" s="814"/>
      <c r="AA20" s="814"/>
      <c r="AB20" s="814"/>
      <c r="AC20" s="814"/>
      <c r="AD20" s="814"/>
      <c r="AE20" s="814"/>
      <c r="AF20" s="814"/>
      <c r="AG20" s="813"/>
      <c r="AH20" s="815"/>
    </row>
    <row r="21" s="787" customFormat="1" spans="1:34">
      <c r="A21" s="810">
        <v>45922</v>
      </c>
      <c r="B21" s="811">
        <v>1000032262</v>
      </c>
      <c r="C21" s="813">
        <v>17011158</v>
      </c>
      <c r="D21" s="812" t="s">
        <v>3237</v>
      </c>
      <c r="E21" s="813">
        <v>77770</v>
      </c>
      <c r="F21" s="813">
        <v>200000</v>
      </c>
      <c r="G21" s="812" t="s">
        <v>2993</v>
      </c>
      <c r="H21" s="813" t="s">
        <v>2994</v>
      </c>
      <c r="I21" s="812" t="s">
        <v>16</v>
      </c>
      <c r="J21" s="814"/>
      <c r="K21" s="814"/>
      <c r="L21" s="814"/>
      <c r="M21" s="814">
        <v>200000</v>
      </c>
      <c r="N21" s="814"/>
      <c r="O21" s="814"/>
      <c r="P21" s="813"/>
      <c r="Q21" s="814"/>
      <c r="R21" s="814"/>
      <c r="S21" s="814"/>
      <c r="T21" s="814"/>
      <c r="U21" s="814"/>
      <c r="V21" s="814"/>
      <c r="W21" s="814"/>
      <c r="X21" s="814"/>
      <c r="Y21" s="814"/>
      <c r="Z21" s="814"/>
      <c r="AA21" s="814"/>
      <c r="AB21" s="814"/>
      <c r="AC21" s="814"/>
      <c r="AD21" s="814"/>
      <c r="AE21" s="814"/>
      <c r="AF21" s="814"/>
      <c r="AG21" s="813"/>
      <c r="AH21" s="815"/>
    </row>
    <row r="22" s="787" customFormat="1" spans="1:34">
      <c r="A22" s="810">
        <v>45922</v>
      </c>
      <c r="B22" s="811">
        <v>1000032263</v>
      </c>
      <c r="C22" s="813" t="s">
        <v>3240</v>
      </c>
      <c r="D22" s="812" t="s">
        <v>3237</v>
      </c>
      <c r="E22" s="813" t="s">
        <v>3241</v>
      </c>
      <c r="F22" s="813">
        <v>1100</v>
      </c>
      <c r="G22" s="812" t="s">
        <v>2997</v>
      </c>
      <c r="H22" s="813" t="s">
        <v>2991</v>
      </c>
      <c r="I22" s="812" t="s">
        <v>16</v>
      </c>
      <c r="J22" s="814"/>
      <c r="K22" s="814"/>
      <c r="L22" s="814"/>
      <c r="M22" s="814"/>
      <c r="N22" s="814">
        <v>1100</v>
      </c>
      <c r="O22" s="814"/>
      <c r="P22" s="813"/>
      <c r="Q22" s="814"/>
      <c r="R22" s="814"/>
      <c r="S22" s="814"/>
      <c r="T22" s="814"/>
      <c r="U22" s="814"/>
      <c r="V22" s="814"/>
      <c r="W22" s="814"/>
      <c r="X22" s="814"/>
      <c r="Y22" s="814"/>
      <c r="Z22" s="814"/>
      <c r="AA22" s="814"/>
      <c r="AB22" s="814"/>
      <c r="AC22" s="814"/>
      <c r="AD22" s="814"/>
      <c r="AE22" s="814"/>
      <c r="AF22" s="814"/>
      <c r="AG22" s="813"/>
      <c r="AH22" s="815"/>
    </row>
    <row r="23" s="787" customFormat="1" ht="14" customHeight="1" spans="1:34">
      <c r="A23" s="810">
        <v>45922</v>
      </c>
      <c r="B23" s="811" t="s">
        <v>3257</v>
      </c>
      <c r="C23" s="813" t="s">
        <v>3250</v>
      </c>
      <c r="D23" s="812" t="s">
        <v>3237</v>
      </c>
      <c r="E23" s="813" t="s">
        <v>3243</v>
      </c>
      <c r="F23" s="813">
        <v>7200</v>
      </c>
      <c r="G23" s="812" t="s">
        <v>2997</v>
      </c>
      <c r="H23" s="813" t="s">
        <v>2991</v>
      </c>
      <c r="I23" s="812" t="s">
        <v>16</v>
      </c>
      <c r="J23" s="814"/>
      <c r="K23" s="814"/>
      <c r="L23" s="814"/>
      <c r="M23" s="814"/>
      <c r="N23" s="814"/>
      <c r="O23" s="814"/>
      <c r="P23" s="813">
        <v>7200</v>
      </c>
      <c r="Q23" s="814"/>
      <c r="R23" s="814"/>
      <c r="S23" s="814"/>
      <c r="T23" s="814"/>
      <c r="U23" s="814"/>
      <c r="V23" s="814"/>
      <c r="W23" s="814"/>
      <c r="X23" s="814"/>
      <c r="Y23" s="814"/>
      <c r="Z23" s="814"/>
      <c r="AA23" s="814"/>
      <c r="AB23" s="814"/>
      <c r="AC23" s="814"/>
      <c r="AD23" s="814"/>
      <c r="AE23" s="814"/>
      <c r="AF23" s="814"/>
      <c r="AG23" s="813"/>
      <c r="AH23" s="815"/>
    </row>
    <row r="24" s="787" customFormat="1" spans="1:34">
      <c r="A24" s="810">
        <v>45922</v>
      </c>
      <c r="B24" s="811" t="s">
        <v>3258</v>
      </c>
      <c r="C24" s="813" t="s">
        <v>3259</v>
      </c>
      <c r="D24" s="812" t="s">
        <v>3237</v>
      </c>
      <c r="E24" s="813" t="s">
        <v>3243</v>
      </c>
      <c r="F24" s="813">
        <v>500</v>
      </c>
      <c r="G24" s="812" t="s">
        <v>2997</v>
      </c>
      <c r="H24" s="813" t="s">
        <v>3003</v>
      </c>
      <c r="I24" s="812" t="s">
        <v>16</v>
      </c>
      <c r="J24" s="814"/>
      <c r="K24" s="814"/>
      <c r="L24" s="814"/>
      <c r="M24" s="814"/>
      <c r="N24" s="814"/>
      <c r="O24" s="814"/>
      <c r="P24" s="813"/>
      <c r="Q24" s="813">
        <v>500</v>
      </c>
      <c r="R24" s="814"/>
      <c r="S24" s="814"/>
      <c r="T24" s="814"/>
      <c r="U24" s="814"/>
      <c r="V24" s="814"/>
      <c r="W24" s="814"/>
      <c r="X24" s="814"/>
      <c r="Y24" s="814"/>
      <c r="Z24" s="814"/>
      <c r="AA24" s="814"/>
      <c r="AB24" s="814"/>
      <c r="AC24" s="814"/>
      <c r="AD24" s="814"/>
      <c r="AE24" s="814"/>
      <c r="AF24" s="814"/>
      <c r="AG24" s="813"/>
      <c r="AH24" s="815"/>
    </row>
    <row r="25" s="787" customFormat="1" spans="1:34">
      <c r="A25" s="810">
        <v>45923</v>
      </c>
      <c r="B25" s="811">
        <v>1000032317</v>
      </c>
      <c r="C25" s="813">
        <v>17011158</v>
      </c>
      <c r="D25" s="812" t="s">
        <v>3237</v>
      </c>
      <c r="E25" s="813">
        <v>77770</v>
      </c>
      <c r="F25" s="813">
        <v>50000</v>
      </c>
      <c r="G25" s="812" t="s">
        <v>2993</v>
      </c>
      <c r="H25" s="813" t="s">
        <v>2994</v>
      </c>
      <c r="I25" s="812" t="s">
        <v>16</v>
      </c>
      <c r="J25" s="814"/>
      <c r="K25" s="814"/>
      <c r="L25" s="813"/>
      <c r="M25" s="813">
        <v>50000</v>
      </c>
      <c r="N25" s="814"/>
      <c r="O25" s="814"/>
      <c r="P25" s="813"/>
      <c r="Q25" s="814"/>
      <c r="R25" s="814"/>
      <c r="S25" s="814"/>
      <c r="T25" s="814"/>
      <c r="U25" s="814"/>
      <c r="V25" s="814"/>
      <c r="W25" s="814"/>
      <c r="X25" s="814"/>
      <c r="Y25" s="814"/>
      <c r="Z25" s="814"/>
      <c r="AA25" s="814"/>
      <c r="AB25" s="814"/>
      <c r="AC25" s="814"/>
      <c r="AD25" s="814"/>
      <c r="AE25" s="814"/>
      <c r="AF25" s="814"/>
      <c r="AG25" s="813"/>
      <c r="AH25" s="815"/>
    </row>
    <row r="26" s="787" customFormat="1" ht="15" customHeight="1" spans="1:34">
      <c r="A26" s="810">
        <v>45922</v>
      </c>
      <c r="B26" s="811">
        <v>1000032318</v>
      </c>
      <c r="C26" s="812">
        <v>17011784</v>
      </c>
      <c r="D26" s="812" t="s">
        <v>3237</v>
      </c>
      <c r="E26" s="813" t="s">
        <v>3260</v>
      </c>
      <c r="F26" s="813">
        <v>729</v>
      </c>
      <c r="G26" s="812" t="s">
        <v>3261</v>
      </c>
      <c r="H26" s="813" t="s">
        <v>2991</v>
      </c>
      <c r="I26" s="812" t="s">
        <v>16</v>
      </c>
      <c r="J26" s="814"/>
      <c r="K26" s="814"/>
      <c r="L26" s="814"/>
      <c r="M26" s="814"/>
      <c r="N26" s="814"/>
      <c r="O26" s="814"/>
      <c r="P26" s="813"/>
      <c r="Q26" s="814"/>
      <c r="R26" s="814"/>
      <c r="S26" s="814"/>
      <c r="T26" s="814"/>
      <c r="U26" s="814"/>
      <c r="V26" s="814"/>
      <c r="W26" s="814"/>
      <c r="X26" s="814"/>
      <c r="Y26" s="813">
        <v>729</v>
      </c>
      <c r="Z26" s="813">
        <v>729</v>
      </c>
      <c r="AA26" s="814"/>
      <c r="AB26" s="814"/>
      <c r="AC26" s="814"/>
      <c r="AD26" s="814"/>
      <c r="AE26" s="814"/>
      <c r="AF26" s="814"/>
      <c r="AG26" s="813"/>
      <c r="AH26" s="815"/>
    </row>
    <row r="27" s="787" customFormat="1" ht="15" customHeight="1" spans="1:34">
      <c r="A27" s="810">
        <v>45941</v>
      </c>
      <c r="B27" s="811" t="s">
        <v>3262</v>
      </c>
      <c r="C27" s="813">
        <v>17011902</v>
      </c>
      <c r="D27" s="812" t="s">
        <v>3237</v>
      </c>
      <c r="E27" s="813" t="s">
        <v>3260</v>
      </c>
      <c r="F27" s="813">
        <v>300</v>
      </c>
      <c r="G27" s="812" t="s">
        <v>3261</v>
      </c>
      <c r="H27" s="813" t="s">
        <v>2991</v>
      </c>
      <c r="I27" s="812" t="s">
        <v>16</v>
      </c>
      <c r="J27" s="814"/>
      <c r="K27" s="814"/>
      <c r="L27" s="814"/>
      <c r="M27" s="814"/>
      <c r="N27" s="814"/>
      <c r="O27" s="814"/>
      <c r="P27" s="813"/>
      <c r="Q27" s="814"/>
      <c r="R27" s="814"/>
      <c r="S27" s="814"/>
      <c r="T27" s="814"/>
      <c r="U27" s="814"/>
      <c r="V27" s="814"/>
      <c r="W27" s="814"/>
      <c r="X27" s="814"/>
      <c r="Y27" s="813">
        <v>300</v>
      </c>
      <c r="Z27" s="814"/>
      <c r="AA27" s="814"/>
      <c r="AB27" s="814"/>
      <c r="AC27" s="814"/>
      <c r="AD27" s="814"/>
      <c r="AE27" s="814"/>
      <c r="AF27" s="814"/>
      <c r="AG27" s="813"/>
      <c r="AH27" s="815" t="s">
        <v>3263</v>
      </c>
    </row>
    <row r="28" s="787" customFormat="1" ht="15" customHeight="1" spans="1:34">
      <c r="A28" s="810">
        <v>45941</v>
      </c>
      <c r="B28" s="811" t="s">
        <v>3264</v>
      </c>
      <c r="C28" s="813">
        <v>17011903</v>
      </c>
      <c r="D28" s="812" t="s">
        <v>3237</v>
      </c>
      <c r="E28" s="813" t="s">
        <v>3260</v>
      </c>
      <c r="F28" s="813">
        <v>100</v>
      </c>
      <c r="G28" s="812" t="s">
        <v>3265</v>
      </c>
      <c r="H28" s="813" t="s">
        <v>2991</v>
      </c>
      <c r="I28" s="812" t="s">
        <v>16</v>
      </c>
      <c r="J28" s="814"/>
      <c r="K28" s="814"/>
      <c r="L28" s="814"/>
      <c r="M28" s="814"/>
      <c r="N28" s="814"/>
      <c r="O28" s="814"/>
      <c r="P28" s="813"/>
      <c r="Q28" s="814"/>
      <c r="R28" s="814"/>
      <c r="S28" s="814"/>
      <c r="T28" s="814"/>
      <c r="U28" s="814"/>
      <c r="V28" s="814"/>
      <c r="W28" s="814"/>
      <c r="X28" s="814"/>
      <c r="Y28" s="813"/>
      <c r="Z28" s="814">
        <v>100</v>
      </c>
      <c r="AA28" s="814"/>
      <c r="AB28" s="814"/>
      <c r="AC28" s="814"/>
      <c r="AD28" s="814"/>
      <c r="AE28" s="814"/>
      <c r="AF28" s="814"/>
      <c r="AG28" s="813"/>
      <c r="AH28" s="842" t="s">
        <v>3266</v>
      </c>
    </row>
    <row r="29" s="787" customFormat="1" ht="15" customHeight="1" spans="1:34">
      <c r="A29" s="810">
        <v>45941</v>
      </c>
      <c r="B29" s="811" t="s">
        <v>3267</v>
      </c>
      <c r="C29" s="813">
        <v>17011157</v>
      </c>
      <c r="D29" s="812" t="s">
        <v>3237</v>
      </c>
      <c r="E29" s="813">
        <v>77770</v>
      </c>
      <c r="F29" s="813">
        <v>100000</v>
      </c>
      <c r="G29" s="812" t="s">
        <v>2990</v>
      </c>
      <c r="H29" s="813" t="s">
        <v>2991</v>
      </c>
      <c r="I29" s="812" t="s">
        <v>16</v>
      </c>
      <c r="J29" s="813">
        <v>100000</v>
      </c>
      <c r="K29" s="814"/>
      <c r="L29" s="814"/>
      <c r="M29" s="814"/>
      <c r="N29" s="814"/>
      <c r="O29" s="814"/>
      <c r="P29" s="813"/>
      <c r="Q29" s="814"/>
      <c r="R29" s="814"/>
      <c r="S29" s="814"/>
      <c r="T29" s="814"/>
      <c r="U29" s="814"/>
      <c r="V29" s="814"/>
      <c r="W29" s="814"/>
      <c r="X29" s="814"/>
      <c r="Y29" s="813"/>
      <c r="Z29" s="814"/>
      <c r="AA29" s="814"/>
      <c r="AB29" s="814"/>
      <c r="AC29" s="814"/>
      <c r="AD29" s="814"/>
      <c r="AE29" s="814"/>
      <c r="AF29" s="814"/>
      <c r="AG29" s="813"/>
      <c r="AH29" s="815"/>
    </row>
    <row r="30" s="787" customFormat="1" ht="15" customHeight="1" spans="1:34">
      <c r="A30" s="810">
        <v>45941</v>
      </c>
      <c r="B30" s="811" t="s">
        <v>3268</v>
      </c>
      <c r="C30" s="813">
        <v>17011158</v>
      </c>
      <c r="D30" s="812" t="s">
        <v>3237</v>
      </c>
      <c r="E30" s="813">
        <v>77770</v>
      </c>
      <c r="F30" s="813">
        <v>100000</v>
      </c>
      <c r="G30" s="812" t="s">
        <v>2993</v>
      </c>
      <c r="H30" s="813" t="s">
        <v>2994</v>
      </c>
      <c r="I30" s="812" t="s">
        <v>16</v>
      </c>
      <c r="J30" s="814"/>
      <c r="K30" s="814"/>
      <c r="L30" s="814"/>
      <c r="M30" s="814">
        <v>100000</v>
      </c>
      <c r="N30" s="814"/>
      <c r="O30" s="814"/>
      <c r="P30" s="813"/>
      <c r="Q30" s="814"/>
      <c r="R30" s="814"/>
      <c r="S30" s="814"/>
      <c r="T30" s="814"/>
      <c r="U30" s="814"/>
      <c r="V30" s="814"/>
      <c r="W30" s="814"/>
      <c r="X30" s="814"/>
      <c r="Y30" s="813"/>
      <c r="Z30" s="814"/>
      <c r="AA30" s="814"/>
      <c r="AB30" s="814"/>
      <c r="AC30" s="814"/>
      <c r="AD30" s="814"/>
      <c r="AE30" s="814"/>
      <c r="AF30" s="814"/>
      <c r="AG30" s="813"/>
      <c r="AH30" s="815"/>
    </row>
    <row r="31" s="787" customFormat="1" ht="15" customHeight="1" spans="1:34">
      <c r="A31" s="810">
        <v>45941</v>
      </c>
      <c r="B31" s="811" t="s">
        <v>3269</v>
      </c>
      <c r="C31" s="813" t="s">
        <v>3270</v>
      </c>
      <c r="D31" s="812" t="s">
        <v>3237</v>
      </c>
      <c r="E31" s="813">
        <v>77770</v>
      </c>
      <c r="F31" s="813">
        <v>20000</v>
      </c>
      <c r="G31" s="812" t="s">
        <v>2990</v>
      </c>
      <c r="H31" s="813" t="s">
        <v>3003</v>
      </c>
      <c r="I31" s="812" t="s">
        <v>16</v>
      </c>
      <c r="J31" s="814"/>
      <c r="K31" s="814">
        <v>20000</v>
      </c>
      <c r="L31" s="814"/>
      <c r="M31" s="814"/>
      <c r="N31" s="814"/>
      <c r="O31" s="814"/>
      <c r="P31" s="813"/>
      <c r="Q31" s="814"/>
      <c r="R31" s="814"/>
      <c r="S31" s="814"/>
      <c r="T31" s="814"/>
      <c r="U31" s="814"/>
      <c r="V31" s="814"/>
      <c r="W31" s="814"/>
      <c r="X31" s="814"/>
      <c r="Y31" s="813"/>
      <c r="Z31" s="814"/>
      <c r="AA31" s="814"/>
      <c r="AB31" s="814"/>
      <c r="AC31" s="814"/>
      <c r="AD31" s="814"/>
      <c r="AE31" s="814"/>
      <c r="AF31" s="814"/>
      <c r="AG31" s="813"/>
      <c r="AH31" s="815"/>
    </row>
    <row r="32" s="787" customFormat="1" ht="15" customHeight="1" spans="1:34">
      <c r="A32" s="810">
        <v>45941</v>
      </c>
      <c r="B32" s="811" t="s">
        <v>3271</v>
      </c>
      <c r="C32" s="813" t="s">
        <v>3250</v>
      </c>
      <c r="D32" s="812" t="s">
        <v>3237</v>
      </c>
      <c r="E32" s="813" t="s">
        <v>3243</v>
      </c>
      <c r="F32" s="813">
        <v>1500</v>
      </c>
      <c r="G32" s="812" t="s">
        <v>2997</v>
      </c>
      <c r="H32" s="813" t="s">
        <v>2991</v>
      </c>
      <c r="I32" s="812" t="s">
        <v>16</v>
      </c>
      <c r="J32" s="814"/>
      <c r="K32" s="814"/>
      <c r="L32" s="814"/>
      <c r="M32" s="814"/>
      <c r="N32" s="814"/>
      <c r="O32" s="814"/>
      <c r="P32" s="813">
        <v>1500</v>
      </c>
      <c r="Q32" s="814"/>
      <c r="R32" s="814"/>
      <c r="S32" s="814"/>
      <c r="T32" s="814"/>
      <c r="U32" s="814"/>
      <c r="V32" s="814"/>
      <c r="W32" s="814"/>
      <c r="X32" s="814"/>
      <c r="Y32" s="813"/>
      <c r="Z32" s="814"/>
      <c r="AA32" s="814"/>
      <c r="AB32" s="814"/>
      <c r="AC32" s="814"/>
      <c r="AD32" s="814"/>
      <c r="AE32" s="814"/>
      <c r="AF32" s="814"/>
      <c r="AG32" s="813"/>
      <c r="AH32" s="815"/>
    </row>
    <row r="33" s="787" customFormat="1" ht="15" customHeight="1" spans="1:34">
      <c r="A33" s="810">
        <v>45943</v>
      </c>
      <c r="B33" s="811" t="s">
        <v>3272</v>
      </c>
      <c r="C33" s="812">
        <v>17011695</v>
      </c>
      <c r="D33" s="812" t="s">
        <v>3192</v>
      </c>
      <c r="E33" s="813">
        <v>77806</v>
      </c>
      <c r="F33" s="813">
        <v>10000</v>
      </c>
      <c r="G33" s="812" t="s">
        <v>3008</v>
      </c>
      <c r="H33" s="813" t="s">
        <v>3199</v>
      </c>
      <c r="I33" s="812" t="s">
        <v>3199</v>
      </c>
      <c r="J33" s="814"/>
      <c r="K33" s="814"/>
      <c r="L33" s="814"/>
      <c r="M33" s="814"/>
      <c r="N33" s="814"/>
      <c r="O33" s="814"/>
      <c r="P33" s="813"/>
      <c r="Q33" s="814"/>
      <c r="R33" s="814"/>
      <c r="S33" s="814"/>
      <c r="T33" s="814"/>
      <c r="U33" s="814"/>
      <c r="V33" s="814"/>
      <c r="W33" s="814"/>
      <c r="X33" s="814"/>
      <c r="Y33" s="813"/>
      <c r="Z33" s="814"/>
      <c r="AA33" s="814"/>
      <c r="AB33" s="814"/>
      <c r="AC33" s="814"/>
      <c r="AD33" s="814"/>
      <c r="AE33" s="813">
        <v>10000</v>
      </c>
      <c r="AF33" s="814"/>
      <c r="AG33" s="813"/>
      <c r="AH33" s="815" t="s">
        <v>3273</v>
      </c>
    </row>
    <row r="34" s="787" customFormat="1" ht="15" customHeight="1" spans="1:34">
      <c r="A34" s="810">
        <v>45943</v>
      </c>
      <c r="B34" s="811" t="s">
        <v>3274</v>
      </c>
      <c r="C34" s="812">
        <v>17011696</v>
      </c>
      <c r="D34" s="812" t="s">
        <v>3192</v>
      </c>
      <c r="E34" s="813">
        <v>77806</v>
      </c>
      <c r="F34" s="813">
        <v>5000</v>
      </c>
      <c r="G34" s="812" t="s">
        <v>3255</v>
      </c>
      <c r="H34" s="813" t="s">
        <v>3199</v>
      </c>
      <c r="I34" s="812" t="s">
        <v>3199</v>
      </c>
      <c r="J34" s="814"/>
      <c r="K34" s="814"/>
      <c r="L34" s="814"/>
      <c r="M34" s="814"/>
      <c r="N34" s="814"/>
      <c r="O34" s="814"/>
      <c r="P34" s="813"/>
      <c r="Q34" s="814"/>
      <c r="R34" s="814"/>
      <c r="S34" s="814"/>
      <c r="T34" s="814"/>
      <c r="U34" s="814"/>
      <c r="V34" s="814"/>
      <c r="W34" s="814"/>
      <c r="X34" s="814"/>
      <c r="Y34" s="813"/>
      <c r="Z34" s="814"/>
      <c r="AA34" s="814"/>
      <c r="AB34" s="814"/>
      <c r="AC34" s="814"/>
      <c r="AD34" s="814"/>
      <c r="AE34" s="814"/>
      <c r="AF34" s="814"/>
      <c r="AG34" s="813">
        <v>5000</v>
      </c>
      <c r="AH34" s="815" t="s">
        <v>3273</v>
      </c>
    </row>
    <row r="35" s="787" customFormat="1" ht="15" customHeight="1" spans="1:34">
      <c r="A35" s="810">
        <v>45943</v>
      </c>
      <c r="B35" s="811" t="s">
        <v>3275</v>
      </c>
      <c r="C35" s="812">
        <v>17011697</v>
      </c>
      <c r="D35" s="812" t="s">
        <v>3192</v>
      </c>
      <c r="E35" s="813">
        <v>77806</v>
      </c>
      <c r="F35" s="813">
        <v>5000</v>
      </c>
      <c r="G35" s="812" t="s">
        <v>3009</v>
      </c>
      <c r="H35" s="813" t="s">
        <v>3003</v>
      </c>
      <c r="I35" s="812" t="s">
        <v>16</v>
      </c>
      <c r="J35" s="814"/>
      <c r="K35" s="814"/>
      <c r="L35" s="814"/>
      <c r="M35" s="814"/>
      <c r="N35" s="814"/>
      <c r="O35" s="814"/>
      <c r="P35" s="813"/>
      <c r="Q35" s="814"/>
      <c r="R35" s="814"/>
      <c r="S35" s="814"/>
      <c r="T35" s="814"/>
      <c r="U35" s="814"/>
      <c r="V35" s="814"/>
      <c r="W35" s="814"/>
      <c r="X35" s="814"/>
      <c r="Y35" s="813"/>
      <c r="Z35" s="814"/>
      <c r="AA35" s="814"/>
      <c r="AB35" s="814"/>
      <c r="AC35" s="814"/>
      <c r="AD35" s="814"/>
      <c r="AE35" s="814"/>
      <c r="AF35" s="813">
        <v>5000</v>
      </c>
      <c r="AG35" s="813"/>
      <c r="AH35" s="815" t="s">
        <v>3273</v>
      </c>
    </row>
    <row r="36" s="787" customFormat="1" ht="15" customHeight="1" spans="1:34">
      <c r="A36" s="810">
        <v>45943</v>
      </c>
      <c r="B36" s="811" t="s">
        <v>3276</v>
      </c>
      <c r="C36" s="812">
        <v>17011895</v>
      </c>
      <c r="D36" s="812" t="s">
        <v>3192</v>
      </c>
      <c r="E36" s="813">
        <v>77806</v>
      </c>
      <c r="F36" s="813">
        <v>20000</v>
      </c>
      <c r="G36" s="812" t="s">
        <v>2985</v>
      </c>
      <c r="H36" s="813" t="s">
        <v>3003</v>
      </c>
      <c r="I36" s="812" t="s">
        <v>16</v>
      </c>
      <c r="J36" s="814"/>
      <c r="K36" s="814"/>
      <c r="L36" s="813">
        <v>20000</v>
      </c>
      <c r="M36" s="814"/>
      <c r="N36" s="814"/>
      <c r="O36" s="814"/>
      <c r="P36" s="813"/>
      <c r="Q36" s="814"/>
      <c r="R36" s="814"/>
      <c r="S36" s="814"/>
      <c r="T36" s="814"/>
      <c r="U36" s="814"/>
      <c r="V36" s="814"/>
      <c r="W36" s="814"/>
      <c r="X36" s="814"/>
      <c r="Y36" s="813"/>
      <c r="Z36" s="814"/>
      <c r="AA36" s="814"/>
      <c r="AB36" s="814"/>
      <c r="AC36" s="814"/>
      <c r="AD36" s="814"/>
      <c r="AE36" s="814"/>
      <c r="AF36" s="814"/>
      <c r="AG36" s="813"/>
      <c r="AH36" s="815" t="s">
        <v>3273</v>
      </c>
    </row>
    <row r="37" s="787" customFormat="1" ht="15" customHeight="1" spans="1:34">
      <c r="A37" s="810">
        <v>45947</v>
      </c>
      <c r="B37" s="811" t="s">
        <v>3277</v>
      </c>
      <c r="C37" s="812">
        <v>17011414</v>
      </c>
      <c r="D37" s="812" t="s">
        <v>3278</v>
      </c>
      <c r="E37" s="813" t="s">
        <v>3246</v>
      </c>
      <c r="F37" s="813">
        <v>500</v>
      </c>
      <c r="G37" s="812" t="s">
        <v>2997</v>
      </c>
      <c r="H37" s="813" t="s">
        <v>2991</v>
      </c>
      <c r="I37" s="812" t="s">
        <v>16</v>
      </c>
      <c r="J37" s="814"/>
      <c r="K37" s="814"/>
      <c r="L37" s="813"/>
      <c r="M37" s="814"/>
      <c r="N37" s="814"/>
      <c r="O37" s="814"/>
      <c r="P37" s="813"/>
      <c r="Q37" s="814"/>
      <c r="R37" s="814">
        <v>500</v>
      </c>
      <c r="S37" s="814"/>
      <c r="T37" s="814"/>
      <c r="U37" s="814"/>
      <c r="V37" s="814"/>
      <c r="W37" s="814"/>
      <c r="X37" s="814"/>
      <c r="Y37" s="813"/>
      <c r="Z37" s="814"/>
      <c r="AA37" s="814"/>
      <c r="AB37" s="814"/>
      <c r="AC37" s="814"/>
      <c r="AD37" s="814"/>
      <c r="AE37" s="814"/>
      <c r="AF37" s="814"/>
      <c r="AG37" s="813"/>
      <c r="AH37" s="815" t="s">
        <v>3279</v>
      </c>
    </row>
    <row r="38" s="787" customFormat="1" ht="15" customHeight="1" spans="1:34">
      <c r="A38" s="810">
        <v>45950</v>
      </c>
      <c r="B38" s="811" t="s">
        <v>3280</v>
      </c>
      <c r="C38" s="812">
        <v>17011157</v>
      </c>
      <c r="D38" s="812" t="s">
        <v>3237</v>
      </c>
      <c r="E38" s="813">
        <v>77770</v>
      </c>
      <c r="F38" s="813">
        <v>100000</v>
      </c>
      <c r="G38" s="812" t="s">
        <v>2990</v>
      </c>
      <c r="H38" s="813" t="s">
        <v>2991</v>
      </c>
      <c r="I38" s="812" t="s">
        <v>16</v>
      </c>
      <c r="J38" s="813">
        <v>100000</v>
      </c>
      <c r="K38" s="814"/>
      <c r="L38" s="813"/>
      <c r="M38" s="814"/>
      <c r="N38" s="814"/>
      <c r="O38" s="814"/>
      <c r="P38" s="813"/>
      <c r="Q38" s="814"/>
      <c r="R38" s="814"/>
      <c r="S38" s="814"/>
      <c r="T38" s="814"/>
      <c r="U38" s="814"/>
      <c r="V38" s="814"/>
      <c r="W38" s="814"/>
      <c r="X38" s="814"/>
      <c r="Y38" s="813"/>
      <c r="Z38" s="814"/>
      <c r="AA38" s="814"/>
      <c r="AB38" s="814"/>
      <c r="AC38" s="814"/>
      <c r="AD38" s="814"/>
      <c r="AE38" s="814"/>
      <c r="AF38" s="814"/>
      <c r="AG38" s="813"/>
      <c r="AH38" s="815"/>
    </row>
    <row r="39" s="787" customFormat="1" ht="15" customHeight="1" spans="1:34">
      <c r="A39" s="810">
        <v>45950</v>
      </c>
      <c r="B39" s="811" t="s">
        <v>3281</v>
      </c>
      <c r="C39" s="812">
        <v>17011158</v>
      </c>
      <c r="D39" s="812" t="s">
        <v>3237</v>
      </c>
      <c r="E39" s="813">
        <v>77770</v>
      </c>
      <c r="F39" s="813">
        <v>100000</v>
      </c>
      <c r="G39" s="812" t="s">
        <v>2993</v>
      </c>
      <c r="H39" s="813" t="s">
        <v>2994</v>
      </c>
      <c r="I39" s="812" t="s">
        <v>16</v>
      </c>
      <c r="J39" s="814"/>
      <c r="K39" s="814"/>
      <c r="L39" s="813"/>
      <c r="M39" s="813">
        <v>100000</v>
      </c>
      <c r="N39" s="814"/>
      <c r="O39" s="814"/>
      <c r="P39" s="813"/>
      <c r="Q39" s="814"/>
      <c r="R39" s="814"/>
      <c r="S39" s="814"/>
      <c r="T39" s="814"/>
      <c r="U39" s="814"/>
      <c r="V39" s="814"/>
      <c r="W39" s="814"/>
      <c r="X39" s="814"/>
      <c r="Y39" s="813"/>
      <c r="Z39" s="814"/>
      <c r="AA39" s="814"/>
      <c r="AB39" s="814"/>
      <c r="AC39" s="814"/>
      <c r="AD39" s="814"/>
      <c r="AE39" s="814"/>
      <c r="AF39" s="814"/>
      <c r="AG39" s="813"/>
      <c r="AH39" s="815"/>
    </row>
    <row r="40" s="787" customFormat="1" ht="15" customHeight="1" spans="1:34">
      <c r="A40" s="810">
        <v>45950</v>
      </c>
      <c r="B40" s="811" t="s">
        <v>3282</v>
      </c>
      <c r="C40" s="812" t="s">
        <v>3240</v>
      </c>
      <c r="D40" s="812" t="s">
        <v>3237</v>
      </c>
      <c r="E40" s="813" t="s">
        <v>3241</v>
      </c>
      <c r="F40" s="813">
        <v>2500</v>
      </c>
      <c r="G40" s="812" t="s">
        <v>2997</v>
      </c>
      <c r="H40" s="813" t="s">
        <v>2991</v>
      </c>
      <c r="I40" s="812" t="s">
        <v>16</v>
      </c>
      <c r="J40" s="814"/>
      <c r="K40" s="814"/>
      <c r="L40" s="813"/>
      <c r="M40" s="814"/>
      <c r="N40" s="813">
        <v>2500</v>
      </c>
      <c r="O40" s="814"/>
      <c r="P40" s="813"/>
      <c r="Q40" s="814"/>
      <c r="R40" s="814"/>
      <c r="S40" s="814"/>
      <c r="T40" s="814"/>
      <c r="U40" s="814"/>
      <c r="V40" s="814"/>
      <c r="W40" s="814"/>
      <c r="X40" s="814"/>
      <c r="Y40" s="813"/>
      <c r="Z40" s="814"/>
      <c r="AA40" s="814"/>
      <c r="AB40" s="814"/>
      <c r="AC40" s="814"/>
      <c r="AD40" s="814"/>
      <c r="AE40" s="814"/>
      <c r="AF40" s="814"/>
      <c r="AG40" s="813"/>
      <c r="AH40" s="815"/>
    </row>
    <row r="41" s="787" customFormat="1" ht="15" customHeight="1" spans="1:34">
      <c r="A41" s="810">
        <v>45950</v>
      </c>
      <c r="B41" s="811" t="s">
        <v>3283</v>
      </c>
      <c r="C41" s="812" t="s">
        <v>3284</v>
      </c>
      <c r="D41" s="812" t="s">
        <v>3237</v>
      </c>
      <c r="E41" s="813" t="s">
        <v>3241</v>
      </c>
      <c r="F41" s="813">
        <v>500</v>
      </c>
      <c r="G41" s="812" t="s">
        <v>2997</v>
      </c>
      <c r="H41" s="813" t="s">
        <v>3003</v>
      </c>
      <c r="I41" s="812" t="s">
        <v>16</v>
      </c>
      <c r="J41" s="814"/>
      <c r="K41" s="814"/>
      <c r="L41" s="813"/>
      <c r="M41" s="814"/>
      <c r="N41" s="814"/>
      <c r="O41" s="813">
        <v>500</v>
      </c>
      <c r="P41" s="813"/>
      <c r="Q41" s="814"/>
      <c r="R41" s="814"/>
      <c r="S41" s="814"/>
      <c r="T41" s="814"/>
      <c r="U41" s="814"/>
      <c r="V41" s="814"/>
      <c r="W41" s="814"/>
      <c r="X41" s="814"/>
      <c r="Y41" s="813"/>
      <c r="Z41" s="814"/>
      <c r="AA41" s="814"/>
      <c r="AB41" s="814"/>
      <c r="AC41" s="814"/>
      <c r="AD41" s="814"/>
      <c r="AE41" s="814"/>
      <c r="AF41" s="814"/>
      <c r="AG41" s="813"/>
      <c r="AH41" s="815"/>
    </row>
    <row r="42" s="787" customFormat="1" ht="15" customHeight="1" spans="1:34">
      <c r="A42" s="810">
        <v>45950</v>
      </c>
      <c r="B42" s="811" t="s">
        <v>3285</v>
      </c>
      <c r="C42" s="812" t="s">
        <v>3250</v>
      </c>
      <c r="D42" s="812" t="s">
        <v>3237</v>
      </c>
      <c r="E42" s="813" t="s">
        <v>3243</v>
      </c>
      <c r="F42" s="813">
        <v>1000</v>
      </c>
      <c r="G42" s="812" t="s">
        <v>2997</v>
      </c>
      <c r="H42" s="813" t="s">
        <v>2991</v>
      </c>
      <c r="I42" s="812" t="s">
        <v>16</v>
      </c>
      <c r="J42" s="814"/>
      <c r="K42" s="814"/>
      <c r="L42" s="813"/>
      <c r="M42" s="814"/>
      <c r="N42" s="814"/>
      <c r="O42" s="814"/>
      <c r="P42" s="813">
        <v>1000</v>
      </c>
      <c r="Q42" s="814"/>
      <c r="R42" s="814"/>
      <c r="S42" s="814"/>
      <c r="T42" s="814"/>
      <c r="U42" s="814"/>
      <c r="V42" s="814"/>
      <c r="W42" s="814"/>
      <c r="X42" s="814"/>
      <c r="Y42" s="813"/>
      <c r="Z42" s="814"/>
      <c r="AA42" s="814"/>
      <c r="AB42" s="814"/>
      <c r="AC42" s="814"/>
      <c r="AD42" s="814"/>
      <c r="AE42" s="814"/>
      <c r="AF42" s="814"/>
      <c r="AG42" s="813"/>
      <c r="AH42" s="815"/>
    </row>
    <row r="43" s="787" customFormat="1" ht="15" customHeight="1" spans="1:34">
      <c r="A43" s="810">
        <v>45961</v>
      </c>
      <c r="B43" s="811" t="s">
        <v>3286</v>
      </c>
      <c r="C43" s="812">
        <v>17011414</v>
      </c>
      <c r="D43" s="812" t="s">
        <v>3287</v>
      </c>
      <c r="E43" s="813" t="s">
        <v>3246</v>
      </c>
      <c r="F43" s="813">
        <v>500</v>
      </c>
      <c r="G43" s="812" t="s">
        <v>2997</v>
      </c>
      <c r="H43" s="813" t="s">
        <v>2991</v>
      </c>
      <c r="I43" s="812" t="s">
        <v>16</v>
      </c>
      <c r="J43" s="814"/>
      <c r="K43" s="814"/>
      <c r="L43" s="814"/>
      <c r="M43" s="814"/>
      <c r="N43" s="814"/>
      <c r="O43" s="814"/>
      <c r="P43" s="813"/>
      <c r="Q43" s="814"/>
      <c r="R43" s="814">
        <v>500</v>
      </c>
      <c r="S43" s="814"/>
      <c r="T43" s="814"/>
      <c r="U43" s="814"/>
      <c r="V43" s="814"/>
      <c r="W43" s="814"/>
      <c r="X43" s="814"/>
      <c r="Y43" s="813"/>
      <c r="Z43" s="814"/>
      <c r="AA43" s="814"/>
      <c r="AB43" s="814"/>
      <c r="AC43" s="814"/>
      <c r="AD43" s="814"/>
      <c r="AE43" s="814"/>
      <c r="AF43" s="814"/>
      <c r="AG43" s="813"/>
      <c r="AH43" s="815" t="s">
        <v>3288</v>
      </c>
    </row>
    <row r="44" s="787" customFormat="1" ht="15" customHeight="1" spans="1:34">
      <c r="A44" s="810">
        <v>45962</v>
      </c>
      <c r="B44" s="811" t="s">
        <v>3289</v>
      </c>
      <c r="C44" s="812" t="s">
        <v>3250</v>
      </c>
      <c r="D44" s="812" t="s">
        <v>3237</v>
      </c>
      <c r="E44" s="813" t="s">
        <v>3243</v>
      </c>
      <c r="F44" s="813">
        <v>1500</v>
      </c>
      <c r="G44" s="812" t="s">
        <v>2997</v>
      </c>
      <c r="H44" s="813" t="s">
        <v>2991</v>
      </c>
      <c r="I44" s="812" t="s">
        <v>16</v>
      </c>
      <c r="J44" s="814"/>
      <c r="K44" s="814"/>
      <c r="L44" s="814"/>
      <c r="M44" s="814"/>
      <c r="N44" s="814"/>
      <c r="O44" s="814"/>
      <c r="P44" s="813">
        <v>1500</v>
      </c>
      <c r="Q44" s="814"/>
      <c r="R44" s="814"/>
      <c r="S44" s="814"/>
      <c r="T44" s="814"/>
      <c r="U44" s="814"/>
      <c r="V44" s="814"/>
      <c r="W44" s="814"/>
      <c r="X44" s="814"/>
      <c r="Y44" s="813"/>
      <c r="Z44" s="814"/>
      <c r="AA44" s="814"/>
      <c r="AB44" s="814"/>
      <c r="AC44" s="814"/>
      <c r="AD44" s="814"/>
      <c r="AE44" s="814"/>
      <c r="AF44" s="814"/>
      <c r="AG44" s="813"/>
      <c r="AH44" s="815"/>
    </row>
    <row r="45" s="787" customFormat="1" ht="15" customHeight="1" spans="1:34">
      <c r="A45" s="810">
        <v>45962</v>
      </c>
      <c r="B45" s="811" t="s">
        <v>3290</v>
      </c>
      <c r="C45" s="812" t="s">
        <v>3259</v>
      </c>
      <c r="D45" s="812" t="s">
        <v>3237</v>
      </c>
      <c r="E45" s="813" t="s">
        <v>3243</v>
      </c>
      <c r="F45" s="813">
        <v>500</v>
      </c>
      <c r="G45" s="812" t="s">
        <v>2997</v>
      </c>
      <c r="H45" s="813" t="s">
        <v>3003</v>
      </c>
      <c r="I45" s="812" t="s">
        <v>16</v>
      </c>
      <c r="J45" s="814"/>
      <c r="K45" s="814"/>
      <c r="L45" s="814"/>
      <c r="M45" s="814"/>
      <c r="N45" s="814"/>
      <c r="O45" s="814"/>
      <c r="P45" s="813"/>
      <c r="Q45" s="814">
        <v>500</v>
      </c>
      <c r="R45" s="814"/>
      <c r="S45" s="814"/>
      <c r="T45" s="814"/>
      <c r="U45" s="814"/>
      <c r="V45" s="814"/>
      <c r="W45" s="814"/>
      <c r="X45" s="814"/>
      <c r="Y45" s="813"/>
      <c r="Z45" s="814"/>
      <c r="AA45" s="814"/>
      <c r="AB45" s="814"/>
      <c r="AC45" s="814"/>
      <c r="AD45" s="814"/>
      <c r="AE45" s="814"/>
      <c r="AF45" s="814"/>
      <c r="AG45" s="813"/>
      <c r="AH45" s="815"/>
    </row>
    <row r="46" s="787" customFormat="1" ht="15" customHeight="1" spans="1:34">
      <c r="A46" s="810">
        <v>45973</v>
      </c>
      <c r="B46" s="811" t="s">
        <v>3291</v>
      </c>
      <c r="C46" s="812">
        <v>17011157</v>
      </c>
      <c r="D46" s="812" t="s">
        <v>3237</v>
      </c>
      <c r="E46" s="813">
        <v>77770</v>
      </c>
      <c r="F46" s="813">
        <v>40000</v>
      </c>
      <c r="G46" s="812" t="s">
        <v>2990</v>
      </c>
      <c r="H46" s="813" t="s">
        <v>2991</v>
      </c>
      <c r="I46" s="812" t="s">
        <v>16</v>
      </c>
      <c r="J46" s="813">
        <v>40000</v>
      </c>
      <c r="K46" s="814"/>
      <c r="L46" s="814"/>
      <c r="M46" s="814"/>
      <c r="N46" s="814"/>
      <c r="O46" s="814"/>
      <c r="P46" s="813"/>
      <c r="Q46" s="814"/>
      <c r="R46" s="814"/>
      <c r="S46" s="814"/>
      <c r="T46" s="814"/>
      <c r="U46" s="814"/>
      <c r="V46" s="814"/>
      <c r="W46" s="814"/>
      <c r="X46" s="814"/>
      <c r="Y46" s="813"/>
      <c r="Z46" s="814"/>
      <c r="AA46" s="814"/>
      <c r="AB46" s="814"/>
      <c r="AC46" s="814"/>
      <c r="AD46" s="814"/>
      <c r="AE46" s="814"/>
      <c r="AF46" s="814"/>
      <c r="AG46" s="813"/>
      <c r="AH46" s="815"/>
    </row>
    <row r="47" s="787" customFormat="1" ht="15" customHeight="1" spans="1:34">
      <c r="A47" s="810">
        <v>45972</v>
      </c>
      <c r="B47" s="811" t="s">
        <v>3291</v>
      </c>
      <c r="C47" s="812" t="s">
        <v>3270</v>
      </c>
      <c r="D47" s="812" t="s">
        <v>3237</v>
      </c>
      <c r="E47" s="813">
        <v>77770</v>
      </c>
      <c r="F47" s="813">
        <v>20000</v>
      </c>
      <c r="G47" s="812" t="s">
        <v>2990</v>
      </c>
      <c r="H47" s="813" t="s">
        <v>3003</v>
      </c>
      <c r="I47" s="812" t="s">
        <v>16</v>
      </c>
      <c r="J47" s="814"/>
      <c r="K47" s="813">
        <v>20000</v>
      </c>
      <c r="L47" s="814"/>
      <c r="M47" s="814"/>
      <c r="N47" s="814"/>
      <c r="O47" s="814"/>
      <c r="P47" s="813"/>
      <c r="Q47" s="814"/>
      <c r="R47" s="814"/>
      <c r="S47" s="814"/>
      <c r="T47" s="814"/>
      <c r="U47" s="814"/>
      <c r="V47" s="814"/>
      <c r="W47" s="814"/>
      <c r="X47" s="814"/>
      <c r="Y47" s="813"/>
      <c r="Z47" s="814"/>
      <c r="AA47" s="814"/>
      <c r="AB47" s="814"/>
      <c r="AC47" s="814"/>
      <c r="AD47" s="814"/>
      <c r="AE47" s="814"/>
      <c r="AF47" s="814"/>
      <c r="AG47" s="813"/>
      <c r="AH47" s="815"/>
    </row>
    <row r="48" s="787" customFormat="1" ht="15" customHeight="1" spans="1:34">
      <c r="A48" s="810">
        <v>45972</v>
      </c>
      <c r="B48" s="811" t="s">
        <v>3292</v>
      </c>
      <c r="C48" s="812">
        <v>17011158</v>
      </c>
      <c r="D48" s="812" t="s">
        <v>3237</v>
      </c>
      <c r="E48" s="813">
        <v>77770</v>
      </c>
      <c r="F48" s="813">
        <v>40000</v>
      </c>
      <c r="G48" s="812" t="s">
        <v>2993</v>
      </c>
      <c r="H48" s="813" t="s">
        <v>2994</v>
      </c>
      <c r="I48" s="812" t="s">
        <v>16</v>
      </c>
      <c r="J48" s="814"/>
      <c r="K48" s="814"/>
      <c r="L48" s="814"/>
      <c r="M48" s="813">
        <v>40000</v>
      </c>
      <c r="N48" s="814"/>
      <c r="O48" s="814"/>
      <c r="P48" s="813"/>
      <c r="Q48" s="814"/>
      <c r="R48" s="814"/>
      <c r="S48" s="814"/>
      <c r="T48" s="814"/>
      <c r="U48" s="814"/>
      <c r="V48" s="814"/>
      <c r="W48" s="814"/>
      <c r="X48" s="814"/>
      <c r="Y48" s="813"/>
      <c r="Z48" s="814"/>
      <c r="AA48" s="814"/>
      <c r="AB48" s="814"/>
      <c r="AC48" s="814"/>
      <c r="AD48" s="814"/>
      <c r="AE48" s="814"/>
      <c r="AF48" s="814"/>
      <c r="AG48" s="813"/>
      <c r="AH48" s="815"/>
    </row>
    <row r="49" s="787" customFormat="1" ht="15" customHeight="1" spans="1:34">
      <c r="A49" s="810">
        <f t="shared" ref="A47:A52" si="0">A48+1</f>
        <v>45973</v>
      </c>
      <c r="B49" s="811" t="s">
        <v>3293</v>
      </c>
      <c r="C49" s="812" t="s">
        <v>3284</v>
      </c>
      <c r="D49" s="812" t="s">
        <v>3237</v>
      </c>
      <c r="E49" s="813" t="s">
        <v>3241</v>
      </c>
      <c r="F49" s="813">
        <v>500</v>
      </c>
      <c r="G49" s="812" t="s">
        <v>2997</v>
      </c>
      <c r="H49" s="813" t="s">
        <v>3003</v>
      </c>
      <c r="I49" s="812" t="s">
        <v>16</v>
      </c>
      <c r="J49" s="814"/>
      <c r="K49" s="814"/>
      <c r="L49" s="814"/>
      <c r="M49" s="814"/>
      <c r="N49" s="813"/>
      <c r="O49" s="813">
        <v>500</v>
      </c>
      <c r="P49" s="813"/>
      <c r="Q49" s="813"/>
      <c r="R49" s="814"/>
      <c r="S49" s="814"/>
      <c r="T49" s="814"/>
      <c r="U49" s="814"/>
      <c r="V49" s="814"/>
      <c r="W49" s="814"/>
      <c r="X49" s="814"/>
      <c r="Y49" s="813"/>
      <c r="Z49" s="814"/>
      <c r="AA49" s="814"/>
      <c r="AB49" s="814"/>
      <c r="AC49" s="814"/>
      <c r="AD49" s="814"/>
      <c r="AE49" s="814"/>
      <c r="AF49" s="814"/>
      <c r="AG49" s="813"/>
      <c r="AH49" s="815"/>
    </row>
    <row r="50" s="787" customFormat="1" ht="15" customHeight="1" spans="1:34">
      <c r="A50" s="810">
        <f t="shared" si="0"/>
        <v>45974</v>
      </c>
      <c r="B50" s="811" t="s">
        <v>3294</v>
      </c>
      <c r="C50" s="812" t="s">
        <v>3250</v>
      </c>
      <c r="D50" s="812" t="s">
        <v>3237</v>
      </c>
      <c r="E50" s="813" t="s">
        <v>3243</v>
      </c>
      <c r="F50" s="813">
        <v>2000</v>
      </c>
      <c r="G50" s="812" t="s">
        <v>2997</v>
      </c>
      <c r="H50" s="813" t="s">
        <v>2991</v>
      </c>
      <c r="I50" s="812" t="s">
        <v>16</v>
      </c>
      <c r="J50" s="814"/>
      <c r="K50" s="814"/>
      <c r="L50" s="814"/>
      <c r="M50" s="814"/>
      <c r="N50" s="814"/>
      <c r="O50" s="814"/>
      <c r="P50" s="813">
        <v>2000</v>
      </c>
      <c r="Q50" s="814"/>
      <c r="R50" s="814"/>
      <c r="S50" s="814"/>
      <c r="T50" s="814"/>
      <c r="U50" s="814"/>
      <c r="V50" s="814"/>
      <c r="W50" s="814"/>
      <c r="X50" s="814"/>
      <c r="Y50" s="813"/>
      <c r="Z50" s="814"/>
      <c r="AA50" s="814"/>
      <c r="AB50" s="814"/>
      <c r="AC50" s="814"/>
      <c r="AD50" s="814"/>
      <c r="AE50" s="814"/>
      <c r="AF50" s="814"/>
      <c r="AG50" s="813"/>
      <c r="AH50" s="815"/>
    </row>
    <row r="51" s="787" customFormat="1" ht="15" customHeight="1" spans="1:34">
      <c r="A51" s="810">
        <f t="shared" si="0"/>
        <v>45975</v>
      </c>
      <c r="B51" s="811" t="s">
        <v>3295</v>
      </c>
      <c r="C51" s="812" t="s">
        <v>3259</v>
      </c>
      <c r="D51" s="812" t="s">
        <v>3237</v>
      </c>
      <c r="E51" s="813" t="s">
        <v>3243</v>
      </c>
      <c r="F51" s="813">
        <v>500</v>
      </c>
      <c r="G51" s="812" t="s">
        <v>2997</v>
      </c>
      <c r="H51" s="813" t="s">
        <v>3003</v>
      </c>
      <c r="I51" s="812" t="s">
        <v>16</v>
      </c>
      <c r="J51" s="814"/>
      <c r="K51" s="814"/>
      <c r="L51" s="814"/>
      <c r="M51" s="814"/>
      <c r="N51" s="814"/>
      <c r="O51" s="814"/>
      <c r="P51" s="813"/>
      <c r="Q51" s="813">
        <v>500</v>
      </c>
      <c r="R51" s="814"/>
      <c r="S51" s="814"/>
      <c r="T51" s="814"/>
      <c r="U51" s="814"/>
      <c r="V51" s="814"/>
      <c r="W51" s="814"/>
      <c r="X51" s="814"/>
      <c r="Y51" s="813"/>
      <c r="Z51" s="814"/>
      <c r="AA51" s="814"/>
      <c r="AB51" s="814"/>
      <c r="AC51" s="814"/>
      <c r="AD51" s="814"/>
      <c r="AE51" s="814"/>
      <c r="AF51" s="814"/>
      <c r="AG51" s="813"/>
      <c r="AH51" s="815"/>
    </row>
    <row r="52" s="787" customFormat="1" ht="15" customHeight="1" spans="1:34">
      <c r="A52" s="810">
        <f t="shared" si="0"/>
        <v>45976</v>
      </c>
      <c r="B52" s="811" t="s">
        <v>3296</v>
      </c>
      <c r="C52" s="812">
        <v>17011903</v>
      </c>
      <c r="D52" s="812" t="s">
        <v>3237</v>
      </c>
      <c r="E52" s="813" t="s">
        <v>3260</v>
      </c>
      <c r="F52" s="813">
        <v>200</v>
      </c>
      <c r="G52" s="812" t="s">
        <v>3265</v>
      </c>
      <c r="H52" s="813" t="s">
        <v>2991</v>
      </c>
      <c r="I52" s="812" t="s">
        <v>16</v>
      </c>
      <c r="J52" s="814"/>
      <c r="K52" s="814"/>
      <c r="L52" s="814"/>
      <c r="M52" s="814"/>
      <c r="N52" s="814"/>
      <c r="O52" s="814"/>
      <c r="P52" s="813"/>
      <c r="Q52" s="814"/>
      <c r="R52" s="814"/>
      <c r="S52" s="814"/>
      <c r="T52" s="814"/>
      <c r="U52" s="814"/>
      <c r="V52" s="814"/>
      <c r="W52" s="814"/>
      <c r="X52" s="814"/>
      <c r="Y52" s="813"/>
      <c r="Z52" s="813">
        <v>200</v>
      </c>
      <c r="AA52" s="814"/>
      <c r="AB52" s="814"/>
      <c r="AC52" s="814"/>
      <c r="AD52" s="814"/>
      <c r="AE52" s="814"/>
      <c r="AF52" s="814"/>
      <c r="AG52" s="813"/>
      <c r="AH52" s="842" t="s">
        <v>3266</v>
      </c>
    </row>
    <row r="53" s="787" customFormat="1" ht="15" customHeight="1" spans="1:34">
      <c r="A53" s="810">
        <v>45987</v>
      </c>
      <c r="B53" s="811" t="s">
        <v>3297</v>
      </c>
      <c r="C53" s="812">
        <v>17011157</v>
      </c>
      <c r="D53" s="812" t="s">
        <v>3237</v>
      </c>
      <c r="E53" s="813">
        <v>77770</v>
      </c>
      <c r="F53" s="813">
        <v>20000</v>
      </c>
      <c r="G53" s="812" t="s">
        <v>2990</v>
      </c>
      <c r="H53" s="813" t="s">
        <v>2991</v>
      </c>
      <c r="I53" s="812" t="s">
        <v>16</v>
      </c>
      <c r="J53" s="813">
        <v>20000</v>
      </c>
      <c r="K53" s="814"/>
      <c r="L53" s="814"/>
      <c r="M53" s="814"/>
      <c r="N53" s="814"/>
      <c r="O53" s="814"/>
      <c r="P53" s="813"/>
      <c r="Q53" s="814"/>
      <c r="R53" s="814"/>
      <c r="S53" s="814"/>
      <c r="T53" s="814"/>
      <c r="U53" s="814"/>
      <c r="V53" s="814"/>
      <c r="W53" s="814"/>
      <c r="X53" s="814"/>
      <c r="Y53" s="813"/>
      <c r="Z53" s="814"/>
      <c r="AA53" s="814"/>
      <c r="AB53" s="814"/>
      <c r="AC53" s="814"/>
      <c r="AD53" s="814"/>
      <c r="AE53" s="814"/>
      <c r="AF53" s="814"/>
      <c r="AG53" s="813"/>
      <c r="AH53" s="815"/>
    </row>
    <row r="54" s="787" customFormat="1" ht="15" customHeight="1" spans="1:34">
      <c r="A54" s="810">
        <v>45987</v>
      </c>
      <c r="B54" s="811" t="s">
        <v>3298</v>
      </c>
      <c r="C54" s="812">
        <v>17011158</v>
      </c>
      <c r="D54" s="812" t="s">
        <v>3237</v>
      </c>
      <c r="E54" s="813">
        <v>77770</v>
      </c>
      <c r="F54" s="813">
        <v>30000</v>
      </c>
      <c r="G54" s="812" t="s">
        <v>2993</v>
      </c>
      <c r="H54" s="813" t="s">
        <v>2994</v>
      </c>
      <c r="I54" s="812" t="s">
        <v>16</v>
      </c>
      <c r="J54" s="814"/>
      <c r="K54" s="814"/>
      <c r="L54" s="814"/>
      <c r="M54" s="813">
        <v>30000</v>
      </c>
      <c r="N54" s="814"/>
      <c r="O54" s="814"/>
      <c r="P54" s="813"/>
      <c r="Q54" s="814"/>
      <c r="R54" s="814"/>
      <c r="S54" s="814"/>
      <c r="T54" s="814"/>
      <c r="U54" s="814"/>
      <c r="V54" s="814"/>
      <c r="W54" s="814"/>
      <c r="X54" s="814"/>
      <c r="Y54" s="813"/>
      <c r="Z54" s="814"/>
      <c r="AA54" s="814"/>
      <c r="AB54" s="814"/>
      <c r="AC54" s="814"/>
      <c r="AD54" s="814"/>
      <c r="AE54" s="814"/>
      <c r="AF54" s="814"/>
      <c r="AG54" s="813"/>
      <c r="AH54" s="815"/>
    </row>
    <row r="55" s="787" customFormat="1" ht="15" customHeight="1" spans="1:34">
      <c r="A55" s="810">
        <v>45987</v>
      </c>
      <c r="B55" s="811" t="s">
        <v>3299</v>
      </c>
      <c r="C55" s="812">
        <v>17011902</v>
      </c>
      <c r="D55" s="812" t="s">
        <v>3237</v>
      </c>
      <c r="E55" s="813" t="s">
        <v>3260</v>
      </c>
      <c r="F55" s="813">
        <v>902</v>
      </c>
      <c r="G55" s="812" t="s">
        <v>3261</v>
      </c>
      <c r="H55" s="813" t="s">
        <v>2991</v>
      </c>
      <c r="I55" s="812" t="s">
        <v>16</v>
      </c>
      <c r="J55" s="814"/>
      <c r="K55" s="814"/>
      <c r="L55" s="814"/>
      <c r="M55" s="814"/>
      <c r="N55" s="814"/>
      <c r="O55" s="814"/>
      <c r="P55" s="813"/>
      <c r="Q55" s="814"/>
      <c r="R55" s="814"/>
      <c r="S55" s="814"/>
      <c r="T55" s="814"/>
      <c r="U55" s="814"/>
      <c r="V55" s="814"/>
      <c r="W55" s="814"/>
      <c r="X55" s="814"/>
      <c r="Y55" s="813">
        <v>902</v>
      </c>
      <c r="Z55" s="814"/>
      <c r="AA55" s="814"/>
      <c r="AB55" s="814"/>
      <c r="AC55" s="814"/>
      <c r="AD55" s="814"/>
      <c r="AE55" s="814"/>
      <c r="AF55" s="814"/>
      <c r="AG55" s="813"/>
      <c r="AH55" s="815"/>
    </row>
    <row r="56" s="787" customFormat="1" ht="15" customHeight="1" spans="1:34">
      <c r="A56" s="810">
        <v>45988</v>
      </c>
      <c r="B56" s="811" t="s">
        <v>3300</v>
      </c>
      <c r="C56" s="812">
        <v>17011414</v>
      </c>
      <c r="D56" s="812" t="s">
        <v>3287</v>
      </c>
      <c r="E56" s="813" t="s">
        <v>3246</v>
      </c>
      <c r="F56" s="813">
        <v>540</v>
      </c>
      <c r="G56" s="812" t="s">
        <v>2997</v>
      </c>
      <c r="H56" s="813" t="s">
        <v>2991</v>
      </c>
      <c r="I56" s="812" t="s">
        <v>16</v>
      </c>
      <c r="J56" s="814"/>
      <c r="K56" s="814"/>
      <c r="L56" s="814"/>
      <c r="M56" s="814"/>
      <c r="N56" s="814"/>
      <c r="O56" s="814"/>
      <c r="P56" s="813"/>
      <c r="Q56" s="814"/>
      <c r="R56" s="814">
        <v>540</v>
      </c>
      <c r="S56" s="814"/>
      <c r="T56" s="814"/>
      <c r="U56" s="814"/>
      <c r="V56" s="814"/>
      <c r="W56" s="814"/>
      <c r="X56" s="814"/>
      <c r="Y56" s="813"/>
      <c r="Z56" s="814"/>
      <c r="AA56" s="814"/>
      <c r="AB56" s="814"/>
      <c r="AC56" s="814"/>
      <c r="AD56" s="814"/>
      <c r="AE56" s="814"/>
      <c r="AF56" s="814"/>
      <c r="AG56" s="813"/>
      <c r="AH56" s="815"/>
    </row>
    <row r="57" s="787" customFormat="1" ht="15" customHeight="1" spans="1:34">
      <c r="A57" s="810">
        <v>46000</v>
      </c>
      <c r="B57" s="811" t="s">
        <v>3092</v>
      </c>
      <c r="C57" s="812">
        <v>17011157</v>
      </c>
      <c r="D57" s="812" t="s">
        <v>3237</v>
      </c>
      <c r="E57" s="813">
        <v>77770</v>
      </c>
      <c r="F57" s="813">
        <v>20000</v>
      </c>
      <c r="G57" s="812" t="s">
        <v>2990</v>
      </c>
      <c r="H57" s="813" t="s">
        <v>2991</v>
      </c>
      <c r="I57" s="812" t="s">
        <v>16</v>
      </c>
      <c r="J57" s="813">
        <v>20000</v>
      </c>
      <c r="K57" s="814"/>
      <c r="L57" s="814"/>
      <c r="M57" s="814"/>
      <c r="N57" s="814"/>
      <c r="O57" s="814"/>
      <c r="P57" s="813"/>
      <c r="Q57" s="814"/>
      <c r="R57" s="814"/>
      <c r="S57" s="814"/>
      <c r="T57" s="814"/>
      <c r="U57" s="814"/>
      <c r="V57" s="814"/>
      <c r="W57" s="814"/>
      <c r="X57" s="814"/>
      <c r="Y57" s="813"/>
      <c r="Z57" s="814"/>
      <c r="AA57" s="814"/>
      <c r="AB57" s="814"/>
      <c r="AC57" s="814"/>
      <c r="AD57" s="814"/>
      <c r="AE57" s="814"/>
      <c r="AF57" s="814"/>
      <c r="AG57" s="813"/>
      <c r="AH57" s="815" t="s">
        <v>3301</v>
      </c>
    </row>
    <row r="58" s="787" customFormat="1" ht="15" customHeight="1" spans="1:34">
      <c r="A58" s="810">
        <v>46000</v>
      </c>
      <c r="B58" s="811" t="s">
        <v>3092</v>
      </c>
      <c r="C58" s="812" t="s">
        <v>3270</v>
      </c>
      <c r="D58" s="812" t="s">
        <v>3237</v>
      </c>
      <c r="E58" s="813">
        <v>77770</v>
      </c>
      <c r="F58" s="813">
        <v>20000</v>
      </c>
      <c r="G58" s="812" t="s">
        <v>2990</v>
      </c>
      <c r="H58" s="813" t="s">
        <v>3003</v>
      </c>
      <c r="I58" s="812" t="s">
        <v>16</v>
      </c>
      <c r="J58" s="814"/>
      <c r="K58" s="813">
        <v>20000</v>
      </c>
      <c r="L58" s="814"/>
      <c r="M58" s="814"/>
      <c r="N58" s="814"/>
      <c r="O58" s="814"/>
      <c r="P58" s="813"/>
      <c r="Q58" s="814"/>
      <c r="R58" s="814"/>
      <c r="S58" s="814"/>
      <c r="T58" s="814"/>
      <c r="U58" s="814"/>
      <c r="V58" s="814"/>
      <c r="W58" s="814"/>
      <c r="X58" s="814"/>
      <c r="Y58" s="813"/>
      <c r="Z58" s="814"/>
      <c r="AA58" s="814"/>
      <c r="AB58" s="814"/>
      <c r="AC58" s="814"/>
      <c r="AD58" s="814"/>
      <c r="AE58" s="814"/>
      <c r="AF58" s="814"/>
      <c r="AG58" s="813"/>
      <c r="AH58" s="815" t="s">
        <v>3301</v>
      </c>
    </row>
    <row r="59" s="787" customFormat="1" ht="15" customHeight="1" spans="1:34">
      <c r="A59" s="810">
        <v>46000</v>
      </c>
      <c r="B59" s="811" t="s">
        <v>3302</v>
      </c>
      <c r="C59" s="812">
        <v>17011158</v>
      </c>
      <c r="D59" s="812" t="s">
        <v>3237</v>
      </c>
      <c r="E59" s="813">
        <v>77770</v>
      </c>
      <c r="F59" s="813">
        <v>20000</v>
      </c>
      <c r="G59" s="812" t="s">
        <v>2993</v>
      </c>
      <c r="H59" s="813" t="s">
        <v>2994</v>
      </c>
      <c r="I59" s="812" t="s">
        <v>16</v>
      </c>
      <c r="J59" s="814"/>
      <c r="K59" s="814"/>
      <c r="L59" s="814"/>
      <c r="M59" s="813">
        <v>20000</v>
      </c>
      <c r="N59" s="814"/>
      <c r="O59" s="814"/>
      <c r="P59" s="813"/>
      <c r="Q59" s="814"/>
      <c r="R59" s="814"/>
      <c r="S59" s="814"/>
      <c r="T59" s="814"/>
      <c r="U59" s="814"/>
      <c r="V59" s="814"/>
      <c r="W59" s="814"/>
      <c r="X59" s="814"/>
      <c r="Y59" s="813"/>
      <c r="Z59" s="814"/>
      <c r="AA59" s="814"/>
      <c r="AB59" s="814"/>
      <c r="AC59" s="814"/>
      <c r="AD59" s="814"/>
      <c r="AE59" s="814"/>
      <c r="AF59" s="814"/>
      <c r="AG59" s="813"/>
      <c r="AH59" s="815"/>
    </row>
    <row r="60" s="787" customFormat="1" ht="15" customHeight="1" spans="1:34">
      <c r="A60" s="810">
        <v>46000</v>
      </c>
      <c r="B60" s="811" t="s">
        <v>3303</v>
      </c>
      <c r="C60" s="812" t="s">
        <v>3259</v>
      </c>
      <c r="D60" s="812" t="s">
        <v>3237</v>
      </c>
      <c r="E60" s="813" t="s">
        <v>3243</v>
      </c>
      <c r="F60" s="813">
        <v>500</v>
      </c>
      <c r="G60" s="812" t="s">
        <v>2997</v>
      </c>
      <c r="H60" s="813" t="s">
        <v>3003</v>
      </c>
      <c r="I60" s="812" t="s">
        <v>16</v>
      </c>
      <c r="J60" s="814"/>
      <c r="K60" s="814"/>
      <c r="L60" s="814"/>
      <c r="M60" s="814"/>
      <c r="N60" s="814"/>
      <c r="O60" s="814"/>
      <c r="P60" s="813"/>
      <c r="Q60" s="813">
        <v>500</v>
      </c>
      <c r="R60" s="814"/>
      <c r="S60" s="814"/>
      <c r="T60" s="814"/>
      <c r="U60" s="814"/>
      <c r="V60" s="814"/>
      <c r="W60" s="814"/>
      <c r="X60" s="814"/>
      <c r="Y60" s="813"/>
      <c r="Z60" s="814"/>
      <c r="AA60" s="814"/>
      <c r="AB60" s="814"/>
      <c r="AC60" s="814"/>
      <c r="AD60" s="814"/>
      <c r="AE60" s="814"/>
      <c r="AF60" s="814"/>
      <c r="AG60" s="813"/>
      <c r="AH60" s="815"/>
    </row>
    <row r="61" s="787" customFormat="1" ht="15" customHeight="1" spans="1:34">
      <c r="A61" s="810">
        <v>46016</v>
      </c>
      <c r="B61" s="811" t="s">
        <v>3304</v>
      </c>
      <c r="C61" s="812">
        <v>17011414</v>
      </c>
      <c r="D61" s="812" t="s">
        <v>3287</v>
      </c>
      <c r="E61" s="813" t="s">
        <v>3246</v>
      </c>
      <c r="F61" s="813">
        <v>1020</v>
      </c>
      <c r="G61" s="812" t="s">
        <v>2997</v>
      </c>
      <c r="H61" s="813" t="s">
        <v>2991</v>
      </c>
      <c r="I61" s="812" t="s">
        <v>16</v>
      </c>
      <c r="J61" s="814"/>
      <c r="K61" s="814"/>
      <c r="L61" s="814"/>
      <c r="M61" s="814"/>
      <c r="N61" s="814"/>
      <c r="O61" s="814"/>
      <c r="P61" s="813"/>
      <c r="Q61" s="813"/>
      <c r="R61" s="814">
        <v>1020</v>
      </c>
      <c r="S61" s="814"/>
      <c r="T61" s="814"/>
      <c r="U61" s="814"/>
      <c r="V61" s="814"/>
      <c r="W61" s="814"/>
      <c r="X61" s="814"/>
      <c r="Y61" s="813"/>
      <c r="Z61" s="814"/>
      <c r="AA61" s="814"/>
      <c r="AB61" s="814"/>
      <c r="AC61" s="814"/>
      <c r="AD61" s="814"/>
      <c r="AE61" s="814"/>
      <c r="AF61" s="814"/>
      <c r="AG61" s="813"/>
      <c r="AH61" s="815" t="s">
        <v>3305</v>
      </c>
    </row>
    <row r="62" s="787" customFormat="1" ht="15" customHeight="1" spans="1:34">
      <c r="A62" s="810">
        <v>46017</v>
      </c>
      <c r="B62" s="811" t="s">
        <v>3306</v>
      </c>
      <c r="C62" s="812">
        <v>17011695</v>
      </c>
      <c r="D62" s="812" t="s">
        <v>3192</v>
      </c>
      <c r="E62" s="813">
        <v>77806</v>
      </c>
      <c r="F62" s="813">
        <v>10000</v>
      </c>
      <c r="G62" s="812" t="s">
        <v>3008</v>
      </c>
      <c r="H62" s="813" t="s">
        <v>3199</v>
      </c>
      <c r="I62" s="812" t="s">
        <v>3199</v>
      </c>
      <c r="J62" s="814"/>
      <c r="K62" s="814"/>
      <c r="L62" s="814"/>
      <c r="M62" s="814"/>
      <c r="N62" s="814"/>
      <c r="O62" s="814"/>
      <c r="P62" s="813"/>
      <c r="Q62" s="813"/>
      <c r="R62" s="814"/>
      <c r="S62" s="814"/>
      <c r="T62" s="814"/>
      <c r="U62" s="814"/>
      <c r="V62" s="814"/>
      <c r="W62" s="814"/>
      <c r="X62" s="814"/>
      <c r="Y62" s="813"/>
      <c r="Z62" s="814"/>
      <c r="AA62" s="814"/>
      <c r="AB62" s="814"/>
      <c r="AC62" s="814"/>
      <c r="AD62" s="814"/>
      <c r="AE62" s="813">
        <v>10000</v>
      </c>
      <c r="AF62" s="814"/>
      <c r="AG62" s="813"/>
      <c r="AH62" s="815" t="s">
        <v>3307</v>
      </c>
    </row>
    <row r="63" s="787" customFormat="1" ht="15" customHeight="1" spans="1:34">
      <c r="A63" s="810">
        <v>46017</v>
      </c>
      <c r="B63" s="811" t="s">
        <v>3308</v>
      </c>
      <c r="C63" s="812">
        <v>17011696</v>
      </c>
      <c r="D63" s="812" t="s">
        <v>3192</v>
      </c>
      <c r="E63" s="813">
        <v>77806</v>
      </c>
      <c r="F63" s="813">
        <v>5000</v>
      </c>
      <c r="G63" s="812" t="s">
        <v>3255</v>
      </c>
      <c r="H63" s="813" t="s">
        <v>3199</v>
      </c>
      <c r="I63" s="812" t="s">
        <v>3199</v>
      </c>
      <c r="J63" s="814"/>
      <c r="K63" s="814"/>
      <c r="L63" s="814"/>
      <c r="M63" s="814"/>
      <c r="N63" s="814"/>
      <c r="O63" s="814"/>
      <c r="P63" s="813"/>
      <c r="Q63" s="813"/>
      <c r="R63" s="814"/>
      <c r="S63" s="814"/>
      <c r="T63" s="814"/>
      <c r="U63" s="814"/>
      <c r="V63" s="814"/>
      <c r="W63" s="814"/>
      <c r="X63" s="814"/>
      <c r="Y63" s="813"/>
      <c r="Z63" s="814"/>
      <c r="AA63" s="814"/>
      <c r="AB63" s="814"/>
      <c r="AC63" s="814"/>
      <c r="AD63" s="814"/>
      <c r="AE63" s="814"/>
      <c r="AF63" s="814"/>
      <c r="AG63" s="813">
        <v>5000</v>
      </c>
      <c r="AH63" s="815" t="s">
        <v>3307</v>
      </c>
    </row>
    <row r="64" s="787" customFormat="1" ht="15" customHeight="1" spans="1:34">
      <c r="A64" s="810">
        <v>46017</v>
      </c>
      <c r="B64" s="811">
        <v>1000035381</v>
      </c>
      <c r="C64" s="812">
        <v>17011697</v>
      </c>
      <c r="D64" s="812" t="s">
        <v>3192</v>
      </c>
      <c r="E64" s="813">
        <v>77806</v>
      </c>
      <c r="F64" s="813">
        <v>5000</v>
      </c>
      <c r="G64" s="812" t="s">
        <v>3009</v>
      </c>
      <c r="H64" s="813" t="s">
        <v>3003</v>
      </c>
      <c r="I64" s="812" t="s">
        <v>3199</v>
      </c>
      <c r="J64" s="814"/>
      <c r="K64" s="814"/>
      <c r="L64" s="814"/>
      <c r="M64" s="814"/>
      <c r="N64" s="814"/>
      <c r="O64" s="814"/>
      <c r="P64" s="813"/>
      <c r="Q64" s="813"/>
      <c r="R64" s="814"/>
      <c r="S64" s="814"/>
      <c r="T64" s="814"/>
      <c r="U64" s="814"/>
      <c r="V64" s="814"/>
      <c r="W64" s="814"/>
      <c r="X64" s="814"/>
      <c r="Y64" s="813"/>
      <c r="Z64" s="814"/>
      <c r="AA64" s="814"/>
      <c r="AB64" s="814"/>
      <c r="AC64" s="814"/>
      <c r="AD64" s="814"/>
      <c r="AE64" s="814"/>
      <c r="AF64" s="813">
        <v>5000</v>
      </c>
      <c r="AG64" s="813"/>
      <c r="AH64" s="815" t="s">
        <v>3307</v>
      </c>
    </row>
    <row r="65" s="786" customFormat="1" ht="15" customHeight="1" spans="1:34">
      <c r="A65" s="806">
        <v>46052</v>
      </c>
      <c r="B65" s="807" t="s">
        <v>3092</v>
      </c>
      <c r="C65" s="805">
        <v>17011590</v>
      </c>
      <c r="D65" s="807" t="s">
        <v>3237</v>
      </c>
      <c r="E65" s="805">
        <v>77770</v>
      </c>
      <c r="F65" s="808">
        <v>20000</v>
      </c>
      <c r="G65" s="807" t="s">
        <v>2990</v>
      </c>
      <c r="H65" s="805" t="s">
        <v>3003</v>
      </c>
      <c r="I65" s="807" t="s">
        <v>16</v>
      </c>
      <c r="J65" s="808"/>
      <c r="K65" s="808">
        <v>20000</v>
      </c>
      <c r="L65" s="808"/>
      <c r="M65" s="808"/>
      <c r="N65" s="808"/>
      <c r="O65" s="808"/>
      <c r="P65" s="805"/>
      <c r="Q65" s="805"/>
      <c r="R65" s="808"/>
      <c r="S65" s="808"/>
      <c r="T65" s="808"/>
      <c r="U65" s="808"/>
      <c r="V65" s="808"/>
      <c r="W65" s="808"/>
      <c r="X65" s="808"/>
      <c r="Y65" s="805"/>
      <c r="Z65" s="808"/>
      <c r="AA65" s="808"/>
      <c r="AB65" s="808"/>
      <c r="AC65" s="808"/>
      <c r="AD65" s="808"/>
      <c r="AE65" s="808"/>
      <c r="AF65" s="805"/>
      <c r="AG65" s="805"/>
      <c r="AH65" s="809" t="s">
        <v>3301</v>
      </c>
    </row>
    <row r="66" s="786" customFormat="1" ht="15" customHeight="1" spans="1:34">
      <c r="A66" s="806">
        <v>46052</v>
      </c>
      <c r="B66" s="804">
        <v>1000036430</v>
      </c>
      <c r="C66" s="807">
        <v>17011158</v>
      </c>
      <c r="D66" s="807" t="s">
        <v>3237</v>
      </c>
      <c r="E66" s="805">
        <v>77770</v>
      </c>
      <c r="F66" s="808">
        <v>30000</v>
      </c>
      <c r="G66" s="807" t="s">
        <v>2993</v>
      </c>
      <c r="H66" s="805" t="s">
        <v>2994</v>
      </c>
      <c r="I66" s="807" t="s">
        <v>16</v>
      </c>
      <c r="J66" s="808"/>
      <c r="K66" s="808"/>
      <c r="L66" s="808"/>
      <c r="M66" s="808">
        <v>30000</v>
      </c>
      <c r="N66" s="808"/>
      <c r="O66" s="808"/>
      <c r="P66" s="805"/>
      <c r="Q66" s="805"/>
      <c r="R66" s="808"/>
      <c r="S66" s="808"/>
      <c r="T66" s="808"/>
      <c r="U66" s="808"/>
      <c r="V66" s="808"/>
      <c r="W66" s="808"/>
      <c r="X66" s="808"/>
      <c r="Y66" s="805"/>
      <c r="Z66" s="808"/>
      <c r="AA66" s="808"/>
      <c r="AB66" s="808"/>
      <c r="AC66" s="808"/>
      <c r="AD66" s="808"/>
      <c r="AE66" s="808"/>
      <c r="AF66" s="805"/>
      <c r="AG66" s="805"/>
      <c r="AH66" s="809"/>
    </row>
    <row r="67" s="787" customFormat="1" ht="15" customHeight="1" spans="1:34">
      <c r="A67" s="810">
        <v>46055</v>
      </c>
      <c r="B67" s="811" t="s">
        <v>3309</v>
      </c>
      <c r="C67" s="812">
        <v>17011414</v>
      </c>
      <c r="D67" s="812" t="s">
        <v>3167</v>
      </c>
      <c r="E67" s="813" t="s">
        <v>3246</v>
      </c>
      <c r="F67" s="813">
        <v>500</v>
      </c>
      <c r="G67" s="812" t="s">
        <v>2997</v>
      </c>
      <c r="H67" s="813" t="s">
        <v>2991</v>
      </c>
      <c r="I67" s="812" t="s">
        <v>16</v>
      </c>
      <c r="J67" s="814"/>
      <c r="K67" s="814"/>
      <c r="L67" s="814"/>
      <c r="M67" s="814"/>
      <c r="N67" s="814"/>
      <c r="O67" s="814"/>
      <c r="P67" s="813"/>
      <c r="Q67" s="813"/>
      <c r="R67" s="814">
        <v>500</v>
      </c>
      <c r="S67" s="814"/>
      <c r="T67" s="814"/>
      <c r="U67" s="814"/>
      <c r="V67" s="814"/>
      <c r="W67" s="814"/>
      <c r="X67" s="814"/>
      <c r="Y67" s="813"/>
      <c r="Z67" s="814"/>
      <c r="AA67" s="814"/>
      <c r="AB67" s="814"/>
      <c r="AC67" s="814"/>
      <c r="AD67" s="814"/>
      <c r="AE67" s="814"/>
      <c r="AF67" s="813"/>
      <c r="AG67" s="813"/>
      <c r="AH67" s="815" t="s">
        <v>3310</v>
      </c>
    </row>
    <row r="68" s="787" customFormat="1" ht="15" customHeight="1" spans="1:34">
      <c r="A68" s="810">
        <v>46059</v>
      </c>
      <c r="B68" s="811" t="s">
        <v>3311</v>
      </c>
      <c r="C68" s="812">
        <v>17011414</v>
      </c>
      <c r="D68" s="812" t="s">
        <v>3167</v>
      </c>
      <c r="E68" s="813" t="s">
        <v>3246</v>
      </c>
      <c r="F68" s="813">
        <v>3861</v>
      </c>
      <c r="G68" s="812" t="s">
        <v>2997</v>
      </c>
      <c r="H68" s="813" t="s">
        <v>2991</v>
      </c>
      <c r="I68" s="812" t="s">
        <v>16</v>
      </c>
      <c r="J68" s="814"/>
      <c r="K68" s="814"/>
      <c r="L68" s="814"/>
      <c r="M68" s="814"/>
      <c r="N68" s="814"/>
      <c r="O68" s="814"/>
      <c r="P68" s="813"/>
      <c r="Q68" s="813"/>
      <c r="R68" s="814">
        <v>3861</v>
      </c>
      <c r="S68" s="814"/>
      <c r="T68" s="814"/>
      <c r="U68" s="814"/>
      <c r="V68" s="814"/>
      <c r="W68" s="814"/>
      <c r="X68" s="814"/>
      <c r="Y68" s="813"/>
      <c r="Z68" s="814"/>
      <c r="AA68" s="814"/>
      <c r="AB68" s="814"/>
      <c r="AC68" s="814"/>
      <c r="AD68" s="814"/>
      <c r="AE68" s="814"/>
      <c r="AF68" s="813"/>
      <c r="AG68" s="813"/>
      <c r="AH68" s="815" t="s">
        <v>3312</v>
      </c>
    </row>
    <row r="69" s="787" customFormat="1" ht="15" customHeight="1" spans="1:34">
      <c r="A69" s="810">
        <v>46066</v>
      </c>
      <c r="B69" s="811" t="s">
        <v>3313</v>
      </c>
      <c r="C69" s="812" t="s">
        <v>3314</v>
      </c>
      <c r="D69" s="812" t="s">
        <v>3167</v>
      </c>
      <c r="E69" s="813" t="s">
        <v>3246</v>
      </c>
      <c r="F69" s="813">
        <v>3660</v>
      </c>
      <c r="G69" s="812" t="s">
        <v>2997</v>
      </c>
      <c r="H69" s="813" t="s">
        <v>2991</v>
      </c>
      <c r="I69" s="812" t="s">
        <v>16</v>
      </c>
      <c r="J69" s="814"/>
      <c r="K69" s="814"/>
      <c r="L69" s="814"/>
      <c r="M69" s="814"/>
      <c r="N69" s="814"/>
      <c r="O69" s="814"/>
      <c r="P69" s="813"/>
      <c r="Q69" s="813"/>
      <c r="R69" s="814">
        <v>3660</v>
      </c>
      <c r="S69" s="814"/>
      <c r="T69" s="814"/>
      <c r="U69" s="814"/>
      <c r="V69" s="814"/>
      <c r="W69" s="814"/>
      <c r="X69" s="814"/>
      <c r="Y69" s="813"/>
      <c r="Z69" s="814"/>
      <c r="AA69" s="814"/>
      <c r="AB69" s="814"/>
      <c r="AC69" s="814"/>
      <c r="AD69" s="814"/>
      <c r="AE69" s="814"/>
      <c r="AF69" s="813"/>
      <c r="AG69" s="813"/>
      <c r="AH69" s="815" t="s">
        <v>3315</v>
      </c>
    </row>
    <row r="70" s="787" customFormat="1" ht="15" customHeight="1" spans="1:34">
      <c r="A70" s="810">
        <v>46083</v>
      </c>
      <c r="B70" s="811" t="s">
        <v>3092</v>
      </c>
      <c r="C70" s="812">
        <v>17011157</v>
      </c>
      <c r="D70" s="812" t="s">
        <v>3237</v>
      </c>
      <c r="E70" s="813">
        <v>77770</v>
      </c>
      <c r="F70" s="813">
        <v>160000</v>
      </c>
      <c r="G70" s="812" t="s">
        <v>2990</v>
      </c>
      <c r="H70" s="813" t="s">
        <v>2991</v>
      </c>
      <c r="I70" s="812" t="s">
        <v>16</v>
      </c>
      <c r="J70" s="814">
        <v>160000</v>
      </c>
      <c r="K70" s="814"/>
      <c r="L70" s="814"/>
      <c r="M70" s="814"/>
      <c r="N70" s="814"/>
      <c r="O70" s="814"/>
      <c r="P70" s="813"/>
      <c r="Q70" s="814"/>
      <c r="R70" s="814"/>
      <c r="S70" s="814"/>
      <c r="T70" s="814"/>
      <c r="U70" s="814"/>
      <c r="V70" s="814"/>
      <c r="W70" s="814"/>
      <c r="X70" s="814"/>
      <c r="Y70" s="813"/>
      <c r="Z70" s="814"/>
      <c r="AA70" s="814"/>
      <c r="AB70" s="814"/>
      <c r="AC70" s="814"/>
      <c r="AD70" s="814"/>
      <c r="AE70" s="814"/>
      <c r="AF70" s="814"/>
      <c r="AG70" s="813"/>
      <c r="AH70" s="815"/>
    </row>
    <row r="71" s="787" customFormat="1" ht="15" customHeight="1" spans="1:34">
      <c r="A71" s="810">
        <v>46083</v>
      </c>
      <c r="B71" s="811" t="s">
        <v>3092</v>
      </c>
      <c r="C71" s="812" t="s">
        <v>3270</v>
      </c>
      <c r="D71" s="812" t="s">
        <v>3237</v>
      </c>
      <c r="E71" s="813">
        <v>77770</v>
      </c>
      <c r="F71" s="813">
        <v>20000</v>
      </c>
      <c r="G71" s="812" t="s">
        <v>2990</v>
      </c>
      <c r="H71" s="813" t="s">
        <v>3003</v>
      </c>
      <c r="I71" s="812" t="s">
        <v>16</v>
      </c>
      <c r="J71" s="814"/>
      <c r="K71" s="814">
        <v>20000</v>
      </c>
      <c r="L71" s="814"/>
      <c r="M71" s="814"/>
      <c r="N71" s="814"/>
      <c r="O71" s="814"/>
      <c r="P71" s="813"/>
      <c r="Q71" s="814"/>
      <c r="R71" s="814"/>
      <c r="S71" s="814"/>
      <c r="T71" s="814"/>
      <c r="U71" s="814"/>
      <c r="V71" s="814"/>
      <c r="W71" s="814"/>
      <c r="X71" s="814"/>
      <c r="Y71" s="813"/>
      <c r="Z71" s="814"/>
      <c r="AA71" s="814"/>
      <c r="AB71" s="814"/>
      <c r="AC71" s="814"/>
      <c r="AD71" s="814"/>
      <c r="AE71" s="814"/>
      <c r="AF71" s="814"/>
      <c r="AG71" s="813"/>
      <c r="AH71" s="815"/>
    </row>
    <row r="72" s="787" customFormat="1" ht="15" customHeight="1" spans="1:34">
      <c r="A72" s="810">
        <v>46083</v>
      </c>
      <c r="B72" s="811" t="s">
        <v>3316</v>
      </c>
      <c r="C72" s="812">
        <v>17011158</v>
      </c>
      <c r="D72" s="812" t="s">
        <v>3237</v>
      </c>
      <c r="E72" s="813">
        <v>77770</v>
      </c>
      <c r="F72" s="813">
        <v>200000</v>
      </c>
      <c r="G72" s="812" t="s">
        <v>2993</v>
      </c>
      <c r="H72" s="813" t="s">
        <v>2994</v>
      </c>
      <c r="I72" s="812" t="s">
        <v>16</v>
      </c>
      <c r="J72" s="814"/>
      <c r="K72" s="814"/>
      <c r="L72" s="814"/>
      <c r="M72" s="814">
        <v>200000</v>
      </c>
      <c r="N72" s="814"/>
      <c r="O72" s="814"/>
      <c r="P72" s="813"/>
      <c r="Q72" s="814"/>
      <c r="R72" s="814"/>
      <c r="S72" s="814"/>
      <c r="T72" s="814"/>
      <c r="U72" s="814"/>
      <c r="V72" s="814"/>
      <c r="W72" s="814"/>
      <c r="X72" s="814"/>
      <c r="Y72" s="813"/>
      <c r="Z72" s="814"/>
      <c r="AA72" s="814"/>
      <c r="AB72" s="814"/>
      <c r="AC72" s="814"/>
      <c r="AD72" s="814"/>
      <c r="AE72" s="814"/>
      <c r="AF72" s="814"/>
      <c r="AG72" s="813"/>
      <c r="AH72" s="815"/>
    </row>
    <row r="73" s="787" customFormat="1" ht="15" customHeight="1" spans="1:34">
      <c r="A73" s="810">
        <v>46083</v>
      </c>
      <c r="B73" s="811" t="s">
        <v>3317</v>
      </c>
      <c r="C73" s="812" t="s">
        <v>3240</v>
      </c>
      <c r="D73" s="812" t="s">
        <v>3237</v>
      </c>
      <c r="E73" s="813" t="s">
        <v>3241</v>
      </c>
      <c r="F73" s="813">
        <v>1200</v>
      </c>
      <c r="G73" s="812" t="s">
        <v>2997</v>
      </c>
      <c r="H73" s="813" t="s">
        <v>2991</v>
      </c>
      <c r="I73" s="812" t="s">
        <v>16</v>
      </c>
      <c r="J73" s="814"/>
      <c r="K73" s="814"/>
      <c r="L73" s="814"/>
      <c r="M73" s="814"/>
      <c r="N73" s="814">
        <v>1200</v>
      </c>
      <c r="O73" s="814"/>
      <c r="P73" s="813"/>
      <c r="Q73" s="814"/>
      <c r="R73" s="814"/>
      <c r="S73" s="814"/>
      <c r="T73" s="814"/>
      <c r="U73" s="814"/>
      <c r="V73" s="814"/>
      <c r="W73" s="814"/>
      <c r="X73" s="814"/>
      <c r="Y73" s="813"/>
      <c r="Z73" s="814"/>
      <c r="AA73" s="814"/>
      <c r="AB73" s="814"/>
      <c r="AC73" s="814"/>
      <c r="AD73" s="814"/>
      <c r="AE73" s="814"/>
      <c r="AF73" s="814"/>
      <c r="AG73" s="813"/>
      <c r="AH73" s="815"/>
    </row>
    <row r="74" s="787" customFormat="1" ht="15" customHeight="1" spans="1:34">
      <c r="A74" s="810">
        <v>46083</v>
      </c>
      <c r="B74" s="811" t="s">
        <v>3318</v>
      </c>
      <c r="C74" s="812" t="s">
        <v>3259</v>
      </c>
      <c r="D74" s="812" t="s">
        <v>3237</v>
      </c>
      <c r="E74" s="813" t="s">
        <v>3243</v>
      </c>
      <c r="F74" s="813">
        <v>500</v>
      </c>
      <c r="G74" s="812" t="s">
        <v>2997</v>
      </c>
      <c r="H74" s="813" t="s">
        <v>3003</v>
      </c>
      <c r="I74" s="812" t="s">
        <v>16</v>
      </c>
      <c r="J74" s="814"/>
      <c r="K74" s="814"/>
      <c r="L74" s="814"/>
      <c r="M74" s="814"/>
      <c r="N74" s="814"/>
      <c r="O74" s="814"/>
      <c r="P74" s="813"/>
      <c r="Q74" s="814">
        <v>500</v>
      </c>
      <c r="R74" s="814"/>
      <c r="S74" s="814"/>
      <c r="T74" s="814"/>
      <c r="U74" s="814"/>
      <c r="V74" s="814"/>
      <c r="W74" s="814"/>
      <c r="X74" s="814"/>
      <c r="Y74" s="813"/>
      <c r="Z74" s="814"/>
      <c r="AA74" s="814"/>
      <c r="AB74" s="814"/>
      <c r="AC74" s="814"/>
      <c r="AD74" s="814"/>
      <c r="AE74" s="814"/>
      <c r="AF74" s="814"/>
      <c r="AG74" s="813"/>
      <c r="AH74" s="815"/>
    </row>
    <row r="75" s="787" customFormat="1" ht="15" customHeight="1" spans="1:34">
      <c r="A75" s="810">
        <v>46085</v>
      </c>
      <c r="B75" s="811" t="s">
        <v>3319</v>
      </c>
      <c r="C75" s="812" t="s">
        <v>3314</v>
      </c>
      <c r="D75" s="812" t="s">
        <v>3167</v>
      </c>
      <c r="E75" s="813" t="s">
        <v>3246</v>
      </c>
      <c r="F75" s="813">
        <v>500</v>
      </c>
      <c r="G75" s="812" t="s">
        <v>2997</v>
      </c>
      <c r="H75" s="813" t="s">
        <v>2991</v>
      </c>
      <c r="I75" s="812" t="s">
        <v>16</v>
      </c>
      <c r="J75" s="814"/>
      <c r="K75" s="814"/>
      <c r="L75" s="814"/>
      <c r="M75" s="814"/>
      <c r="N75" s="814"/>
      <c r="O75" s="814"/>
      <c r="P75" s="813"/>
      <c r="Q75" s="814"/>
      <c r="R75" s="814">
        <v>500</v>
      </c>
      <c r="S75" s="814"/>
      <c r="T75" s="814"/>
      <c r="U75" s="814"/>
      <c r="V75" s="814"/>
      <c r="W75" s="814"/>
      <c r="X75" s="814"/>
      <c r="Y75" s="813"/>
      <c r="Z75" s="814"/>
      <c r="AA75" s="814"/>
      <c r="AB75" s="814"/>
      <c r="AC75" s="814"/>
      <c r="AD75" s="814"/>
      <c r="AE75" s="814"/>
      <c r="AF75" s="814"/>
      <c r="AG75" s="813"/>
      <c r="AH75" s="815" t="s">
        <v>3320</v>
      </c>
    </row>
    <row r="76" s="787" customFormat="1" ht="15" customHeight="1" spans="1:34">
      <c r="A76" s="810">
        <v>46128</v>
      </c>
      <c r="B76" s="811" t="s">
        <v>3092</v>
      </c>
      <c r="C76" s="812">
        <v>17011157</v>
      </c>
      <c r="D76" s="812" t="s">
        <v>3216</v>
      </c>
      <c r="E76" s="813">
        <v>77770</v>
      </c>
      <c r="F76" s="813">
        <v>20000</v>
      </c>
      <c r="G76" s="812" t="s">
        <v>2990</v>
      </c>
      <c r="H76" s="813" t="s">
        <v>2991</v>
      </c>
      <c r="I76" s="812" t="s">
        <v>16</v>
      </c>
      <c r="J76" s="813">
        <v>20000</v>
      </c>
      <c r="K76" s="814"/>
      <c r="L76" s="814"/>
      <c r="M76" s="814"/>
      <c r="N76" s="814"/>
      <c r="O76" s="814"/>
      <c r="P76" s="813"/>
      <c r="Q76" s="814"/>
      <c r="R76" s="814"/>
      <c r="S76" s="814"/>
      <c r="T76" s="814"/>
      <c r="U76" s="814"/>
      <c r="V76" s="814"/>
      <c r="W76" s="814"/>
      <c r="X76" s="814"/>
      <c r="Y76" s="813"/>
      <c r="Z76" s="814"/>
      <c r="AA76" s="814"/>
      <c r="AB76" s="814"/>
      <c r="AC76" s="814"/>
      <c r="AD76" s="814"/>
      <c r="AE76" s="814"/>
      <c r="AF76" s="814"/>
      <c r="AG76" s="813"/>
      <c r="AH76" s="815" t="s">
        <v>3301</v>
      </c>
    </row>
    <row r="77" s="787" customFormat="1" ht="15" customHeight="1" spans="1:34">
      <c r="A77" s="810">
        <v>46128</v>
      </c>
      <c r="B77" s="811" t="s">
        <v>3321</v>
      </c>
      <c r="C77" s="812" t="s">
        <v>3240</v>
      </c>
      <c r="D77" s="812" t="s">
        <v>3216</v>
      </c>
      <c r="E77" s="813" t="s">
        <v>3241</v>
      </c>
      <c r="F77" s="813">
        <v>1000</v>
      </c>
      <c r="G77" s="812" t="s">
        <v>2997</v>
      </c>
      <c r="H77" s="813" t="s">
        <v>2991</v>
      </c>
      <c r="I77" s="812" t="s">
        <v>16</v>
      </c>
      <c r="J77" s="814"/>
      <c r="K77" s="814"/>
      <c r="L77" s="814"/>
      <c r="M77" s="814"/>
      <c r="N77" s="813">
        <v>1000</v>
      </c>
      <c r="O77" s="814"/>
      <c r="P77" s="813"/>
      <c r="Q77" s="814"/>
      <c r="R77" s="814"/>
      <c r="S77" s="814"/>
      <c r="T77" s="814"/>
      <c r="U77" s="814"/>
      <c r="V77" s="814"/>
      <c r="W77" s="814"/>
      <c r="X77" s="814"/>
      <c r="Y77" s="813"/>
      <c r="Z77" s="814"/>
      <c r="AA77" s="814"/>
      <c r="AB77" s="814"/>
      <c r="AC77" s="814"/>
      <c r="AD77" s="814"/>
      <c r="AE77" s="814"/>
      <c r="AF77" s="814"/>
      <c r="AG77" s="813"/>
      <c r="AH77" s="815"/>
    </row>
    <row r="78" s="787" customFormat="1" ht="15" customHeight="1" spans="1:34">
      <c r="A78" s="810">
        <v>46128</v>
      </c>
      <c r="B78" s="811" t="s">
        <v>3322</v>
      </c>
      <c r="C78" s="812" t="s">
        <v>3284</v>
      </c>
      <c r="D78" s="812" t="s">
        <v>3216</v>
      </c>
      <c r="E78" s="813" t="s">
        <v>3241</v>
      </c>
      <c r="F78" s="813">
        <v>500</v>
      </c>
      <c r="G78" s="812" t="s">
        <v>2997</v>
      </c>
      <c r="H78" s="813" t="s">
        <v>3003</v>
      </c>
      <c r="I78" s="812" t="s">
        <v>16</v>
      </c>
      <c r="J78" s="814"/>
      <c r="K78" s="814"/>
      <c r="L78" s="814"/>
      <c r="M78" s="814"/>
      <c r="N78" s="814"/>
      <c r="O78" s="813">
        <v>500</v>
      </c>
      <c r="P78" s="813"/>
      <c r="Q78" s="814"/>
      <c r="R78" s="814"/>
      <c r="S78" s="814"/>
      <c r="T78" s="814"/>
      <c r="U78" s="814"/>
      <c r="V78" s="814"/>
      <c r="W78" s="814"/>
      <c r="X78" s="814"/>
      <c r="Y78" s="813"/>
      <c r="Z78" s="814"/>
      <c r="AA78" s="814"/>
      <c r="AB78" s="814"/>
      <c r="AC78" s="814"/>
      <c r="AD78" s="814"/>
      <c r="AE78" s="814"/>
      <c r="AF78" s="814"/>
      <c r="AG78" s="813"/>
      <c r="AH78" s="815"/>
    </row>
    <row r="79" s="787" customFormat="1" ht="15" customHeight="1" spans="1:34">
      <c r="A79" s="810">
        <v>46128</v>
      </c>
      <c r="B79" s="811" t="s">
        <v>3323</v>
      </c>
      <c r="C79" s="812" t="s">
        <v>3259</v>
      </c>
      <c r="D79" s="812" t="s">
        <v>3216</v>
      </c>
      <c r="E79" s="813" t="s">
        <v>3243</v>
      </c>
      <c r="F79" s="813">
        <v>500</v>
      </c>
      <c r="G79" s="812" t="s">
        <v>2997</v>
      </c>
      <c r="H79" s="813" t="s">
        <v>3003</v>
      </c>
      <c r="I79" s="812" t="s">
        <v>16</v>
      </c>
      <c r="J79" s="814"/>
      <c r="K79" s="814"/>
      <c r="L79" s="814"/>
      <c r="M79" s="814"/>
      <c r="N79" s="814"/>
      <c r="O79" s="814"/>
      <c r="P79" s="813"/>
      <c r="Q79" s="813">
        <v>500</v>
      </c>
      <c r="R79" s="814"/>
      <c r="S79" s="814"/>
      <c r="T79" s="814"/>
      <c r="U79" s="814"/>
      <c r="V79" s="814"/>
      <c r="W79" s="814"/>
      <c r="X79" s="814"/>
      <c r="Y79" s="813"/>
      <c r="Z79" s="814"/>
      <c r="AA79" s="814"/>
      <c r="AB79" s="814"/>
      <c r="AC79" s="814"/>
      <c r="AD79" s="814"/>
      <c r="AE79" s="814"/>
      <c r="AF79" s="814"/>
      <c r="AG79" s="813"/>
      <c r="AH79" s="815"/>
    </row>
    <row r="80" s="787" customFormat="1" ht="15" customHeight="1" spans="1:34">
      <c r="A80" s="810">
        <v>46134</v>
      </c>
      <c r="B80" s="811" t="s">
        <v>3324</v>
      </c>
      <c r="C80" s="812">
        <v>17011695</v>
      </c>
      <c r="D80" s="812" t="s">
        <v>3218</v>
      </c>
      <c r="E80" s="813">
        <v>77806</v>
      </c>
      <c r="F80" s="813">
        <v>8904</v>
      </c>
      <c r="G80" s="812" t="s">
        <v>3008</v>
      </c>
      <c r="H80" s="813" t="s">
        <v>3199</v>
      </c>
      <c r="I80" s="812" t="s">
        <v>3199</v>
      </c>
      <c r="J80" s="814"/>
      <c r="K80" s="814"/>
      <c r="L80" s="814"/>
      <c r="M80" s="814"/>
      <c r="N80" s="814"/>
      <c r="O80" s="814"/>
      <c r="P80" s="813"/>
      <c r="Q80" s="813"/>
      <c r="R80" s="814"/>
      <c r="S80" s="814"/>
      <c r="T80" s="814"/>
      <c r="U80" s="814"/>
      <c r="V80" s="814"/>
      <c r="W80" s="814"/>
      <c r="X80" s="814"/>
      <c r="Y80" s="813"/>
      <c r="Z80" s="814"/>
      <c r="AA80" s="814"/>
      <c r="AB80" s="814"/>
      <c r="AC80" s="814"/>
      <c r="AD80" s="814"/>
      <c r="AE80" s="813">
        <v>8904</v>
      </c>
      <c r="AF80" s="814"/>
      <c r="AG80" s="813"/>
      <c r="AH80" s="815" t="s">
        <v>3325</v>
      </c>
    </row>
    <row r="81" s="787" customFormat="1" ht="15" customHeight="1" spans="1:34">
      <c r="A81" s="810">
        <v>46134</v>
      </c>
      <c r="B81" s="811" t="s">
        <v>3326</v>
      </c>
      <c r="C81" s="812">
        <v>17011696</v>
      </c>
      <c r="D81" s="812" t="s">
        <v>3218</v>
      </c>
      <c r="E81" s="813">
        <v>77806</v>
      </c>
      <c r="F81" s="813">
        <v>8904</v>
      </c>
      <c r="G81" s="812" t="s">
        <v>3255</v>
      </c>
      <c r="H81" s="813" t="s">
        <v>3199</v>
      </c>
      <c r="I81" s="812" t="s">
        <v>3199</v>
      </c>
      <c r="J81" s="814"/>
      <c r="K81" s="814"/>
      <c r="L81" s="814"/>
      <c r="M81" s="814"/>
      <c r="N81" s="814"/>
      <c r="O81" s="814"/>
      <c r="P81" s="813"/>
      <c r="Q81" s="813"/>
      <c r="R81" s="814"/>
      <c r="S81" s="814"/>
      <c r="T81" s="814"/>
      <c r="U81" s="814"/>
      <c r="V81" s="814"/>
      <c r="W81" s="814"/>
      <c r="X81" s="814"/>
      <c r="Y81" s="813"/>
      <c r="Z81" s="814"/>
      <c r="AA81" s="814"/>
      <c r="AB81" s="814"/>
      <c r="AC81" s="814"/>
      <c r="AD81" s="814"/>
      <c r="AE81" s="814"/>
      <c r="AF81" s="813">
        <v>8904</v>
      </c>
      <c r="AG81" s="813"/>
      <c r="AH81" s="815" t="s">
        <v>3325</v>
      </c>
    </row>
    <row r="82" s="787" customFormat="1" ht="15" customHeight="1" spans="1:34">
      <c r="A82" s="810">
        <v>46134</v>
      </c>
      <c r="B82" s="811" t="s">
        <v>3327</v>
      </c>
      <c r="C82" s="812">
        <v>17011697</v>
      </c>
      <c r="D82" s="812" t="s">
        <v>3218</v>
      </c>
      <c r="E82" s="813">
        <v>77806</v>
      </c>
      <c r="F82" s="813">
        <v>8904</v>
      </c>
      <c r="G82" s="812" t="s">
        <v>3009</v>
      </c>
      <c r="H82" s="813" t="s">
        <v>3003</v>
      </c>
      <c r="I82" s="812" t="s">
        <v>16</v>
      </c>
      <c r="J82" s="814"/>
      <c r="K82" s="814"/>
      <c r="L82" s="814"/>
      <c r="M82" s="814"/>
      <c r="N82" s="814"/>
      <c r="O82" s="814"/>
      <c r="P82" s="813"/>
      <c r="Q82" s="814"/>
      <c r="R82" s="814"/>
      <c r="S82" s="814"/>
      <c r="T82" s="814"/>
      <c r="U82" s="814"/>
      <c r="V82" s="814"/>
      <c r="W82" s="814"/>
      <c r="X82" s="814"/>
      <c r="Y82" s="813"/>
      <c r="Z82" s="814"/>
      <c r="AA82" s="814"/>
      <c r="AB82" s="814"/>
      <c r="AC82" s="814"/>
      <c r="AD82" s="814"/>
      <c r="AE82" s="814"/>
      <c r="AF82" s="814"/>
      <c r="AG82" s="813">
        <v>8904</v>
      </c>
      <c r="AH82" s="815" t="s">
        <v>3325</v>
      </c>
    </row>
    <row r="83" s="787" customFormat="1" ht="15" customHeight="1" spans="1:34">
      <c r="A83" s="810">
        <v>46134</v>
      </c>
      <c r="B83" s="811" t="s">
        <v>3328</v>
      </c>
      <c r="C83" s="812">
        <v>17011895</v>
      </c>
      <c r="D83" s="812" t="s">
        <v>3218</v>
      </c>
      <c r="E83" s="813">
        <v>77806</v>
      </c>
      <c r="F83" s="813">
        <v>17808</v>
      </c>
      <c r="G83" s="812" t="s">
        <v>2985</v>
      </c>
      <c r="H83" s="813" t="s">
        <v>3003</v>
      </c>
      <c r="I83" s="812" t="s">
        <v>16</v>
      </c>
      <c r="J83" s="814"/>
      <c r="K83" s="814"/>
      <c r="L83" s="813">
        <v>17808</v>
      </c>
      <c r="M83" s="814"/>
      <c r="N83" s="814"/>
      <c r="O83" s="814"/>
      <c r="P83" s="813"/>
      <c r="Q83" s="814"/>
      <c r="R83" s="814"/>
      <c r="S83" s="814"/>
      <c r="T83" s="814"/>
      <c r="U83" s="814"/>
      <c r="V83" s="814"/>
      <c r="W83" s="814"/>
      <c r="X83" s="814"/>
      <c r="Y83" s="813"/>
      <c r="Z83" s="814"/>
      <c r="AA83" s="814"/>
      <c r="AB83" s="814"/>
      <c r="AC83" s="814"/>
      <c r="AD83" s="814"/>
      <c r="AE83" s="814"/>
      <c r="AF83" s="814"/>
      <c r="AG83" s="813"/>
      <c r="AH83" s="815" t="s">
        <v>3325</v>
      </c>
    </row>
    <row r="84" s="787" customFormat="1" ht="15" customHeight="1" spans="1:34">
      <c r="A84" s="810">
        <v>46190</v>
      </c>
      <c r="B84" s="811" t="s">
        <v>3092</v>
      </c>
      <c r="C84" s="812">
        <v>17011157</v>
      </c>
      <c r="D84" s="816" t="s">
        <v>3216</v>
      </c>
      <c r="E84" s="813">
        <v>77770</v>
      </c>
      <c r="F84" s="813">
        <v>70000</v>
      </c>
      <c r="G84" s="812" t="s">
        <v>2990</v>
      </c>
      <c r="H84" s="813" t="s">
        <v>2991</v>
      </c>
      <c r="I84" s="812" t="s">
        <v>16</v>
      </c>
      <c r="J84" s="813">
        <v>70000</v>
      </c>
      <c r="K84" s="814"/>
      <c r="L84" s="813"/>
      <c r="M84" s="814"/>
      <c r="N84" s="814"/>
      <c r="O84" s="814"/>
      <c r="P84" s="813"/>
      <c r="Q84" s="814"/>
      <c r="R84" s="814"/>
      <c r="S84" s="814"/>
      <c r="T84" s="814"/>
      <c r="U84" s="814"/>
      <c r="V84" s="814"/>
      <c r="W84" s="814"/>
      <c r="X84" s="814"/>
      <c r="Y84" s="813"/>
      <c r="Z84" s="814"/>
      <c r="AA84" s="814"/>
      <c r="AB84" s="814"/>
      <c r="AC84" s="814"/>
      <c r="AD84" s="814"/>
      <c r="AE84" s="814"/>
      <c r="AF84" s="814"/>
      <c r="AG84" s="813"/>
      <c r="AH84" s="815" t="s">
        <v>3301</v>
      </c>
    </row>
    <row r="85" s="787" customFormat="1" ht="15" customHeight="1" spans="1:34">
      <c r="A85" s="810">
        <v>46190</v>
      </c>
      <c r="B85" s="811" t="s">
        <v>3092</v>
      </c>
      <c r="C85" s="812">
        <v>17011590</v>
      </c>
      <c r="D85" s="816" t="s">
        <v>3216</v>
      </c>
      <c r="E85" s="813">
        <v>77770</v>
      </c>
      <c r="F85" s="813">
        <v>30000</v>
      </c>
      <c r="G85" s="812" t="s">
        <v>2990</v>
      </c>
      <c r="H85" s="813" t="s">
        <v>3003</v>
      </c>
      <c r="I85" s="812" t="s">
        <v>16</v>
      </c>
      <c r="J85" s="814"/>
      <c r="K85" s="813">
        <v>30000</v>
      </c>
      <c r="L85" s="813"/>
      <c r="M85" s="814"/>
      <c r="N85" s="814"/>
      <c r="O85" s="814"/>
      <c r="P85" s="813"/>
      <c r="Q85" s="814"/>
      <c r="R85" s="814"/>
      <c r="S85" s="814"/>
      <c r="T85" s="814"/>
      <c r="U85" s="814"/>
      <c r="V85" s="814"/>
      <c r="W85" s="814"/>
      <c r="X85" s="814"/>
      <c r="Y85" s="813"/>
      <c r="Z85" s="814"/>
      <c r="AA85" s="814"/>
      <c r="AB85" s="814"/>
      <c r="AC85" s="814"/>
      <c r="AD85" s="814"/>
      <c r="AE85" s="814"/>
      <c r="AF85" s="814"/>
      <c r="AG85" s="813"/>
      <c r="AH85" s="815" t="s">
        <v>3301</v>
      </c>
    </row>
    <row r="86" s="787" customFormat="1" ht="15" customHeight="1" spans="1:34">
      <c r="A86" s="810">
        <v>46190</v>
      </c>
      <c r="B86" s="811">
        <v>1000041507</v>
      </c>
      <c r="C86" s="812">
        <v>17011158</v>
      </c>
      <c r="D86" s="816" t="s">
        <v>3216</v>
      </c>
      <c r="E86" s="813">
        <v>77770</v>
      </c>
      <c r="F86" s="813">
        <v>120000</v>
      </c>
      <c r="G86" s="812" t="s">
        <v>2993</v>
      </c>
      <c r="H86" s="813" t="s">
        <v>2994</v>
      </c>
      <c r="I86" s="812" t="s">
        <v>16</v>
      </c>
      <c r="J86" s="814"/>
      <c r="K86" s="814"/>
      <c r="L86" s="813"/>
      <c r="M86" s="813">
        <v>120000</v>
      </c>
      <c r="N86" s="814"/>
      <c r="O86" s="814"/>
      <c r="P86" s="813"/>
      <c r="Q86" s="814"/>
      <c r="R86" s="814"/>
      <c r="S86" s="814"/>
      <c r="T86" s="814"/>
      <c r="U86" s="814"/>
      <c r="V86" s="814"/>
      <c r="W86" s="814"/>
      <c r="X86" s="814"/>
      <c r="Y86" s="813"/>
      <c r="Z86" s="814"/>
      <c r="AA86" s="814"/>
      <c r="AB86" s="814"/>
      <c r="AC86" s="814"/>
      <c r="AD86" s="814"/>
      <c r="AE86" s="814"/>
      <c r="AF86" s="814"/>
      <c r="AG86" s="813"/>
      <c r="AH86" s="815"/>
    </row>
    <row r="87" s="787" customFormat="1" ht="15" customHeight="1" spans="1:34">
      <c r="A87" s="810">
        <v>46190</v>
      </c>
      <c r="B87" s="811">
        <v>1000041508</v>
      </c>
      <c r="C87" s="812">
        <v>17011176</v>
      </c>
      <c r="D87" s="816" t="s">
        <v>3216</v>
      </c>
      <c r="E87" s="813" t="s">
        <v>3241</v>
      </c>
      <c r="F87" s="813">
        <v>1800</v>
      </c>
      <c r="G87" s="812" t="s">
        <v>2997</v>
      </c>
      <c r="H87" s="813" t="s">
        <v>2991</v>
      </c>
      <c r="I87" s="812" t="s">
        <v>16</v>
      </c>
      <c r="J87" s="814"/>
      <c r="K87" s="814"/>
      <c r="L87" s="813"/>
      <c r="M87" s="814"/>
      <c r="N87" s="813">
        <v>1800</v>
      </c>
      <c r="O87" s="814"/>
      <c r="P87" s="813"/>
      <c r="Q87" s="814"/>
      <c r="R87" s="814"/>
      <c r="S87" s="814"/>
      <c r="T87" s="814"/>
      <c r="U87" s="814"/>
      <c r="V87" s="814"/>
      <c r="W87" s="814"/>
      <c r="X87" s="814"/>
      <c r="Y87" s="813"/>
      <c r="Z87" s="814"/>
      <c r="AA87" s="814"/>
      <c r="AB87" s="814"/>
      <c r="AC87" s="814"/>
      <c r="AD87" s="814"/>
      <c r="AE87" s="814"/>
      <c r="AF87" s="814"/>
      <c r="AG87" s="813"/>
      <c r="AH87" s="815"/>
    </row>
    <row r="88" s="786" customFormat="1" ht="15" customHeight="1" spans="1:34">
      <c r="A88" s="806">
        <v>46199</v>
      </c>
      <c r="B88" s="804">
        <v>1000041765</v>
      </c>
      <c r="C88" s="807">
        <v>17011695</v>
      </c>
      <c r="D88" s="817" t="s">
        <v>3218</v>
      </c>
      <c r="E88" s="805">
        <v>77806</v>
      </c>
      <c r="F88" s="805">
        <v>10000</v>
      </c>
      <c r="G88" s="807" t="s">
        <v>3329</v>
      </c>
      <c r="H88" s="805" t="s">
        <v>3199</v>
      </c>
      <c r="I88" s="807" t="s">
        <v>3199</v>
      </c>
      <c r="J88" s="808"/>
      <c r="K88" s="808"/>
      <c r="L88" s="805"/>
      <c r="M88" s="808"/>
      <c r="N88" s="805"/>
      <c r="O88" s="808"/>
      <c r="P88" s="805"/>
      <c r="Q88" s="808"/>
      <c r="R88" s="808"/>
      <c r="S88" s="808"/>
      <c r="T88" s="808"/>
      <c r="U88" s="808"/>
      <c r="V88" s="808"/>
      <c r="W88" s="808"/>
      <c r="X88" s="808"/>
      <c r="Y88" s="805"/>
      <c r="Z88" s="808"/>
      <c r="AA88" s="808"/>
      <c r="AB88" s="808"/>
      <c r="AC88" s="808"/>
      <c r="AD88" s="808"/>
      <c r="AE88" s="805">
        <v>10000</v>
      </c>
      <c r="AF88" s="808"/>
      <c r="AG88" s="805"/>
      <c r="AH88" s="809" t="s">
        <v>3330</v>
      </c>
    </row>
    <row r="89" s="786" customFormat="1" ht="15" customHeight="1" spans="1:34">
      <c r="A89" s="806">
        <v>46199</v>
      </c>
      <c r="B89" s="804">
        <v>1000041766</v>
      </c>
      <c r="C89" s="807">
        <v>17011697</v>
      </c>
      <c r="D89" s="817" t="s">
        <v>3218</v>
      </c>
      <c r="E89" s="805">
        <v>77806</v>
      </c>
      <c r="F89" s="805">
        <v>5000</v>
      </c>
      <c r="G89" s="807" t="s">
        <v>3009</v>
      </c>
      <c r="H89" s="805" t="s">
        <v>3003</v>
      </c>
      <c r="I89" s="807" t="s">
        <v>3199</v>
      </c>
      <c r="J89" s="808"/>
      <c r="K89" s="808"/>
      <c r="L89" s="805"/>
      <c r="M89" s="808"/>
      <c r="N89" s="805"/>
      <c r="O89" s="808"/>
      <c r="P89" s="805"/>
      <c r="Q89" s="808"/>
      <c r="R89" s="808"/>
      <c r="S89" s="808"/>
      <c r="T89" s="808"/>
      <c r="U89" s="808"/>
      <c r="V89" s="808"/>
      <c r="W89" s="808"/>
      <c r="X89" s="808"/>
      <c r="Y89" s="805"/>
      <c r="Z89" s="808"/>
      <c r="AA89" s="808"/>
      <c r="AB89" s="808"/>
      <c r="AC89" s="808"/>
      <c r="AD89" s="808"/>
      <c r="AE89" s="808"/>
      <c r="AF89" s="805">
        <v>5000</v>
      </c>
      <c r="AG89" s="805"/>
      <c r="AH89" s="809" t="s">
        <v>3330</v>
      </c>
    </row>
    <row r="90" s="786" customFormat="1" ht="15" customHeight="1" spans="1:34">
      <c r="A90" s="806">
        <v>46199</v>
      </c>
      <c r="B90" s="804">
        <v>1000041767</v>
      </c>
      <c r="C90" s="807">
        <v>17011696</v>
      </c>
      <c r="D90" s="817" t="s">
        <v>3218</v>
      </c>
      <c r="E90" s="805">
        <v>77806</v>
      </c>
      <c r="F90" s="805">
        <v>5000</v>
      </c>
      <c r="G90" s="807" t="s">
        <v>3255</v>
      </c>
      <c r="H90" s="805" t="s">
        <v>3199</v>
      </c>
      <c r="I90" s="807" t="s">
        <v>3199</v>
      </c>
      <c r="J90" s="808"/>
      <c r="K90" s="808"/>
      <c r="L90" s="805"/>
      <c r="M90" s="808"/>
      <c r="N90" s="805"/>
      <c r="O90" s="808"/>
      <c r="P90" s="805"/>
      <c r="Q90" s="808"/>
      <c r="R90" s="808"/>
      <c r="S90" s="808"/>
      <c r="T90" s="808"/>
      <c r="U90" s="808"/>
      <c r="V90" s="808"/>
      <c r="W90" s="808"/>
      <c r="X90" s="808"/>
      <c r="Y90" s="805"/>
      <c r="Z90" s="808"/>
      <c r="AA90" s="808"/>
      <c r="AB90" s="808"/>
      <c r="AC90" s="808"/>
      <c r="AD90" s="808"/>
      <c r="AE90" s="808"/>
      <c r="AF90" s="808"/>
      <c r="AG90" s="805">
        <v>5000</v>
      </c>
      <c r="AH90" s="809" t="s">
        <v>3330</v>
      </c>
    </row>
    <row r="91" s="786" customFormat="1" ht="15" customHeight="1" spans="1:34">
      <c r="A91" s="806"/>
      <c r="B91" s="804"/>
      <c r="C91" s="807"/>
      <c r="D91" s="818"/>
      <c r="E91" s="805"/>
      <c r="F91" s="805"/>
      <c r="G91" s="807"/>
      <c r="H91" s="805"/>
      <c r="I91" s="807"/>
      <c r="J91" s="808"/>
      <c r="K91" s="808"/>
      <c r="L91" s="805"/>
      <c r="M91" s="808"/>
      <c r="N91" s="805"/>
      <c r="O91" s="808"/>
      <c r="P91" s="805"/>
      <c r="Q91" s="808"/>
      <c r="R91" s="808"/>
      <c r="S91" s="808"/>
      <c r="T91" s="808"/>
      <c r="U91" s="808"/>
      <c r="V91" s="808"/>
      <c r="W91" s="808"/>
      <c r="X91" s="808"/>
      <c r="Y91" s="805"/>
      <c r="Z91" s="808"/>
      <c r="AA91" s="808"/>
      <c r="AB91" s="808"/>
      <c r="AC91" s="808"/>
      <c r="AD91" s="808"/>
      <c r="AE91" s="808"/>
      <c r="AF91" s="808"/>
      <c r="AG91" s="805"/>
      <c r="AH91" s="809"/>
    </row>
    <row r="92" s="786" customFormat="1" ht="15" customHeight="1" spans="1:34">
      <c r="A92" s="806"/>
      <c r="B92" s="804"/>
      <c r="C92" s="807"/>
      <c r="D92" s="818"/>
      <c r="E92" s="805"/>
      <c r="F92" s="805"/>
      <c r="G92" s="807"/>
      <c r="H92" s="805"/>
      <c r="I92" s="807"/>
      <c r="J92" s="808"/>
      <c r="K92" s="808"/>
      <c r="L92" s="805"/>
      <c r="M92" s="808"/>
      <c r="N92" s="805"/>
      <c r="O92" s="808"/>
      <c r="P92" s="805"/>
      <c r="Q92" s="808"/>
      <c r="R92" s="808"/>
      <c r="S92" s="808"/>
      <c r="T92" s="808"/>
      <c r="U92" s="808"/>
      <c r="V92" s="808"/>
      <c r="W92" s="808"/>
      <c r="X92" s="808"/>
      <c r="Y92" s="805"/>
      <c r="Z92" s="808"/>
      <c r="AA92" s="808"/>
      <c r="AB92" s="808"/>
      <c r="AC92" s="808"/>
      <c r="AD92" s="808"/>
      <c r="AE92" s="808"/>
      <c r="AF92" s="808"/>
      <c r="AG92" s="805"/>
      <c r="AH92" s="809"/>
    </row>
    <row r="93" s="786" customFormat="1" ht="15" customHeight="1" spans="1:34">
      <c r="A93" s="806"/>
      <c r="B93" s="804"/>
      <c r="C93" s="807"/>
      <c r="D93" s="807"/>
      <c r="E93" s="805"/>
      <c r="F93" s="805"/>
      <c r="G93" s="807"/>
      <c r="H93" s="805"/>
      <c r="I93" s="807"/>
      <c r="J93" s="808"/>
      <c r="K93" s="808"/>
      <c r="L93" s="805"/>
      <c r="M93" s="808"/>
      <c r="N93" s="808"/>
      <c r="O93" s="808"/>
      <c r="P93" s="805"/>
      <c r="Q93" s="808"/>
      <c r="R93" s="808"/>
      <c r="S93" s="808"/>
      <c r="T93" s="808"/>
      <c r="U93" s="808"/>
      <c r="V93" s="808"/>
      <c r="W93" s="808"/>
      <c r="X93" s="808"/>
      <c r="Y93" s="805"/>
      <c r="Z93" s="808"/>
      <c r="AA93" s="808"/>
      <c r="AB93" s="808"/>
      <c r="AC93" s="808"/>
      <c r="AD93" s="808"/>
      <c r="AE93" s="808"/>
      <c r="AF93" s="808"/>
      <c r="AG93" s="805"/>
      <c r="AH93" s="809"/>
    </row>
    <row r="94" s="786" customFormat="1" ht="15" customHeight="1" spans="1:34">
      <c r="A94" s="806"/>
      <c r="B94" s="804"/>
      <c r="C94" s="807"/>
      <c r="D94" s="807"/>
      <c r="E94" s="805"/>
      <c r="F94" s="805"/>
      <c r="G94" s="807"/>
      <c r="H94" s="805"/>
      <c r="I94" s="807"/>
      <c r="J94" s="808"/>
      <c r="K94" s="808"/>
      <c r="L94" s="808"/>
      <c r="M94" s="808"/>
      <c r="N94" s="808"/>
      <c r="O94" s="808"/>
      <c r="P94" s="805"/>
      <c r="Q94" s="808"/>
      <c r="R94" s="808"/>
      <c r="S94" s="808"/>
      <c r="T94" s="808"/>
      <c r="U94" s="808"/>
      <c r="V94" s="808"/>
      <c r="W94" s="808"/>
      <c r="X94" s="808"/>
      <c r="Y94" s="805"/>
      <c r="Z94" s="808"/>
      <c r="AA94" s="808"/>
      <c r="AB94" s="808"/>
      <c r="AC94" s="808"/>
      <c r="AD94" s="808"/>
      <c r="AE94" s="808"/>
      <c r="AF94" s="808"/>
      <c r="AG94" s="805"/>
      <c r="AH94" s="809"/>
    </row>
    <row r="95" s="785" customFormat="1" spans="1:34">
      <c r="A95" s="819"/>
      <c r="B95" s="820"/>
      <c r="C95" s="820"/>
      <c r="D95" s="820"/>
      <c r="E95" s="821"/>
      <c r="F95" s="821"/>
      <c r="G95" s="822"/>
      <c r="H95" s="821"/>
      <c r="I95" s="822"/>
      <c r="J95" s="820"/>
      <c r="K95" s="820"/>
      <c r="L95" s="820"/>
      <c r="M95" s="820"/>
      <c r="N95" s="820"/>
      <c r="O95" s="820"/>
      <c r="P95" s="822"/>
      <c r="Q95" s="822"/>
      <c r="R95" s="822"/>
      <c r="S95" s="822"/>
      <c r="T95" s="822"/>
      <c r="U95" s="822"/>
      <c r="V95" s="822"/>
      <c r="W95" s="822"/>
      <c r="X95" s="822"/>
      <c r="Y95" s="822"/>
      <c r="Z95" s="822"/>
      <c r="AA95" s="822"/>
      <c r="AB95" s="822"/>
      <c r="AC95" s="822"/>
      <c r="AD95" s="822"/>
      <c r="AE95" s="822"/>
      <c r="AF95" s="822"/>
      <c r="AG95" s="820"/>
      <c r="AH95" s="823"/>
    </row>
    <row r="96" s="785" customFormat="1" spans="1:34">
      <c r="A96" s="824" t="s">
        <v>38</v>
      </c>
      <c r="B96" s="825"/>
      <c r="C96" s="825"/>
      <c r="D96" s="825"/>
      <c r="E96" s="825"/>
      <c r="F96" s="825"/>
      <c r="G96" s="825"/>
      <c r="H96" s="826"/>
      <c r="I96" s="827"/>
      <c r="J96" s="828">
        <f>SUM(J3:J95)</f>
        <v>1080000</v>
      </c>
      <c r="K96" s="828">
        <f>SUM(K3:K95)</f>
        <v>150000</v>
      </c>
      <c r="L96" s="828">
        <f>SUM(L36:L95)</f>
        <v>37808</v>
      </c>
      <c r="M96" s="828">
        <f t="shared" ref="M96:AA96" si="1">SUM(M3:M95)</f>
        <v>1240000</v>
      </c>
      <c r="N96" s="828">
        <f t="shared" si="1"/>
        <v>9600</v>
      </c>
      <c r="O96" s="828">
        <f t="shared" si="1"/>
        <v>2000</v>
      </c>
      <c r="P96" s="828">
        <f t="shared" si="1"/>
        <v>16700</v>
      </c>
      <c r="Q96" s="828">
        <f t="shared" si="1"/>
        <v>3000</v>
      </c>
      <c r="R96" s="828">
        <f t="shared" si="1"/>
        <v>18099</v>
      </c>
      <c r="S96" s="828">
        <f t="shared" si="1"/>
        <v>0</v>
      </c>
      <c r="T96" s="828">
        <f t="shared" si="1"/>
        <v>0</v>
      </c>
      <c r="U96" s="828">
        <f t="shared" si="1"/>
        <v>0</v>
      </c>
      <c r="V96" s="828">
        <f t="shared" si="1"/>
        <v>0</v>
      </c>
      <c r="W96" s="828">
        <f t="shared" si="1"/>
        <v>0</v>
      </c>
      <c r="X96" s="828">
        <f t="shared" si="1"/>
        <v>0</v>
      </c>
      <c r="Y96" s="828">
        <f t="shared" si="1"/>
        <v>1931</v>
      </c>
      <c r="Z96" s="828">
        <f t="shared" si="1"/>
        <v>1029</v>
      </c>
      <c r="AA96" s="828">
        <f t="shared" si="1"/>
        <v>0</v>
      </c>
      <c r="AB96" s="828"/>
      <c r="AC96" s="828">
        <f>SUM(AC3:AC95)</f>
        <v>0</v>
      </c>
      <c r="AD96" s="828">
        <f>SUM(AD3:AD95)</f>
        <v>0</v>
      </c>
      <c r="AE96" s="828">
        <f>SUM(AE3:AE95)</f>
        <v>48904</v>
      </c>
      <c r="AF96" s="828">
        <f>SUM(AF3:AF95)</f>
        <v>28904</v>
      </c>
      <c r="AG96" s="828">
        <f>SUM(AG3:AG95)</f>
        <v>28904</v>
      </c>
      <c r="AH96" s="829"/>
    </row>
    <row r="97" s="785" customFormat="1" spans="1:34">
      <c r="A97" s="830"/>
      <c r="B97" s="831"/>
      <c r="C97" s="831"/>
      <c r="D97" s="831"/>
      <c r="E97" s="831"/>
      <c r="F97" s="831"/>
      <c r="G97" s="831"/>
      <c r="H97" s="832"/>
      <c r="I97" s="831"/>
      <c r="J97" s="833"/>
      <c r="K97" s="833"/>
      <c r="L97" s="833"/>
      <c r="M97" s="833"/>
      <c r="N97" s="833"/>
      <c r="O97" s="833"/>
      <c r="P97" s="833"/>
      <c r="Q97" s="833"/>
      <c r="R97" s="833"/>
      <c r="S97" s="833"/>
      <c r="T97" s="833"/>
      <c r="U97" s="833"/>
      <c r="V97" s="833"/>
      <c r="W97" s="833"/>
      <c r="X97" s="833"/>
      <c r="Y97" s="833"/>
      <c r="Z97" s="833"/>
      <c r="AA97" s="833"/>
      <c r="AB97" s="833"/>
      <c r="AC97" s="833"/>
      <c r="AD97" s="833"/>
      <c r="AE97" s="833"/>
      <c r="AF97" s="833"/>
      <c r="AG97" s="833"/>
      <c r="AH97" s="834"/>
    </row>
    <row r="98" s="785" customFormat="1" spans="1:34">
      <c r="A98" s="824" t="s">
        <v>39</v>
      </c>
      <c r="B98" s="825"/>
      <c r="C98" s="825"/>
      <c r="D98" s="825"/>
      <c r="E98" s="825"/>
      <c r="F98" s="825"/>
      <c r="G98" s="825"/>
      <c r="H98" s="826"/>
      <c r="I98" s="827"/>
      <c r="J98" s="828">
        <f>'77770 S4 明细'!AL399</f>
        <v>1080922</v>
      </c>
      <c r="K98" s="828">
        <f>'77770 S4 明细'!AN399</f>
        <v>109711</v>
      </c>
      <c r="L98" s="828">
        <f>'77770 S4 明细'!AM399</f>
        <v>33784</v>
      </c>
      <c r="M98" s="828">
        <f>'77770 S4 明细'!AO399</f>
        <v>1195895</v>
      </c>
      <c r="N98" s="828">
        <f>'77770 S4 明细'!AR399</f>
        <v>10133</v>
      </c>
      <c r="O98" s="828">
        <f>'77770 S4 明细'!AS399</f>
        <v>1783</v>
      </c>
      <c r="P98" s="828">
        <f>'77770 S4 明细'!AT399</f>
        <v>15530</v>
      </c>
      <c r="Q98" s="828">
        <f>'77770 S4 明细'!AU399</f>
        <v>3215</v>
      </c>
      <c r="R98" s="828">
        <f>'77770 S4 明细'!AY399</f>
        <v>17899</v>
      </c>
      <c r="S98" s="828"/>
      <c r="T98" s="828"/>
      <c r="U98" s="828"/>
      <c r="V98" s="828"/>
      <c r="W98" s="828"/>
      <c r="X98" s="828"/>
      <c r="Y98" s="828">
        <f>'77770 S4 明细'!BI399+'77770 S4 明细'!BH399</f>
        <v>1931</v>
      </c>
      <c r="Z98" s="828">
        <f>'77770 S4 明细'!BI399</f>
        <v>931</v>
      </c>
      <c r="AA98" s="828">
        <f>'77770 S4 明细'!BG399</f>
        <v>17</v>
      </c>
      <c r="AB98" s="828"/>
      <c r="AC98" s="828"/>
      <c r="AD98" s="828"/>
      <c r="AE98" s="828">
        <f>'77770 S4 明细'!BJ399</f>
        <v>38520</v>
      </c>
      <c r="AF98" s="828">
        <f>'77770 S4 明细'!BK399</f>
        <v>38520</v>
      </c>
      <c r="AG98" s="828">
        <f>'77770 S4 明细'!BL399</f>
        <v>38520</v>
      </c>
      <c r="AH98" s="829"/>
    </row>
    <row r="99" s="785" customFormat="1" spans="1:34">
      <c r="A99" s="835"/>
      <c r="B99" s="835"/>
      <c r="C99" s="835"/>
      <c r="D99" s="835"/>
      <c r="E99" s="835"/>
      <c r="F99" s="835"/>
      <c r="G99" s="836"/>
      <c r="H99" s="836"/>
      <c r="I99" s="836"/>
      <c r="J99" s="833"/>
      <c r="K99" s="833"/>
      <c r="L99" s="833"/>
      <c r="M99" s="833"/>
      <c r="N99" s="833"/>
      <c r="O99" s="833"/>
      <c r="P99" s="833"/>
      <c r="Q99" s="833"/>
      <c r="R99" s="833"/>
      <c r="S99" s="833"/>
      <c r="T99" s="833"/>
      <c r="U99" s="833"/>
      <c r="V99" s="833"/>
      <c r="W99" s="833"/>
      <c r="X99" s="833"/>
      <c r="Y99" s="833"/>
      <c r="Z99" s="833"/>
      <c r="AA99" s="833"/>
      <c r="AB99" s="833"/>
      <c r="AC99" s="833"/>
      <c r="AD99" s="833"/>
      <c r="AE99" s="833"/>
      <c r="AF99" s="833"/>
      <c r="AG99" s="833"/>
      <c r="AH99" s="834"/>
    </row>
    <row r="100" s="785" customFormat="1" spans="1:34">
      <c r="A100" s="837" t="s">
        <v>40</v>
      </c>
      <c r="B100" s="838"/>
      <c r="C100" s="838"/>
      <c r="D100" s="838"/>
      <c r="E100" s="838"/>
      <c r="F100" s="838"/>
      <c r="G100" s="838"/>
      <c r="H100" s="839"/>
      <c r="I100" s="831"/>
      <c r="J100" s="840">
        <f>J96-J98</f>
        <v>-922</v>
      </c>
      <c r="K100" s="840">
        <f>K96-K98</f>
        <v>40289</v>
      </c>
      <c r="L100" s="840">
        <f>L96-L98</f>
        <v>4024</v>
      </c>
      <c r="M100" s="840">
        <f t="shared" ref="M100:AA100" si="2">M96-M98</f>
        <v>44105</v>
      </c>
      <c r="N100" s="840">
        <f t="shared" si="2"/>
        <v>-533</v>
      </c>
      <c r="O100" s="840">
        <f t="shared" si="2"/>
        <v>217</v>
      </c>
      <c r="P100" s="840">
        <f t="shared" si="2"/>
        <v>1170</v>
      </c>
      <c r="Q100" s="840">
        <f t="shared" si="2"/>
        <v>-215</v>
      </c>
      <c r="R100" s="840">
        <f t="shared" si="2"/>
        <v>200</v>
      </c>
      <c r="S100" s="840">
        <f t="shared" si="2"/>
        <v>0</v>
      </c>
      <c r="T100" s="840">
        <f t="shared" si="2"/>
        <v>0</v>
      </c>
      <c r="U100" s="840">
        <f t="shared" si="2"/>
        <v>0</v>
      </c>
      <c r="V100" s="840">
        <f t="shared" si="2"/>
        <v>0</v>
      </c>
      <c r="W100" s="840">
        <f t="shared" si="2"/>
        <v>0</v>
      </c>
      <c r="X100" s="840">
        <f t="shared" si="2"/>
        <v>0</v>
      </c>
      <c r="Y100" s="840">
        <f t="shared" si="2"/>
        <v>0</v>
      </c>
      <c r="Z100" s="840">
        <f t="shared" si="2"/>
        <v>98</v>
      </c>
      <c r="AA100" s="840">
        <f t="shared" si="2"/>
        <v>-17</v>
      </c>
      <c r="AB100" s="840"/>
      <c r="AC100" s="840">
        <f t="shared" ref="AC100:AK100" si="3">AC96-AC98</f>
        <v>0</v>
      </c>
      <c r="AD100" s="840">
        <f t="shared" si="3"/>
        <v>0</v>
      </c>
      <c r="AE100" s="840">
        <f t="shared" si="3"/>
        <v>10384</v>
      </c>
      <c r="AF100" s="840">
        <f t="shared" si="3"/>
        <v>-9616</v>
      </c>
      <c r="AG100" s="840">
        <f t="shared" si="3"/>
        <v>-9616</v>
      </c>
      <c r="AH100" s="814"/>
    </row>
    <row r="101" spans="1:34">
      <c r="Y101" s="840"/>
    </row>
  </sheetData>
  <sheetProtection formatCells="0" formatColumns="0" formatRows="0" insertRows="0" insertColumns="0" insertHyperlinks="0" deleteColumns="0" deleteRows="0" sort="0" autoFilter="0" pivotTables="0"/>
  <autoFilter xmlns:etc="http://www.wps.cn/officeDocument/2017/etCustomData" ref="A2:AH90" etc:filterBottomFollowUsedRange="0">
    <extLst/>
  </autoFilter>
  <mergeCells count="3">
    <mergeCell ref="A96:H96"/>
    <mergeCell ref="A98:H98"/>
    <mergeCell ref="A100:H100"/>
  </mergeCells>
  <conditionalFormatting sqref="R100">
    <cfRule type="cellIs" dxfId="0" priority="4" operator="lessThan">
      <formula>0</formula>
    </cfRule>
  </conditionalFormatting>
  <conditionalFormatting sqref="Y100:Z100">
    <cfRule type="cellIs" dxfId="0" priority="1" operator="lessThan">
      <formula>0</formula>
    </cfRule>
  </conditionalFormatting>
  <conditionalFormatting sqref="AD100">
    <cfRule type="cellIs" dxfId="0" priority="6" operator="lessThan">
      <formula>0</formula>
    </cfRule>
  </conditionalFormatting>
  <conditionalFormatting sqref="Y101:Z101">
    <cfRule type="cellIs" dxfId="0" priority="2" operator="lessThan">
      <formula>0</formula>
    </cfRule>
  </conditionalFormatting>
  <conditionalFormatting sqref="A100 I100:Q100 S100:X100 AA100:AC100 AE100:AH100">
    <cfRule type="cellIs" dxfId="0" priority="7" operator="lessThan">
      <formula>0</formula>
    </cfRule>
  </conditionalFormatting>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9"/>
  <sheetViews>
    <sheetView workbookViewId="0">
      <pane xSplit="8" ySplit="2" topLeftCell="AI74" activePane="bottomRight" state="frozen"/>
      <selection/>
      <selection pane="topRight"/>
      <selection pane="bottomLeft"/>
      <selection pane="bottomRight" activeCell="R1" sqref="R$1:R$1048576"/>
    </sheetView>
  </sheetViews>
  <sheetFormatPr defaultColWidth="9" defaultRowHeight="13.5"/>
  <cols>
    <col min="1" max="1" width="11.75" style="785" customWidth="1"/>
    <col min="2" max="2" width="9" style="785"/>
    <col min="3" max="3" width="10.3333333333333" style="785"/>
    <col min="4" max="4" width="11.95" style="785" customWidth="1"/>
    <col min="5" max="5" width="17.025" style="785" customWidth="1"/>
    <col min="6" max="6" width="9" style="785"/>
    <col min="7" max="7" width="12.5833333333333" style="785" customWidth="1"/>
    <col min="8" max="8" width="9" style="785"/>
    <col min="9" max="9" width="12.5833333333333" style="785" customWidth="1"/>
    <col min="10" max="10" width="9" style="785"/>
    <col min="11" max="11" width="9.225" style="785"/>
    <col min="12" max="13" width="10.1083333333333" style="785" customWidth="1"/>
    <col min="14" max="14" width="12.8" style="785"/>
    <col min="15" max="15" width="9" style="785"/>
    <col min="16" max="22" width="9.225" style="785"/>
    <col min="23" max="33" width="9" style="785"/>
    <col min="34" max="34" width="51.3833333333333" style="785" customWidth="1"/>
    <col min="35" max="16384" width="9" style="785"/>
  </cols>
  <sheetData>
    <row r="1" s="785" customFormat="1" ht="34" customHeight="1" spans="1:34">
      <c r="A1" s="788" t="s">
        <v>3224</v>
      </c>
      <c r="B1" s="788"/>
      <c r="C1" s="788"/>
      <c r="D1" s="788"/>
      <c r="E1" s="788"/>
      <c r="F1" s="788"/>
      <c r="G1" s="788"/>
      <c r="H1" s="788"/>
      <c r="I1" s="788"/>
      <c r="J1" s="789"/>
      <c r="K1" s="789"/>
      <c r="L1" s="789"/>
      <c r="M1" s="789"/>
      <c r="N1" s="789"/>
      <c r="O1" s="789"/>
      <c r="P1" s="790"/>
      <c r="Q1" s="790"/>
      <c r="R1" s="790"/>
      <c r="S1" s="790"/>
      <c r="T1" s="790"/>
      <c r="U1" s="790"/>
      <c r="V1" s="790"/>
      <c r="W1" s="790"/>
      <c r="X1" s="790"/>
      <c r="Y1" s="790"/>
      <c r="Z1" s="790"/>
      <c r="AA1" s="790"/>
      <c r="AB1" s="789"/>
      <c r="AC1" s="789"/>
      <c r="AD1" s="789"/>
      <c r="AE1" s="789"/>
      <c r="AF1" s="789"/>
      <c r="AG1" s="789"/>
      <c r="AH1" s="789"/>
    </row>
    <row r="2" s="785" customFormat="1" ht="39" customHeight="1" spans="1:34">
      <c r="A2" s="791" t="s">
        <v>2956</v>
      </c>
      <c r="B2" s="792" t="s">
        <v>4</v>
      </c>
      <c r="C2" s="792" t="s">
        <v>6</v>
      </c>
      <c r="D2" s="792" t="s">
        <v>2</v>
      </c>
      <c r="E2" s="792" t="s">
        <v>1</v>
      </c>
      <c r="F2" s="792" t="s">
        <v>2958</v>
      </c>
      <c r="G2" s="793" t="s">
        <v>2957</v>
      </c>
      <c r="H2" s="792" t="s">
        <v>5</v>
      </c>
      <c r="I2" s="791"/>
      <c r="J2" s="794" t="s">
        <v>3225</v>
      </c>
      <c r="K2" s="795" t="s">
        <v>150</v>
      </c>
      <c r="L2" s="794" t="s">
        <v>3226</v>
      </c>
      <c r="M2" s="796" t="s">
        <v>152</v>
      </c>
      <c r="N2" s="794" t="s">
        <v>3228</v>
      </c>
      <c r="O2" s="795" t="s">
        <v>3229</v>
      </c>
      <c r="P2" s="794" t="s">
        <v>3230</v>
      </c>
      <c r="Q2" s="795" t="s">
        <v>3231</v>
      </c>
      <c r="R2" s="797" t="s">
        <v>2969</v>
      </c>
      <c r="S2" s="798" t="s">
        <v>2970</v>
      </c>
      <c r="T2" s="795" t="s">
        <v>2971</v>
      </c>
      <c r="U2" s="798" t="s">
        <v>2972</v>
      </c>
      <c r="V2" s="795" t="s">
        <v>2973</v>
      </c>
      <c r="W2" s="794" t="s">
        <v>167</v>
      </c>
      <c r="X2" s="799" t="s">
        <v>168</v>
      </c>
      <c r="Y2" s="795" t="s">
        <v>3232</v>
      </c>
      <c r="Z2" s="795" t="s">
        <v>3233</v>
      </c>
      <c r="AA2" s="795" t="s">
        <v>3234</v>
      </c>
      <c r="AB2" s="795" t="s">
        <v>3235</v>
      </c>
      <c r="AC2" s="800" t="s">
        <v>2976</v>
      </c>
      <c r="AD2" s="800" t="s">
        <v>2976</v>
      </c>
      <c r="AE2" s="801" t="s">
        <v>1517</v>
      </c>
      <c r="AF2" s="801" t="s">
        <v>1518</v>
      </c>
      <c r="AG2" s="801" t="s">
        <v>1519</v>
      </c>
      <c r="AH2" s="802" t="s">
        <v>12</v>
      </c>
    </row>
    <row r="3" s="786" customFormat="1" spans="1:34">
      <c r="A3" s="803" t="s">
        <v>3216</v>
      </c>
      <c r="B3" s="804">
        <v>77912</v>
      </c>
      <c r="C3" s="805" t="s">
        <v>2990</v>
      </c>
      <c r="D3" s="805" t="s">
        <v>3092</v>
      </c>
      <c r="E3" s="806">
        <v>46226</v>
      </c>
      <c r="F3" s="805" t="s">
        <v>3003</v>
      </c>
      <c r="G3" s="807" t="s">
        <v>16</v>
      </c>
      <c r="H3" s="805">
        <v>20000</v>
      </c>
      <c r="I3" s="807"/>
      <c r="J3" s="808"/>
      <c r="K3" s="805">
        <v>20000</v>
      </c>
      <c r="L3" s="808"/>
      <c r="M3" s="808"/>
      <c r="N3" s="805"/>
      <c r="O3" s="808"/>
      <c r="P3" s="808"/>
      <c r="Q3" s="808"/>
      <c r="R3" s="808"/>
      <c r="S3" s="808"/>
      <c r="T3" s="808"/>
      <c r="U3" s="808"/>
      <c r="V3" s="808"/>
      <c r="W3" s="808"/>
      <c r="X3" s="808"/>
      <c r="Y3" s="808"/>
      <c r="Z3" s="808"/>
      <c r="AA3" s="808"/>
      <c r="AB3" s="808"/>
      <c r="AC3" s="808"/>
      <c r="AD3" s="808"/>
      <c r="AE3" s="808"/>
      <c r="AF3" s="808"/>
      <c r="AG3" s="808"/>
      <c r="AH3" s="809" t="s">
        <v>3301</v>
      </c>
    </row>
    <row r="4" s="786" customFormat="1" spans="1:34">
      <c r="A4" s="803" t="s">
        <v>3216</v>
      </c>
      <c r="B4" s="804">
        <v>77912</v>
      </c>
      <c r="C4" s="805" t="s">
        <v>2993</v>
      </c>
      <c r="D4" s="805">
        <v>1000043280</v>
      </c>
      <c r="E4" s="806">
        <v>46226</v>
      </c>
      <c r="F4" s="805" t="s">
        <v>2994</v>
      </c>
      <c r="G4" s="807" t="s">
        <v>16</v>
      </c>
      <c r="H4" s="805">
        <v>20000</v>
      </c>
      <c r="I4" s="807"/>
      <c r="J4" s="808"/>
      <c r="K4" s="808"/>
      <c r="L4" s="808"/>
      <c r="M4" s="805">
        <v>20000</v>
      </c>
      <c r="N4" s="808"/>
      <c r="O4" s="805"/>
      <c r="P4" s="808"/>
      <c r="Q4" s="808"/>
      <c r="R4" s="808"/>
      <c r="S4" s="808"/>
      <c r="T4" s="808"/>
      <c r="U4" s="808"/>
      <c r="V4" s="808"/>
      <c r="W4" s="808"/>
      <c r="X4" s="808"/>
      <c r="Y4" s="808"/>
      <c r="Z4" s="808"/>
      <c r="AA4" s="808"/>
      <c r="AB4" s="808"/>
      <c r="AC4" s="808"/>
      <c r="AD4" s="808"/>
      <c r="AE4" s="808"/>
      <c r="AF4" s="808"/>
      <c r="AG4" s="808"/>
      <c r="AH4" s="809" t="s">
        <v>3301</v>
      </c>
    </row>
    <row r="5" s="786" customFormat="1" ht="15" customHeight="1" spans="1:34">
      <c r="A5" s="803" t="s">
        <v>3216</v>
      </c>
      <c r="B5" s="804" t="s">
        <v>2954</v>
      </c>
      <c r="C5" s="807" t="s">
        <v>2997</v>
      </c>
      <c r="D5" s="807">
        <v>1000043205</v>
      </c>
      <c r="E5" s="806">
        <v>46226</v>
      </c>
      <c r="F5" s="805" t="s">
        <v>3003</v>
      </c>
      <c r="G5" s="807" t="s">
        <v>16</v>
      </c>
      <c r="H5" s="805">
        <v>500</v>
      </c>
      <c r="I5" s="807"/>
      <c r="J5" s="808"/>
      <c r="K5" s="808"/>
      <c r="L5" s="805"/>
      <c r="M5" s="808"/>
      <c r="N5" s="808"/>
      <c r="O5" s="805">
        <v>500</v>
      </c>
      <c r="P5" s="805"/>
      <c r="Q5" s="808"/>
      <c r="R5" s="808"/>
      <c r="S5" s="808"/>
      <c r="T5" s="808"/>
      <c r="U5" s="808"/>
      <c r="V5" s="808"/>
      <c r="W5" s="808"/>
      <c r="X5" s="808"/>
      <c r="Y5" s="805"/>
      <c r="Z5" s="808"/>
      <c r="AA5" s="808"/>
      <c r="AB5" s="808"/>
      <c r="AC5" s="808"/>
      <c r="AD5" s="808"/>
      <c r="AE5" s="808"/>
      <c r="AF5" s="808"/>
      <c r="AG5" s="805"/>
      <c r="AH5" s="809"/>
    </row>
    <row r="6" s="787" customFormat="1" ht="15" customHeight="1" spans="1:34">
      <c r="A6" s="810"/>
      <c r="B6" s="811"/>
      <c r="C6" s="812"/>
      <c r="D6" s="812"/>
      <c r="E6" s="813"/>
      <c r="F6" s="813"/>
      <c r="G6" s="812"/>
      <c r="H6" s="813"/>
      <c r="I6" s="812"/>
      <c r="J6" s="814"/>
      <c r="K6" s="814"/>
      <c r="L6" s="813"/>
      <c r="M6" s="814"/>
      <c r="N6" s="814"/>
      <c r="O6" s="814"/>
      <c r="P6" s="813"/>
      <c r="Q6" s="814"/>
      <c r="R6" s="814"/>
      <c r="S6" s="814"/>
      <c r="T6" s="814"/>
      <c r="U6" s="814"/>
      <c r="V6" s="814"/>
      <c r="W6" s="814"/>
      <c r="X6" s="814"/>
      <c r="Y6" s="813"/>
      <c r="Z6" s="814"/>
      <c r="AA6" s="814"/>
      <c r="AB6" s="814"/>
      <c r="AC6" s="814"/>
      <c r="AD6" s="814"/>
      <c r="AE6" s="814"/>
      <c r="AF6" s="814"/>
      <c r="AG6" s="813"/>
      <c r="AH6" s="815"/>
    </row>
    <row r="7" s="787" customFormat="1" ht="15" customHeight="1" spans="1:34">
      <c r="A7" s="810"/>
      <c r="B7" s="811"/>
      <c r="C7" s="812"/>
      <c r="D7" s="812"/>
      <c r="E7" s="813"/>
      <c r="F7" s="813"/>
      <c r="G7" s="812"/>
      <c r="H7" s="813"/>
      <c r="I7" s="812"/>
      <c r="J7" s="813"/>
      <c r="K7" s="814"/>
      <c r="L7" s="813"/>
      <c r="M7" s="814"/>
      <c r="N7" s="814"/>
      <c r="O7" s="814"/>
      <c r="P7" s="813"/>
      <c r="Q7" s="814"/>
      <c r="R7" s="814"/>
      <c r="S7" s="814"/>
      <c r="T7" s="814"/>
      <c r="U7" s="814"/>
      <c r="V7" s="814"/>
      <c r="W7" s="814"/>
      <c r="X7" s="814"/>
      <c r="Y7" s="813"/>
      <c r="Z7" s="814"/>
      <c r="AA7" s="814"/>
      <c r="AB7" s="814"/>
      <c r="AC7" s="814"/>
      <c r="AD7" s="814"/>
      <c r="AE7" s="814"/>
      <c r="AF7" s="814"/>
      <c r="AG7" s="813"/>
      <c r="AH7" s="815"/>
    </row>
    <row r="8" s="787" customFormat="1" ht="15" customHeight="1" spans="1:34">
      <c r="A8" s="810"/>
      <c r="B8" s="811"/>
      <c r="C8" s="812"/>
      <c r="D8" s="812"/>
      <c r="E8" s="813"/>
      <c r="F8" s="813"/>
      <c r="G8" s="812"/>
      <c r="H8" s="813"/>
      <c r="I8" s="812"/>
      <c r="J8" s="814"/>
      <c r="K8" s="814"/>
      <c r="L8" s="814"/>
      <c r="M8" s="814"/>
      <c r="N8" s="814"/>
      <c r="O8" s="814"/>
      <c r="P8" s="813"/>
      <c r="Q8" s="813"/>
      <c r="R8" s="814"/>
      <c r="S8" s="814"/>
      <c r="T8" s="814"/>
      <c r="U8" s="814"/>
      <c r="V8" s="814"/>
      <c r="W8" s="814"/>
      <c r="X8" s="814"/>
      <c r="Y8" s="813"/>
      <c r="Z8" s="814"/>
      <c r="AA8" s="814"/>
      <c r="AB8" s="814"/>
      <c r="AC8" s="814"/>
      <c r="AD8" s="814"/>
      <c r="AE8" s="813"/>
      <c r="AF8" s="814"/>
      <c r="AG8" s="813"/>
      <c r="AH8" s="815"/>
    </row>
    <row r="9" s="787" customFormat="1" ht="15" customHeight="1" spans="1:34">
      <c r="A9" s="810"/>
      <c r="B9" s="811"/>
      <c r="C9" s="812"/>
      <c r="D9" s="812"/>
      <c r="E9" s="813"/>
      <c r="F9" s="813"/>
      <c r="G9" s="812"/>
      <c r="H9" s="813"/>
      <c r="I9" s="812"/>
      <c r="J9" s="814"/>
      <c r="K9" s="814"/>
      <c r="L9" s="814"/>
      <c r="M9" s="814"/>
      <c r="N9" s="814"/>
      <c r="O9" s="814"/>
      <c r="P9" s="813"/>
      <c r="Q9" s="813"/>
      <c r="R9" s="814"/>
      <c r="S9" s="814"/>
      <c r="T9" s="814"/>
      <c r="U9" s="814"/>
      <c r="V9" s="814"/>
      <c r="W9" s="814"/>
      <c r="X9" s="814"/>
      <c r="Y9" s="813"/>
      <c r="Z9" s="814"/>
      <c r="AA9" s="814"/>
      <c r="AB9" s="814"/>
      <c r="AC9" s="814"/>
      <c r="AD9" s="814"/>
      <c r="AE9" s="814"/>
      <c r="AF9" s="813"/>
      <c r="AG9" s="813"/>
      <c r="AH9" s="815"/>
    </row>
    <row r="10" s="787" customFormat="1" ht="15" customHeight="1" spans="1:34">
      <c r="A10" s="810"/>
      <c r="B10" s="811"/>
      <c r="C10" s="812"/>
      <c r="D10" s="812"/>
      <c r="E10" s="813"/>
      <c r="F10" s="813"/>
      <c r="G10" s="812"/>
      <c r="H10" s="813"/>
      <c r="I10" s="812"/>
      <c r="J10" s="814"/>
      <c r="K10" s="814"/>
      <c r="L10" s="814"/>
      <c r="M10" s="814"/>
      <c r="N10" s="814"/>
      <c r="O10" s="814"/>
      <c r="P10" s="813"/>
      <c r="Q10" s="814"/>
      <c r="R10" s="814"/>
      <c r="S10" s="814"/>
      <c r="T10" s="814"/>
      <c r="U10" s="814"/>
      <c r="V10" s="814"/>
      <c r="W10" s="814"/>
      <c r="X10" s="814"/>
      <c r="Y10" s="813"/>
      <c r="Z10" s="814"/>
      <c r="AA10" s="814"/>
      <c r="AB10" s="814"/>
      <c r="AC10" s="814"/>
      <c r="AD10" s="814"/>
      <c r="AE10" s="814"/>
      <c r="AF10" s="814"/>
      <c r="AG10" s="813"/>
      <c r="AH10" s="815"/>
    </row>
    <row r="11" s="787" customFormat="1" ht="15" customHeight="1" spans="1:34">
      <c r="A11" s="810"/>
      <c r="B11" s="811"/>
      <c r="C11" s="812"/>
      <c r="D11" s="812"/>
      <c r="E11" s="813"/>
      <c r="F11" s="813"/>
      <c r="G11" s="812"/>
      <c r="H11" s="813"/>
      <c r="I11" s="812"/>
      <c r="J11" s="814"/>
      <c r="K11" s="814"/>
      <c r="L11" s="813"/>
      <c r="M11" s="814"/>
      <c r="N11" s="814"/>
      <c r="O11" s="814"/>
      <c r="P11" s="813"/>
      <c r="Q11" s="814"/>
      <c r="R11" s="814"/>
      <c r="S11" s="814"/>
      <c r="T11" s="814"/>
      <c r="U11" s="814"/>
      <c r="V11" s="814"/>
      <c r="W11" s="814"/>
      <c r="X11" s="814"/>
      <c r="Y11" s="813"/>
      <c r="Z11" s="814"/>
      <c r="AA11" s="814"/>
      <c r="AB11" s="814"/>
      <c r="AC11" s="814"/>
      <c r="AD11" s="814"/>
      <c r="AE11" s="814"/>
      <c r="AF11" s="814"/>
      <c r="AG11" s="813"/>
      <c r="AH11" s="815"/>
    </row>
    <row r="12" s="787" customFormat="1" ht="15" customHeight="1" spans="1:34">
      <c r="A12" s="810"/>
      <c r="B12" s="811"/>
      <c r="C12" s="812"/>
      <c r="D12" s="816"/>
      <c r="E12" s="813"/>
      <c r="F12" s="813"/>
      <c r="G12" s="812"/>
      <c r="H12" s="813"/>
      <c r="I12" s="812"/>
      <c r="J12" s="813"/>
      <c r="K12" s="814"/>
      <c r="L12" s="813"/>
      <c r="M12" s="814"/>
      <c r="N12" s="814"/>
      <c r="O12" s="814"/>
      <c r="P12" s="813"/>
      <c r="Q12" s="814"/>
      <c r="R12" s="814"/>
      <c r="S12" s="814"/>
      <c r="T12" s="814"/>
      <c r="U12" s="814"/>
      <c r="V12" s="814"/>
      <c r="W12" s="814"/>
      <c r="X12" s="814"/>
      <c r="Y12" s="813"/>
      <c r="Z12" s="814"/>
      <c r="AA12" s="814"/>
      <c r="AB12" s="814"/>
      <c r="AC12" s="814"/>
      <c r="AD12" s="814"/>
      <c r="AE12" s="814"/>
      <c r="AF12" s="814"/>
      <c r="AG12" s="813"/>
      <c r="AH12" s="815"/>
    </row>
    <row r="13" s="787" customFormat="1" ht="15" customHeight="1" spans="1:34">
      <c r="A13" s="810"/>
      <c r="B13" s="811"/>
      <c r="C13" s="812"/>
      <c r="D13" s="816"/>
      <c r="E13" s="813"/>
      <c r="F13" s="813"/>
      <c r="G13" s="812"/>
      <c r="H13" s="813"/>
      <c r="I13" s="812"/>
      <c r="J13" s="814"/>
      <c r="K13" s="813"/>
      <c r="L13" s="813"/>
      <c r="M13" s="814"/>
      <c r="N13" s="814"/>
      <c r="O13" s="814"/>
      <c r="P13" s="813"/>
      <c r="Q13" s="814"/>
      <c r="R13" s="814"/>
      <c r="S13" s="814"/>
      <c r="T13" s="814"/>
      <c r="U13" s="814"/>
      <c r="V13" s="814"/>
      <c r="W13" s="814"/>
      <c r="X13" s="814"/>
      <c r="Y13" s="813"/>
      <c r="Z13" s="814"/>
      <c r="AA13" s="814"/>
      <c r="AB13" s="814"/>
      <c r="AC13" s="814"/>
      <c r="AD13" s="814"/>
      <c r="AE13" s="814"/>
      <c r="AF13" s="814"/>
      <c r="AG13" s="813"/>
      <c r="AH13" s="815"/>
    </row>
    <row r="14" s="787" customFormat="1" ht="15" customHeight="1" spans="1:34">
      <c r="A14" s="810"/>
      <c r="B14" s="811"/>
      <c r="C14" s="812"/>
      <c r="D14" s="816"/>
      <c r="E14" s="813"/>
      <c r="F14" s="813"/>
      <c r="G14" s="812"/>
      <c r="H14" s="813"/>
      <c r="I14" s="812"/>
      <c r="J14" s="814"/>
      <c r="K14" s="814"/>
      <c r="L14" s="813"/>
      <c r="M14" s="813"/>
      <c r="N14" s="814"/>
      <c r="O14" s="814"/>
      <c r="P14" s="813"/>
      <c r="Q14" s="814"/>
      <c r="R14" s="814"/>
      <c r="S14" s="814"/>
      <c r="T14" s="814"/>
      <c r="U14" s="814"/>
      <c r="V14" s="814"/>
      <c r="W14" s="814"/>
      <c r="X14" s="814"/>
      <c r="Y14" s="813"/>
      <c r="Z14" s="814"/>
      <c r="AA14" s="814"/>
      <c r="AB14" s="814"/>
      <c r="AC14" s="814"/>
      <c r="AD14" s="814"/>
      <c r="AE14" s="814"/>
      <c r="AF14" s="814"/>
      <c r="AG14" s="813"/>
      <c r="AH14" s="815"/>
    </row>
    <row r="15" s="787" customFormat="1" ht="15" customHeight="1" spans="1:34">
      <c r="A15" s="810"/>
      <c r="B15" s="811"/>
      <c r="C15" s="812"/>
      <c r="D15" s="816"/>
      <c r="E15" s="813"/>
      <c r="F15" s="813"/>
      <c r="G15" s="812"/>
      <c r="H15" s="813"/>
      <c r="I15" s="812"/>
      <c r="J15" s="814"/>
      <c r="K15" s="814"/>
      <c r="L15" s="813"/>
      <c r="M15" s="814"/>
      <c r="N15" s="813"/>
      <c r="O15" s="814"/>
      <c r="P15" s="813"/>
      <c r="Q15" s="814"/>
      <c r="R15" s="814"/>
      <c r="S15" s="814"/>
      <c r="T15" s="814"/>
      <c r="U15" s="814"/>
      <c r="V15" s="814"/>
      <c r="W15" s="814"/>
      <c r="X15" s="814"/>
      <c r="Y15" s="813"/>
      <c r="Z15" s="814"/>
      <c r="AA15" s="814"/>
      <c r="AB15" s="814"/>
      <c r="AC15" s="814"/>
      <c r="AD15" s="814"/>
      <c r="AE15" s="814"/>
      <c r="AF15" s="814"/>
      <c r="AG15" s="813"/>
      <c r="AH15" s="815"/>
    </row>
    <row r="16" s="786" customFormat="1" ht="15" customHeight="1" spans="1:34">
      <c r="A16" s="806"/>
      <c r="B16" s="804"/>
      <c r="C16" s="807"/>
      <c r="D16" s="817"/>
      <c r="E16" s="805"/>
      <c r="F16" s="805"/>
      <c r="G16" s="807"/>
      <c r="H16" s="805"/>
      <c r="I16" s="807"/>
      <c r="J16" s="808"/>
      <c r="K16" s="808"/>
      <c r="L16" s="805"/>
      <c r="M16" s="808"/>
      <c r="N16" s="805"/>
      <c r="O16" s="808"/>
      <c r="P16" s="805"/>
      <c r="Q16" s="808"/>
      <c r="R16" s="808"/>
      <c r="S16" s="808"/>
      <c r="T16" s="808"/>
      <c r="U16" s="808"/>
      <c r="V16" s="808"/>
      <c r="W16" s="808"/>
      <c r="X16" s="808"/>
      <c r="Y16" s="805"/>
      <c r="Z16" s="808"/>
      <c r="AA16" s="808"/>
      <c r="AB16" s="808"/>
      <c r="AC16" s="808"/>
      <c r="AD16" s="808"/>
      <c r="AE16" s="805"/>
      <c r="AF16" s="808"/>
      <c r="AG16" s="805"/>
      <c r="AH16" s="809"/>
    </row>
    <row r="17" s="786" customFormat="1" ht="15" customHeight="1" spans="1:34">
      <c r="A17" s="806"/>
      <c r="B17" s="804"/>
      <c r="C17" s="807"/>
      <c r="D17" s="817"/>
      <c r="E17" s="805"/>
      <c r="F17" s="805"/>
      <c r="G17" s="807"/>
      <c r="H17" s="805"/>
      <c r="I17" s="807"/>
      <c r="J17" s="808"/>
      <c r="K17" s="808"/>
      <c r="L17" s="805"/>
      <c r="M17" s="808"/>
      <c r="N17" s="805"/>
      <c r="O17" s="808"/>
      <c r="P17" s="805"/>
      <c r="Q17" s="808"/>
      <c r="R17" s="808"/>
      <c r="S17" s="808"/>
      <c r="T17" s="808"/>
      <c r="U17" s="808"/>
      <c r="V17" s="808"/>
      <c r="W17" s="808"/>
      <c r="X17" s="808"/>
      <c r="Y17" s="805"/>
      <c r="Z17" s="808"/>
      <c r="AA17" s="808"/>
      <c r="AB17" s="808"/>
      <c r="AC17" s="808"/>
      <c r="AD17" s="808"/>
      <c r="AE17" s="808"/>
      <c r="AF17" s="805"/>
      <c r="AG17" s="805"/>
      <c r="AH17" s="809"/>
    </row>
    <row r="18" s="786" customFormat="1" ht="15" customHeight="1" spans="1:34">
      <c r="A18" s="806"/>
      <c r="B18" s="804"/>
      <c r="C18" s="807"/>
      <c r="D18" s="817"/>
      <c r="E18" s="805"/>
      <c r="F18" s="805"/>
      <c r="G18" s="807"/>
      <c r="H18" s="805"/>
      <c r="I18" s="807"/>
      <c r="J18" s="808"/>
      <c r="K18" s="808"/>
      <c r="L18" s="805"/>
      <c r="M18" s="808"/>
      <c r="N18" s="805"/>
      <c r="O18" s="808"/>
      <c r="P18" s="805"/>
      <c r="Q18" s="808"/>
      <c r="R18" s="808"/>
      <c r="S18" s="808"/>
      <c r="T18" s="808"/>
      <c r="U18" s="808"/>
      <c r="V18" s="808"/>
      <c r="W18" s="808"/>
      <c r="X18" s="808"/>
      <c r="Y18" s="805"/>
      <c r="Z18" s="808"/>
      <c r="AA18" s="808"/>
      <c r="AB18" s="808"/>
      <c r="AC18" s="808"/>
      <c r="AD18" s="808"/>
      <c r="AE18" s="808"/>
      <c r="AF18" s="808"/>
      <c r="AG18" s="805"/>
      <c r="AH18" s="809"/>
    </row>
    <row r="19" s="786" customFormat="1" ht="15" customHeight="1" spans="1:34">
      <c r="A19" s="806"/>
      <c r="B19" s="804"/>
      <c r="C19" s="807"/>
      <c r="D19" s="818"/>
      <c r="E19" s="805"/>
      <c r="F19" s="805"/>
      <c r="G19" s="807"/>
      <c r="H19" s="805"/>
      <c r="I19" s="807"/>
      <c r="J19" s="808"/>
      <c r="K19" s="808"/>
      <c r="L19" s="805"/>
      <c r="M19" s="808"/>
      <c r="N19" s="805"/>
      <c r="O19" s="808"/>
      <c r="P19" s="805"/>
      <c r="Q19" s="808"/>
      <c r="R19" s="808"/>
      <c r="S19" s="808"/>
      <c r="T19" s="808"/>
      <c r="U19" s="808"/>
      <c r="V19" s="808"/>
      <c r="W19" s="808"/>
      <c r="X19" s="808"/>
      <c r="Y19" s="805"/>
      <c r="Z19" s="808"/>
      <c r="AA19" s="808"/>
      <c r="AB19" s="808"/>
      <c r="AC19" s="808"/>
      <c r="AD19" s="808"/>
      <c r="AE19" s="808"/>
      <c r="AF19" s="808"/>
      <c r="AG19" s="805"/>
      <c r="AH19" s="809"/>
    </row>
    <row r="20" s="786" customFormat="1" ht="15" customHeight="1" spans="1:34">
      <c r="A20" s="806"/>
      <c r="B20" s="804"/>
      <c r="C20" s="807"/>
      <c r="D20" s="818"/>
      <c r="E20" s="805"/>
      <c r="F20" s="805"/>
      <c r="G20" s="807"/>
      <c r="H20" s="805"/>
      <c r="I20" s="807"/>
      <c r="J20" s="808"/>
      <c r="K20" s="808"/>
      <c r="L20" s="805"/>
      <c r="M20" s="808"/>
      <c r="N20" s="805"/>
      <c r="O20" s="808"/>
      <c r="P20" s="805"/>
      <c r="Q20" s="808"/>
      <c r="R20" s="808"/>
      <c r="S20" s="808"/>
      <c r="T20" s="808"/>
      <c r="U20" s="808"/>
      <c r="V20" s="808"/>
      <c r="W20" s="808"/>
      <c r="X20" s="808"/>
      <c r="Y20" s="805"/>
      <c r="Z20" s="808"/>
      <c r="AA20" s="808"/>
      <c r="AB20" s="808"/>
      <c r="AC20" s="808"/>
      <c r="AD20" s="808"/>
      <c r="AE20" s="808"/>
      <c r="AF20" s="808"/>
      <c r="AG20" s="805"/>
      <c r="AH20" s="809"/>
    </row>
    <row r="21" s="786" customFormat="1" ht="15" customHeight="1" spans="1:34">
      <c r="A21" s="806"/>
      <c r="B21" s="804"/>
      <c r="C21" s="807"/>
      <c r="D21" s="807"/>
      <c r="E21" s="805"/>
      <c r="F21" s="805"/>
      <c r="G21" s="807"/>
      <c r="H21" s="805"/>
      <c r="I21" s="807"/>
      <c r="J21" s="808"/>
      <c r="K21" s="808"/>
      <c r="L21" s="805"/>
      <c r="M21" s="808"/>
      <c r="N21" s="808"/>
      <c r="O21" s="808"/>
      <c r="P21" s="805"/>
      <c r="Q21" s="808"/>
      <c r="R21" s="808"/>
      <c r="S21" s="808"/>
      <c r="T21" s="808"/>
      <c r="U21" s="808"/>
      <c r="V21" s="808"/>
      <c r="W21" s="808"/>
      <c r="X21" s="808"/>
      <c r="Y21" s="805"/>
      <c r="Z21" s="808"/>
      <c r="AA21" s="808"/>
      <c r="AB21" s="808"/>
      <c r="AC21" s="808"/>
      <c r="AD21" s="808"/>
      <c r="AE21" s="808"/>
      <c r="AF21" s="808"/>
      <c r="AG21" s="805"/>
      <c r="AH21" s="809"/>
    </row>
    <row r="22" s="786" customFormat="1" ht="15" customHeight="1" spans="1:34">
      <c r="A22" s="806"/>
      <c r="B22" s="804"/>
      <c r="C22" s="807"/>
      <c r="D22" s="807"/>
      <c r="E22" s="805"/>
      <c r="F22" s="805"/>
      <c r="G22" s="807"/>
      <c r="H22" s="805"/>
      <c r="I22" s="807"/>
      <c r="J22" s="808"/>
      <c r="K22" s="808"/>
      <c r="L22" s="808"/>
      <c r="M22" s="808"/>
      <c r="N22" s="808"/>
      <c r="O22" s="808"/>
      <c r="P22" s="805"/>
      <c r="Q22" s="808"/>
      <c r="R22" s="808"/>
      <c r="S22" s="808"/>
      <c r="T22" s="808"/>
      <c r="U22" s="808"/>
      <c r="V22" s="808"/>
      <c r="W22" s="808"/>
      <c r="X22" s="808"/>
      <c r="Y22" s="805"/>
      <c r="Z22" s="808"/>
      <c r="AA22" s="808"/>
      <c r="AB22" s="808"/>
      <c r="AC22" s="808"/>
      <c r="AD22" s="808"/>
      <c r="AE22" s="808"/>
      <c r="AF22" s="808"/>
      <c r="AG22" s="805"/>
      <c r="AH22" s="809"/>
    </row>
    <row r="23" s="785" customFormat="1" spans="1:34">
      <c r="A23" s="819"/>
      <c r="B23" s="820"/>
      <c r="C23" s="820"/>
      <c r="D23" s="820"/>
      <c r="E23" s="821"/>
      <c r="F23" s="821"/>
      <c r="G23" s="822"/>
      <c r="H23" s="821"/>
      <c r="I23" s="822"/>
      <c r="J23" s="820"/>
      <c r="K23" s="820"/>
      <c r="L23" s="820"/>
      <c r="M23" s="820"/>
      <c r="N23" s="820"/>
      <c r="O23" s="820"/>
      <c r="P23" s="822"/>
      <c r="Q23" s="822"/>
      <c r="R23" s="822"/>
      <c r="S23" s="822"/>
      <c r="T23" s="822"/>
      <c r="U23" s="822"/>
      <c r="V23" s="822"/>
      <c r="W23" s="822"/>
      <c r="X23" s="822"/>
      <c r="Y23" s="822"/>
      <c r="Z23" s="822"/>
      <c r="AA23" s="822"/>
      <c r="AB23" s="822"/>
      <c r="AC23" s="822"/>
      <c r="AD23" s="822"/>
      <c r="AE23" s="822"/>
      <c r="AF23" s="822"/>
      <c r="AG23" s="820"/>
      <c r="AH23" s="823"/>
    </row>
    <row r="24" s="785" customFormat="1" spans="1:34">
      <c r="A24" s="824" t="s">
        <v>38</v>
      </c>
      <c r="B24" s="825"/>
      <c r="C24" s="825"/>
      <c r="D24" s="825"/>
      <c r="E24" s="825"/>
      <c r="F24" s="825"/>
      <c r="G24" s="825"/>
      <c r="H24" s="826"/>
      <c r="I24" s="827"/>
      <c r="J24" s="828">
        <f t="shared" ref="J24:AA24" si="0">SUM(J3:J23)</f>
        <v>0</v>
      </c>
      <c r="K24" s="828">
        <f t="shared" si="0"/>
        <v>20000</v>
      </c>
      <c r="L24" s="828">
        <f t="shared" si="0"/>
        <v>0</v>
      </c>
      <c r="M24" s="828">
        <f t="shared" si="0"/>
        <v>20000</v>
      </c>
      <c r="N24" s="828">
        <f t="shared" si="0"/>
        <v>0</v>
      </c>
      <c r="O24" s="828">
        <f t="shared" si="0"/>
        <v>500</v>
      </c>
      <c r="P24" s="828">
        <f t="shared" si="0"/>
        <v>0</v>
      </c>
      <c r="Q24" s="828">
        <f t="shared" si="0"/>
        <v>0</v>
      </c>
      <c r="R24" s="828">
        <f t="shared" si="0"/>
        <v>0</v>
      </c>
      <c r="S24" s="828">
        <f t="shared" si="0"/>
        <v>0</v>
      </c>
      <c r="T24" s="828">
        <f t="shared" si="0"/>
        <v>0</v>
      </c>
      <c r="U24" s="828">
        <f t="shared" si="0"/>
        <v>0</v>
      </c>
      <c r="V24" s="828">
        <f t="shared" si="0"/>
        <v>0</v>
      </c>
      <c r="W24" s="828">
        <f t="shared" si="0"/>
        <v>0</v>
      </c>
      <c r="X24" s="828">
        <f t="shared" si="0"/>
        <v>0</v>
      </c>
      <c r="Y24" s="828">
        <f t="shared" si="0"/>
        <v>0</v>
      </c>
      <c r="Z24" s="828">
        <f t="shared" si="0"/>
        <v>0</v>
      </c>
      <c r="AA24" s="828">
        <f t="shared" si="0"/>
        <v>0</v>
      </c>
      <c r="AB24" s="828"/>
      <c r="AC24" s="828">
        <f>SUM(AC3:AC23)</f>
        <v>0</v>
      </c>
      <c r="AD24" s="828">
        <f>SUM(AD3:AD23)</f>
        <v>0</v>
      </c>
      <c r="AE24" s="828">
        <f>SUM(AE3:AE23)</f>
        <v>0</v>
      </c>
      <c r="AF24" s="828">
        <f>SUM(AF3:AF23)</f>
        <v>0</v>
      </c>
      <c r="AG24" s="828">
        <f>SUM(AG3:AG23)</f>
        <v>0</v>
      </c>
      <c r="AH24" s="829"/>
    </row>
    <row r="25" s="785" customFormat="1" spans="1:34">
      <c r="A25" s="830"/>
      <c r="B25" s="831"/>
      <c r="C25" s="831"/>
      <c r="D25" s="831"/>
      <c r="E25" s="831"/>
      <c r="F25" s="831"/>
      <c r="G25" s="831"/>
      <c r="H25" s="832"/>
      <c r="I25" s="831"/>
      <c r="J25" s="833"/>
      <c r="K25" s="833"/>
      <c r="L25" s="833"/>
      <c r="M25" s="833"/>
      <c r="N25" s="833"/>
      <c r="O25" s="833"/>
      <c r="P25" s="833"/>
      <c r="Q25" s="833"/>
      <c r="R25" s="833"/>
      <c r="S25" s="833"/>
      <c r="T25" s="833"/>
      <c r="U25" s="833"/>
      <c r="V25" s="833"/>
      <c r="W25" s="833"/>
      <c r="X25" s="833"/>
      <c r="Y25" s="833"/>
      <c r="Z25" s="833"/>
      <c r="AA25" s="833"/>
      <c r="AB25" s="833"/>
      <c r="AC25" s="833"/>
      <c r="AD25" s="833"/>
      <c r="AE25" s="833"/>
      <c r="AF25" s="833"/>
      <c r="AG25" s="833"/>
      <c r="AH25" s="834"/>
    </row>
    <row r="26" s="785" customFormat="1" spans="1:34">
      <c r="A26" s="824" t="s">
        <v>39</v>
      </c>
      <c r="B26" s="825"/>
      <c r="C26" s="825"/>
      <c r="D26" s="825"/>
      <c r="E26" s="825"/>
      <c r="F26" s="825"/>
      <c r="G26" s="825"/>
      <c r="H26" s="826"/>
      <c r="I26" s="827"/>
      <c r="J26" s="828">
        <f>'77912 S4减价版'!AL17</f>
        <v>0</v>
      </c>
      <c r="K26" s="828">
        <f>'77912 S4减价版'!AN17</f>
        <v>304</v>
      </c>
      <c r="L26" s="828"/>
      <c r="M26" s="828">
        <f>'77912 S4减价版'!AO17</f>
        <v>304</v>
      </c>
      <c r="N26" s="828"/>
      <c r="O26" s="828">
        <f>'77912 S4减价版'!AS17</f>
        <v>16</v>
      </c>
      <c r="P26" s="828"/>
      <c r="Q26" s="828"/>
      <c r="R26" s="828"/>
      <c r="S26" s="828"/>
      <c r="T26" s="828"/>
      <c r="U26" s="828"/>
      <c r="V26" s="828"/>
      <c r="W26" s="828"/>
      <c r="X26" s="828"/>
      <c r="Y26" s="828"/>
      <c r="Z26" s="828"/>
      <c r="AA26" s="828"/>
      <c r="AB26" s="828"/>
      <c r="AC26" s="828"/>
      <c r="AD26" s="828"/>
      <c r="AE26" s="828"/>
      <c r="AF26" s="828"/>
      <c r="AG26" s="828"/>
      <c r="AH26" s="829"/>
    </row>
    <row r="27" s="785" customFormat="1" spans="1:34">
      <c r="A27" s="835"/>
      <c r="B27" s="835"/>
      <c r="C27" s="835"/>
      <c r="D27" s="835"/>
      <c r="E27" s="835"/>
      <c r="F27" s="835"/>
      <c r="G27" s="836"/>
      <c r="H27" s="836"/>
      <c r="I27" s="836"/>
      <c r="J27" s="833"/>
      <c r="K27" s="833"/>
      <c r="L27" s="833"/>
      <c r="M27" s="833"/>
      <c r="N27" s="833"/>
      <c r="O27" s="833"/>
      <c r="P27" s="833"/>
      <c r="Q27" s="833"/>
      <c r="R27" s="833"/>
      <c r="S27" s="833"/>
      <c r="T27" s="833"/>
      <c r="U27" s="833"/>
      <c r="V27" s="833"/>
      <c r="W27" s="833"/>
      <c r="X27" s="833"/>
      <c r="Y27" s="833"/>
      <c r="Z27" s="833"/>
      <c r="AA27" s="833"/>
      <c r="AB27" s="833"/>
      <c r="AC27" s="833"/>
      <c r="AD27" s="833"/>
      <c r="AE27" s="833"/>
      <c r="AF27" s="833"/>
      <c r="AG27" s="833"/>
      <c r="AH27" s="834"/>
    </row>
    <row r="28" s="785" customFormat="1" spans="1:34">
      <c r="A28" s="837" t="s">
        <v>40</v>
      </c>
      <c r="B28" s="838"/>
      <c r="C28" s="838"/>
      <c r="D28" s="838"/>
      <c r="E28" s="838"/>
      <c r="F28" s="838"/>
      <c r="G28" s="838"/>
      <c r="H28" s="839"/>
      <c r="I28" s="831"/>
      <c r="J28" s="840">
        <f t="shared" ref="J28:AA28" si="1">J24-J26</f>
        <v>0</v>
      </c>
      <c r="K28" s="840">
        <f t="shared" si="1"/>
        <v>19696</v>
      </c>
      <c r="L28" s="840">
        <f t="shared" si="1"/>
        <v>0</v>
      </c>
      <c r="M28" s="840">
        <f t="shared" si="1"/>
        <v>19696</v>
      </c>
      <c r="N28" s="840">
        <f t="shared" si="1"/>
        <v>0</v>
      </c>
      <c r="O28" s="840">
        <f t="shared" si="1"/>
        <v>484</v>
      </c>
      <c r="P28" s="840">
        <f t="shared" si="1"/>
        <v>0</v>
      </c>
      <c r="Q28" s="840">
        <f t="shared" si="1"/>
        <v>0</v>
      </c>
      <c r="R28" s="840">
        <f t="shared" si="1"/>
        <v>0</v>
      </c>
      <c r="S28" s="840">
        <f t="shared" si="1"/>
        <v>0</v>
      </c>
      <c r="T28" s="840">
        <f t="shared" si="1"/>
        <v>0</v>
      </c>
      <c r="U28" s="840">
        <f t="shared" si="1"/>
        <v>0</v>
      </c>
      <c r="V28" s="840">
        <f t="shared" si="1"/>
        <v>0</v>
      </c>
      <c r="W28" s="840">
        <f t="shared" si="1"/>
        <v>0</v>
      </c>
      <c r="X28" s="840">
        <f t="shared" si="1"/>
        <v>0</v>
      </c>
      <c r="Y28" s="840">
        <f t="shared" si="1"/>
        <v>0</v>
      </c>
      <c r="Z28" s="840">
        <f t="shared" si="1"/>
        <v>0</v>
      </c>
      <c r="AA28" s="840">
        <f t="shared" si="1"/>
        <v>0</v>
      </c>
      <c r="AB28" s="840"/>
      <c r="AC28" s="840">
        <f t="shared" ref="AC28:AG28" si="2">AC24-AC26</f>
        <v>0</v>
      </c>
      <c r="AD28" s="840">
        <f t="shared" si="2"/>
        <v>0</v>
      </c>
      <c r="AE28" s="840">
        <f t="shared" si="2"/>
        <v>0</v>
      </c>
      <c r="AF28" s="840">
        <f t="shared" si="2"/>
        <v>0</v>
      </c>
      <c r="AG28" s="840">
        <f t="shared" si="2"/>
        <v>0</v>
      </c>
      <c r="AH28" s="814"/>
    </row>
    <row r="29" spans="1:34">
      <c r="Y29" s="840"/>
    </row>
  </sheetData>
  <sheetProtection formatCells="0" formatColumns="0" formatRows="0" insertRows="0" insertColumns="0" insertHyperlinks="0" deleteColumns="0" deleteRows="0" sort="0" autoFilter="0" pivotTables="0"/>
  <autoFilter xmlns:etc="http://www.wps.cn/officeDocument/2017/etCustomData" ref="A2:AH18" etc:filterBottomFollowUsedRange="0">
    <extLst/>
  </autoFilter>
  <mergeCells count="3">
    <mergeCell ref="A24:H24"/>
    <mergeCell ref="A26:H26"/>
    <mergeCell ref="A28:H28"/>
  </mergeCells>
  <conditionalFormatting sqref="R28">
    <cfRule type="cellIs" dxfId="0" priority="3" operator="lessThan">
      <formula>0</formula>
    </cfRule>
  </conditionalFormatting>
  <conditionalFormatting sqref="Y28:Z28">
    <cfRule type="cellIs" dxfId="0" priority="1" operator="lessThan">
      <formula>0</formula>
    </cfRule>
  </conditionalFormatting>
  <conditionalFormatting sqref="AD28">
    <cfRule type="cellIs" dxfId="0" priority="4" operator="lessThan">
      <formula>0</formula>
    </cfRule>
  </conditionalFormatting>
  <conditionalFormatting sqref="Y29:Z29">
    <cfRule type="cellIs" dxfId="0" priority="2" operator="lessThan">
      <formula>0</formula>
    </cfRule>
  </conditionalFormatting>
  <conditionalFormatting sqref="A28 I28:Q28 S28:X28 AA28:AC28 AE28:AH28">
    <cfRule type="cellIs" dxfId="0" priority="5" operator="lessThan">
      <formula>0</formula>
    </cfRule>
  </conditionalFormatting>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52"/>
  <sheetViews>
    <sheetView workbookViewId="0">
      <pane xSplit="6" ySplit="6" topLeftCell="I7" activePane="bottomRight" state="frozen"/>
      <selection/>
      <selection pane="topRight"/>
      <selection pane="bottomLeft"/>
      <selection pane="bottomRight" activeCell="I7" sqref="I7"/>
    </sheetView>
  </sheetViews>
  <sheetFormatPr defaultColWidth="11.45" defaultRowHeight="14.25"/>
  <cols>
    <col min="1" max="1" width="14.175" style="342" customWidth="1"/>
    <col min="2" max="2" width="13.45" style="342" customWidth="1"/>
    <col min="3" max="3" width="25" style="342" customWidth="1"/>
    <col min="4" max="4" width="24.725" style="343" customWidth="1"/>
    <col min="5" max="5" width="21.35" style="343" customWidth="1"/>
    <col min="6" max="6" width="23.8166666666667" style="343" customWidth="1"/>
    <col min="7" max="7" width="18.5333333333333" style="343" customWidth="1"/>
    <col min="8" max="8" width="6.04166666666667" style="343" customWidth="1"/>
    <col min="9" max="9" width="13.5" style="343" customWidth="1"/>
    <col min="10" max="11" width="18.5333333333333" style="343" customWidth="1"/>
    <col min="12" max="16379" width="11.45" style="342"/>
    <col min="16380" max="16384" width="11.45" style="344"/>
  </cols>
  <sheetData>
    <row r="1" s="338" customFormat="1" ht="23.25" customHeight="1" spans="1:15">
      <c r="A1" s="345"/>
      <c r="B1" s="345"/>
      <c r="C1" s="346"/>
      <c r="D1" s="347"/>
      <c r="E1" s="346"/>
      <c r="F1" s="348" t="s">
        <v>3331</v>
      </c>
      <c r="G1" s="350">
        <v>46185</v>
      </c>
      <c r="H1" s="349"/>
      <c r="I1" s="351"/>
      <c r="J1" s="351"/>
      <c r="K1" s="351"/>
    </row>
    <row r="2" s="338" customFormat="1" ht="23.25" customHeight="1" spans="1:15">
      <c r="A2" s="345"/>
      <c r="B2" s="345"/>
      <c r="C2" s="346"/>
      <c r="D2" s="347"/>
      <c r="E2" s="347"/>
      <c r="F2" s="352" t="s">
        <v>3332</v>
      </c>
      <c r="G2" s="353" t="s">
        <v>3333</v>
      </c>
      <c r="H2" s="352"/>
      <c r="I2" s="354"/>
      <c r="J2" s="354"/>
      <c r="K2" s="354"/>
    </row>
    <row r="3" s="338" customFormat="1" ht="23.25" customHeight="1" spans="1:15">
      <c r="A3" s="345"/>
      <c r="B3" s="345"/>
      <c r="C3" s="346"/>
      <c r="D3" s="347"/>
      <c r="E3" s="347"/>
      <c r="F3" s="348" t="s">
        <v>3334</v>
      </c>
      <c r="G3" s="355">
        <v>46227</v>
      </c>
      <c r="H3" s="356"/>
      <c r="I3" s="357"/>
      <c r="J3" s="351"/>
      <c r="K3" s="351"/>
    </row>
    <row r="4" s="339" customFormat="1" ht="22" customHeight="1" spans="1:15">
      <c r="A4" s="345"/>
      <c r="B4" s="345"/>
      <c r="C4" s="346"/>
      <c r="D4" s="347"/>
      <c r="E4" s="347"/>
      <c r="F4" s="352"/>
      <c r="G4" s="354"/>
      <c r="H4" s="354"/>
      <c r="I4" s="354"/>
      <c r="J4" s="354"/>
      <c r="K4" s="354"/>
    </row>
    <row r="5" s="338" customFormat="1" ht="27" customHeight="1" spans="1:15">
      <c r="A5" s="358"/>
      <c r="B5" s="359" t="s">
        <v>3335</v>
      </c>
      <c r="C5" s="360"/>
      <c r="D5" s="359" t="s">
        <v>3336</v>
      </c>
      <c r="E5" s="361"/>
      <c r="F5" s="361"/>
      <c r="G5" s="361"/>
      <c r="H5" s="361"/>
      <c r="I5" s="361" t="s">
        <v>3337</v>
      </c>
      <c r="J5" s="361" t="s">
        <v>3338</v>
      </c>
      <c r="K5" s="361" t="s">
        <v>3339</v>
      </c>
      <c r="L5" s="362" t="s">
        <v>3340</v>
      </c>
      <c r="M5" s="362" t="s">
        <v>1520</v>
      </c>
      <c r="N5" s="362" t="s">
        <v>3341</v>
      </c>
      <c r="O5" s="362"/>
    </row>
    <row r="6" s="339" customFormat="1" ht="23.15" customHeight="1" spans="1:15">
      <c r="A6" s="363" t="s">
        <v>3342</v>
      </c>
      <c r="B6" s="364" t="s">
        <v>3342</v>
      </c>
      <c r="C6" s="365"/>
      <c r="D6" s="366"/>
      <c r="E6" s="367" t="s">
        <v>3343</v>
      </c>
      <c r="F6" s="368"/>
      <c r="G6" s="370">
        <v>300000</v>
      </c>
      <c r="H6" s="369"/>
      <c r="I6" s="369">
        <f t="shared" ref="I6:I38" si="0">SUM(G6:H6)</f>
        <v>300000</v>
      </c>
      <c r="J6" s="369"/>
      <c r="K6" s="369">
        <f>I6-J6</f>
        <v>300000</v>
      </c>
      <c r="L6" s="371"/>
      <c r="M6" s="371"/>
      <c r="N6" s="371"/>
      <c r="O6" s="371"/>
    </row>
    <row r="7" s="339" customFormat="1" ht="26.25" customHeight="1" spans="1:15">
      <c r="A7" s="372"/>
      <c r="B7" s="373"/>
      <c r="C7" s="374" t="s">
        <v>3344</v>
      </c>
      <c r="D7" s="375" t="s">
        <v>3345</v>
      </c>
      <c r="E7" s="375" t="s">
        <v>3346</v>
      </c>
      <c r="F7" s="375" t="s">
        <v>3347</v>
      </c>
      <c r="G7" s="376"/>
      <c r="H7" s="376"/>
      <c r="I7" s="376"/>
      <c r="J7" s="376"/>
      <c r="K7" s="376"/>
      <c r="L7" s="371" t="s">
        <v>3348</v>
      </c>
      <c r="M7" s="371">
        <f>I32</f>
        <v>5000</v>
      </c>
      <c r="N7" s="371">
        <f>I35</f>
        <v>1000</v>
      </c>
      <c r="O7" s="371"/>
    </row>
    <row r="8" s="339" customFormat="1" ht="16" customHeight="1" spans="1:15">
      <c r="A8" s="784" t="s">
        <v>3349</v>
      </c>
      <c r="B8" s="378" t="s">
        <v>3350</v>
      </c>
      <c r="C8" s="378" t="s">
        <v>3351</v>
      </c>
      <c r="D8" s="379" t="s">
        <v>3352</v>
      </c>
      <c r="E8" s="379" t="s">
        <v>3353</v>
      </c>
      <c r="F8" s="379" t="s">
        <v>3354</v>
      </c>
      <c r="G8" s="369">
        <v>13575</v>
      </c>
      <c r="H8" s="369"/>
      <c r="I8" s="369">
        <f t="shared" si="0"/>
        <v>13575</v>
      </c>
      <c r="J8" s="369"/>
      <c r="K8" s="369"/>
      <c r="L8" s="371" t="s">
        <v>3355</v>
      </c>
      <c r="M8" s="371">
        <f>'77912 S4减价版'!BQ17</f>
        <v>0</v>
      </c>
      <c r="N8" s="371">
        <f>'77912 S4减价版'!BR17</f>
        <v>0</v>
      </c>
      <c r="O8" s="371"/>
    </row>
    <row r="9" s="339" customFormat="1" ht="16.5" spans="1:15">
      <c r="A9" s="380"/>
      <c r="B9" s="381" t="s">
        <v>3356</v>
      </c>
      <c r="C9" s="381" t="s">
        <v>3357</v>
      </c>
      <c r="D9" s="379" t="s">
        <v>3358</v>
      </c>
      <c r="E9" s="379" t="s">
        <v>3359</v>
      </c>
      <c r="F9" s="379" t="s">
        <v>3360</v>
      </c>
      <c r="G9" s="369">
        <v>13575</v>
      </c>
      <c r="H9" s="369"/>
      <c r="I9" s="369">
        <f t="shared" si="0"/>
        <v>13575</v>
      </c>
      <c r="J9" s="369"/>
      <c r="K9" s="369"/>
      <c r="L9" s="371" t="s">
        <v>3361</v>
      </c>
      <c r="M9" s="371">
        <f>M7-M8</f>
        <v>5000</v>
      </c>
      <c r="N9" s="371">
        <f>N7-N8</f>
        <v>1000</v>
      </c>
    </row>
    <row r="10" s="339" customFormat="1" ht="16.5" spans="1:15">
      <c r="A10" s="380"/>
      <c r="B10" s="381" t="s">
        <v>3362</v>
      </c>
      <c r="C10" s="381" t="s">
        <v>3363</v>
      </c>
      <c r="D10" s="379" t="s">
        <v>3364</v>
      </c>
      <c r="E10" s="379" t="s">
        <v>3365</v>
      </c>
      <c r="F10" s="379" t="s">
        <v>3366</v>
      </c>
      <c r="G10" s="369">
        <v>13575</v>
      </c>
      <c r="H10" s="369"/>
      <c r="I10" s="369">
        <f t="shared" si="0"/>
        <v>13575</v>
      </c>
      <c r="J10" s="369"/>
      <c r="K10" s="369"/>
      <c r="L10" s="371"/>
      <c r="M10" s="371"/>
      <c r="N10" s="371"/>
      <c r="O10" s="371"/>
    </row>
    <row r="11" s="339" customFormat="1" ht="16.5" spans="1:15">
      <c r="A11" s="380"/>
      <c r="B11" s="381" t="s">
        <v>3367</v>
      </c>
      <c r="C11" s="381" t="s">
        <v>3368</v>
      </c>
      <c r="D11" s="379" t="s">
        <v>3369</v>
      </c>
      <c r="E11" s="379" t="s">
        <v>3370</v>
      </c>
      <c r="F11" s="379" t="s">
        <v>3371</v>
      </c>
      <c r="G11" s="369">
        <v>13575</v>
      </c>
      <c r="H11" s="369"/>
      <c r="I11" s="369">
        <f t="shared" si="0"/>
        <v>13575</v>
      </c>
      <c r="J11" s="369"/>
      <c r="K11" s="369"/>
    </row>
    <row r="12" s="339" customFormat="1" ht="16.5" spans="1:15">
      <c r="A12" s="380"/>
      <c r="B12" s="381" t="s">
        <v>3372</v>
      </c>
      <c r="C12" s="381" t="s">
        <v>3373</v>
      </c>
      <c r="D12" s="379" t="s">
        <v>3374</v>
      </c>
      <c r="E12" s="379" t="s">
        <v>3375</v>
      </c>
      <c r="F12" s="379" t="s">
        <v>3376</v>
      </c>
      <c r="G12" s="369">
        <v>13575</v>
      </c>
      <c r="H12" s="369"/>
      <c r="I12" s="369">
        <f t="shared" si="0"/>
        <v>13575</v>
      </c>
      <c r="J12" s="369"/>
      <c r="K12" s="369"/>
    </row>
    <row r="13" s="339" customFormat="1" ht="16.5" spans="1:15">
      <c r="A13" s="380"/>
      <c r="B13" s="381" t="s">
        <v>3377</v>
      </c>
      <c r="C13" s="381" t="s">
        <v>3378</v>
      </c>
      <c r="D13" s="379" t="s">
        <v>3379</v>
      </c>
      <c r="E13" s="379" t="s">
        <v>3380</v>
      </c>
      <c r="F13" s="379" t="s">
        <v>3381</v>
      </c>
      <c r="G13" s="369">
        <v>13575</v>
      </c>
      <c r="H13" s="369"/>
      <c r="I13" s="369">
        <f t="shared" si="0"/>
        <v>13575</v>
      </c>
      <c r="J13" s="369"/>
      <c r="K13" s="369"/>
    </row>
    <row r="14" s="339" customFormat="1" ht="16.5" spans="1:15">
      <c r="A14" s="380"/>
      <c r="B14" s="381" t="s">
        <v>3382</v>
      </c>
      <c r="C14" s="382" t="s">
        <v>3383</v>
      </c>
      <c r="D14" s="383" t="s">
        <v>3384</v>
      </c>
      <c r="E14" s="383" t="s">
        <v>3385</v>
      </c>
      <c r="F14" s="383" t="s">
        <v>3386</v>
      </c>
      <c r="G14" s="369">
        <v>1364</v>
      </c>
      <c r="H14" s="369"/>
      <c r="I14" s="369">
        <f t="shared" si="0"/>
        <v>1364</v>
      </c>
      <c r="J14" s="369"/>
      <c r="K14" s="369"/>
    </row>
    <row r="15" s="339" customFormat="1" ht="16.5" spans="1:15">
      <c r="A15" s="380"/>
      <c r="B15" s="381" t="s">
        <v>3387</v>
      </c>
      <c r="C15" s="381" t="s">
        <v>3388</v>
      </c>
      <c r="D15" s="379" t="s">
        <v>3389</v>
      </c>
      <c r="E15" s="379" t="s">
        <v>3390</v>
      </c>
      <c r="F15" s="379" t="s">
        <v>3391</v>
      </c>
      <c r="G15" s="369">
        <v>13575</v>
      </c>
      <c r="H15" s="369"/>
      <c r="I15" s="369">
        <f t="shared" si="0"/>
        <v>13575</v>
      </c>
      <c r="J15" s="369"/>
      <c r="K15" s="369"/>
    </row>
    <row r="16" s="339" customFormat="1" ht="16.5" spans="1:15">
      <c r="A16" s="380"/>
      <c r="B16" s="381" t="s">
        <v>3392</v>
      </c>
      <c r="C16" s="381" t="s">
        <v>3393</v>
      </c>
      <c r="D16" s="379" t="s">
        <v>3394</v>
      </c>
      <c r="E16" s="379" t="s">
        <v>3395</v>
      </c>
      <c r="F16" s="379" t="s">
        <v>3396</v>
      </c>
      <c r="G16" s="369">
        <v>13575</v>
      </c>
      <c r="H16" s="369"/>
      <c r="I16" s="369">
        <f t="shared" si="0"/>
        <v>13575</v>
      </c>
      <c r="J16" s="369"/>
      <c r="K16" s="369"/>
    </row>
    <row r="17" s="339" customFormat="1" ht="16.5" spans="1:11">
      <c r="A17" s="380"/>
      <c r="B17" s="381" t="s">
        <v>3397</v>
      </c>
      <c r="C17" s="381" t="s">
        <v>3398</v>
      </c>
      <c r="D17" s="379" t="s">
        <v>3399</v>
      </c>
      <c r="E17" s="379" t="s">
        <v>3400</v>
      </c>
      <c r="F17" s="379" t="s">
        <v>3401</v>
      </c>
      <c r="G17" s="369">
        <v>13575</v>
      </c>
      <c r="H17" s="369"/>
      <c r="I17" s="369">
        <f t="shared" si="0"/>
        <v>13575</v>
      </c>
      <c r="J17" s="369"/>
      <c r="K17" s="369"/>
    </row>
    <row r="18" s="339" customFormat="1" ht="16.5" spans="1:11">
      <c r="A18" s="380"/>
      <c r="B18" s="381" t="s">
        <v>3402</v>
      </c>
      <c r="C18" s="381" t="s">
        <v>3403</v>
      </c>
      <c r="D18" s="379" t="s">
        <v>3404</v>
      </c>
      <c r="E18" s="379" t="s">
        <v>3405</v>
      </c>
      <c r="F18" s="379" t="s">
        <v>3406</v>
      </c>
      <c r="G18" s="369">
        <v>13575</v>
      </c>
      <c r="H18" s="369"/>
      <c r="I18" s="369">
        <f t="shared" si="0"/>
        <v>13575</v>
      </c>
      <c r="J18" s="369"/>
      <c r="K18" s="369"/>
    </row>
    <row r="19" s="339" customFormat="1" ht="16.5" spans="1:11">
      <c r="A19" s="380"/>
      <c r="B19" s="381" t="s">
        <v>3407</v>
      </c>
      <c r="C19" s="381" t="s">
        <v>3408</v>
      </c>
      <c r="D19" s="379" t="s">
        <v>3409</v>
      </c>
      <c r="E19" s="379" t="s">
        <v>3410</v>
      </c>
      <c r="F19" s="379" t="s">
        <v>3411</v>
      </c>
      <c r="G19" s="369">
        <v>13575</v>
      </c>
      <c r="H19" s="369"/>
      <c r="I19" s="369">
        <f t="shared" si="0"/>
        <v>13575</v>
      </c>
      <c r="J19" s="369"/>
      <c r="K19" s="369"/>
    </row>
    <row r="20" s="339" customFormat="1" ht="16.5" spans="1:11">
      <c r="A20" s="380"/>
      <c r="B20" s="381" t="s">
        <v>3412</v>
      </c>
      <c r="C20" s="381" t="s">
        <v>3413</v>
      </c>
      <c r="D20" s="379" t="s">
        <v>3414</v>
      </c>
      <c r="E20" s="379" t="s">
        <v>3415</v>
      </c>
      <c r="F20" s="379" t="s">
        <v>3416</v>
      </c>
      <c r="G20" s="369">
        <v>13575</v>
      </c>
      <c r="H20" s="369"/>
      <c r="I20" s="369">
        <f t="shared" si="0"/>
        <v>13575</v>
      </c>
      <c r="J20" s="369"/>
      <c r="K20" s="369"/>
    </row>
    <row r="21" s="339" customFormat="1" ht="16.5" spans="1:11">
      <c r="A21" s="380"/>
      <c r="B21" s="381" t="s">
        <v>3417</v>
      </c>
      <c r="C21" s="381" t="s">
        <v>3418</v>
      </c>
      <c r="D21" s="379" t="s">
        <v>3419</v>
      </c>
      <c r="E21" s="379" t="s">
        <v>3420</v>
      </c>
      <c r="F21" s="379" t="s">
        <v>3421</v>
      </c>
      <c r="G21" s="369">
        <v>13575</v>
      </c>
      <c r="H21" s="369"/>
      <c r="I21" s="369">
        <f t="shared" si="0"/>
        <v>13575</v>
      </c>
      <c r="J21" s="369"/>
      <c r="K21" s="369"/>
    </row>
    <row r="22" s="339" customFormat="1" ht="16.5" spans="1:11">
      <c r="A22" s="380"/>
      <c r="B22" s="381" t="s">
        <v>3422</v>
      </c>
      <c r="C22" s="381" t="s">
        <v>3423</v>
      </c>
      <c r="D22" s="379" t="s">
        <v>3424</v>
      </c>
      <c r="E22" s="379" t="s">
        <v>3425</v>
      </c>
      <c r="F22" s="379" t="s">
        <v>3426</v>
      </c>
      <c r="G22" s="369">
        <v>13575</v>
      </c>
      <c r="H22" s="369"/>
      <c r="I22" s="369">
        <f t="shared" si="0"/>
        <v>13575</v>
      </c>
      <c r="J22" s="369"/>
      <c r="K22" s="369"/>
    </row>
    <row r="23" s="339" customFormat="1" ht="16.5" spans="1:11">
      <c r="A23" s="380"/>
      <c r="B23" s="381" t="s">
        <v>3427</v>
      </c>
      <c r="C23" s="381" t="s">
        <v>3428</v>
      </c>
      <c r="D23" s="379" t="s">
        <v>3404</v>
      </c>
      <c r="E23" s="379" t="s">
        <v>3406</v>
      </c>
      <c r="F23" s="379" t="s">
        <v>3429</v>
      </c>
      <c r="G23" s="369">
        <v>13575</v>
      </c>
      <c r="H23" s="369"/>
      <c r="I23" s="369">
        <f t="shared" si="0"/>
        <v>13575</v>
      </c>
      <c r="J23" s="369"/>
      <c r="K23" s="369"/>
    </row>
    <row r="24" s="339" customFormat="1" ht="16.5" spans="1:11">
      <c r="A24" s="380"/>
      <c r="B24" s="381" t="s">
        <v>3430</v>
      </c>
      <c r="C24" s="381" t="s">
        <v>3431</v>
      </c>
      <c r="D24" s="379" t="s">
        <v>3432</v>
      </c>
      <c r="E24" s="379" t="s">
        <v>3433</v>
      </c>
      <c r="F24" s="379" t="s">
        <v>3434</v>
      </c>
      <c r="G24" s="369">
        <v>13575</v>
      </c>
      <c r="H24" s="369"/>
      <c r="I24" s="369">
        <f t="shared" si="0"/>
        <v>13575</v>
      </c>
      <c r="J24" s="369"/>
      <c r="K24" s="369"/>
    </row>
    <row r="25" s="339" customFormat="1" ht="16.5" spans="1:11">
      <c r="A25" s="380"/>
      <c r="B25" s="381" t="s">
        <v>3435</v>
      </c>
      <c r="C25" s="381" t="s">
        <v>3436</v>
      </c>
      <c r="D25" s="379" t="s">
        <v>3437</v>
      </c>
      <c r="E25" s="379" t="s">
        <v>3438</v>
      </c>
      <c r="F25" s="379" t="s">
        <v>3439</v>
      </c>
      <c r="G25" s="369">
        <v>13575</v>
      </c>
      <c r="H25" s="369"/>
      <c r="I25" s="369">
        <f t="shared" si="0"/>
        <v>13575</v>
      </c>
      <c r="J25" s="369"/>
      <c r="K25" s="369"/>
    </row>
    <row r="26" s="339" customFormat="1" ht="16.5" spans="1:11">
      <c r="A26" s="380"/>
      <c r="B26" s="381" t="s">
        <v>3440</v>
      </c>
      <c r="C26" s="381" t="s">
        <v>3441</v>
      </c>
      <c r="D26" s="379" t="s">
        <v>3442</v>
      </c>
      <c r="E26" s="379" t="s">
        <v>3443</v>
      </c>
      <c r="F26" s="379" t="s">
        <v>3444</v>
      </c>
      <c r="G26" s="369">
        <v>13575</v>
      </c>
      <c r="H26" s="369"/>
      <c r="I26" s="369">
        <f t="shared" si="0"/>
        <v>13575</v>
      </c>
      <c r="J26" s="369"/>
      <c r="K26" s="369"/>
    </row>
    <row r="27" s="339" customFormat="1" ht="16.5" spans="1:11">
      <c r="A27" s="380"/>
      <c r="B27" s="381" t="s">
        <v>3445</v>
      </c>
      <c r="C27" s="381" t="s">
        <v>3446</v>
      </c>
      <c r="D27" s="379" t="s">
        <v>3447</v>
      </c>
      <c r="E27" s="379" t="s">
        <v>3448</v>
      </c>
      <c r="F27" s="379" t="s">
        <v>3449</v>
      </c>
      <c r="G27" s="369">
        <v>13575</v>
      </c>
      <c r="H27" s="369"/>
      <c r="I27" s="369">
        <f t="shared" si="0"/>
        <v>13575</v>
      </c>
      <c r="J27" s="369"/>
      <c r="K27" s="369"/>
    </row>
    <row r="28" s="339" customFormat="1" ht="16.5" spans="1:11">
      <c r="A28" s="380"/>
      <c r="B28" s="381" t="s">
        <v>3450</v>
      </c>
      <c r="C28" s="381" t="s">
        <v>3451</v>
      </c>
      <c r="D28" s="379" t="s">
        <v>3452</v>
      </c>
      <c r="E28" s="379" t="s">
        <v>3453</v>
      </c>
      <c r="F28" s="379" t="s">
        <v>3454</v>
      </c>
      <c r="G28" s="369">
        <v>13575</v>
      </c>
      <c r="H28" s="369"/>
      <c r="I28" s="369">
        <f t="shared" si="0"/>
        <v>13575</v>
      </c>
      <c r="J28" s="369"/>
      <c r="K28" s="369"/>
    </row>
    <row r="29" s="339" customFormat="1" ht="16.5" spans="1:11">
      <c r="A29" s="380"/>
      <c r="B29" s="381" t="s">
        <v>3455</v>
      </c>
      <c r="C29" s="381" t="s">
        <v>3456</v>
      </c>
      <c r="D29" s="379" t="s">
        <v>3437</v>
      </c>
      <c r="E29" s="379" t="s">
        <v>3457</v>
      </c>
      <c r="F29" s="379" t="s">
        <v>3458</v>
      </c>
      <c r="G29" s="369">
        <v>13575</v>
      </c>
      <c r="H29" s="369"/>
      <c r="I29" s="369">
        <f t="shared" si="0"/>
        <v>13575</v>
      </c>
      <c r="J29" s="369"/>
      <c r="K29" s="369"/>
    </row>
    <row r="30" s="339" customFormat="1" ht="16.5" spans="1:11">
      <c r="A30" s="384"/>
      <c r="B30" s="381" t="s">
        <v>3459</v>
      </c>
      <c r="C30" s="381" t="s">
        <v>3460</v>
      </c>
      <c r="D30" s="379" t="s">
        <v>3461</v>
      </c>
      <c r="E30" s="379" t="s">
        <v>3462</v>
      </c>
      <c r="F30" s="379" t="s">
        <v>3463</v>
      </c>
      <c r="G30" s="369">
        <v>13575</v>
      </c>
      <c r="H30" s="369"/>
      <c r="I30" s="369">
        <f t="shared" si="0"/>
        <v>13575</v>
      </c>
      <c r="J30" s="369"/>
      <c r="K30" s="369"/>
    </row>
    <row r="31" s="339" customFormat="1" ht="16" customHeight="1" spans="1:11">
      <c r="A31" s="385" t="s">
        <v>3464</v>
      </c>
      <c r="B31" s="385" t="s">
        <v>3465</v>
      </c>
      <c r="C31" s="386" t="s">
        <v>3466</v>
      </c>
      <c r="D31" s="385"/>
      <c r="E31" s="387"/>
      <c r="F31" s="387"/>
      <c r="G31" s="369">
        <v>5000</v>
      </c>
      <c r="H31" s="369"/>
      <c r="I31" s="369">
        <f t="shared" si="0"/>
        <v>5000</v>
      </c>
      <c r="J31" s="369">
        <f>'77770 S4 明细'!$BV$399</f>
        <v>36644</v>
      </c>
      <c r="K31" s="369">
        <f t="shared" ref="K31:K38" si="1">I31-J31</f>
        <v>-31644</v>
      </c>
    </row>
    <row r="32" s="339" customFormat="1" ht="16" customHeight="1" spans="1:11">
      <c r="A32" s="385"/>
      <c r="B32" s="385" t="s">
        <v>3465</v>
      </c>
      <c r="C32" s="385" t="s">
        <v>3467</v>
      </c>
      <c r="D32" s="385"/>
      <c r="E32" s="387"/>
      <c r="F32" s="387"/>
      <c r="G32" s="369">
        <v>5000</v>
      </c>
      <c r="H32" s="369"/>
      <c r="I32" s="369">
        <f t="shared" si="0"/>
        <v>5000</v>
      </c>
      <c r="J32" s="369">
        <f>'77770 S4 明细'!$BV$399</f>
        <v>36644</v>
      </c>
      <c r="K32" s="369">
        <f t="shared" si="1"/>
        <v>-31644</v>
      </c>
    </row>
    <row r="33" s="339" customFormat="1" ht="16" customHeight="1" spans="1:11 16380:16381">
      <c r="A33" s="385"/>
      <c r="B33" s="385" t="s">
        <v>3465</v>
      </c>
      <c r="C33" s="385" t="s">
        <v>3468</v>
      </c>
      <c r="D33" s="385"/>
      <c r="E33" s="387"/>
      <c r="F33" s="387"/>
      <c r="G33" s="369">
        <v>5000</v>
      </c>
      <c r="H33" s="369"/>
      <c r="I33" s="369">
        <f t="shared" si="0"/>
        <v>5000</v>
      </c>
      <c r="J33" s="369">
        <f>'77770 S4 明细'!$BV$399</f>
        <v>36644</v>
      </c>
      <c r="K33" s="369">
        <f t="shared" si="1"/>
        <v>-31644</v>
      </c>
    </row>
    <row r="34" s="339" customFormat="1" ht="16.5" spans="1:11 16380:16381">
      <c r="A34" s="388"/>
      <c r="B34" s="385" t="s">
        <v>3465</v>
      </c>
      <c r="C34" s="385"/>
      <c r="D34" s="385" t="s">
        <v>3469</v>
      </c>
      <c r="E34" s="387"/>
      <c r="F34" s="387"/>
      <c r="G34" s="369">
        <v>5000</v>
      </c>
      <c r="H34" s="369"/>
      <c r="I34" s="369">
        <f t="shared" si="0"/>
        <v>5000</v>
      </c>
      <c r="J34" s="369">
        <f>'77770 S4 明细'!$BV$399</f>
        <v>36644</v>
      </c>
      <c r="K34" s="369">
        <f t="shared" si="1"/>
        <v>-31644</v>
      </c>
    </row>
    <row r="35" s="339" customFormat="1" ht="16" customHeight="1" spans="1:11 16380:16381">
      <c r="A35" s="389" t="s">
        <v>3470</v>
      </c>
      <c r="B35" s="385" t="s">
        <v>3465</v>
      </c>
      <c r="C35" s="385" t="s">
        <v>3471</v>
      </c>
      <c r="D35" s="385"/>
      <c r="E35" s="387"/>
      <c r="F35" s="387"/>
      <c r="G35" s="369">
        <v>1000</v>
      </c>
      <c r="H35" s="369"/>
      <c r="I35" s="369">
        <f t="shared" si="0"/>
        <v>1000</v>
      </c>
      <c r="J35" s="369">
        <f>'77770 S4 明细'!$BW$399</f>
        <v>948</v>
      </c>
      <c r="K35" s="369">
        <f t="shared" si="1"/>
        <v>52</v>
      </c>
    </row>
    <row r="36" s="339" customFormat="1" ht="16" customHeight="1" spans="1:11 16380:16381">
      <c r="A36" s="390"/>
      <c r="B36" s="385" t="s">
        <v>3465</v>
      </c>
      <c r="C36" s="385"/>
      <c r="D36" s="385" t="s">
        <v>3469</v>
      </c>
      <c r="E36" s="387"/>
      <c r="F36" s="387"/>
      <c r="G36" s="369">
        <v>1000</v>
      </c>
      <c r="H36" s="369"/>
      <c r="I36" s="369">
        <f t="shared" si="0"/>
        <v>1000</v>
      </c>
      <c r="J36" s="369">
        <f>'77770 S4 明细'!$BW$399</f>
        <v>948</v>
      </c>
      <c r="K36" s="369">
        <f t="shared" si="1"/>
        <v>52</v>
      </c>
    </row>
    <row r="37" s="339" customFormat="1" ht="16.5" spans="1:11 16380:16381">
      <c r="A37" s="390"/>
      <c r="B37" s="385" t="s">
        <v>3465</v>
      </c>
      <c r="C37" s="385"/>
      <c r="D37" s="385"/>
      <c r="E37" s="385" t="s">
        <v>3472</v>
      </c>
      <c r="F37" s="387"/>
      <c r="G37" s="369">
        <v>1000</v>
      </c>
      <c r="H37" s="369"/>
      <c r="I37" s="369">
        <f t="shared" si="0"/>
        <v>1000</v>
      </c>
      <c r="J37" s="369">
        <f>'77770 S4 明细'!$BW$399</f>
        <v>948</v>
      </c>
      <c r="K37" s="369">
        <f t="shared" si="1"/>
        <v>52</v>
      </c>
    </row>
    <row r="38" s="339" customFormat="1" ht="16" customHeight="1" spans="1:11 16380:16381">
      <c r="A38" s="391"/>
      <c r="B38" s="385" t="s">
        <v>3465</v>
      </c>
      <c r="C38" s="385"/>
      <c r="D38" s="385"/>
      <c r="E38" s="385" t="s">
        <v>3473</v>
      </c>
      <c r="F38" s="387"/>
      <c r="G38" s="369">
        <v>1000</v>
      </c>
      <c r="H38" s="369"/>
      <c r="I38" s="369">
        <f t="shared" si="0"/>
        <v>1000</v>
      </c>
      <c r="J38" s="369">
        <f>'77770 S4 明细'!$BW$399</f>
        <v>948</v>
      </c>
      <c r="K38" s="369">
        <f t="shared" si="1"/>
        <v>52</v>
      </c>
    </row>
    <row r="39" s="339" customFormat="1" ht="26.25" customHeight="1" spans="1:11 16380:16381">
      <c r="A39" s="392"/>
      <c r="B39" s="393" t="s">
        <v>3474</v>
      </c>
      <c r="C39" s="394"/>
      <c r="D39" s="395"/>
      <c r="E39" s="396"/>
      <c r="F39" s="396"/>
      <c r="G39" s="397"/>
      <c r="H39" s="397"/>
      <c r="I39" s="397" t="e">
        <f>SUM(#REF!)</f>
        <v>#REF!</v>
      </c>
      <c r="J39" s="397"/>
      <c r="K39" s="397"/>
    </row>
    <row r="40" s="339" customFormat="1" ht="52" customHeight="1" spans="1:11 16380:16381">
      <c r="A40" s="398" t="s">
        <v>12</v>
      </c>
      <c r="B40" s="398"/>
      <c r="C40" s="399" t="s">
        <v>3475</v>
      </c>
      <c r="D40" s="400"/>
      <c r="E40" s="400"/>
      <c r="F40" s="400"/>
      <c r="G40" s="400"/>
      <c r="H40" s="400"/>
      <c r="I40" s="400"/>
      <c r="J40" s="400"/>
      <c r="K40" s="400"/>
    </row>
    <row r="41" s="340" customFormat="1" ht="21" customHeight="1" spans="1:11 16380:16381">
      <c r="A41" s="401"/>
      <c r="B41" s="401"/>
      <c r="C41" s="401"/>
      <c r="D41" s="401"/>
      <c r="E41" s="401"/>
      <c r="F41" s="401"/>
      <c r="G41" s="401"/>
      <c r="H41" s="401"/>
      <c r="I41" s="401"/>
      <c r="J41" s="401"/>
      <c r="K41" s="401"/>
    </row>
    <row r="42" s="341" customFormat="1" ht="21" customHeight="1" spans="1:11 16380:16381">
      <c r="A42" s="341" t="s">
        <v>3476</v>
      </c>
      <c r="B42" s="341"/>
      <c r="C42" s="341"/>
      <c r="D42" s="341"/>
      <c r="E42" s="402"/>
      <c r="F42" s="402"/>
    </row>
    <row r="43" s="341" customFormat="1" ht="21" customHeight="1"/>
    <row r="44" s="341" customFormat="1" ht="21" customHeight="1"/>
    <row r="45" s="341" customFormat="1" ht="21" customHeight="1"/>
    <row r="46" s="341" customFormat="1" ht="18.75" customHeight="1" spans="1:11 16380:16381">
      <c r="A46" s="403" t="s">
        <v>3477</v>
      </c>
      <c r="B46" s="403"/>
      <c r="C46" s="403"/>
      <c r="D46" s="403"/>
    </row>
    <row r="47" s="342" customFormat="1" spans="1:11 16380:16381">
      <c r="D47" s="343"/>
      <c r="E47" s="343"/>
      <c r="F47" s="343"/>
      <c r="G47" s="343"/>
      <c r="H47" s="343"/>
      <c r="I47" s="343"/>
      <c r="J47" s="343"/>
      <c r="K47" s="343"/>
      <c r="L47" s="342"/>
      <c r="M47" s="342"/>
      <c r="N47" s="342"/>
      <c r="O47" s="342"/>
      <c r="P47" s="342"/>
      <c r="Q47" s="342"/>
      <c r="R47" s="342"/>
      <c r="S47" s="342"/>
      <c r="XEZ47" s="344"/>
      <c r="XFA47" s="344"/>
    </row>
    <row r="48" s="342" customFormat="1" spans="1:11 16380:16381">
      <c r="D48" s="343"/>
      <c r="E48" s="343"/>
      <c r="F48" s="343"/>
      <c r="G48" s="343"/>
      <c r="H48" s="343"/>
      <c r="I48" s="343"/>
      <c r="J48" s="343"/>
      <c r="K48" s="343"/>
      <c r="L48" s="342"/>
      <c r="M48" s="342"/>
      <c r="N48" s="342"/>
      <c r="O48" s="342"/>
      <c r="P48" s="342"/>
      <c r="Q48" s="342"/>
      <c r="R48" s="342"/>
      <c r="S48" s="342"/>
      <c r="XEZ48" s="344"/>
      <c r="XFA48" s="344"/>
    </row>
    <row r="49" s="342" customFormat="1" spans="4:11 16380:16381">
      <c r="D49" s="343"/>
      <c r="E49" s="343"/>
      <c r="F49" s="343"/>
      <c r="G49" s="343"/>
      <c r="H49" s="343"/>
      <c r="I49" s="343"/>
      <c r="J49" s="343"/>
      <c r="K49" s="343"/>
      <c r="L49" s="342"/>
      <c r="M49" s="342"/>
      <c r="N49" s="342"/>
      <c r="O49" s="342"/>
      <c r="P49" s="342"/>
      <c r="Q49" s="342"/>
      <c r="R49" s="342"/>
      <c r="S49" s="342"/>
      <c r="XEZ49" s="344"/>
      <c r="XFA49" s="344"/>
    </row>
    <row r="50" s="342" customFormat="1" spans="4:11 16380:16381">
      <c r="D50" s="343"/>
      <c r="E50" s="343"/>
      <c r="F50" s="343"/>
      <c r="G50" s="343"/>
      <c r="H50" s="343"/>
      <c r="I50" s="343"/>
      <c r="J50" s="343"/>
      <c r="K50" s="343"/>
      <c r="L50" s="342"/>
      <c r="M50" s="342"/>
      <c r="N50" s="342"/>
      <c r="O50" s="342"/>
      <c r="P50" s="342"/>
      <c r="Q50" s="342"/>
      <c r="R50" s="342"/>
      <c r="S50" s="342"/>
      <c r="XEZ50" s="344"/>
      <c r="XFA50" s="344"/>
    </row>
    <row r="51" s="342" customFormat="1" spans="4:11 16380:16381">
      <c r="D51" s="343"/>
      <c r="E51" s="343"/>
      <c r="F51" s="343"/>
      <c r="G51" s="343"/>
      <c r="H51" s="343"/>
      <c r="I51" s="343"/>
      <c r="J51" s="343"/>
      <c r="K51" s="343"/>
      <c r="L51" s="342"/>
      <c r="M51" s="342"/>
      <c r="N51" s="342"/>
      <c r="O51" s="342"/>
      <c r="P51" s="342"/>
      <c r="Q51" s="342"/>
      <c r="R51" s="342"/>
      <c r="S51" s="342"/>
      <c r="XEZ51" s="344"/>
      <c r="XFA51" s="344"/>
    </row>
    <row r="52" s="342" customFormat="1" spans="4:11 16380:16381">
      <c r="D52" s="343"/>
      <c r="E52" s="343"/>
      <c r="F52" s="343"/>
      <c r="G52" s="343"/>
      <c r="H52" s="343"/>
      <c r="I52" s="343"/>
      <c r="J52" s="343"/>
      <c r="K52" s="343"/>
      <c r="L52" s="342"/>
      <c r="M52" s="342"/>
      <c r="N52" s="342"/>
      <c r="O52" s="342"/>
      <c r="P52" s="342"/>
      <c r="Q52" s="342"/>
      <c r="R52" s="342"/>
      <c r="S52" s="342"/>
      <c r="XEZ52" s="344"/>
      <c r="XFA52" s="344"/>
    </row>
  </sheetData>
  <sheetProtection formatCells="0" formatColumns="0" formatRows="0" insertRows="0" insertColumns="0" insertHyperlinks="0" deleteColumns="0" deleteRows="0" sort="0" autoFilter="0" pivotTables="0"/>
  <mergeCells count="8">
    <mergeCell ref="B5:C5"/>
    <mergeCell ref="D5:F5"/>
    <mergeCell ref="B6:C6"/>
    <mergeCell ref="A40:B40"/>
    <mergeCell ref="C40:F40"/>
    <mergeCell ref="A8:A30"/>
    <mergeCell ref="A31:A34"/>
    <mergeCell ref="A35:A3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P111"/>
  <sheetViews>
    <sheetView workbookViewId="0">
      <pane xSplit="7" ySplit="4" topLeftCell="H5" activePane="bottomRight" state="frozen"/>
      <selection/>
      <selection pane="topRight"/>
      <selection pane="bottomLeft"/>
      <selection pane="bottomRight" activeCell="H5" sqref="H5"/>
    </sheetView>
  </sheetViews>
  <sheetFormatPr defaultColWidth="9" defaultRowHeight="30" customHeight="1"/>
  <cols>
    <col min="1" max="1" width="16.0916666666667" style="404" customWidth="1"/>
    <col min="2" max="2" width="15.4416666666667" style="404" customWidth="1"/>
    <col min="3" max="4" width="11.9083333333333" style="404" customWidth="1"/>
    <col min="5" max="5" width="19.65" style="404" customWidth="1"/>
    <col min="6" max="6" width="10.4416666666667" style="404" customWidth="1"/>
    <col min="7" max="7" width="10.9083333333333" style="406" customWidth="1"/>
    <col min="8" max="8" width="11.4416666666667" style="406" customWidth="1"/>
    <col min="9" max="9" width="11.0916666666667" style="406" customWidth="1"/>
    <col min="10" max="10" width="10.0916666666667" style="406" customWidth="1"/>
    <col min="11" max="11" width="11" style="406" customWidth="1"/>
    <col min="12" max="13" width="13.35" style="406" customWidth="1"/>
    <col min="14" max="14" width="20" style="406" customWidth="1"/>
    <col min="15" max="15" width="17.4666666666667" style="407" customWidth="1"/>
    <col min="16" max="18" width="12" style="407" customWidth="1" outlineLevel="1"/>
    <col min="19" max="20" width="14" style="407" customWidth="1" outlineLevel="1"/>
    <col min="21" max="21" width="14" style="407" customWidth="1"/>
    <col min="22" max="23" width="14" style="407" customWidth="1" outlineLevel="1" collapsed="1"/>
    <col min="24" max="24" width="12" style="408" customWidth="1"/>
    <col min="25" max="25" width="10" style="406" customWidth="1"/>
    <col min="26" max="27" width="11.9083333333333" style="406" customWidth="1"/>
    <col min="28" max="28" width="13.4416666666667" style="406" customWidth="1"/>
    <col min="29" max="29" width="11.175" style="406" customWidth="1"/>
    <col min="30" max="30" width="13.0916666666667" style="406" customWidth="1"/>
    <col min="31" max="31" width="13.4416666666667" style="406" customWidth="1"/>
    <col min="32" max="32" width="11.65" style="406" customWidth="1"/>
    <col min="33" max="33" width="11.175" style="406" customWidth="1"/>
    <col min="34" max="34" width="12.0916666666667" style="726" customWidth="1"/>
    <col min="35" max="37" width="11.9083333333333" style="409" customWidth="1"/>
    <col min="38" max="40" width="10.4416666666667" style="406" customWidth="1"/>
    <col min="41" max="41" width="13.9083333333333" style="409" customWidth="1"/>
    <col min="42" max="42" width="13.0916666666667" style="404" customWidth="1"/>
    <col min="43" max="16384" width="9" style="404"/>
  </cols>
  <sheetData>
    <row r="1" ht="17.75" customHeight="1" spans="1:42">
      <c r="O1" s="410" t="s">
        <v>3478</v>
      </c>
      <c r="P1" s="727">
        <v>45052</v>
      </c>
      <c r="Q1" s="412">
        <v>45121</v>
      </c>
      <c r="R1" s="412">
        <v>45162</v>
      </c>
      <c r="S1" s="412">
        <v>45247</v>
      </c>
      <c r="T1" s="412">
        <v>45267</v>
      </c>
      <c r="U1" s="412">
        <v>45370</v>
      </c>
      <c r="V1" s="412">
        <v>45401</v>
      </c>
      <c r="W1" s="412">
        <v>45478</v>
      </c>
    </row>
    <row r="2" ht="17.75" customHeight="1" spans="1:42">
      <c r="L2" s="406" t="s">
        <v>3479</v>
      </c>
      <c r="M2" s="406" t="s">
        <v>3480</v>
      </c>
      <c r="O2" s="413" t="s">
        <v>3481</v>
      </c>
      <c r="P2" s="728">
        <f t="shared" ref="P2:T2" si="0">P1+40</f>
        <v>45092</v>
      </c>
      <c r="Q2" s="415">
        <f t="shared" si="0"/>
        <v>45161</v>
      </c>
      <c r="R2" s="415">
        <f t="shared" si="0"/>
        <v>45202</v>
      </c>
      <c r="S2" s="415">
        <f t="shared" si="0"/>
        <v>45287</v>
      </c>
      <c r="T2" s="415">
        <f t="shared" si="0"/>
        <v>45307</v>
      </c>
      <c r="U2" s="415">
        <f>U1+65</f>
        <v>45435</v>
      </c>
      <c r="V2" s="415">
        <v>45471</v>
      </c>
      <c r="W2" s="412">
        <v>45548</v>
      </c>
    </row>
    <row r="3" ht="27.75" spans="1:42">
      <c r="A3" s="416"/>
      <c r="B3" s="417"/>
      <c r="C3" s="410"/>
      <c r="D3" s="413"/>
      <c r="E3" s="418"/>
      <c r="F3" s="413"/>
      <c r="G3" s="419"/>
      <c r="H3" s="419"/>
      <c r="I3" s="419"/>
      <c r="J3" s="420"/>
      <c r="K3" s="421" t="s">
        <v>3482</v>
      </c>
      <c r="L3" s="580">
        <v>105660</v>
      </c>
      <c r="M3" s="580">
        <f>1090303-105660</f>
        <v>984643</v>
      </c>
      <c r="N3" s="419"/>
      <c r="O3" s="424" t="s">
        <v>3483</v>
      </c>
      <c r="P3" s="729" t="s">
        <v>3484</v>
      </c>
      <c r="Q3" s="424" t="s">
        <v>3485</v>
      </c>
      <c r="R3" s="424" t="s">
        <v>3486</v>
      </c>
      <c r="S3" s="424" t="s">
        <v>3487</v>
      </c>
      <c r="T3" s="424" t="s">
        <v>3488</v>
      </c>
      <c r="U3" s="424" t="s">
        <v>3489</v>
      </c>
      <c r="V3" s="424" t="s">
        <v>3490</v>
      </c>
      <c r="W3" s="424" t="s">
        <v>3491</v>
      </c>
      <c r="AI3" s="426" t="s">
        <v>3492</v>
      </c>
      <c r="AJ3" s="426" t="s">
        <v>3493</v>
      </c>
    </row>
    <row r="4" s="405" customFormat="1" ht="47.15" customHeight="1" spans="1:42">
      <c r="A4" s="428" t="s">
        <v>3494</v>
      </c>
      <c r="B4" s="428" t="s">
        <v>3495</v>
      </c>
      <c r="C4" s="428" t="s">
        <v>3496</v>
      </c>
      <c r="D4" s="428" t="s">
        <v>3497</v>
      </c>
      <c r="E4" s="730" t="s">
        <v>3498</v>
      </c>
      <c r="F4" s="428" t="s">
        <v>3499</v>
      </c>
      <c r="G4" s="429" t="s">
        <v>3500</v>
      </c>
      <c r="H4" s="429" t="s">
        <v>3501</v>
      </c>
      <c r="I4" s="429" t="s">
        <v>3502</v>
      </c>
      <c r="J4" s="430" t="s">
        <v>3503</v>
      </c>
      <c r="K4" s="428" t="s">
        <v>3504</v>
      </c>
      <c r="L4" s="428" t="s">
        <v>3505</v>
      </c>
      <c r="M4" s="428" t="s">
        <v>3506</v>
      </c>
      <c r="N4" s="428" t="s">
        <v>3507</v>
      </c>
      <c r="O4" s="431" t="s">
        <v>3508</v>
      </c>
      <c r="P4" s="431" t="s">
        <v>3509</v>
      </c>
      <c r="Q4" s="431"/>
      <c r="R4" s="431"/>
      <c r="S4" s="431"/>
      <c r="T4" s="431"/>
      <c r="U4" s="431"/>
      <c r="V4" s="431"/>
      <c r="W4" s="431"/>
      <c r="X4" s="731" t="s">
        <v>3510</v>
      </c>
      <c r="Y4" s="431" t="s">
        <v>3511</v>
      </c>
      <c r="Z4" s="431" t="s">
        <v>3512</v>
      </c>
      <c r="AA4" s="732" t="s">
        <v>3513</v>
      </c>
      <c r="AB4" s="431" t="s">
        <v>3514</v>
      </c>
      <c r="AC4" s="431" t="s">
        <v>3515</v>
      </c>
      <c r="AD4" s="434" t="s">
        <v>3516</v>
      </c>
      <c r="AE4" s="431" t="s">
        <v>3517</v>
      </c>
      <c r="AF4" s="434" t="s">
        <v>3518</v>
      </c>
      <c r="AG4" s="733" t="s">
        <v>3519</v>
      </c>
      <c r="AH4" s="734" t="s">
        <v>3520</v>
      </c>
      <c r="AI4" s="436">
        <v>105660</v>
      </c>
      <c r="AJ4" s="436">
        <f>420000-105660+400000+300000+500000+400000+500000+500000</f>
        <v>2914340</v>
      </c>
      <c r="AK4" s="436" t="s">
        <v>3521</v>
      </c>
      <c r="AL4" s="437" t="s">
        <v>3522</v>
      </c>
      <c r="AM4" s="437" t="s">
        <v>3523</v>
      </c>
      <c r="AN4" s="437" t="s">
        <v>3524</v>
      </c>
      <c r="AO4" s="438" t="s">
        <v>3525</v>
      </c>
      <c r="AP4" s="405" t="s">
        <v>3526</v>
      </c>
    </row>
    <row r="5" customHeight="1" spans="1:42">
      <c r="A5" s="439"/>
      <c r="B5" s="450" t="s">
        <v>3527</v>
      </c>
      <c r="C5" s="441">
        <v>0.0208333333333333</v>
      </c>
      <c r="D5" s="441">
        <v>0.00454545454545455</v>
      </c>
      <c r="E5" s="735" t="s">
        <v>3528</v>
      </c>
      <c r="F5" s="736" t="s">
        <v>3529</v>
      </c>
      <c r="G5" s="737">
        <f>800-300</f>
        <v>500</v>
      </c>
      <c r="H5" s="445">
        <v>0.0039</v>
      </c>
      <c r="I5" s="446">
        <f t="shared" ref="I5:I7" si="1">G5/H5</f>
        <v>128205.128205128</v>
      </c>
      <c r="J5" s="447">
        <v>25.3</v>
      </c>
      <c r="K5" s="738" t="s">
        <v>3530</v>
      </c>
      <c r="L5" s="449">
        <f t="shared" ref="L5:L7" si="2">G5/C5/H5</f>
        <v>6153846.15384616</v>
      </c>
      <c r="M5" s="449">
        <f t="shared" ref="M5:M7" si="3">G5/H5/D5</f>
        <v>28205128.2051282</v>
      </c>
      <c r="N5" s="450"/>
      <c r="O5" s="451">
        <f t="shared" ref="O5:O68" si="4">C5*$L$3*H5+D5*H5*$M$3</f>
        <v>26.03991</v>
      </c>
      <c r="P5" s="452">
        <v>500</v>
      </c>
      <c r="Q5" s="452"/>
      <c r="R5" s="452"/>
      <c r="S5" s="453"/>
      <c r="T5" s="453"/>
      <c r="U5" s="453"/>
      <c r="V5" s="453">
        <v>0</v>
      </c>
      <c r="W5" s="453">
        <v>0</v>
      </c>
      <c r="X5" s="454">
        <f t="shared" ref="X5:X40" si="5">(SUM(P5:W5)*J5)</f>
        <v>12650</v>
      </c>
      <c r="Y5" s="739"/>
      <c r="Z5" s="455"/>
      <c r="AA5" s="455"/>
      <c r="AB5" s="740">
        <f t="shared" ref="AB5:AB68" si="6">Y5*(Z5+AA5)</f>
        <v>0</v>
      </c>
      <c r="AC5" s="456">
        <f t="shared" ref="AC5:AC68" si="7">SUM(P5:W5)+AB5</f>
        <v>500</v>
      </c>
      <c r="AD5" s="457">
        <f t="shared" ref="AD5:AD7" si="8">AC5/H5</f>
        <v>128205.128205128</v>
      </c>
      <c r="AE5" s="449">
        <f t="shared" ref="AE5:AE68" si="9">$AI$4*C5+$AJ$4*D5+AK5+AL5+AM5+AN5</f>
        <v>15448.25</v>
      </c>
      <c r="AF5" s="458">
        <f t="shared" ref="AF5:AF33" si="10">AE5*H5</f>
        <v>60.248175</v>
      </c>
      <c r="AG5" s="459">
        <f t="shared" ref="AG5:AG49" si="11">AC5-AF5-AH5</f>
        <v>439.751825</v>
      </c>
      <c r="AH5" s="741"/>
      <c r="AI5" s="460">
        <f>$AI$4*C5</f>
        <v>2201.25</v>
      </c>
      <c r="AJ5" s="460">
        <f>$AJ$4*D5</f>
        <v>13247</v>
      </c>
      <c r="AK5" s="460"/>
      <c r="AL5" s="461"/>
      <c r="AM5" s="461"/>
      <c r="AN5" s="461"/>
      <c r="AO5" s="460">
        <f t="shared" ref="AO5:AO7" si="12">AG5/H5/D5</f>
        <v>24806513.2051282</v>
      </c>
    </row>
    <row r="6" customHeight="1" spans="1:42">
      <c r="A6" s="464"/>
      <c r="B6" s="475"/>
      <c r="C6" s="466">
        <v>0.0208333333333333</v>
      </c>
      <c r="D6" s="466">
        <v>0.00454545454545455</v>
      </c>
      <c r="E6" s="742" t="s">
        <v>3531</v>
      </c>
      <c r="F6" s="743" t="s">
        <v>3532</v>
      </c>
      <c r="G6" s="469">
        <v>2500</v>
      </c>
      <c r="H6" s="470">
        <v>0.016</v>
      </c>
      <c r="I6" s="471">
        <f t="shared" si="1"/>
        <v>156250</v>
      </c>
      <c r="J6" s="472">
        <v>25.3</v>
      </c>
      <c r="K6" s="744" t="s">
        <v>3530</v>
      </c>
      <c r="L6" s="474">
        <f t="shared" si="2"/>
        <v>7500000.00000001</v>
      </c>
      <c r="M6" s="474">
        <f t="shared" si="3"/>
        <v>34375000</v>
      </c>
      <c r="N6" s="475" t="s">
        <v>3533</v>
      </c>
      <c r="O6" s="476">
        <f t="shared" si="4"/>
        <v>106.8304</v>
      </c>
      <c r="P6" s="453">
        <v>0</v>
      </c>
      <c r="Q6" s="453"/>
      <c r="R6" s="453"/>
      <c r="S6" s="453"/>
      <c r="T6" s="453"/>
      <c r="U6" s="453"/>
      <c r="V6" s="453">
        <v>0</v>
      </c>
      <c r="W6" s="453">
        <v>0</v>
      </c>
      <c r="X6" s="454">
        <f t="shared" si="5"/>
        <v>0</v>
      </c>
      <c r="Y6" s="745">
        <v>1799</v>
      </c>
      <c r="Z6" s="477">
        <f>H6*C6/(H6*C6+H22*C22)/2</f>
        <v>0.201333836667925</v>
      </c>
      <c r="AA6" s="477">
        <f>(H6*D6)/(D6*H6+D22*H22+D92*H92)/2</f>
        <v>0.0310083528750557</v>
      </c>
      <c r="AB6" s="746">
        <f t="shared" si="6"/>
        <v>417.983598987822</v>
      </c>
      <c r="AC6" s="478">
        <f t="shared" si="7"/>
        <v>417.983598987822</v>
      </c>
      <c r="AD6" s="479">
        <f t="shared" si="8"/>
        <v>26123.9749367389</v>
      </c>
      <c r="AE6" s="474">
        <f t="shared" si="9"/>
        <v>15448.25</v>
      </c>
      <c r="AF6" s="480">
        <f t="shared" si="10"/>
        <v>247.172</v>
      </c>
      <c r="AG6" s="481">
        <f t="shared" si="11"/>
        <v>166.243034997564</v>
      </c>
      <c r="AH6" s="747">
        <f>[2]S2新Ratio布料!AB15*'77485车缝MA'!AA6</f>
        <v>4.5685639902582</v>
      </c>
      <c r="AI6" s="482"/>
      <c r="AJ6" s="482"/>
      <c r="AK6" s="482"/>
      <c r="AL6" s="483"/>
      <c r="AM6" s="483"/>
      <c r="AN6" s="483"/>
      <c r="AO6" s="482">
        <f t="shared" si="12"/>
        <v>2285841.7312165</v>
      </c>
    </row>
    <row r="7" customHeight="1" spans="1:42">
      <c r="A7" s="464"/>
      <c r="B7" s="475"/>
      <c r="C7" s="466">
        <v>0.0208333333333333</v>
      </c>
      <c r="D7" s="466">
        <v>0.00454545454545455</v>
      </c>
      <c r="E7" s="748" t="s">
        <v>3534</v>
      </c>
      <c r="F7" s="743" t="s">
        <v>3535</v>
      </c>
      <c r="G7" s="486">
        <v>1000</v>
      </c>
      <c r="H7" s="470">
        <v>0.01827</v>
      </c>
      <c r="I7" s="471">
        <f t="shared" si="1"/>
        <v>54734.5374931582</v>
      </c>
      <c r="J7" s="472">
        <v>16.72</v>
      </c>
      <c r="K7" s="744" t="s">
        <v>3530</v>
      </c>
      <c r="L7" s="474">
        <f t="shared" si="2"/>
        <v>2627257.7996716</v>
      </c>
      <c r="M7" s="474">
        <f t="shared" si="3"/>
        <v>12041598.2484948</v>
      </c>
      <c r="N7" s="749" t="s">
        <v>3536</v>
      </c>
      <c r="O7" s="476">
        <f t="shared" si="4"/>
        <v>121.986963</v>
      </c>
      <c r="P7" s="453">
        <v>0</v>
      </c>
      <c r="Q7" s="453"/>
      <c r="R7" s="453"/>
      <c r="S7" s="453"/>
      <c r="T7" s="453"/>
      <c r="U7" s="453"/>
      <c r="V7" s="453">
        <v>0</v>
      </c>
      <c r="W7" s="453">
        <v>100</v>
      </c>
      <c r="X7" s="454">
        <f t="shared" si="5"/>
        <v>1672</v>
      </c>
      <c r="Y7" s="745">
        <v>1298</v>
      </c>
      <c r="Z7" s="477">
        <f>H7*C7/(H7*C7+H23*C23)/2</f>
        <v>0.321938325991189</v>
      </c>
      <c r="AA7" s="477">
        <f>(H7*D7)/(H7*D7+D23*H23+D93*H93)/2-3%</f>
        <v>0.0651413841587253</v>
      </c>
      <c r="AB7" s="746">
        <f t="shared" si="6"/>
        <v>502.429463774589</v>
      </c>
      <c r="AC7" s="478">
        <f t="shared" si="7"/>
        <v>602.429463774589</v>
      </c>
      <c r="AD7" s="479">
        <f t="shared" si="8"/>
        <v>32973.6980719534</v>
      </c>
      <c r="AE7" s="474">
        <f t="shared" si="9"/>
        <v>15448.25</v>
      </c>
      <c r="AF7" s="480">
        <f t="shared" si="10"/>
        <v>282.2395275</v>
      </c>
      <c r="AG7" s="481">
        <f t="shared" si="11"/>
        <v>313.915626721394</v>
      </c>
      <c r="AH7" s="747">
        <f>([2]S2新Ratio布料!AB16+[2]S2新Ratio布料!AB59+[2]S2新Ratio布料!AB77)*AA7</f>
        <v>6.27430955319482</v>
      </c>
      <c r="AI7" s="482"/>
      <c r="AJ7" s="482"/>
      <c r="AK7" s="482"/>
      <c r="AL7" s="483"/>
      <c r="AM7" s="483"/>
      <c r="AN7" s="483"/>
      <c r="AO7" s="482">
        <f t="shared" si="12"/>
        <v>3780045.86090348</v>
      </c>
    </row>
    <row r="8" customHeight="1" spans="1:42">
      <c r="A8" s="487"/>
      <c r="B8" s="498"/>
      <c r="C8" s="489">
        <v>0.0208333333333333</v>
      </c>
      <c r="D8" s="489">
        <v>0.00454545454545455</v>
      </c>
      <c r="E8" s="544" t="s">
        <v>3537</v>
      </c>
      <c r="F8" s="750"/>
      <c r="G8" s="492"/>
      <c r="H8" s="493">
        <v>1</v>
      </c>
      <c r="I8" s="494"/>
      <c r="J8" s="495">
        <v>2.55</v>
      </c>
      <c r="K8" s="751" t="s">
        <v>3530</v>
      </c>
      <c r="L8" s="497"/>
      <c r="M8" s="497"/>
      <c r="N8" s="498"/>
      <c r="O8" s="499">
        <f t="shared" si="4"/>
        <v>6676.9</v>
      </c>
      <c r="P8" s="500">
        <v>3630</v>
      </c>
      <c r="Q8" s="500"/>
      <c r="R8" s="500">
        <f>400000*D8</f>
        <v>1818.18181818182</v>
      </c>
      <c r="S8" s="500">
        <f>300000*$D$8</f>
        <v>1363.63636363636</v>
      </c>
      <c r="T8" s="500">
        <f>500000*$D$8</f>
        <v>2272.72727272727</v>
      </c>
      <c r="U8" s="500">
        <f>400000*$D$8</f>
        <v>1818.18181818182</v>
      </c>
      <c r="V8" s="500">
        <v>2272.72727272727</v>
      </c>
      <c r="W8" s="500">
        <v>2273</v>
      </c>
      <c r="X8" s="454">
        <f t="shared" si="5"/>
        <v>39393.5590909091</v>
      </c>
      <c r="Y8" s="752"/>
      <c r="Z8" s="502"/>
      <c r="AA8" s="502"/>
      <c r="AB8" s="753">
        <f t="shared" si="6"/>
        <v>0</v>
      </c>
      <c r="AC8" s="503">
        <f t="shared" si="7"/>
        <v>15448.4545454545</v>
      </c>
      <c r="AD8" s="504"/>
      <c r="AE8" s="497">
        <f t="shared" si="9"/>
        <v>15448.25</v>
      </c>
      <c r="AF8" s="505">
        <f t="shared" si="10"/>
        <v>15448.25</v>
      </c>
      <c r="AG8" s="506">
        <f t="shared" si="11"/>
        <v>0.204545454540494</v>
      </c>
      <c r="AH8" s="754"/>
      <c r="AI8" s="507"/>
      <c r="AJ8" s="507"/>
      <c r="AK8" s="507"/>
      <c r="AL8" s="508"/>
      <c r="AM8" s="508"/>
      <c r="AN8" s="508"/>
      <c r="AO8" s="507"/>
    </row>
    <row r="9" customHeight="1" spans="1:42">
      <c r="A9" s="439"/>
      <c r="B9" s="450" t="s">
        <v>3538</v>
      </c>
      <c r="C9" s="441">
        <v>0.0466269841269841</v>
      </c>
      <c r="D9" s="441">
        <v>0.0474025974025974</v>
      </c>
      <c r="E9" s="735" t="s">
        <v>3539</v>
      </c>
      <c r="F9" s="736" t="s">
        <v>3540</v>
      </c>
      <c r="G9" s="444">
        <v>500</v>
      </c>
      <c r="H9" s="445">
        <v>0.0084</v>
      </c>
      <c r="I9" s="446">
        <f t="shared" ref="I9:I14" si="13">G9/H9</f>
        <v>59523.8095238095</v>
      </c>
      <c r="J9" s="447">
        <v>17.6</v>
      </c>
      <c r="K9" s="738" t="s">
        <v>3530</v>
      </c>
      <c r="L9" s="449">
        <f t="shared" ref="L9:L14" si="14">G9/C9/H9</f>
        <v>1276595.74468085</v>
      </c>
      <c r="M9" s="449">
        <f t="shared" ref="M9:M14" si="15">G9/H9/D9</f>
        <v>1255707.76255708</v>
      </c>
      <c r="N9" s="755" t="s">
        <v>3541</v>
      </c>
      <c r="O9" s="451">
        <f t="shared" si="4"/>
        <v>433.45044</v>
      </c>
      <c r="P9" s="452">
        <v>500</v>
      </c>
      <c r="Q9" s="452"/>
      <c r="R9" s="452"/>
      <c r="S9" s="452">
        <v>500</v>
      </c>
      <c r="T9" s="452"/>
      <c r="U9" s="452"/>
      <c r="V9" s="452">
        <v>500</v>
      </c>
      <c r="W9" s="452">
        <v>0</v>
      </c>
      <c r="X9" s="454">
        <f t="shared" si="5"/>
        <v>26400</v>
      </c>
      <c r="Y9" s="452">
        <v>108</v>
      </c>
      <c r="Z9" s="455"/>
      <c r="AA9" s="455"/>
      <c r="AB9" s="740">
        <f t="shared" si="6"/>
        <v>0</v>
      </c>
      <c r="AC9" s="456">
        <f t="shared" si="7"/>
        <v>1500</v>
      </c>
      <c r="AD9" s="457">
        <f t="shared" ref="AD9:AD14" si="16">AC9/H9</f>
        <v>178571.428571429</v>
      </c>
      <c r="AE9" s="474">
        <f t="shared" si="9"/>
        <v>143073.892857143</v>
      </c>
      <c r="AF9" s="458">
        <f t="shared" si="10"/>
        <v>1201.8207</v>
      </c>
      <c r="AG9" s="459">
        <f t="shared" si="11"/>
        <v>239.8293</v>
      </c>
      <c r="AH9" s="741">
        <f>([2]S2新Ratio布料!AB23+[2]S2新Ratio布料!AB32)</f>
        <v>58.35</v>
      </c>
      <c r="AI9" s="460">
        <f>$AI$4*C9</f>
        <v>4926.60714285714</v>
      </c>
      <c r="AJ9" s="460">
        <f>$AJ$4*D9</f>
        <v>138147.285714286</v>
      </c>
      <c r="AK9" s="460"/>
      <c r="AL9" s="461"/>
      <c r="AM9" s="461"/>
      <c r="AN9" s="461"/>
      <c r="AO9" s="460">
        <f t="shared" ref="AO9:AO14" si="17">AG9/H9/D9</f>
        <v>602311.027397261</v>
      </c>
    </row>
    <row r="10" customHeight="1" spans="1:42">
      <c r="A10" s="464"/>
      <c r="B10" s="475"/>
      <c r="C10" s="466">
        <v>0.0466269841269841</v>
      </c>
      <c r="D10" s="466">
        <v>0.0474025974025974</v>
      </c>
      <c r="E10" s="748" t="s">
        <v>3542</v>
      </c>
      <c r="F10" s="743" t="s">
        <v>3543</v>
      </c>
      <c r="G10" s="469">
        <v>500</v>
      </c>
      <c r="H10" s="470">
        <v>0.00924</v>
      </c>
      <c r="I10" s="471">
        <f t="shared" si="13"/>
        <v>54112.5541125541</v>
      </c>
      <c r="J10" s="472">
        <v>6.38</v>
      </c>
      <c r="K10" s="744" t="s">
        <v>3530</v>
      </c>
      <c r="L10" s="474">
        <f t="shared" si="14"/>
        <v>1160541.5860735</v>
      </c>
      <c r="M10" s="474">
        <f t="shared" si="15"/>
        <v>1141552.51141553</v>
      </c>
      <c r="N10" s="475"/>
      <c r="O10" s="476">
        <f t="shared" si="4"/>
        <v>476.795484</v>
      </c>
      <c r="P10" s="453">
        <v>500</v>
      </c>
      <c r="Q10" s="453"/>
      <c r="R10" s="453"/>
      <c r="S10" s="453"/>
      <c r="T10" s="453">
        <v>500</v>
      </c>
      <c r="U10" s="453"/>
      <c r="V10" s="453">
        <v>500</v>
      </c>
      <c r="W10" s="453">
        <v>0</v>
      </c>
      <c r="X10" s="454">
        <f t="shared" si="5"/>
        <v>9570</v>
      </c>
      <c r="Y10" s="453"/>
      <c r="Z10" s="477"/>
      <c r="AA10" s="477"/>
      <c r="AB10" s="746">
        <f t="shared" si="6"/>
        <v>0</v>
      </c>
      <c r="AC10" s="478">
        <f t="shared" si="7"/>
        <v>1500</v>
      </c>
      <c r="AD10" s="479">
        <f t="shared" si="16"/>
        <v>162337.662337662</v>
      </c>
      <c r="AE10" s="474">
        <f t="shared" si="9"/>
        <v>143073.892857143</v>
      </c>
      <c r="AF10" s="480">
        <f t="shared" si="10"/>
        <v>1322.00277</v>
      </c>
      <c r="AG10" s="481">
        <f t="shared" si="11"/>
        <v>177.99723</v>
      </c>
      <c r="AH10" s="747"/>
      <c r="AI10" s="482"/>
      <c r="AJ10" s="482"/>
      <c r="AK10" s="482"/>
      <c r="AL10" s="483"/>
      <c r="AM10" s="483"/>
      <c r="AN10" s="483"/>
      <c r="AO10" s="482">
        <f t="shared" si="17"/>
        <v>406386.369863014</v>
      </c>
    </row>
    <row r="11" customHeight="1" spans="1:42">
      <c r="A11" s="487"/>
      <c r="B11" s="498"/>
      <c r="C11" s="489">
        <v>0.0466269841269841</v>
      </c>
      <c r="D11" s="489">
        <v>0.0474025974025974</v>
      </c>
      <c r="E11" s="544" t="s">
        <v>3537</v>
      </c>
      <c r="F11" s="750"/>
      <c r="G11" s="512"/>
      <c r="H11" s="493">
        <v>1</v>
      </c>
      <c r="I11" s="494"/>
      <c r="J11" s="495">
        <v>1.98</v>
      </c>
      <c r="K11" s="751" t="s">
        <v>3530</v>
      </c>
      <c r="L11" s="497"/>
      <c r="M11" s="497"/>
      <c r="N11" s="498"/>
      <c r="O11" s="499">
        <f t="shared" si="4"/>
        <v>51601.2428571428</v>
      </c>
      <c r="P11" s="500">
        <v>19827</v>
      </c>
      <c r="Q11" s="500"/>
      <c r="R11" s="500">
        <f>400000*D11</f>
        <v>18961.038961039</v>
      </c>
      <c r="S11" s="500">
        <f>300000*$D$11</f>
        <v>14220.7792207792</v>
      </c>
      <c r="T11" s="500">
        <f>500000*$D$11</f>
        <v>23701.2987012987</v>
      </c>
      <c r="U11" s="500">
        <f>400000*$D$11</f>
        <v>18961.038961039</v>
      </c>
      <c r="V11" s="500">
        <v>23701.2987012987</v>
      </c>
      <c r="W11" s="500">
        <v>23702</v>
      </c>
      <c r="X11" s="454">
        <f t="shared" si="5"/>
        <v>283287.42</v>
      </c>
      <c r="Y11" s="500"/>
      <c r="Z11" s="502"/>
      <c r="AA11" s="502"/>
      <c r="AB11" s="753">
        <f t="shared" si="6"/>
        <v>0</v>
      </c>
      <c r="AC11" s="478">
        <f t="shared" si="7"/>
        <v>143074.454545455</v>
      </c>
      <c r="AD11" s="504"/>
      <c r="AE11" s="497">
        <f t="shared" si="9"/>
        <v>143073.892857143</v>
      </c>
      <c r="AF11" s="505">
        <f t="shared" si="10"/>
        <v>143073.892857143</v>
      </c>
      <c r="AG11" s="506">
        <f t="shared" si="11"/>
        <v>0.561688311689068</v>
      </c>
      <c r="AH11" s="754"/>
      <c r="AI11" s="507"/>
      <c r="AJ11" s="507"/>
      <c r="AK11" s="507"/>
      <c r="AL11" s="508"/>
      <c r="AM11" s="508"/>
      <c r="AN11" s="508"/>
      <c r="AO11" s="507"/>
    </row>
    <row r="12" ht="52.25" customHeight="1" spans="1:42">
      <c r="A12" s="439"/>
      <c r="B12" s="450" t="s">
        <v>3544</v>
      </c>
      <c r="C12" s="441">
        <v>0.0466269841269841</v>
      </c>
      <c r="D12" s="441">
        <v>0.0474025974025974</v>
      </c>
      <c r="E12" s="735" t="s">
        <v>3545</v>
      </c>
      <c r="F12" s="736" t="s">
        <v>3546</v>
      </c>
      <c r="G12" s="444">
        <v>500</v>
      </c>
      <c r="H12" s="445">
        <v>0.0084</v>
      </c>
      <c r="I12" s="446">
        <f t="shared" si="13"/>
        <v>59523.8095238095</v>
      </c>
      <c r="J12" s="447">
        <v>14.3</v>
      </c>
      <c r="K12" s="738" t="s">
        <v>3530</v>
      </c>
      <c r="L12" s="449">
        <f t="shared" si="14"/>
        <v>1276595.74468085</v>
      </c>
      <c r="M12" s="449">
        <f t="shared" si="15"/>
        <v>1255707.76255708</v>
      </c>
      <c r="N12" s="450"/>
      <c r="O12" s="451">
        <f t="shared" si="4"/>
        <v>433.45044</v>
      </c>
      <c r="P12" s="452">
        <v>500</v>
      </c>
      <c r="Q12" s="452"/>
      <c r="R12" s="452"/>
      <c r="S12" s="452"/>
      <c r="T12" s="452">
        <v>500</v>
      </c>
      <c r="U12" s="452"/>
      <c r="V12" s="452">
        <v>500</v>
      </c>
      <c r="W12" s="452">
        <v>0</v>
      </c>
      <c r="X12" s="454">
        <f t="shared" si="5"/>
        <v>21450</v>
      </c>
      <c r="Y12" s="452"/>
      <c r="Z12" s="455"/>
      <c r="AA12" s="455"/>
      <c r="AB12" s="740">
        <f t="shared" si="6"/>
        <v>0</v>
      </c>
      <c r="AC12" s="456">
        <f t="shared" si="7"/>
        <v>1500</v>
      </c>
      <c r="AD12" s="457">
        <f t="shared" si="16"/>
        <v>178571.428571429</v>
      </c>
      <c r="AE12" s="449">
        <f t="shared" si="9"/>
        <v>143073.892857143</v>
      </c>
      <c r="AF12" s="458">
        <f t="shared" si="10"/>
        <v>1201.8207</v>
      </c>
      <c r="AG12" s="459">
        <f t="shared" si="11"/>
        <v>298.1793</v>
      </c>
      <c r="AH12" s="741"/>
      <c r="AI12" s="460">
        <f>$AI$4*C12</f>
        <v>4926.60714285714</v>
      </c>
      <c r="AJ12" s="460">
        <f>$AJ$4*D12</f>
        <v>138147.285714286</v>
      </c>
      <c r="AK12" s="460"/>
      <c r="AL12" s="461"/>
      <c r="AM12" s="461"/>
      <c r="AN12" s="461"/>
      <c r="AO12" s="460">
        <f t="shared" si="17"/>
        <v>748852.123287672</v>
      </c>
    </row>
    <row r="13" customHeight="1" spans="1:42">
      <c r="A13" s="464"/>
      <c r="B13" s="475"/>
      <c r="C13" s="466">
        <v>0.0466269841269841</v>
      </c>
      <c r="D13" s="466">
        <v>0.0474025974025974</v>
      </c>
      <c r="E13" s="748" t="s">
        <v>3547</v>
      </c>
      <c r="F13" s="743" t="s">
        <v>3548</v>
      </c>
      <c r="G13" s="469">
        <v>800</v>
      </c>
      <c r="H13" s="470">
        <v>0.005145</v>
      </c>
      <c r="I13" s="471">
        <f t="shared" si="13"/>
        <v>155490.767735666</v>
      </c>
      <c r="J13" s="472">
        <v>20</v>
      </c>
      <c r="K13" s="744" t="s">
        <v>3530</v>
      </c>
      <c r="L13" s="474">
        <f t="shared" si="14"/>
        <v>3334780.72079896</v>
      </c>
      <c r="M13" s="474">
        <f t="shared" si="15"/>
        <v>3280216.19606747</v>
      </c>
      <c r="N13" s="475" t="s">
        <v>3549</v>
      </c>
      <c r="O13" s="476">
        <f t="shared" si="4"/>
        <v>265.4883945</v>
      </c>
      <c r="P13" s="453">
        <v>800</v>
      </c>
      <c r="Q13" s="453"/>
      <c r="R13" s="453"/>
      <c r="S13" s="453"/>
      <c r="T13" s="453"/>
      <c r="U13" s="453"/>
      <c r="V13" s="453">
        <v>0</v>
      </c>
      <c r="W13" s="453">
        <v>0</v>
      </c>
      <c r="X13" s="454">
        <f t="shared" si="5"/>
        <v>16000</v>
      </c>
      <c r="Y13" s="453"/>
      <c r="Z13" s="477"/>
      <c r="AA13" s="477"/>
      <c r="AB13" s="746">
        <f t="shared" si="6"/>
        <v>0</v>
      </c>
      <c r="AC13" s="478">
        <f t="shared" si="7"/>
        <v>800</v>
      </c>
      <c r="AD13" s="479">
        <f t="shared" si="16"/>
        <v>155490.767735666</v>
      </c>
      <c r="AE13" s="474">
        <f t="shared" si="9"/>
        <v>143073.892857143</v>
      </c>
      <c r="AF13" s="480">
        <f t="shared" si="10"/>
        <v>736.11517875</v>
      </c>
      <c r="AG13" s="481">
        <f t="shared" si="11"/>
        <v>63.8848212500001</v>
      </c>
      <c r="AH13" s="747"/>
      <c r="AI13" s="482"/>
      <c r="AJ13" s="482"/>
      <c r="AK13" s="482"/>
      <c r="AL13" s="483"/>
      <c r="AM13" s="483"/>
      <c r="AN13" s="483"/>
      <c r="AO13" s="482">
        <f t="shared" si="17"/>
        <v>261945.031683907</v>
      </c>
    </row>
    <row r="14" customHeight="1" spans="1:42">
      <c r="A14" s="464"/>
      <c r="B14" s="475"/>
      <c r="C14" s="466">
        <v>0.0466269841269841</v>
      </c>
      <c r="D14" s="466">
        <v>0.0474025974025974</v>
      </c>
      <c r="E14" s="748" t="s">
        <v>3550</v>
      </c>
      <c r="F14" s="743" t="s">
        <v>3535</v>
      </c>
      <c r="G14" s="486">
        <v>1000</v>
      </c>
      <c r="H14" s="470">
        <v>0.0084</v>
      </c>
      <c r="I14" s="471">
        <f t="shared" si="13"/>
        <v>119047.619047619</v>
      </c>
      <c r="J14" s="472">
        <v>16.72</v>
      </c>
      <c r="K14" s="744" t="s">
        <v>3530</v>
      </c>
      <c r="L14" s="474">
        <f t="shared" si="14"/>
        <v>2553191.4893617</v>
      </c>
      <c r="M14" s="474">
        <f t="shared" si="15"/>
        <v>2511415.52511416</v>
      </c>
      <c r="N14" s="749" t="s">
        <v>3551</v>
      </c>
      <c r="O14" s="476">
        <f t="shared" si="4"/>
        <v>433.45044</v>
      </c>
      <c r="P14" s="453">
        <v>0</v>
      </c>
      <c r="Q14" s="453"/>
      <c r="R14" s="453"/>
      <c r="S14" s="453"/>
      <c r="T14" s="453">
        <v>1000</v>
      </c>
      <c r="U14" s="453"/>
      <c r="V14" s="453">
        <v>0</v>
      </c>
      <c r="W14" s="453">
        <v>0</v>
      </c>
      <c r="X14" s="454">
        <f t="shared" si="5"/>
        <v>16720</v>
      </c>
      <c r="Y14" s="453">
        <v>495</v>
      </c>
      <c r="Z14" s="477"/>
      <c r="AA14" s="477">
        <v>1</v>
      </c>
      <c r="AB14" s="746">
        <f t="shared" si="6"/>
        <v>495</v>
      </c>
      <c r="AC14" s="478">
        <f t="shared" si="7"/>
        <v>1495</v>
      </c>
      <c r="AD14" s="479">
        <f t="shared" si="16"/>
        <v>177976.19047619</v>
      </c>
      <c r="AE14" s="474">
        <f t="shared" si="9"/>
        <v>143073.892857143</v>
      </c>
      <c r="AF14" s="480">
        <f t="shared" si="10"/>
        <v>1201.8207</v>
      </c>
      <c r="AG14" s="481">
        <f t="shared" si="11"/>
        <v>276.8023</v>
      </c>
      <c r="AH14" s="747">
        <f>[2]S2新Ratio布料!AB52</f>
        <v>16.377</v>
      </c>
      <c r="AI14" s="482"/>
      <c r="AJ14" s="482"/>
      <c r="AK14" s="482"/>
      <c r="AL14" s="483"/>
      <c r="AM14" s="483"/>
      <c r="AN14" s="483"/>
      <c r="AO14" s="482">
        <f t="shared" si="17"/>
        <v>695165.593607307</v>
      </c>
    </row>
    <row r="15" customHeight="1" spans="1:42">
      <c r="A15" s="487"/>
      <c r="B15" s="498"/>
      <c r="C15" s="489">
        <v>0.0466269841269841</v>
      </c>
      <c r="D15" s="489">
        <v>0.0474025974025974</v>
      </c>
      <c r="E15" s="544" t="s">
        <v>3537</v>
      </c>
      <c r="F15" s="750"/>
      <c r="G15" s="512"/>
      <c r="H15" s="493">
        <v>1</v>
      </c>
      <c r="I15" s="494"/>
      <c r="J15" s="495">
        <v>1.386</v>
      </c>
      <c r="K15" s="751" t="s">
        <v>3530</v>
      </c>
      <c r="L15" s="497"/>
      <c r="M15" s="497"/>
      <c r="N15" s="498"/>
      <c r="O15" s="499">
        <f t="shared" si="4"/>
        <v>51601.2428571428</v>
      </c>
      <c r="P15" s="500">
        <v>19827</v>
      </c>
      <c r="Q15" s="500"/>
      <c r="R15" s="500">
        <f>400000*D15</f>
        <v>18961.038961039</v>
      </c>
      <c r="S15" s="500">
        <f>300000*$D$15</f>
        <v>14220.7792207792</v>
      </c>
      <c r="T15" s="500">
        <f>500000*$D$15</f>
        <v>23701.2987012987</v>
      </c>
      <c r="U15" s="500">
        <f>400000*$D$15</f>
        <v>18961.038961039</v>
      </c>
      <c r="V15" s="500">
        <v>23701.2987012987</v>
      </c>
      <c r="W15" s="500">
        <v>23702</v>
      </c>
      <c r="X15" s="454">
        <f t="shared" si="5"/>
        <v>198301.194</v>
      </c>
      <c r="Y15" s="500"/>
      <c r="Z15" s="502"/>
      <c r="AA15" s="502"/>
      <c r="AB15" s="753">
        <f t="shared" si="6"/>
        <v>0</v>
      </c>
      <c r="AC15" s="503">
        <f t="shared" si="7"/>
        <v>143074.454545455</v>
      </c>
      <c r="AD15" s="504"/>
      <c r="AE15" s="497">
        <f t="shared" si="9"/>
        <v>143073.892857143</v>
      </c>
      <c r="AF15" s="505">
        <f t="shared" si="10"/>
        <v>143073.892857143</v>
      </c>
      <c r="AG15" s="506">
        <f t="shared" si="11"/>
        <v>0.561688311689068</v>
      </c>
      <c r="AH15" s="754"/>
      <c r="AI15" s="507"/>
      <c r="AJ15" s="507"/>
      <c r="AK15" s="507"/>
      <c r="AL15" s="508"/>
      <c r="AM15" s="508"/>
      <c r="AN15" s="508"/>
      <c r="AO15" s="507"/>
    </row>
    <row r="16" ht="58.5" customHeight="1" spans="1:42">
      <c r="A16" s="439"/>
      <c r="B16" s="450" t="s">
        <v>3552</v>
      </c>
      <c r="C16" s="441">
        <v>0.0466269841269841</v>
      </c>
      <c r="D16" s="441">
        <v>0.0474025974025974</v>
      </c>
      <c r="E16" s="756" t="s">
        <v>3553</v>
      </c>
      <c r="F16" s="736" t="s">
        <v>3554</v>
      </c>
      <c r="G16" s="444">
        <v>2500</v>
      </c>
      <c r="H16" s="514">
        <v>0.017325</v>
      </c>
      <c r="I16" s="446">
        <f t="shared" ref="I16:I20" si="18">G16/H16</f>
        <v>144300.144300144</v>
      </c>
      <c r="J16" s="447">
        <v>25.3</v>
      </c>
      <c r="K16" s="738" t="s">
        <v>3530</v>
      </c>
      <c r="L16" s="449">
        <f t="shared" ref="L16:L20" si="19">G16/C16/H16</f>
        <v>3094777.56286267</v>
      </c>
      <c r="M16" s="449">
        <f t="shared" ref="M16:M20" si="20">G16/H16/D16</f>
        <v>3044140.0304414</v>
      </c>
      <c r="N16" s="450" t="s">
        <v>3555</v>
      </c>
      <c r="O16" s="451">
        <f t="shared" si="4"/>
        <v>893.9915325</v>
      </c>
      <c r="P16" s="452">
        <f>1169+229</f>
        <v>1398</v>
      </c>
      <c r="Q16" s="452"/>
      <c r="R16" s="452"/>
      <c r="S16" s="452"/>
      <c r="T16" s="452">
        <f>2500-300-700</f>
        <v>1500</v>
      </c>
      <c r="U16" s="452"/>
      <c r="V16" s="452">
        <v>1000</v>
      </c>
      <c r="W16" s="452">
        <v>0</v>
      </c>
      <c r="X16" s="454">
        <f t="shared" si="5"/>
        <v>98619.4</v>
      </c>
      <c r="Y16" s="452"/>
      <c r="Z16" s="516">
        <f>H16/(H16+H31+H62)</f>
        <v>0.46742209631728</v>
      </c>
      <c r="AA16" s="516"/>
      <c r="AB16" s="740">
        <f t="shared" si="6"/>
        <v>0</v>
      </c>
      <c r="AC16" s="456">
        <f t="shared" si="7"/>
        <v>3898</v>
      </c>
      <c r="AD16" s="457">
        <f t="shared" ref="AD16:AD20" si="21">AC16/H16</f>
        <v>224992.784992785</v>
      </c>
      <c r="AE16" s="474">
        <f t="shared" si="9"/>
        <v>193473.892857143</v>
      </c>
      <c r="AF16" s="458">
        <f t="shared" si="10"/>
        <v>3351.93519375</v>
      </c>
      <c r="AG16" s="459">
        <f t="shared" si="11"/>
        <v>546.06480625</v>
      </c>
      <c r="AH16" s="741"/>
      <c r="AI16" s="460">
        <f>$AI$4*C16</f>
        <v>4926.60714285714</v>
      </c>
      <c r="AJ16" s="460">
        <f>$AJ$4*D16</f>
        <v>138147.285714286</v>
      </c>
      <c r="AK16" s="460">
        <f>15970+11700+22330</f>
        <v>50000</v>
      </c>
      <c r="AL16" s="461">
        <f>400</f>
        <v>400</v>
      </c>
      <c r="AM16" s="461"/>
      <c r="AN16" s="461"/>
      <c r="AO16" s="460">
        <f t="shared" ref="AO16:AO20" si="22">AG16/H16/D16</f>
        <v>664919.094368341</v>
      </c>
    </row>
    <row r="17" ht="45" customHeight="1" spans="1:41">
      <c r="A17" s="487"/>
      <c r="B17" s="498"/>
      <c r="C17" s="489">
        <v>0.0466269841269841</v>
      </c>
      <c r="D17" s="489">
        <v>0.0474025974025974</v>
      </c>
      <c r="E17" s="544" t="s">
        <v>3537</v>
      </c>
      <c r="F17" s="750"/>
      <c r="G17" s="492"/>
      <c r="H17" s="493">
        <v>1</v>
      </c>
      <c r="I17" s="494"/>
      <c r="J17" s="495">
        <v>1.38</v>
      </c>
      <c r="K17" s="751" t="s">
        <v>3530</v>
      </c>
      <c r="L17" s="497"/>
      <c r="M17" s="497"/>
      <c r="N17" s="498"/>
      <c r="O17" s="499">
        <f t="shared" si="4"/>
        <v>51601.2428571428</v>
      </c>
      <c r="P17" s="500">
        <v>19827</v>
      </c>
      <c r="Q17" s="500"/>
      <c r="R17" s="500">
        <f>400000*D17</f>
        <v>18961.038961039</v>
      </c>
      <c r="S17" s="500">
        <f>300000*$D$17+27670</f>
        <v>41890.7792207792</v>
      </c>
      <c r="T17" s="500">
        <f>500000*$D$17+22330</f>
        <v>46031.2987012987</v>
      </c>
      <c r="U17" s="500">
        <f>400000*$D$17+400</f>
        <v>19361.038961039</v>
      </c>
      <c r="V17" s="500">
        <v>34201.2987012987</v>
      </c>
      <c r="W17" s="500">
        <v>23702</v>
      </c>
      <c r="X17" s="454">
        <f t="shared" si="5"/>
        <v>281484.747272727</v>
      </c>
      <c r="Y17" s="500"/>
      <c r="Z17" s="502"/>
      <c r="AA17" s="502"/>
      <c r="AB17" s="753">
        <f t="shared" si="6"/>
        <v>0</v>
      </c>
      <c r="AC17" s="503">
        <f t="shared" si="7"/>
        <v>203974.454545455</v>
      </c>
      <c r="AD17" s="504"/>
      <c r="AE17" s="497">
        <f t="shared" si="9"/>
        <v>193473.892857143</v>
      </c>
      <c r="AF17" s="505">
        <f t="shared" si="10"/>
        <v>193473.892857143</v>
      </c>
      <c r="AG17" s="506">
        <f t="shared" si="11"/>
        <v>10500.5616883117</v>
      </c>
      <c r="AH17" s="754"/>
      <c r="AI17" s="507"/>
      <c r="AJ17" s="507"/>
      <c r="AK17" s="507">
        <f>15970+11700+22330</f>
        <v>50000</v>
      </c>
      <c r="AL17" s="508">
        <f>400</f>
        <v>400</v>
      </c>
      <c r="AM17" s="508"/>
      <c r="AN17" s="508"/>
      <c r="AO17" s="507"/>
    </row>
    <row r="18" customHeight="1" spans="1:41">
      <c r="A18" s="439"/>
      <c r="B18" s="450" t="s">
        <v>3556</v>
      </c>
      <c r="C18" s="441">
        <v>0.0466269841269841</v>
      </c>
      <c r="D18" s="441">
        <v>0.0474025974025974</v>
      </c>
      <c r="E18" s="735" t="s">
        <v>3557</v>
      </c>
      <c r="F18" s="450" t="s">
        <v>3558</v>
      </c>
      <c r="G18" s="444">
        <v>300</v>
      </c>
      <c r="H18" s="514">
        <v>0.00567</v>
      </c>
      <c r="I18" s="446">
        <f t="shared" si="18"/>
        <v>52910.0529100529</v>
      </c>
      <c r="J18" s="447">
        <v>14.3</v>
      </c>
      <c r="K18" s="738" t="s">
        <v>3530</v>
      </c>
      <c r="L18" s="449">
        <f t="shared" si="19"/>
        <v>1134751.77304965</v>
      </c>
      <c r="M18" s="449">
        <f t="shared" si="20"/>
        <v>1116184.67782851</v>
      </c>
      <c r="N18" s="450"/>
      <c r="O18" s="451">
        <f t="shared" si="4"/>
        <v>292.579047</v>
      </c>
      <c r="P18" s="452">
        <v>310</v>
      </c>
      <c r="Q18" s="452"/>
      <c r="R18" s="452"/>
      <c r="S18" s="452"/>
      <c r="T18" s="452">
        <v>300</v>
      </c>
      <c r="U18" s="452"/>
      <c r="V18" s="452">
        <v>300</v>
      </c>
      <c r="W18" s="452">
        <v>0</v>
      </c>
      <c r="X18" s="454">
        <f t="shared" si="5"/>
        <v>13013</v>
      </c>
      <c r="Y18" s="452"/>
      <c r="Z18" s="455"/>
      <c r="AA18" s="455"/>
      <c r="AB18" s="740">
        <f t="shared" si="6"/>
        <v>0</v>
      </c>
      <c r="AC18" s="456">
        <f t="shared" si="7"/>
        <v>910</v>
      </c>
      <c r="AD18" s="457">
        <f t="shared" si="21"/>
        <v>160493.827160494</v>
      </c>
      <c r="AE18" s="474">
        <f t="shared" si="9"/>
        <v>143073.892857143</v>
      </c>
      <c r="AF18" s="458">
        <f t="shared" si="10"/>
        <v>811.2289725</v>
      </c>
      <c r="AG18" s="459">
        <f t="shared" si="11"/>
        <v>98.7710275000002</v>
      </c>
      <c r="AH18" s="741"/>
      <c r="AI18" s="460">
        <f>$AI$4*C18</f>
        <v>4926.60714285714</v>
      </c>
      <c r="AJ18" s="460">
        <f>$AJ$4*D18</f>
        <v>138147.285714286</v>
      </c>
      <c r="AK18" s="460"/>
      <c r="AL18" s="461"/>
      <c r="AM18" s="461"/>
      <c r="AN18" s="461"/>
      <c r="AO18" s="460">
        <f t="shared" si="22"/>
        <v>367489.025029597</v>
      </c>
    </row>
    <row r="19" customHeight="1" spans="1:41">
      <c r="A19" s="464"/>
      <c r="B19" s="475"/>
      <c r="C19" s="466">
        <v>0.0466269841269841</v>
      </c>
      <c r="D19" s="466">
        <v>0.0474025974025974</v>
      </c>
      <c r="E19" s="748" t="s">
        <v>3559</v>
      </c>
      <c r="F19" s="475" t="s">
        <v>3558</v>
      </c>
      <c r="G19" s="469">
        <v>300</v>
      </c>
      <c r="H19" s="517">
        <v>0.00567</v>
      </c>
      <c r="I19" s="471">
        <f t="shared" si="18"/>
        <v>52910.0529100529</v>
      </c>
      <c r="J19" s="472">
        <v>6.6</v>
      </c>
      <c r="K19" s="744" t="s">
        <v>3530</v>
      </c>
      <c r="L19" s="474">
        <f t="shared" si="19"/>
        <v>1134751.77304965</v>
      </c>
      <c r="M19" s="474">
        <f t="shared" si="20"/>
        <v>1116184.67782851</v>
      </c>
      <c r="N19" s="475"/>
      <c r="O19" s="476">
        <f t="shared" si="4"/>
        <v>292.579047</v>
      </c>
      <c r="P19" s="453">
        <v>310</v>
      </c>
      <c r="Q19" s="453"/>
      <c r="R19" s="453"/>
      <c r="S19" s="453"/>
      <c r="T19" s="453">
        <v>300</v>
      </c>
      <c r="U19" s="453"/>
      <c r="V19" s="453">
        <v>300</v>
      </c>
      <c r="W19" s="453">
        <v>0</v>
      </c>
      <c r="X19" s="454">
        <f t="shared" si="5"/>
        <v>6006</v>
      </c>
      <c r="Y19" s="453"/>
      <c r="Z19" s="477"/>
      <c r="AA19" s="477"/>
      <c r="AB19" s="746">
        <f t="shared" si="6"/>
        <v>0</v>
      </c>
      <c r="AC19" s="478">
        <f t="shared" si="7"/>
        <v>910</v>
      </c>
      <c r="AD19" s="479">
        <f t="shared" si="21"/>
        <v>160493.827160494</v>
      </c>
      <c r="AE19" s="474">
        <f t="shared" si="9"/>
        <v>143073.892857143</v>
      </c>
      <c r="AF19" s="480">
        <f t="shared" si="10"/>
        <v>811.2289725</v>
      </c>
      <c r="AG19" s="481">
        <f t="shared" si="11"/>
        <v>98.7710275000002</v>
      </c>
      <c r="AH19" s="747"/>
      <c r="AI19" s="482"/>
      <c r="AJ19" s="482"/>
      <c r="AK19" s="482"/>
      <c r="AL19" s="483"/>
      <c r="AM19" s="483"/>
      <c r="AN19" s="483"/>
      <c r="AO19" s="482">
        <f t="shared" si="22"/>
        <v>367489.025029597</v>
      </c>
    </row>
    <row r="20" customHeight="1" spans="1:41">
      <c r="A20" s="464"/>
      <c r="B20" s="475"/>
      <c r="C20" s="466">
        <v>0.0466269841269841</v>
      </c>
      <c r="D20" s="466">
        <v>0.0474025974025974</v>
      </c>
      <c r="E20" s="748" t="s">
        <v>3560</v>
      </c>
      <c r="F20" s="475" t="s">
        <v>3561</v>
      </c>
      <c r="G20" s="469">
        <v>500</v>
      </c>
      <c r="H20" s="470">
        <v>0.006615</v>
      </c>
      <c r="I20" s="471">
        <f t="shared" si="18"/>
        <v>75585.7898715042</v>
      </c>
      <c r="J20" s="472">
        <v>19.8</v>
      </c>
      <c r="K20" s="744" t="s">
        <v>3530</v>
      </c>
      <c r="L20" s="474">
        <f t="shared" si="19"/>
        <v>1621073.96149949</v>
      </c>
      <c r="M20" s="474">
        <f t="shared" si="20"/>
        <v>1594549.53975502</v>
      </c>
      <c r="N20" s="475"/>
      <c r="O20" s="476">
        <f t="shared" si="4"/>
        <v>341.3422215</v>
      </c>
      <c r="P20" s="453">
        <v>500</v>
      </c>
      <c r="Q20" s="453"/>
      <c r="R20" s="453"/>
      <c r="S20" s="453"/>
      <c r="T20" s="453">
        <v>500</v>
      </c>
      <c r="U20" s="453"/>
      <c r="V20" s="453">
        <v>0</v>
      </c>
      <c r="W20" s="453">
        <v>0</v>
      </c>
      <c r="X20" s="454">
        <f t="shared" si="5"/>
        <v>19800</v>
      </c>
      <c r="Y20" s="453"/>
      <c r="Z20" s="477">
        <f>H20/0.0099</f>
        <v>0.668181818181818</v>
      </c>
      <c r="AA20" s="477"/>
      <c r="AB20" s="746">
        <f t="shared" si="6"/>
        <v>0</v>
      </c>
      <c r="AC20" s="478">
        <f t="shared" si="7"/>
        <v>1000</v>
      </c>
      <c r="AD20" s="479">
        <f t="shared" si="21"/>
        <v>151171.579743008</v>
      </c>
      <c r="AE20" s="474">
        <f t="shared" si="9"/>
        <v>143073.892857143</v>
      </c>
      <c r="AF20" s="480">
        <f t="shared" si="10"/>
        <v>946.43380125</v>
      </c>
      <c r="AG20" s="481">
        <f t="shared" si="11"/>
        <v>53.5661987500001</v>
      </c>
      <c r="AH20" s="747"/>
      <c r="AI20" s="482"/>
      <c r="AJ20" s="482"/>
      <c r="AK20" s="482"/>
      <c r="AL20" s="483"/>
      <c r="AM20" s="483"/>
      <c r="AN20" s="483"/>
      <c r="AO20" s="482">
        <f t="shared" si="22"/>
        <v>170827.915126477</v>
      </c>
    </row>
    <row r="21" customHeight="1" spans="1:41">
      <c r="A21" s="487"/>
      <c r="B21" s="498"/>
      <c r="C21" s="489">
        <v>0.0466269841269841</v>
      </c>
      <c r="D21" s="489">
        <v>0.0474025974025974</v>
      </c>
      <c r="E21" s="544" t="s">
        <v>3537</v>
      </c>
      <c r="F21" s="498"/>
      <c r="G21" s="492"/>
      <c r="H21" s="493">
        <v>1</v>
      </c>
      <c r="I21" s="494"/>
      <c r="J21" s="495">
        <v>1.88</v>
      </c>
      <c r="K21" s="751" t="s">
        <v>3530</v>
      </c>
      <c r="L21" s="497"/>
      <c r="M21" s="497"/>
      <c r="N21" s="498"/>
      <c r="O21" s="499">
        <f t="shared" si="4"/>
        <v>51601.2428571428</v>
      </c>
      <c r="P21" s="500">
        <v>19827</v>
      </c>
      <c r="Q21" s="500"/>
      <c r="R21" s="500">
        <f>400000*D21</f>
        <v>18961.038961039</v>
      </c>
      <c r="S21" s="500">
        <f>300000*$D$21</f>
        <v>14220.7792207792</v>
      </c>
      <c r="T21" s="500">
        <f>500000*$D$21</f>
        <v>23701.2987012987</v>
      </c>
      <c r="U21" s="500">
        <f>400000*$D$21</f>
        <v>18961.038961039</v>
      </c>
      <c r="V21" s="500">
        <v>23701.2987012987</v>
      </c>
      <c r="W21" s="500">
        <v>23702</v>
      </c>
      <c r="X21" s="454">
        <f t="shared" si="5"/>
        <v>268979.974545454</v>
      </c>
      <c r="Y21" s="500"/>
      <c r="Z21" s="502"/>
      <c r="AA21" s="502"/>
      <c r="AB21" s="753">
        <f t="shared" si="6"/>
        <v>0</v>
      </c>
      <c r="AC21" s="503">
        <f t="shared" si="7"/>
        <v>143074.454545455</v>
      </c>
      <c r="AD21" s="504"/>
      <c r="AE21" s="497">
        <f t="shared" si="9"/>
        <v>143073.892857143</v>
      </c>
      <c r="AF21" s="505">
        <f t="shared" si="10"/>
        <v>143073.892857143</v>
      </c>
      <c r="AG21" s="506">
        <f t="shared" si="11"/>
        <v>0.561688311689068</v>
      </c>
      <c r="AH21" s="754"/>
      <c r="AI21" s="507"/>
      <c r="AJ21" s="507"/>
      <c r="AK21" s="507"/>
      <c r="AL21" s="508"/>
      <c r="AM21" s="508"/>
      <c r="AN21" s="508"/>
      <c r="AO21" s="507"/>
    </row>
    <row r="22" customHeight="1" spans="1:41">
      <c r="A22" s="439"/>
      <c r="B22" s="450" t="s">
        <v>3562</v>
      </c>
      <c r="C22" s="441">
        <v>0.0466269841269841</v>
      </c>
      <c r="D22" s="441">
        <v>0.0474025974025974</v>
      </c>
      <c r="E22" s="756" t="s">
        <v>3531</v>
      </c>
      <c r="F22" s="736" t="s">
        <v>3563</v>
      </c>
      <c r="G22" s="444">
        <v>2500</v>
      </c>
      <c r="H22" s="541">
        <v>0.010605</v>
      </c>
      <c r="I22" s="446">
        <f t="shared" ref="I22:I24" si="23">G22/H22</f>
        <v>235737.859500236</v>
      </c>
      <c r="J22" s="447">
        <v>17.6</v>
      </c>
      <c r="K22" s="738" t="s">
        <v>3530</v>
      </c>
      <c r="L22" s="449">
        <f t="shared" ref="L22:L24" si="24">G22/C22/H22</f>
        <v>5055824.73140931</v>
      </c>
      <c r="M22" s="449">
        <f t="shared" ref="M22:M24" si="25">G22/H22/D22</f>
        <v>4973100.049731</v>
      </c>
      <c r="N22" s="755" t="s">
        <v>3533</v>
      </c>
      <c r="O22" s="451">
        <f t="shared" si="4"/>
        <v>547.2311805</v>
      </c>
      <c r="P22" s="452">
        <v>0</v>
      </c>
      <c r="Q22" s="452"/>
      <c r="R22" s="452"/>
      <c r="S22" s="452"/>
      <c r="T22" s="452">
        <f>1000</f>
        <v>1000</v>
      </c>
      <c r="U22" s="452"/>
      <c r="V22" s="452">
        <v>0</v>
      </c>
      <c r="W22" s="452">
        <v>0</v>
      </c>
      <c r="X22" s="454">
        <f t="shared" si="5"/>
        <v>17600</v>
      </c>
      <c r="Y22" s="452">
        <v>1799</v>
      </c>
      <c r="Z22" s="516">
        <f>H22*C22/(H6*C6+H22*C22)/2</f>
        <v>0.298666163332075</v>
      </c>
      <c r="AA22" s="516">
        <f>(H22*D22)/(H22*D22+D6*H6+D92*H92)/2</f>
        <v>0.214335549138549</v>
      </c>
      <c r="AB22" s="740">
        <f t="shared" si="6"/>
        <v>922.890080734653</v>
      </c>
      <c r="AC22" s="456">
        <f t="shared" si="7"/>
        <v>1922.89008073465</v>
      </c>
      <c r="AD22" s="457">
        <f t="shared" ref="AD22:AD24" si="26">AC22/H22</f>
        <v>181319.196674649</v>
      </c>
      <c r="AE22" s="474">
        <f t="shared" si="9"/>
        <v>143073.892857143</v>
      </c>
      <c r="AF22" s="458">
        <f t="shared" si="10"/>
        <v>1517.29863375</v>
      </c>
      <c r="AG22" s="459">
        <f t="shared" si="11"/>
        <v>374.01267607824</v>
      </c>
      <c r="AH22" s="741">
        <f>[2]S2新Ratio布料!AB15*AA22</f>
        <v>31.5787709064128</v>
      </c>
      <c r="AI22" s="460">
        <f>$AI$4*C22</f>
        <v>4926.60714285714</v>
      </c>
      <c r="AJ22" s="460">
        <f>$AJ$4*D22</f>
        <v>138147.285714286</v>
      </c>
      <c r="AK22" s="460"/>
      <c r="AL22" s="461"/>
      <c r="AM22" s="461"/>
      <c r="AN22" s="461"/>
      <c r="AO22" s="460">
        <f t="shared" ref="AO22:AO24" si="27">AG22/H22/D22</f>
        <v>744000.983201889</v>
      </c>
    </row>
    <row r="23" customHeight="1" spans="1:41">
      <c r="A23" s="464"/>
      <c r="B23" s="475"/>
      <c r="C23" s="466">
        <v>0.0466269841269841</v>
      </c>
      <c r="D23" s="466">
        <v>0.0474025974025974</v>
      </c>
      <c r="E23" s="748" t="s">
        <v>3534</v>
      </c>
      <c r="F23" s="743" t="s">
        <v>3564</v>
      </c>
      <c r="G23" s="486">
        <v>1000</v>
      </c>
      <c r="H23" s="470">
        <v>0.004515</v>
      </c>
      <c r="I23" s="471">
        <f t="shared" si="23"/>
        <v>221483.942414175</v>
      </c>
      <c r="J23" s="472">
        <v>16.72</v>
      </c>
      <c r="K23" s="744" t="s">
        <v>3530</v>
      </c>
      <c r="L23" s="474">
        <f t="shared" si="24"/>
        <v>4750123.70113805</v>
      </c>
      <c r="M23" s="474">
        <f t="shared" si="25"/>
        <v>4672400.97695657</v>
      </c>
      <c r="N23" s="749" t="s">
        <v>3536</v>
      </c>
      <c r="O23" s="476">
        <f t="shared" si="4"/>
        <v>232.9796115</v>
      </c>
      <c r="P23" s="453">
        <v>0</v>
      </c>
      <c r="Q23" s="453"/>
      <c r="R23" s="453"/>
      <c r="S23" s="453"/>
      <c r="T23" s="453"/>
      <c r="U23" s="453"/>
      <c r="V23" s="453">
        <v>0</v>
      </c>
      <c r="W23" s="453">
        <v>500</v>
      </c>
      <c r="X23" s="454">
        <f t="shared" si="5"/>
        <v>8360</v>
      </c>
      <c r="Y23" s="453">
        <v>1298</v>
      </c>
      <c r="Z23" s="477">
        <f>H23*C23/(H23*C23+H7*C7)/2</f>
        <v>0.178061674008811</v>
      </c>
      <c r="AA23" s="477">
        <f>(D23*H23)/(H7*D7+H23*D23+D93*H93)/2-5%</f>
        <v>0.195196063115138</v>
      </c>
      <c r="AB23" s="746">
        <f t="shared" si="6"/>
        <v>484.488542786886</v>
      </c>
      <c r="AC23" s="478">
        <f t="shared" si="7"/>
        <v>984.488542786886</v>
      </c>
      <c r="AD23" s="479">
        <f t="shared" si="26"/>
        <v>218048.403718026</v>
      </c>
      <c r="AE23" s="474">
        <f t="shared" si="9"/>
        <v>143073.892857143</v>
      </c>
      <c r="AF23" s="480">
        <f t="shared" si="10"/>
        <v>645.97862625</v>
      </c>
      <c r="AG23" s="481">
        <f t="shared" si="11"/>
        <v>319.708957064407</v>
      </c>
      <c r="AH23" s="747">
        <f>([2]S2新Ratio布料!AB16+[2]S2新Ratio布料!AB59+[2]S2新Ratio布料!AB77)*AA23</f>
        <v>18.8009594724782</v>
      </c>
      <c r="AI23" s="482"/>
      <c r="AJ23" s="482"/>
      <c r="AK23" s="482"/>
      <c r="AL23" s="483"/>
      <c r="AM23" s="483"/>
      <c r="AN23" s="483"/>
      <c r="AO23" s="482">
        <f t="shared" si="27"/>
        <v>1493808.4433295</v>
      </c>
    </row>
    <row r="24" ht="44.75" customHeight="1" spans="1:41">
      <c r="A24" s="464"/>
      <c r="B24" s="475"/>
      <c r="C24" s="466">
        <v>0.0466269841269841</v>
      </c>
      <c r="D24" s="466">
        <v>0.0474025974025974</v>
      </c>
      <c r="E24" s="748" t="s">
        <v>3565</v>
      </c>
      <c r="F24" s="743" t="s">
        <v>3566</v>
      </c>
      <c r="G24" s="469">
        <f>1300+700</f>
        <v>2000</v>
      </c>
      <c r="H24" s="470">
        <v>0.004515</v>
      </c>
      <c r="I24" s="471">
        <f t="shared" si="23"/>
        <v>442967.88482835</v>
      </c>
      <c r="J24" s="472">
        <v>13.56</v>
      </c>
      <c r="K24" s="744" t="s">
        <v>3530</v>
      </c>
      <c r="L24" s="474">
        <f t="shared" si="24"/>
        <v>9500247.40227611</v>
      </c>
      <c r="M24" s="474">
        <f t="shared" si="25"/>
        <v>9344801.95391314</v>
      </c>
      <c r="N24" s="749" t="s">
        <v>3567</v>
      </c>
      <c r="O24" s="476">
        <f t="shared" si="4"/>
        <v>232.9796115</v>
      </c>
      <c r="P24" s="453"/>
      <c r="Q24" s="453"/>
      <c r="R24" s="453">
        <f>393-20</f>
        <v>373</v>
      </c>
      <c r="S24" s="453"/>
      <c r="T24" s="453"/>
      <c r="U24" s="453"/>
      <c r="V24" s="453">
        <v>0</v>
      </c>
      <c r="W24" s="453">
        <v>400</v>
      </c>
      <c r="X24" s="454">
        <f t="shared" si="5"/>
        <v>10481.88</v>
      </c>
      <c r="Y24" s="453">
        <v>802</v>
      </c>
      <c r="Z24" s="477">
        <f>H24/(H24+H29+H34+H39+H43+H47+H51+H55)</f>
        <v>0.19634703196347</v>
      </c>
      <c r="AA24" s="477"/>
      <c r="AB24" s="746">
        <f t="shared" si="6"/>
        <v>157.470319634703</v>
      </c>
      <c r="AC24" s="478">
        <f t="shared" si="7"/>
        <v>930.470319634703</v>
      </c>
      <c r="AD24" s="479">
        <f t="shared" si="26"/>
        <v>206084.234692072</v>
      </c>
      <c r="AE24" s="474">
        <f t="shared" si="9"/>
        <v>143073.892857143</v>
      </c>
      <c r="AF24" s="480">
        <f t="shared" si="10"/>
        <v>645.97862625</v>
      </c>
      <c r="AG24" s="481">
        <f t="shared" si="11"/>
        <v>254.432592471461</v>
      </c>
      <c r="AH24" s="747">
        <f>([2]S2新Ratio布料!AB5+[2]S2新Ratio布料!AB9+[2]S2新Ratio布料!AB13+[2]S2新Ratio布料!AB17+[2]S2新Ratio布料!AB21+[2]S2新Ratio布料!AB26+[2]S2新Ratio布料!AB34+[2]S2新Ratio布料!AB53+[2]S2新Ratio布料!AB56+[2]S2新Ratio布料!AB71+[2]S2新Ratio布料!AB74)*Z24</f>
        <v>30.059100913242</v>
      </c>
      <c r="AI24" s="482"/>
      <c r="AJ24" s="482"/>
      <c r="AK24" s="482"/>
      <c r="AL24" s="483"/>
      <c r="AM24" s="483"/>
      <c r="AN24" s="483"/>
      <c r="AO24" s="482">
        <f t="shared" si="27"/>
        <v>1188811.09363325</v>
      </c>
    </row>
    <row r="25" customHeight="1" spans="1:41">
      <c r="A25" s="487"/>
      <c r="B25" s="498"/>
      <c r="C25" s="489">
        <v>0.0466269841269841</v>
      </c>
      <c r="D25" s="489">
        <v>0.0474025974025974</v>
      </c>
      <c r="E25" s="544" t="s">
        <v>3537</v>
      </c>
      <c r="F25" s="750"/>
      <c r="G25" s="492"/>
      <c r="H25" s="493">
        <v>1</v>
      </c>
      <c r="I25" s="542"/>
      <c r="J25" s="495">
        <v>1.67</v>
      </c>
      <c r="K25" s="751" t="s">
        <v>3530</v>
      </c>
      <c r="L25" s="497"/>
      <c r="M25" s="497"/>
      <c r="N25" s="498"/>
      <c r="O25" s="499">
        <f t="shared" si="4"/>
        <v>51601.2428571428</v>
      </c>
      <c r="P25" s="500">
        <v>19827</v>
      </c>
      <c r="Q25" s="500"/>
      <c r="R25" s="500">
        <f>400000*D25</f>
        <v>18961.038961039</v>
      </c>
      <c r="S25" s="500">
        <f>300000*$D$25</f>
        <v>14220.7792207792</v>
      </c>
      <c r="T25" s="500">
        <f>500000*$D$25</f>
        <v>23701.2987012987</v>
      </c>
      <c r="U25" s="500">
        <f>400000*$D$25</f>
        <v>18961.038961039</v>
      </c>
      <c r="V25" s="500">
        <v>23701.2987012987</v>
      </c>
      <c r="W25" s="500">
        <v>23702</v>
      </c>
      <c r="X25" s="454">
        <f t="shared" si="5"/>
        <v>238934.339090909</v>
      </c>
      <c r="Y25" s="500"/>
      <c r="Z25" s="502"/>
      <c r="AA25" s="502"/>
      <c r="AB25" s="753">
        <f t="shared" si="6"/>
        <v>0</v>
      </c>
      <c r="AC25" s="503">
        <f t="shared" si="7"/>
        <v>143074.454545455</v>
      </c>
      <c r="AD25" s="504"/>
      <c r="AE25" s="497">
        <f t="shared" si="9"/>
        <v>143073.892857143</v>
      </c>
      <c r="AF25" s="505">
        <f t="shared" si="10"/>
        <v>143073.892857143</v>
      </c>
      <c r="AG25" s="506">
        <f t="shared" si="11"/>
        <v>0.561688311689068</v>
      </c>
      <c r="AH25" s="754">
        <f>[2]S2新Ratio布料!AB34*AA25</f>
        <v>0</v>
      </c>
      <c r="AI25" s="507"/>
      <c r="AJ25" s="507"/>
      <c r="AK25" s="507"/>
      <c r="AL25" s="508"/>
      <c r="AM25" s="508"/>
      <c r="AN25" s="508"/>
      <c r="AO25" s="507"/>
    </row>
    <row r="26" customHeight="1" spans="1:41">
      <c r="A26" s="439"/>
      <c r="B26" s="450" t="s">
        <v>3568</v>
      </c>
      <c r="C26" s="441">
        <v>0.0466269841269841</v>
      </c>
      <c r="D26" s="441">
        <v>0.0474025974025974</v>
      </c>
      <c r="E26" s="735" t="s">
        <v>3569</v>
      </c>
      <c r="F26" s="736" t="s">
        <v>3570</v>
      </c>
      <c r="G26" s="444">
        <v>800</v>
      </c>
      <c r="H26" s="445">
        <v>0.006405</v>
      </c>
      <c r="I26" s="446">
        <f t="shared" ref="I26:I29" si="28">G26/H26</f>
        <v>124902.419984387</v>
      </c>
      <c r="J26" s="447">
        <v>28.6</v>
      </c>
      <c r="K26" s="738" t="s">
        <v>3530</v>
      </c>
      <c r="L26" s="449">
        <f t="shared" ref="L26:L29" si="29">G26/C26/H26</f>
        <v>2678758.28392048</v>
      </c>
      <c r="M26" s="449">
        <f t="shared" ref="M26:M29" si="30">G26/H26/D26</f>
        <v>2634927.7640542</v>
      </c>
      <c r="N26" s="450"/>
      <c r="O26" s="451">
        <f t="shared" si="4"/>
        <v>330.5059605</v>
      </c>
      <c r="P26" s="452">
        <v>800</v>
      </c>
      <c r="Q26" s="452"/>
      <c r="R26" s="452"/>
      <c r="S26" s="452"/>
      <c r="T26" s="452"/>
      <c r="U26" s="452"/>
      <c r="V26" s="452">
        <v>0</v>
      </c>
      <c r="W26" s="452">
        <v>800</v>
      </c>
      <c r="X26" s="454">
        <f t="shared" si="5"/>
        <v>45760</v>
      </c>
      <c r="Y26" s="452"/>
      <c r="Z26" s="455"/>
      <c r="AA26" s="455"/>
      <c r="AB26" s="740">
        <f t="shared" si="6"/>
        <v>0</v>
      </c>
      <c r="AC26" s="456">
        <f t="shared" si="7"/>
        <v>1600</v>
      </c>
      <c r="AD26" s="457">
        <f t="shared" ref="AD26:AD29" si="31">AC26/H26</f>
        <v>249804.839968774</v>
      </c>
      <c r="AE26" s="474">
        <f t="shared" si="9"/>
        <v>143073.892857143</v>
      </c>
      <c r="AF26" s="458">
        <f t="shared" si="10"/>
        <v>916.38828375</v>
      </c>
      <c r="AG26" s="459">
        <f t="shared" si="11"/>
        <v>683.61171625</v>
      </c>
      <c r="AH26" s="741">
        <f>[2]S2新Ratio布料!AB35*AA26</f>
        <v>0</v>
      </c>
      <c r="AI26" s="460">
        <f>$AI$4*C26</f>
        <v>4926.60714285714</v>
      </c>
      <c r="AJ26" s="460">
        <f>$AJ$4*D26</f>
        <v>138147.285714286</v>
      </c>
      <c r="AK26" s="460"/>
      <c r="AL26" s="461"/>
      <c r="AM26" s="461"/>
      <c r="AN26" s="461"/>
      <c r="AO26" s="460">
        <f t="shared" ref="AO26:AO29" si="32">AG26/H26/D26</f>
        <v>2251584.36372483</v>
      </c>
    </row>
    <row r="27" customHeight="1" spans="1:41">
      <c r="A27" s="464"/>
      <c r="B27" s="475"/>
      <c r="C27" s="466">
        <v>0.0466269841269841</v>
      </c>
      <c r="D27" s="466">
        <v>0.0474025974025974</v>
      </c>
      <c r="E27" s="748" t="s">
        <v>3571</v>
      </c>
      <c r="F27" s="743" t="s">
        <v>3572</v>
      </c>
      <c r="G27" s="486">
        <v>1000</v>
      </c>
      <c r="H27" s="470">
        <v>0.006405</v>
      </c>
      <c r="I27" s="471">
        <f t="shared" si="28"/>
        <v>156128.024980484</v>
      </c>
      <c r="J27" s="472">
        <v>16.72</v>
      </c>
      <c r="K27" s="744" t="s">
        <v>3530</v>
      </c>
      <c r="L27" s="474">
        <f t="shared" si="29"/>
        <v>3348447.85490059</v>
      </c>
      <c r="M27" s="474">
        <f t="shared" si="30"/>
        <v>3293659.70506774</v>
      </c>
      <c r="N27" s="749" t="s">
        <v>3573</v>
      </c>
      <c r="O27" s="476">
        <f t="shared" si="4"/>
        <v>330.5059605</v>
      </c>
      <c r="P27" s="453">
        <v>0</v>
      </c>
      <c r="Q27" s="453"/>
      <c r="R27" s="453"/>
      <c r="S27" s="453"/>
      <c r="T27" s="453"/>
      <c r="U27" s="453"/>
      <c r="V27" s="453">
        <v>0</v>
      </c>
      <c r="W27" s="453">
        <v>0</v>
      </c>
      <c r="X27" s="454">
        <f t="shared" si="5"/>
        <v>0</v>
      </c>
      <c r="Y27" s="453">
        <v>1785</v>
      </c>
      <c r="Z27" s="477"/>
      <c r="AA27" s="477">
        <v>1</v>
      </c>
      <c r="AB27" s="746">
        <f t="shared" si="6"/>
        <v>1785</v>
      </c>
      <c r="AC27" s="478">
        <f t="shared" si="7"/>
        <v>1785</v>
      </c>
      <c r="AD27" s="479">
        <f t="shared" si="31"/>
        <v>278688.524590164</v>
      </c>
      <c r="AE27" s="474">
        <f t="shared" si="9"/>
        <v>143073.892857143</v>
      </c>
      <c r="AF27" s="480">
        <f t="shared" si="10"/>
        <v>916.38828375</v>
      </c>
      <c r="AG27" s="481">
        <f t="shared" si="11"/>
        <v>788.06171625</v>
      </c>
      <c r="AH27" s="747">
        <f>[2]S2新Ratio布料!AB36*AA27</f>
        <v>80.55</v>
      </c>
      <c r="AI27" s="482"/>
      <c r="AJ27" s="482"/>
      <c r="AK27" s="482"/>
      <c r="AL27" s="483"/>
      <c r="AM27" s="483"/>
      <c r="AN27" s="483"/>
      <c r="AO27" s="482">
        <f t="shared" si="32"/>
        <v>2595607.11991916</v>
      </c>
    </row>
    <row r="28" customHeight="1" spans="1:41">
      <c r="A28" s="464"/>
      <c r="B28" s="475"/>
      <c r="C28" s="466">
        <v>0.0466269841269841</v>
      </c>
      <c r="D28" s="466">
        <v>0.0474025974025974</v>
      </c>
      <c r="E28" s="748" t="s">
        <v>3574</v>
      </c>
      <c r="F28" s="743" t="s">
        <v>3575</v>
      </c>
      <c r="G28" s="469">
        <v>500</v>
      </c>
      <c r="H28" s="543">
        <v>0.00273</v>
      </c>
      <c r="I28" s="471">
        <f t="shared" si="28"/>
        <v>183150.183150183</v>
      </c>
      <c r="J28" s="472">
        <v>17.6</v>
      </c>
      <c r="K28" s="744" t="s">
        <v>3530</v>
      </c>
      <c r="L28" s="474">
        <f t="shared" si="29"/>
        <v>3927986.90671031</v>
      </c>
      <c r="M28" s="474">
        <f t="shared" si="30"/>
        <v>3863716.19248332</v>
      </c>
      <c r="N28" s="475"/>
      <c r="O28" s="476">
        <f t="shared" si="4"/>
        <v>140.871393</v>
      </c>
      <c r="P28" s="453">
        <v>500</v>
      </c>
      <c r="Q28" s="453"/>
      <c r="R28" s="453"/>
      <c r="S28" s="453"/>
      <c r="T28" s="453"/>
      <c r="U28" s="453"/>
      <c r="V28" s="453">
        <v>0</v>
      </c>
      <c r="W28" s="453">
        <v>0</v>
      </c>
      <c r="X28" s="454">
        <f t="shared" si="5"/>
        <v>8800</v>
      </c>
      <c r="Y28" s="453"/>
      <c r="Z28" s="477"/>
      <c r="AA28" s="477"/>
      <c r="AB28" s="746">
        <f t="shared" si="6"/>
        <v>0</v>
      </c>
      <c r="AC28" s="478">
        <f t="shared" si="7"/>
        <v>500</v>
      </c>
      <c r="AD28" s="479">
        <f t="shared" si="31"/>
        <v>183150.183150183</v>
      </c>
      <c r="AE28" s="474">
        <f t="shared" si="9"/>
        <v>143073.892857143</v>
      </c>
      <c r="AF28" s="480">
        <f t="shared" si="10"/>
        <v>390.5917275</v>
      </c>
      <c r="AG28" s="481">
        <f t="shared" si="11"/>
        <v>109.4082725</v>
      </c>
      <c r="AH28" s="757">
        <f>[2]S2新Ratio布料!AB37*AA28</f>
        <v>0</v>
      </c>
      <c r="AI28" s="482"/>
      <c r="AJ28" s="482"/>
      <c r="AK28" s="482"/>
      <c r="AL28" s="483"/>
      <c r="AM28" s="483"/>
      <c r="AN28" s="483"/>
      <c r="AO28" s="482">
        <f t="shared" si="32"/>
        <v>845445.028099755</v>
      </c>
    </row>
    <row r="29" ht="44.75" customHeight="1" spans="1:41">
      <c r="A29" s="464"/>
      <c r="B29" s="475"/>
      <c r="C29" s="466">
        <v>0.0466269841269841</v>
      </c>
      <c r="D29" s="466">
        <v>0.0474025974025974</v>
      </c>
      <c r="E29" s="748" t="s">
        <v>3565</v>
      </c>
      <c r="F29" s="743" t="s">
        <v>3566</v>
      </c>
      <c r="G29" s="469">
        <f>1300+700</f>
        <v>2000</v>
      </c>
      <c r="H29" s="470">
        <v>0.003885</v>
      </c>
      <c r="I29" s="471">
        <f t="shared" si="28"/>
        <v>514800.514800515</v>
      </c>
      <c r="J29" s="472">
        <v>13.56</v>
      </c>
      <c r="K29" s="744" t="s">
        <v>3530</v>
      </c>
      <c r="L29" s="474">
        <f t="shared" si="29"/>
        <v>11040828.0621047</v>
      </c>
      <c r="M29" s="474">
        <f t="shared" si="30"/>
        <v>10860175.2437369</v>
      </c>
      <c r="N29" s="749" t="s">
        <v>3567</v>
      </c>
      <c r="O29" s="476">
        <f t="shared" si="4"/>
        <v>200.4708285</v>
      </c>
      <c r="P29" s="453"/>
      <c r="Q29" s="453"/>
      <c r="R29" s="453">
        <v>338</v>
      </c>
      <c r="S29" s="453"/>
      <c r="T29" s="453"/>
      <c r="U29" s="453"/>
      <c r="V29" s="453">
        <v>0</v>
      </c>
      <c r="W29" s="453">
        <v>300</v>
      </c>
      <c r="X29" s="454">
        <f t="shared" si="5"/>
        <v>8651.28</v>
      </c>
      <c r="Y29" s="453">
        <v>802</v>
      </c>
      <c r="Z29" s="477">
        <f>H29/(H24+H29+H34+H39+H43+H47+H51+H55)</f>
        <v>0.168949771689498</v>
      </c>
      <c r="AA29" s="477"/>
      <c r="AB29" s="746">
        <f t="shared" si="6"/>
        <v>135.497716894977</v>
      </c>
      <c r="AC29" s="478">
        <f t="shared" si="7"/>
        <v>773.497716894977</v>
      </c>
      <c r="AD29" s="479">
        <f t="shared" si="31"/>
        <v>199098.511427279</v>
      </c>
      <c r="AE29" s="474">
        <f t="shared" si="9"/>
        <v>143073.892857143</v>
      </c>
      <c r="AF29" s="480">
        <f t="shared" si="10"/>
        <v>555.84207375</v>
      </c>
      <c r="AG29" s="481">
        <f t="shared" si="11"/>
        <v>191.79083538242</v>
      </c>
      <c r="AH29" s="747">
        <f>([2]S2新Ratio布料!AB5+[2]S2新Ratio布料!AB9+[2]S2新Ratio布料!AB13+[2]S2新Ratio布料!AB17+[2]S2新Ratio布料!AB21+[2]S2新Ratio布料!AB26+[2]S2新Ratio布料!AB34+[2]S2新Ratio布料!AB53+[2]S2新Ratio布料!AB56+[2]S2新Ratio布料!AB71+[2]S2新Ratio布料!AB74)*Z29</f>
        <v>25.8648077625571</v>
      </c>
      <c r="AI29" s="482"/>
      <c r="AJ29" s="482"/>
      <c r="AK29" s="482"/>
      <c r="AL29" s="483"/>
      <c r="AM29" s="483"/>
      <c r="AN29" s="483"/>
      <c r="AO29" s="482">
        <f t="shared" si="32"/>
        <v>1041441.04119789</v>
      </c>
    </row>
    <row r="30" customHeight="1" spans="1:41">
      <c r="A30" s="487"/>
      <c r="B30" s="498"/>
      <c r="C30" s="489">
        <v>0.0466269841269841</v>
      </c>
      <c r="D30" s="489">
        <v>0.0474025974025974</v>
      </c>
      <c r="E30" s="544" t="s">
        <v>3537</v>
      </c>
      <c r="F30" s="750"/>
      <c r="G30" s="492"/>
      <c r="H30" s="493">
        <v>1</v>
      </c>
      <c r="I30" s="494"/>
      <c r="J30" s="495">
        <v>1.38</v>
      </c>
      <c r="K30" s="751" t="s">
        <v>3530</v>
      </c>
      <c r="L30" s="497"/>
      <c r="M30" s="497"/>
      <c r="N30" s="498"/>
      <c r="O30" s="499">
        <f t="shared" si="4"/>
        <v>51601.2428571428</v>
      </c>
      <c r="P30" s="500">
        <v>19827</v>
      </c>
      <c r="Q30" s="500"/>
      <c r="R30" s="500">
        <f>400000*D30</f>
        <v>18961.038961039</v>
      </c>
      <c r="S30" s="500">
        <f>300000*$D$30</f>
        <v>14220.7792207792</v>
      </c>
      <c r="T30" s="500">
        <f>500000*$D$30</f>
        <v>23701.2987012987</v>
      </c>
      <c r="U30" s="500">
        <f>400000*$D$30</f>
        <v>18961.038961039</v>
      </c>
      <c r="V30" s="500">
        <v>23701.2987012987</v>
      </c>
      <c r="W30" s="500">
        <v>23702</v>
      </c>
      <c r="X30" s="454">
        <f t="shared" si="5"/>
        <v>197442.747272727</v>
      </c>
      <c r="Y30" s="500"/>
      <c r="Z30" s="502"/>
      <c r="AA30" s="502"/>
      <c r="AB30" s="753">
        <f t="shared" si="6"/>
        <v>0</v>
      </c>
      <c r="AC30" s="503">
        <f t="shared" si="7"/>
        <v>143074.454545455</v>
      </c>
      <c r="AD30" s="504"/>
      <c r="AE30" s="497">
        <f t="shared" si="9"/>
        <v>143073.892857143</v>
      </c>
      <c r="AF30" s="505">
        <f t="shared" si="10"/>
        <v>143073.892857143</v>
      </c>
      <c r="AG30" s="506">
        <f t="shared" si="11"/>
        <v>0.561688311689068</v>
      </c>
      <c r="AH30" s="754">
        <f>[2]S2新Ratio布料!AB39*AA30</f>
        <v>0</v>
      </c>
      <c r="AI30" s="507"/>
      <c r="AJ30" s="507"/>
      <c r="AK30" s="507"/>
      <c r="AL30" s="508"/>
      <c r="AM30" s="508"/>
      <c r="AN30" s="508"/>
      <c r="AO30" s="507"/>
    </row>
    <row r="31" customHeight="1" spans="1:41">
      <c r="A31" s="439"/>
      <c r="B31" s="450" t="s">
        <v>3576</v>
      </c>
      <c r="C31" s="441">
        <v>0.0466269841269841</v>
      </c>
      <c r="D31" s="441">
        <v>0.0474025974025974</v>
      </c>
      <c r="E31" s="735" t="s">
        <v>3553</v>
      </c>
      <c r="F31" s="736" t="s">
        <v>3570</v>
      </c>
      <c r="G31" s="444">
        <v>2500</v>
      </c>
      <c r="H31" s="514">
        <v>0.016275</v>
      </c>
      <c r="I31" s="446">
        <f t="shared" ref="I31:I34" si="33">G31/H31</f>
        <v>153609.831029186</v>
      </c>
      <c r="J31" s="447">
        <v>25.3</v>
      </c>
      <c r="K31" s="738" t="s">
        <v>3530</v>
      </c>
      <c r="L31" s="449">
        <f t="shared" ref="L31:L34" si="34">G31/C31/H31</f>
        <v>3294440.63143446</v>
      </c>
      <c r="M31" s="449">
        <f t="shared" ref="M31:M34" si="35">G31/H31/D31</f>
        <v>3240536.16143762</v>
      </c>
      <c r="N31" s="450" t="s">
        <v>3577</v>
      </c>
      <c r="O31" s="451">
        <f t="shared" si="4"/>
        <v>839.8102275</v>
      </c>
      <c r="P31" s="452">
        <f>1098-229</f>
        <v>869</v>
      </c>
      <c r="Q31" s="452"/>
      <c r="R31" s="452"/>
      <c r="S31" s="452"/>
      <c r="T31" s="452">
        <v>700</v>
      </c>
      <c r="U31" s="452"/>
      <c r="V31" s="452">
        <v>1000</v>
      </c>
      <c r="W31" s="452">
        <v>0</v>
      </c>
      <c r="X31" s="454">
        <f t="shared" si="5"/>
        <v>64995.7</v>
      </c>
      <c r="Y31" s="452"/>
      <c r="Z31" s="455">
        <f>H31/(H16+H31+H62)</f>
        <v>0.439093484419263</v>
      </c>
      <c r="AA31" s="455"/>
      <c r="AB31" s="740">
        <f t="shared" si="6"/>
        <v>0</v>
      </c>
      <c r="AC31" s="456">
        <f t="shared" si="7"/>
        <v>2569</v>
      </c>
      <c r="AD31" s="457">
        <f t="shared" ref="AD31:AD34" si="36">AC31/H31</f>
        <v>157849.462365591</v>
      </c>
      <c r="AE31" s="474">
        <f t="shared" si="9"/>
        <v>143073.892857143</v>
      </c>
      <c r="AF31" s="458">
        <f t="shared" si="10"/>
        <v>2328.52760625</v>
      </c>
      <c r="AG31" s="459">
        <f t="shared" si="11"/>
        <v>240.47239375</v>
      </c>
      <c r="AH31" s="741">
        <f>[2]S2新Ratio布料!AB40*AA31</f>
        <v>0</v>
      </c>
      <c r="AI31" s="460">
        <f>$AI$4*C31</f>
        <v>4926.60714285714</v>
      </c>
      <c r="AJ31" s="460">
        <f>$AJ$4*D31</f>
        <v>138147.285714286</v>
      </c>
      <c r="AK31" s="460"/>
      <c r="AL31" s="461"/>
      <c r="AM31" s="461"/>
      <c r="AN31" s="461"/>
      <c r="AO31" s="460">
        <f t="shared" ref="AO31:AO34" si="37">AG31/H31/D31</f>
        <v>311703.795109737</v>
      </c>
    </row>
    <row r="32" customHeight="1" spans="1:41">
      <c r="A32" s="464"/>
      <c r="B32" s="475"/>
      <c r="C32" s="466">
        <v>0.0466269841269841</v>
      </c>
      <c r="D32" s="466">
        <v>0.0474025974025974</v>
      </c>
      <c r="E32" s="748" t="s">
        <v>3578</v>
      </c>
      <c r="F32" s="743" t="s">
        <v>3579</v>
      </c>
      <c r="G32" s="469">
        <v>500</v>
      </c>
      <c r="H32" s="517">
        <v>0.003255</v>
      </c>
      <c r="I32" s="471">
        <f t="shared" si="33"/>
        <v>153609.831029186</v>
      </c>
      <c r="J32" s="472">
        <v>19.8</v>
      </c>
      <c r="K32" s="744" t="s">
        <v>3530</v>
      </c>
      <c r="L32" s="474">
        <f t="shared" si="34"/>
        <v>3294440.63143446</v>
      </c>
      <c r="M32" s="474">
        <f t="shared" si="35"/>
        <v>3240536.16143762</v>
      </c>
      <c r="N32" s="545" t="s">
        <v>3580</v>
      </c>
      <c r="O32" s="476">
        <f t="shared" si="4"/>
        <v>167.9620455</v>
      </c>
      <c r="P32" s="453">
        <v>500</v>
      </c>
      <c r="Q32" s="453"/>
      <c r="R32" s="453"/>
      <c r="S32" s="453"/>
      <c r="T32" s="453"/>
      <c r="U32" s="453"/>
      <c r="V32" s="453">
        <v>0</v>
      </c>
      <c r="W32" s="453">
        <v>0</v>
      </c>
      <c r="X32" s="454">
        <f t="shared" si="5"/>
        <v>9900</v>
      </c>
      <c r="Y32" s="453"/>
      <c r="Z32" s="477">
        <f>H32/0.0099</f>
        <v>0.328787878787879</v>
      </c>
      <c r="AA32" s="477"/>
      <c r="AB32" s="746">
        <f t="shared" si="6"/>
        <v>0</v>
      </c>
      <c r="AC32" s="478">
        <f t="shared" si="7"/>
        <v>500</v>
      </c>
      <c r="AD32" s="479">
        <f t="shared" si="36"/>
        <v>153609.831029186</v>
      </c>
      <c r="AE32" s="474">
        <f t="shared" si="9"/>
        <v>143073.892857143</v>
      </c>
      <c r="AF32" s="480">
        <f t="shared" si="10"/>
        <v>465.70552125</v>
      </c>
      <c r="AG32" s="481">
        <f t="shared" si="11"/>
        <v>34.2944787500001</v>
      </c>
      <c r="AH32" s="747">
        <f>[2]S2新Ratio布料!AB41*AA32</f>
        <v>0</v>
      </c>
      <c r="AI32" s="482"/>
      <c r="AJ32" s="482"/>
      <c r="AK32" s="482"/>
      <c r="AL32" s="483"/>
      <c r="AM32" s="483"/>
      <c r="AN32" s="483"/>
      <c r="AO32" s="482">
        <f t="shared" si="37"/>
        <v>222264.997054058</v>
      </c>
    </row>
    <row r="33" customHeight="1" spans="1:41">
      <c r="A33" s="464"/>
      <c r="B33" s="475"/>
      <c r="C33" s="466">
        <v>0.0466269841269841</v>
      </c>
      <c r="D33" s="466">
        <v>0.0474025974025974</v>
      </c>
      <c r="E33" s="748" t="s">
        <v>3581</v>
      </c>
      <c r="F33" s="743"/>
      <c r="G33" s="469">
        <v>500</v>
      </c>
      <c r="H33" s="517">
        <v>0.000525</v>
      </c>
      <c r="I33" s="471">
        <f t="shared" si="33"/>
        <v>952380.952380952</v>
      </c>
      <c r="J33" s="472">
        <v>6.38</v>
      </c>
      <c r="K33" s="744" t="s">
        <v>3530</v>
      </c>
      <c r="L33" s="474">
        <f t="shared" si="34"/>
        <v>20425531.9148936</v>
      </c>
      <c r="M33" s="474">
        <f t="shared" si="35"/>
        <v>20091324.2009132</v>
      </c>
      <c r="N33" s="475"/>
      <c r="O33" s="476">
        <f t="shared" si="4"/>
        <v>27.0906525</v>
      </c>
      <c r="P33" s="453">
        <v>500</v>
      </c>
      <c r="Q33" s="453"/>
      <c r="R33" s="453"/>
      <c r="S33" s="453"/>
      <c r="T33" s="453"/>
      <c r="U33" s="453"/>
      <c r="V33" s="453">
        <v>0</v>
      </c>
      <c r="W33" s="453">
        <v>0</v>
      </c>
      <c r="X33" s="454">
        <f t="shared" si="5"/>
        <v>3190</v>
      </c>
      <c r="Y33" s="453"/>
      <c r="Z33" s="477"/>
      <c r="AA33" s="477"/>
      <c r="AB33" s="746">
        <f t="shared" si="6"/>
        <v>0</v>
      </c>
      <c r="AC33" s="478">
        <f t="shared" si="7"/>
        <v>500</v>
      </c>
      <c r="AD33" s="479">
        <f t="shared" si="36"/>
        <v>952380.952380952</v>
      </c>
      <c r="AE33" s="474">
        <f t="shared" si="9"/>
        <v>143073.892857143</v>
      </c>
      <c r="AF33" s="480">
        <f t="shared" si="10"/>
        <v>75.11379375</v>
      </c>
      <c r="AG33" s="481">
        <f t="shared" si="11"/>
        <v>424.88620625</v>
      </c>
      <c r="AH33" s="747">
        <f>[2]S2新Ratio布料!AB42*AA33</f>
        <v>0</v>
      </c>
      <c r="AI33" s="482"/>
      <c r="AJ33" s="482"/>
      <c r="AK33" s="482"/>
      <c r="AL33" s="483"/>
      <c r="AM33" s="483"/>
      <c r="AN33" s="483"/>
      <c r="AO33" s="482">
        <f t="shared" si="37"/>
        <v>17073053.0365297</v>
      </c>
    </row>
    <row r="34" ht="42" customHeight="1" spans="1:41">
      <c r="A34" s="464"/>
      <c r="B34" s="475"/>
      <c r="C34" s="466">
        <v>0.0466269841269841</v>
      </c>
      <c r="D34" s="466">
        <v>0.0474025974025974</v>
      </c>
      <c r="E34" s="748" t="s">
        <v>3565</v>
      </c>
      <c r="F34" s="743" t="s">
        <v>3566</v>
      </c>
      <c r="G34" s="469">
        <f>1300+700</f>
        <v>2000</v>
      </c>
      <c r="H34" s="517">
        <v>0.001575</v>
      </c>
      <c r="I34" s="471">
        <f t="shared" si="33"/>
        <v>1269841.26984127</v>
      </c>
      <c r="J34" s="472">
        <v>13.56</v>
      </c>
      <c r="K34" s="744" t="s">
        <v>3530</v>
      </c>
      <c r="L34" s="474">
        <f t="shared" si="34"/>
        <v>27234042.5531915</v>
      </c>
      <c r="M34" s="474">
        <f t="shared" si="35"/>
        <v>26788432.2678843</v>
      </c>
      <c r="N34" s="749" t="s">
        <v>3567</v>
      </c>
      <c r="O34" s="476">
        <f t="shared" si="4"/>
        <v>81.2719575</v>
      </c>
      <c r="P34" s="453"/>
      <c r="Q34" s="453"/>
      <c r="R34" s="453">
        <f>137-20</f>
        <v>117</v>
      </c>
      <c r="S34" s="453"/>
      <c r="T34" s="453"/>
      <c r="U34" s="453"/>
      <c r="V34" s="453">
        <v>0</v>
      </c>
      <c r="W34" s="453">
        <v>100</v>
      </c>
      <c r="X34" s="454">
        <f t="shared" si="5"/>
        <v>2942.52</v>
      </c>
      <c r="Y34" s="453">
        <v>802</v>
      </c>
      <c r="Z34" s="477">
        <f>H34/(H24+H29+H34+H39+H43+H47+H51+H55)</f>
        <v>0.0684931506849315</v>
      </c>
      <c r="AA34" s="477"/>
      <c r="AB34" s="746">
        <f t="shared" si="6"/>
        <v>54.9315068493151</v>
      </c>
      <c r="AC34" s="478">
        <f t="shared" si="7"/>
        <v>271.931506849315</v>
      </c>
      <c r="AD34" s="479">
        <f t="shared" si="36"/>
        <v>172654.924983692</v>
      </c>
      <c r="AE34" s="474">
        <f t="shared" si="9"/>
        <v>143073.892857143</v>
      </c>
      <c r="AF34" s="480">
        <f>([2]S2新Ratio布料!AB5+[2]S2新Ratio布料!AB9+[2]S2新Ratio布料!AB13+[2]S2新Ratio布料!AB17+[2]S2新Ratio布料!AB21+[2]S2新Ratio布料!AB26+[2]S2新Ratio布料!AB34+[2]S2新Ratio布料!AB53+[2]S2新Ratio布料!AB56+[2]S2新Ratio布料!AB71)*Z34</f>
        <v>9.88984246575342</v>
      </c>
      <c r="AG34" s="481">
        <f t="shared" si="11"/>
        <v>251.555931506849</v>
      </c>
      <c r="AH34" s="747">
        <f>([2]S2新Ratio布料!AB5+[2]S2新Ratio布料!AB9+[2]S2新Ratio布料!AB13+[2]S2新Ratio布料!AB17+[2]S2新Ratio布料!AB21+[2]S2新Ratio布料!AB26+[2]S2新Ratio布料!AB34+[2]S2新Ratio布料!AB53+[2]S2新Ratio布料!AB56+[2]S2新Ratio布料!AB71+[2]S2新Ratio布料!AB74)*Z34</f>
        <v>10.4857328767123</v>
      </c>
      <c r="AI34" s="482"/>
      <c r="AJ34" s="482"/>
      <c r="AK34" s="482"/>
      <c r="AL34" s="483"/>
      <c r="AM34" s="483"/>
      <c r="AN34" s="483"/>
      <c r="AO34" s="482">
        <f t="shared" si="37"/>
        <v>3369394.51637789</v>
      </c>
    </row>
    <row r="35" customHeight="1" spans="1:41">
      <c r="A35" s="487"/>
      <c r="B35" s="498"/>
      <c r="C35" s="489">
        <v>0.0466269841269841</v>
      </c>
      <c r="D35" s="489">
        <v>0.0474025974025974</v>
      </c>
      <c r="E35" s="544" t="s">
        <v>3537</v>
      </c>
      <c r="F35" s="750"/>
      <c r="G35" s="492"/>
      <c r="H35" s="493">
        <v>1</v>
      </c>
      <c r="I35" s="494"/>
      <c r="J35" s="495">
        <v>1.48</v>
      </c>
      <c r="K35" s="751" t="s">
        <v>3530</v>
      </c>
      <c r="L35" s="497"/>
      <c r="M35" s="497"/>
      <c r="N35" s="498"/>
      <c r="O35" s="499">
        <f t="shared" si="4"/>
        <v>51601.2428571428</v>
      </c>
      <c r="P35" s="500">
        <v>19827</v>
      </c>
      <c r="Q35" s="500"/>
      <c r="R35" s="500">
        <f>400000*D35</f>
        <v>18961.038961039</v>
      </c>
      <c r="S35" s="500">
        <f>300000*$D$35</f>
        <v>14220.7792207792</v>
      </c>
      <c r="T35" s="500">
        <f>500000*$D$35</f>
        <v>23701.2987012987</v>
      </c>
      <c r="U35" s="500">
        <f>400000*$D$35</f>
        <v>18961.038961039</v>
      </c>
      <c r="V35" s="500">
        <v>23701.2987012987</v>
      </c>
      <c r="W35" s="500">
        <v>23702</v>
      </c>
      <c r="X35" s="454">
        <f t="shared" si="5"/>
        <v>211750.192727273</v>
      </c>
      <c r="Y35" s="500"/>
      <c r="Z35" s="502"/>
      <c r="AA35" s="502"/>
      <c r="AB35" s="753">
        <f t="shared" si="6"/>
        <v>0</v>
      </c>
      <c r="AC35" s="503">
        <f t="shared" si="7"/>
        <v>143074.454545455</v>
      </c>
      <c r="AD35" s="504"/>
      <c r="AE35" s="497">
        <f t="shared" si="9"/>
        <v>143073.892857143</v>
      </c>
      <c r="AF35" s="505">
        <f t="shared" ref="AF35:AF38" si="38">AE35*H35</f>
        <v>143073.892857143</v>
      </c>
      <c r="AG35" s="506">
        <f t="shared" si="11"/>
        <v>0.561688311689068</v>
      </c>
      <c r="AH35" s="754">
        <f>[2]S2新Ratio布料!AB44*AA35</f>
        <v>0</v>
      </c>
      <c r="AI35" s="507"/>
      <c r="AJ35" s="507"/>
      <c r="AK35" s="507"/>
      <c r="AL35" s="508"/>
      <c r="AM35" s="508"/>
      <c r="AN35" s="508"/>
      <c r="AO35" s="507"/>
    </row>
    <row r="36" customHeight="1" spans="1:41">
      <c r="A36" s="439"/>
      <c r="B36" s="450" t="s">
        <v>3582</v>
      </c>
      <c r="C36" s="441">
        <v>0.0466269841269841</v>
      </c>
      <c r="D36" s="441">
        <v>0.0474025974025974</v>
      </c>
      <c r="E36" s="758" t="s">
        <v>3583</v>
      </c>
      <c r="F36" s="736" t="s">
        <v>3584</v>
      </c>
      <c r="G36" s="737">
        <f>2500-500</f>
        <v>2000</v>
      </c>
      <c r="H36" s="445">
        <v>0.01113</v>
      </c>
      <c r="I36" s="446">
        <f t="shared" ref="I36:I39" si="39">G36/H36</f>
        <v>179694.519317161</v>
      </c>
      <c r="J36" s="447">
        <v>25.3</v>
      </c>
      <c r="K36" s="738" t="s">
        <v>3530</v>
      </c>
      <c r="L36" s="449">
        <f t="shared" ref="L36:L39" si="40">G36/C36/H36</f>
        <v>3853873.94620635</v>
      </c>
      <c r="M36" s="449">
        <f t="shared" ref="M36:M39" si="41">G36/H36/D36</f>
        <v>3790815.88696476</v>
      </c>
      <c r="N36" s="450"/>
      <c r="O36" s="451">
        <f t="shared" si="4"/>
        <v>574.321833</v>
      </c>
      <c r="P36" s="452">
        <v>2000</v>
      </c>
      <c r="Q36" s="452"/>
      <c r="R36" s="452"/>
      <c r="S36" s="452"/>
      <c r="T36" s="452"/>
      <c r="U36" s="452"/>
      <c r="V36" s="452">
        <v>0</v>
      </c>
      <c r="W36" s="452">
        <v>0</v>
      </c>
      <c r="X36" s="454">
        <f t="shared" si="5"/>
        <v>50600</v>
      </c>
      <c r="Y36" s="452"/>
      <c r="Z36" s="516"/>
      <c r="AA36" s="516"/>
      <c r="AB36" s="740">
        <f t="shared" si="6"/>
        <v>0</v>
      </c>
      <c r="AC36" s="456">
        <f t="shared" si="7"/>
        <v>2000</v>
      </c>
      <c r="AD36" s="457">
        <f t="shared" ref="AD36:AD39" si="42">AC36/H36</f>
        <v>179694.519317161</v>
      </c>
      <c r="AE36" s="474">
        <f t="shared" si="9"/>
        <v>143073.892857143</v>
      </c>
      <c r="AF36" s="458">
        <f t="shared" si="38"/>
        <v>1592.4124275</v>
      </c>
      <c r="AG36" s="459">
        <f t="shared" si="11"/>
        <v>407.5875725</v>
      </c>
      <c r="AH36" s="741">
        <f>[2]S2新Ratio布料!AB45*AA36</f>
        <v>0</v>
      </c>
      <c r="AI36" s="460">
        <f>$AI$4*C36</f>
        <v>4926.60714285714</v>
      </c>
      <c r="AJ36" s="460">
        <f>$AJ$4*D36</f>
        <v>138147.285714286</v>
      </c>
      <c r="AK36" s="460"/>
      <c r="AL36" s="461"/>
      <c r="AM36" s="461"/>
      <c r="AN36" s="461"/>
      <c r="AO36" s="460">
        <f t="shared" ref="AO36:AO39" si="43">AG36/H36/D36</f>
        <v>772544.722581202</v>
      </c>
    </row>
    <row r="37" customHeight="1" spans="1:41">
      <c r="A37" s="464"/>
      <c r="B37" s="475"/>
      <c r="C37" s="466">
        <v>0.0466269841269841</v>
      </c>
      <c r="D37" s="466">
        <v>0.0474025974025974</v>
      </c>
      <c r="E37" s="748" t="s">
        <v>3585</v>
      </c>
      <c r="F37" s="743" t="s">
        <v>3586</v>
      </c>
      <c r="G37" s="759">
        <f>500-100</f>
        <v>400</v>
      </c>
      <c r="H37" s="470">
        <v>0.001155</v>
      </c>
      <c r="I37" s="471">
        <f t="shared" si="39"/>
        <v>346320.346320346</v>
      </c>
      <c r="J37" s="472">
        <v>17.6</v>
      </c>
      <c r="K37" s="744" t="s">
        <v>3530</v>
      </c>
      <c r="L37" s="474">
        <f t="shared" si="40"/>
        <v>7427466.15087041</v>
      </c>
      <c r="M37" s="474">
        <f t="shared" si="41"/>
        <v>7305936.07305936</v>
      </c>
      <c r="N37" s="475"/>
      <c r="O37" s="476">
        <f t="shared" si="4"/>
        <v>59.5994355</v>
      </c>
      <c r="P37" s="453">
        <v>400</v>
      </c>
      <c r="Q37" s="453"/>
      <c r="R37" s="453"/>
      <c r="S37" s="453"/>
      <c r="T37" s="453"/>
      <c r="U37" s="453"/>
      <c r="V37" s="453">
        <v>0</v>
      </c>
      <c r="W37" s="453">
        <v>0</v>
      </c>
      <c r="X37" s="454">
        <f t="shared" si="5"/>
        <v>7040</v>
      </c>
      <c r="Y37" s="453"/>
      <c r="Z37" s="555"/>
      <c r="AA37" s="555"/>
      <c r="AB37" s="746">
        <f t="shared" si="6"/>
        <v>0</v>
      </c>
      <c r="AC37" s="478">
        <f t="shared" si="7"/>
        <v>400</v>
      </c>
      <c r="AD37" s="479">
        <f t="shared" si="42"/>
        <v>346320.346320346</v>
      </c>
      <c r="AE37" s="474">
        <f t="shared" si="9"/>
        <v>143073.892857143</v>
      </c>
      <c r="AF37" s="480">
        <f t="shared" si="38"/>
        <v>165.25034625</v>
      </c>
      <c r="AG37" s="481">
        <f t="shared" si="11"/>
        <v>234.74965375</v>
      </c>
      <c r="AH37" s="747">
        <f>[2]S2新Ratio布料!AB46*AA37</f>
        <v>0</v>
      </c>
      <c r="AI37" s="482"/>
      <c r="AJ37" s="482"/>
      <c r="AK37" s="482"/>
      <c r="AL37" s="483"/>
      <c r="AM37" s="483"/>
      <c r="AN37" s="483"/>
      <c r="AO37" s="482">
        <f t="shared" si="43"/>
        <v>4287664.9086758</v>
      </c>
    </row>
    <row r="38" customHeight="1" spans="1:41">
      <c r="A38" s="464"/>
      <c r="B38" s="475"/>
      <c r="C38" s="466">
        <v>0.0466269841269841</v>
      </c>
      <c r="D38" s="466">
        <v>0.0474025974025974</v>
      </c>
      <c r="E38" s="748" t="s">
        <v>3587</v>
      </c>
      <c r="F38" s="743" t="s">
        <v>3588</v>
      </c>
      <c r="G38" s="759">
        <f>800-300</f>
        <v>500</v>
      </c>
      <c r="H38" s="470">
        <v>0.003255</v>
      </c>
      <c r="I38" s="471">
        <f t="shared" si="39"/>
        <v>153609.831029186</v>
      </c>
      <c r="J38" s="472">
        <v>32.45</v>
      </c>
      <c r="K38" s="744" t="s">
        <v>3530</v>
      </c>
      <c r="L38" s="474">
        <f t="shared" si="40"/>
        <v>3294440.63143446</v>
      </c>
      <c r="M38" s="474">
        <f t="shared" si="41"/>
        <v>3240536.16143762</v>
      </c>
      <c r="N38" s="475"/>
      <c r="O38" s="476">
        <f t="shared" si="4"/>
        <v>167.9620455</v>
      </c>
      <c r="P38" s="453">
        <v>500</v>
      </c>
      <c r="Q38" s="453"/>
      <c r="R38" s="453"/>
      <c r="S38" s="453"/>
      <c r="T38" s="453"/>
      <c r="U38" s="453"/>
      <c r="V38" s="453">
        <v>0</v>
      </c>
      <c r="W38" s="453">
        <v>0</v>
      </c>
      <c r="X38" s="454">
        <f t="shared" si="5"/>
        <v>16225</v>
      </c>
      <c r="Y38" s="453"/>
      <c r="Z38" s="477"/>
      <c r="AA38" s="477"/>
      <c r="AB38" s="746">
        <f t="shared" si="6"/>
        <v>0</v>
      </c>
      <c r="AC38" s="478">
        <f t="shared" si="7"/>
        <v>500</v>
      </c>
      <c r="AD38" s="479">
        <f t="shared" si="42"/>
        <v>153609.831029186</v>
      </c>
      <c r="AE38" s="474">
        <f t="shared" si="9"/>
        <v>143073.892857143</v>
      </c>
      <c r="AF38" s="480">
        <f t="shared" si="38"/>
        <v>465.70552125</v>
      </c>
      <c r="AG38" s="481">
        <f t="shared" si="11"/>
        <v>34.2944787500001</v>
      </c>
      <c r="AH38" s="747">
        <f>[2]S2新Ratio布料!AB48*AA39</f>
        <v>0</v>
      </c>
      <c r="AI38" s="482"/>
      <c r="AJ38" s="482"/>
      <c r="AK38" s="482"/>
      <c r="AL38" s="483"/>
      <c r="AM38" s="483"/>
      <c r="AN38" s="483"/>
      <c r="AO38" s="482">
        <f t="shared" si="43"/>
        <v>222264.997054058</v>
      </c>
    </row>
    <row r="39" ht="49.5" customHeight="1" spans="1:41">
      <c r="A39" s="464"/>
      <c r="B39" s="475"/>
      <c r="C39" s="466">
        <v>0.0466269841269841</v>
      </c>
      <c r="D39" s="466">
        <v>0.0474025974025974</v>
      </c>
      <c r="E39" s="748" t="s">
        <v>3565</v>
      </c>
      <c r="F39" s="743" t="s">
        <v>3566</v>
      </c>
      <c r="G39" s="469">
        <f>1300+700</f>
        <v>2000</v>
      </c>
      <c r="H39" s="470">
        <v>0.001575</v>
      </c>
      <c r="I39" s="471">
        <f t="shared" si="39"/>
        <v>1269841.26984127</v>
      </c>
      <c r="J39" s="472">
        <v>13.56</v>
      </c>
      <c r="K39" s="744" t="s">
        <v>3530</v>
      </c>
      <c r="L39" s="474">
        <f t="shared" si="40"/>
        <v>27234042.5531915</v>
      </c>
      <c r="M39" s="474">
        <f t="shared" si="41"/>
        <v>26788432.2678843</v>
      </c>
      <c r="N39" s="749" t="s">
        <v>3567</v>
      </c>
      <c r="O39" s="476">
        <f t="shared" si="4"/>
        <v>81.2719575</v>
      </c>
      <c r="P39" s="453"/>
      <c r="Q39" s="453"/>
      <c r="R39" s="453">
        <f>137-20</f>
        <v>117</v>
      </c>
      <c r="S39" s="453"/>
      <c r="T39" s="453"/>
      <c r="U39" s="453"/>
      <c r="V39" s="453">
        <v>0</v>
      </c>
      <c r="W39" s="453">
        <v>100</v>
      </c>
      <c r="X39" s="454">
        <f t="shared" si="5"/>
        <v>2942.52</v>
      </c>
      <c r="Y39" s="453">
        <v>802</v>
      </c>
      <c r="Z39" s="477">
        <f>H39/(H24+H29+H34+H39+H43+H47+H51+H55)</f>
        <v>0.0684931506849315</v>
      </c>
      <c r="AA39" s="477"/>
      <c r="AB39" s="746">
        <f t="shared" si="6"/>
        <v>54.9315068493151</v>
      </c>
      <c r="AC39" s="478">
        <f t="shared" si="7"/>
        <v>271.931506849315</v>
      </c>
      <c r="AD39" s="479">
        <f t="shared" si="42"/>
        <v>172654.924983692</v>
      </c>
      <c r="AE39" s="474">
        <f t="shared" si="9"/>
        <v>143073.892857143</v>
      </c>
      <c r="AF39" s="480">
        <f>([2]S2新Ratio布料!AB5+[2]S2新Ratio布料!AB9+[2]S2新Ratio布料!AB13+[2]S2新Ratio布料!AB17+[2]S2新Ratio布料!AB21+[2]S2新Ratio布料!AB26+[2]S2新Ratio布料!AB34+[2]S2新Ratio布料!AB53+[2]S2新Ratio布料!AB56+[2]S2新Ratio布料!AB71)*Z39</f>
        <v>9.88984246575342</v>
      </c>
      <c r="AG39" s="481">
        <f t="shared" si="11"/>
        <v>251.555931506849</v>
      </c>
      <c r="AH39" s="747">
        <f>([2]S2新Ratio布料!AB5+[2]S2新Ratio布料!AB9+[2]S2新Ratio布料!AB13+[2]S2新Ratio布料!AB17+[2]S2新Ratio布料!AB21+[2]S2新Ratio布料!AB26+[2]S2新Ratio布料!AB34+[2]S2新Ratio布料!AB53+[2]S2新Ratio布料!AB56+[2]S2新Ratio布料!AB71+[2]S2新Ratio布料!AB74)*Z39</f>
        <v>10.4857328767123</v>
      </c>
      <c r="AI39" s="482"/>
      <c r="AJ39" s="482"/>
      <c r="AK39" s="482"/>
      <c r="AL39" s="483"/>
      <c r="AM39" s="483"/>
      <c r="AN39" s="483"/>
      <c r="AO39" s="482">
        <f t="shared" si="43"/>
        <v>3369394.51637789</v>
      </c>
    </row>
    <row r="40" customHeight="1" spans="1:41">
      <c r="A40" s="487"/>
      <c r="B40" s="498"/>
      <c r="C40" s="489">
        <v>0.0466269841269841</v>
      </c>
      <c r="D40" s="489">
        <v>0.0474025974025974</v>
      </c>
      <c r="E40" s="544" t="s">
        <v>3537</v>
      </c>
      <c r="F40" s="750"/>
      <c r="G40" s="492"/>
      <c r="H40" s="493">
        <v>1</v>
      </c>
      <c r="I40" s="494"/>
      <c r="J40" s="495">
        <v>1.16</v>
      </c>
      <c r="K40" s="751" t="s">
        <v>3530</v>
      </c>
      <c r="L40" s="497"/>
      <c r="M40" s="497"/>
      <c r="N40" s="498"/>
      <c r="O40" s="499">
        <f t="shared" si="4"/>
        <v>51601.2428571428</v>
      </c>
      <c r="P40" s="500">
        <v>19827</v>
      </c>
      <c r="Q40" s="500"/>
      <c r="R40" s="500">
        <f>400000*D40</f>
        <v>18961.038961039</v>
      </c>
      <c r="S40" s="500">
        <f>300000*$D$40</f>
        <v>14220.7792207792</v>
      </c>
      <c r="T40" s="500">
        <f>500000*$D$40</f>
        <v>23701.2987012987</v>
      </c>
      <c r="U40" s="500">
        <f>400000*$D$40</f>
        <v>18961.038961039</v>
      </c>
      <c r="V40" s="500">
        <v>23701.2987012987</v>
      </c>
      <c r="W40" s="500">
        <v>23702</v>
      </c>
      <c r="X40" s="454">
        <f t="shared" si="5"/>
        <v>165966.367272727</v>
      </c>
      <c r="Y40" s="500"/>
      <c r="Z40" s="502"/>
      <c r="AA40" s="502"/>
      <c r="AB40" s="753">
        <f t="shared" si="6"/>
        <v>0</v>
      </c>
      <c r="AC40" s="503">
        <f t="shared" si="7"/>
        <v>143074.454545455</v>
      </c>
      <c r="AD40" s="504"/>
      <c r="AE40" s="497">
        <f t="shared" si="9"/>
        <v>143073.892857143</v>
      </c>
      <c r="AF40" s="505">
        <f t="shared" ref="AF40:AF42" si="44">AE40*H40</f>
        <v>143073.892857143</v>
      </c>
      <c r="AG40" s="506">
        <f t="shared" si="11"/>
        <v>0.561688311689068</v>
      </c>
      <c r="AH40" s="747">
        <f>[2]S2新Ratio布料!AB49*AA40</f>
        <v>0</v>
      </c>
      <c r="AI40" s="507"/>
      <c r="AJ40" s="507"/>
      <c r="AK40" s="507"/>
      <c r="AL40" s="508"/>
      <c r="AM40" s="508"/>
      <c r="AN40" s="508"/>
      <c r="AO40" s="507"/>
    </row>
    <row r="41" customHeight="1" spans="1:41">
      <c r="A41" s="439"/>
      <c r="B41" s="450" t="s">
        <v>3589</v>
      </c>
      <c r="C41" s="441">
        <v>0.0466269841269841</v>
      </c>
      <c r="D41" s="441">
        <v>0.0474025974025974</v>
      </c>
      <c r="E41" s="758" t="s">
        <v>3590</v>
      </c>
      <c r="F41" s="736" t="s">
        <v>3586</v>
      </c>
      <c r="G41" s="444">
        <v>500</v>
      </c>
      <c r="H41" s="445">
        <v>0.010605</v>
      </c>
      <c r="I41" s="446">
        <f t="shared" ref="I41:I43" si="45">G41/H41</f>
        <v>47147.5719000472</v>
      </c>
      <c r="J41" s="447">
        <v>17.6</v>
      </c>
      <c r="K41" s="738" t="s">
        <v>3530</v>
      </c>
      <c r="L41" s="449">
        <f t="shared" ref="L41:L43" si="46">G41/C41/H41</f>
        <v>1011164.94628186</v>
      </c>
      <c r="M41" s="449">
        <f t="shared" ref="M41:M43" si="47">G41/H41/D41</f>
        <v>994620.0099462</v>
      </c>
      <c r="N41" s="450"/>
      <c r="O41" s="451">
        <f t="shared" si="4"/>
        <v>547.2311805</v>
      </c>
      <c r="P41" s="452">
        <v>550</v>
      </c>
      <c r="Q41" s="452"/>
      <c r="R41" s="452"/>
      <c r="S41" s="452">
        <v>500</v>
      </c>
      <c r="T41" s="452"/>
      <c r="U41" s="452"/>
      <c r="V41" s="452">
        <v>500</v>
      </c>
      <c r="W41" s="452">
        <v>0</v>
      </c>
      <c r="X41" s="454">
        <f t="shared" ref="X41:X68" si="48">(P41+Q41+R41+S41)*J41</f>
        <v>18480</v>
      </c>
      <c r="Y41" s="452"/>
      <c r="Z41" s="455"/>
      <c r="AA41" s="455"/>
      <c r="AB41" s="740">
        <f t="shared" si="6"/>
        <v>0</v>
      </c>
      <c r="AC41" s="456">
        <f t="shared" si="7"/>
        <v>1550</v>
      </c>
      <c r="AD41" s="457">
        <f t="shared" ref="AD41:AD43" si="49">AC41/H41</f>
        <v>146157.472890146</v>
      </c>
      <c r="AE41" s="474">
        <f t="shared" si="9"/>
        <v>143073.892857143</v>
      </c>
      <c r="AF41" s="458">
        <f t="shared" si="44"/>
        <v>1517.29863375</v>
      </c>
      <c r="AG41" s="459">
        <f t="shared" si="11"/>
        <v>32.7013662500001</v>
      </c>
      <c r="AH41" s="741">
        <f>[2]S2新Ratio布料!AB50*AA41</f>
        <v>0</v>
      </c>
      <c r="AI41" s="460">
        <f>$AI$4*C41</f>
        <v>4926.60714285714</v>
      </c>
      <c r="AJ41" s="460">
        <f>$AJ$4*D41</f>
        <v>138147.285714286</v>
      </c>
      <c r="AK41" s="460"/>
      <c r="AL41" s="461"/>
      <c r="AM41" s="461"/>
      <c r="AN41" s="461"/>
      <c r="AO41" s="460">
        <f t="shared" ref="AO41:AO43" si="50">AG41/H41/D41</f>
        <v>65050.8664496589</v>
      </c>
    </row>
    <row r="42" customHeight="1" spans="1:41">
      <c r="A42" s="464"/>
      <c r="B42" s="475"/>
      <c r="C42" s="466">
        <v>0.0466269841269841</v>
      </c>
      <c r="D42" s="466">
        <v>0.0474025974025974</v>
      </c>
      <c r="E42" s="748" t="s">
        <v>3591</v>
      </c>
      <c r="F42" s="743" t="s">
        <v>3586</v>
      </c>
      <c r="G42" s="469">
        <v>500</v>
      </c>
      <c r="H42" s="470">
        <v>0.00777</v>
      </c>
      <c r="I42" s="471">
        <f t="shared" si="45"/>
        <v>64350.0643500643</v>
      </c>
      <c r="J42" s="472">
        <v>17.6</v>
      </c>
      <c r="K42" s="744" t="s">
        <v>3530</v>
      </c>
      <c r="L42" s="474">
        <f t="shared" si="46"/>
        <v>1380103.50776308</v>
      </c>
      <c r="M42" s="474">
        <f t="shared" si="47"/>
        <v>1357521.90546711</v>
      </c>
      <c r="N42" s="475"/>
      <c r="O42" s="476">
        <f t="shared" si="4"/>
        <v>400.941657</v>
      </c>
      <c r="P42" s="453">
        <v>500</v>
      </c>
      <c r="Q42" s="453"/>
      <c r="R42" s="453"/>
      <c r="S42" s="453"/>
      <c r="T42" s="453">
        <v>500</v>
      </c>
      <c r="U42" s="453"/>
      <c r="V42" s="453">
        <v>0</v>
      </c>
      <c r="W42" s="453">
        <v>500</v>
      </c>
      <c r="X42" s="454">
        <f t="shared" si="48"/>
        <v>8800</v>
      </c>
      <c r="Y42" s="453"/>
      <c r="Z42" s="477"/>
      <c r="AA42" s="477"/>
      <c r="AB42" s="746">
        <f t="shared" si="6"/>
        <v>0</v>
      </c>
      <c r="AC42" s="478">
        <f t="shared" si="7"/>
        <v>1500</v>
      </c>
      <c r="AD42" s="479">
        <f t="shared" si="49"/>
        <v>193050.193050193</v>
      </c>
      <c r="AE42" s="474">
        <f t="shared" si="9"/>
        <v>143073.892857143</v>
      </c>
      <c r="AF42" s="480">
        <f t="shared" si="44"/>
        <v>1111.6841475</v>
      </c>
      <c r="AG42" s="481">
        <f t="shared" si="11"/>
        <v>388.3158525</v>
      </c>
      <c r="AH42" s="747">
        <f>[2]S2新Ratio布料!AB51*AA42</f>
        <v>0</v>
      </c>
      <c r="AI42" s="482"/>
      <c r="AJ42" s="482"/>
      <c r="AK42" s="482"/>
      <c r="AL42" s="483"/>
      <c r="AM42" s="483"/>
      <c r="AN42" s="483"/>
      <c r="AO42" s="482">
        <f t="shared" si="50"/>
        <v>1054294.55201777</v>
      </c>
    </row>
    <row r="43" ht="46.5" customHeight="1" spans="1:41">
      <c r="A43" s="464"/>
      <c r="B43" s="475"/>
      <c r="C43" s="466">
        <v>0.0466269841269841</v>
      </c>
      <c r="D43" s="466">
        <v>0.0474025974025974</v>
      </c>
      <c r="E43" s="748" t="s">
        <v>3565</v>
      </c>
      <c r="F43" s="743" t="s">
        <v>3566</v>
      </c>
      <c r="G43" s="469">
        <f>1300+700</f>
        <v>2000</v>
      </c>
      <c r="H43" s="470">
        <v>0.001995</v>
      </c>
      <c r="I43" s="471">
        <f t="shared" si="45"/>
        <v>1002506.26566416</v>
      </c>
      <c r="J43" s="472">
        <v>13.56</v>
      </c>
      <c r="K43" s="744" t="s">
        <v>3530</v>
      </c>
      <c r="L43" s="474">
        <f t="shared" si="46"/>
        <v>21500559.9104143</v>
      </c>
      <c r="M43" s="474">
        <f t="shared" si="47"/>
        <v>21148762.3167508</v>
      </c>
      <c r="N43" s="749" t="s">
        <v>3567</v>
      </c>
      <c r="O43" s="476">
        <f t="shared" si="4"/>
        <v>102.9444795</v>
      </c>
      <c r="P43" s="453"/>
      <c r="Q43" s="453"/>
      <c r="R43" s="453">
        <f>174-50</f>
        <v>124</v>
      </c>
      <c r="S43" s="453"/>
      <c r="T43" s="453"/>
      <c r="U43" s="453"/>
      <c r="V43" s="453">
        <v>0</v>
      </c>
      <c r="W43" s="453">
        <v>100</v>
      </c>
      <c r="X43" s="454">
        <f t="shared" si="48"/>
        <v>1681.44</v>
      </c>
      <c r="Y43" s="453">
        <v>802</v>
      </c>
      <c r="Z43" s="477">
        <f>H43/(H24+H29+H34+H39+H43+H47+H51+H55)</f>
        <v>0.0867579908675799</v>
      </c>
      <c r="AA43" s="477"/>
      <c r="AB43" s="746">
        <f t="shared" si="6"/>
        <v>69.5799086757991</v>
      </c>
      <c r="AC43" s="478">
        <f t="shared" si="7"/>
        <v>293.579908675799</v>
      </c>
      <c r="AD43" s="479">
        <f t="shared" si="49"/>
        <v>147157.8489603</v>
      </c>
      <c r="AE43" s="474">
        <f t="shared" si="9"/>
        <v>143073.892857143</v>
      </c>
      <c r="AF43" s="480">
        <f>([2]S2新Ratio布料!AB5+[2]S2新Ratio布料!AB9+[2]S2新Ratio布料!AB13+[2]S2新Ratio布料!AB17+[2]S2新Ratio布料!AB21+[2]S2新Ratio布料!AB26+[2]S2新Ratio布料!AB34+[2]S2新Ratio布料!AB53+[2]S2新Ratio布料!AB56+[2]S2新Ratio布料!AB71)*Z43</f>
        <v>12.5271337899543</v>
      </c>
      <c r="AG43" s="481">
        <f t="shared" si="11"/>
        <v>267.770846575342</v>
      </c>
      <c r="AH43" s="747">
        <f>([2]S2新Ratio布料!AB5+[2]S2新Ratio布料!AB9+[2]S2新Ratio布料!AB13+[2]S2新Ratio布料!AB17+[2]S2新Ratio布料!AB21+[2]S2新Ratio布料!AB26+[2]S2新Ratio布料!AB34+[2]S2新Ratio布料!AB53+[2]S2新Ratio布料!AB56+[2]S2新Ratio布料!AB71+[2]S2新Ratio布料!AB74)*Z43</f>
        <v>13.2819283105023</v>
      </c>
      <c r="AI43" s="482"/>
      <c r="AJ43" s="482"/>
      <c r="AK43" s="482"/>
      <c r="AL43" s="483"/>
      <c r="AM43" s="483"/>
      <c r="AN43" s="483"/>
      <c r="AO43" s="482">
        <f t="shared" si="50"/>
        <v>2831510.99478853</v>
      </c>
    </row>
    <row r="44" customHeight="1" spans="1:41">
      <c r="A44" s="487"/>
      <c r="B44" s="498"/>
      <c r="C44" s="489">
        <v>0.0466269841269841</v>
      </c>
      <c r="D44" s="489">
        <v>0.0474025974025974</v>
      </c>
      <c r="E44" s="544" t="s">
        <v>3537</v>
      </c>
      <c r="F44" s="750"/>
      <c r="G44" s="492"/>
      <c r="H44" s="493">
        <v>1</v>
      </c>
      <c r="I44" s="494"/>
      <c r="J44" s="495">
        <v>1.77</v>
      </c>
      <c r="K44" s="751" t="s">
        <v>3530</v>
      </c>
      <c r="L44" s="497"/>
      <c r="M44" s="497"/>
      <c r="N44" s="498"/>
      <c r="O44" s="499">
        <f t="shared" si="4"/>
        <v>51601.2428571428</v>
      </c>
      <c r="P44" s="500">
        <v>19827</v>
      </c>
      <c r="Q44" s="500"/>
      <c r="R44" s="500">
        <f>400000*D44</f>
        <v>18961.038961039</v>
      </c>
      <c r="S44" s="500">
        <f>300000*$D$44</f>
        <v>14220.7792207792</v>
      </c>
      <c r="T44" s="500">
        <f>500000*$D$44</f>
        <v>23701.2987012987</v>
      </c>
      <c r="U44" s="500">
        <f>400000*$D$44</f>
        <v>18961.038961039</v>
      </c>
      <c r="V44" s="500">
        <v>23701.2987012987</v>
      </c>
      <c r="W44" s="500">
        <v>23702</v>
      </c>
      <c r="X44" s="501">
        <f t="shared" si="48"/>
        <v>93825.6081818182</v>
      </c>
      <c r="Y44" s="500"/>
      <c r="Z44" s="502"/>
      <c r="AA44" s="502"/>
      <c r="AB44" s="753">
        <f t="shared" si="6"/>
        <v>0</v>
      </c>
      <c r="AC44" s="503">
        <f t="shared" si="7"/>
        <v>143074.454545455</v>
      </c>
      <c r="AD44" s="504"/>
      <c r="AE44" s="497">
        <f t="shared" si="9"/>
        <v>143073.892857143</v>
      </c>
      <c r="AF44" s="505">
        <f t="shared" ref="AF44:AF75" si="51">AE44*H44</f>
        <v>143073.892857143</v>
      </c>
      <c r="AG44" s="506">
        <f t="shared" si="11"/>
        <v>0.561688311689068</v>
      </c>
      <c r="AH44" s="747">
        <f>[2]S2新Ratio布料!AB53*AA44</f>
        <v>0</v>
      </c>
      <c r="AI44" s="507"/>
      <c r="AJ44" s="507"/>
      <c r="AK44" s="507"/>
      <c r="AL44" s="508"/>
      <c r="AM44" s="508"/>
      <c r="AN44" s="508"/>
      <c r="AO44" s="507"/>
    </row>
    <row r="45" ht="45" spans="1:41">
      <c r="A45" s="439"/>
      <c r="B45" s="450" t="s">
        <v>3592</v>
      </c>
      <c r="C45" s="441">
        <v>0.0466269841269841</v>
      </c>
      <c r="D45" s="441">
        <v>0.0474025974025974</v>
      </c>
      <c r="E45" s="735" t="s">
        <v>3593</v>
      </c>
      <c r="F45" s="736" t="s">
        <v>3594</v>
      </c>
      <c r="G45" s="737">
        <f>2500-500</f>
        <v>2000</v>
      </c>
      <c r="H45" s="445">
        <v>0.007245</v>
      </c>
      <c r="I45" s="446">
        <f t="shared" ref="I45:I47" si="52">G45/H45</f>
        <v>276052.449965493</v>
      </c>
      <c r="J45" s="447">
        <v>25.3</v>
      </c>
      <c r="K45" s="738" t="s">
        <v>3530</v>
      </c>
      <c r="L45" s="449">
        <f t="shared" ref="L45:L47" si="53">G45/C45/H45</f>
        <v>5920444.0333025</v>
      </c>
      <c r="M45" s="449">
        <f t="shared" ref="M45:M47" si="54">G45/H45/D45</f>
        <v>5823572.23214877</v>
      </c>
      <c r="N45" s="450"/>
      <c r="O45" s="451">
        <f t="shared" si="4"/>
        <v>373.8510045</v>
      </c>
      <c r="P45" s="452">
        <v>2000</v>
      </c>
      <c r="Q45" s="452"/>
      <c r="R45" s="452"/>
      <c r="S45" s="452"/>
      <c r="T45" s="452"/>
      <c r="U45" s="452"/>
      <c r="V45" s="452">
        <v>0</v>
      </c>
      <c r="W45" s="452">
        <v>0</v>
      </c>
      <c r="X45" s="454">
        <f t="shared" si="48"/>
        <v>50600</v>
      </c>
      <c r="Y45" s="452"/>
      <c r="Z45" s="455"/>
      <c r="AA45" s="455"/>
      <c r="AB45" s="740">
        <f t="shared" si="6"/>
        <v>0</v>
      </c>
      <c r="AC45" s="456">
        <f t="shared" si="7"/>
        <v>2000</v>
      </c>
      <c r="AD45" s="457">
        <f t="shared" ref="AD45:AD47" si="55">AC45/H45</f>
        <v>276052.449965493</v>
      </c>
      <c r="AE45" s="474">
        <f t="shared" si="9"/>
        <v>194834.892857143</v>
      </c>
      <c r="AF45" s="458">
        <f t="shared" si="51"/>
        <v>1411.57879875</v>
      </c>
      <c r="AG45" s="459">
        <f t="shared" si="11"/>
        <v>588.42120125</v>
      </c>
      <c r="AH45" s="741">
        <f>[2]S2新Ratio布料!AB54*AA45</f>
        <v>0</v>
      </c>
      <c r="AI45" s="460">
        <f>$AI$4*C45</f>
        <v>4926.60714285714</v>
      </c>
      <c r="AJ45" s="460">
        <f>$AJ$4*D45</f>
        <v>138147.285714286</v>
      </c>
      <c r="AK45" s="460">
        <f t="shared" ref="AK45:AK48" si="56">15970+11700+22330</f>
        <v>50000</v>
      </c>
      <c r="AL45" s="461"/>
      <c r="AM45" s="461"/>
      <c r="AN45" s="461">
        <v>1761</v>
      </c>
      <c r="AO45" s="460">
        <f t="shared" ref="AO45:AO47" si="57">AG45/H45/D45</f>
        <v>1713356.68420356</v>
      </c>
    </row>
    <row r="46" customHeight="1" spans="1:41">
      <c r="A46" s="464"/>
      <c r="B46" s="475"/>
      <c r="C46" s="466">
        <v>0.0466269841269841</v>
      </c>
      <c r="D46" s="466">
        <v>0.0474025974025974</v>
      </c>
      <c r="E46" s="748" t="s">
        <v>3595</v>
      </c>
      <c r="F46" s="743" t="s">
        <v>3596</v>
      </c>
      <c r="G46" s="469">
        <v>500</v>
      </c>
      <c r="H46" s="470">
        <v>0.009555</v>
      </c>
      <c r="I46" s="471">
        <f t="shared" si="52"/>
        <v>52328.6237571952</v>
      </c>
      <c r="J46" s="472">
        <v>17.6</v>
      </c>
      <c r="K46" s="744" t="s">
        <v>3530</v>
      </c>
      <c r="L46" s="474">
        <f t="shared" si="53"/>
        <v>1122281.9733458</v>
      </c>
      <c r="M46" s="474">
        <f t="shared" si="54"/>
        <v>1103918.91213809</v>
      </c>
      <c r="N46" s="475"/>
      <c r="O46" s="476">
        <f t="shared" si="4"/>
        <v>493.0498755</v>
      </c>
      <c r="P46" s="453">
        <v>500</v>
      </c>
      <c r="Q46" s="453"/>
      <c r="R46" s="453"/>
      <c r="S46" s="453">
        <v>500</v>
      </c>
      <c r="T46" s="453">
        <v>500</v>
      </c>
      <c r="U46" s="453"/>
      <c r="V46" s="453">
        <v>500</v>
      </c>
      <c r="W46" s="453">
        <v>500</v>
      </c>
      <c r="X46" s="454">
        <f t="shared" si="48"/>
        <v>17600</v>
      </c>
      <c r="Y46" s="453"/>
      <c r="Z46" s="477"/>
      <c r="AA46" s="477"/>
      <c r="AB46" s="746">
        <f t="shared" si="6"/>
        <v>0</v>
      </c>
      <c r="AC46" s="478">
        <f t="shared" si="7"/>
        <v>2500</v>
      </c>
      <c r="AD46" s="479">
        <f t="shared" si="55"/>
        <v>261643.118785976</v>
      </c>
      <c r="AE46" s="474">
        <f t="shared" si="9"/>
        <v>194834.892857143</v>
      </c>
      <c r="AF46" s="480">
        <f t="shared" si="51"/>
        <v>1861.64740125</v>
      </c>
      <c r="AG46" s="481">
        <f t="shared" si="11"/>
        <v>638.35259875</v>
      </c>
      <c r="AH46" s="747">
        <f>[2]S2新Ratio布料!AB55*AA46</f>
        <v>0</v>
      </c>
      <c r="AI46" s="482"/>
      <c r="AJ46" s="482"/>
      <c r="AK46" s="482">
        <f t="shared" si="56"/>
        <v>50000</v>
      </c>
      <c r="AL46" s="483"/>
      <c r="AM46" s="483"/>
      <c r="AN46" s="483">
        <v>1761</v>
      </c>
      <c r="AO46" s="482">
        <f t="shared" si="57"/>
        <v>1409379.01274525</v>
      </c>
    </row>
    <row r="47" ht="63" customHeight="1" spans="1:41">
      <c r="A47" s="464"/>
      <c r="B47" s="475"/>
      <c r="C47" s="466">
        <v>0.0466269841269841</v>
      </c>
      <c r="D47" s="466">
        <v>0.0474025974025974</v>
      </c>
      <c r="E47" s="748" t="s">
        <v>3565</v>
      </c>
      <c r="F47" s="743" t="s">
        <v>3597</v>
      </c>
      <c r="G47" s="469">
        <f>1300+700</f>
        <v>2000</v>
      </c>
      <c r="H47" s="470">
        <v>0.00315</v>
      </c>
      <c r="I47" s="471">
        <f t="shared" si="52"/>
        <v>634920.634920635</v>
      </c>
      <c r="J47" s="472">
        <v>13.56</v>
      </c>
      <c r="K47" s="744" t="s">
        <v>3530</v>
      </c>
      <c r="L47" s="474">
        <f t="shared" si="53"/>
        <v>13617021.2765958</v>
      </c>
      <c r="M47" s="474">
        <f t="shared" si="54"/>
        <v>13394216.1339422</v>
      </c>
      <c r="N47" s="749" t="s">
        <v>3567</v>
      </c>
      <c r="O47" s="476">
        <f t="shared" si="4"/>
        <v>162.543915</v>
      </c>
      <c r="P47" s="453"/>
      <c r="Q47" s="453"/>
      <c r="R47" s="453">
        <f>274+20+20+20+50</f>
        <v>384</v>
      </c>
      <c r="S47" s="453"/>
      <c r="T47" s="453"/>
      <c r="U47" s="453"/>
      <c r="V47" s="453">
        <v>0</v>
      </c>
      <c r="W47" s="453">
        <v>400</v>
      </c>
      <c r="X47" s="454">
        <f t="shared" si="48"/>
        <v>5207.04</v>
      </c>
      <c r="Y47" s="453">
        <v>802</v>
      </c>
      <c r="Z47" s="477">
        <f>H47/(H24+H29+H34+H39+H43+H47+H51+H55)</f>
        <v>0.136986301369863</v>
      </c>
      <c r="AA47" s="477"/>
      <c r="AB47" s="746">
        <f t="shared" si="6"/>
        <v>109.86301369863</v>
      </c>
      <c r="AC47" s="478">
        <f t="shared" si="7"/>
        <v>893.86301369863</v>
      </c>
      <c r="AD47" s="479">
        <f t="shared" si="55"/>
        <v>283766.036094803</v>
      </c>
      <c r="AE47" s="474">
        <f t="shared" si="9"/>
        <v>194834.892857143</v>
      </c>
      <c r="AF47" s="480">
        <f t="shared" si="51"/>
        <v>613.7299125</v>
      </c>
      <c r="AG47" s="481">
        <f t="shared" si="11"/>
        <v>259.161635445205</v>
      </c>
      <c r="AH47" s="747">
        <f>([2]S2新Ratio布料!AB5+[2]S2新Ratio布料!AB9+[2]S2新Ratio布料!AB13+[2]S2新Ratio布料!AB17+[2]S2新Ratio布料!AB21+[2]S2新Ratio布料!AB26+[2]S2新Ratio布料!AB34+[2]S2新Ratio布料!AB53+[2]S2新Ratio布料!AB56+[2]S2新Ratio布料!AB71+[2]S2新Ratio布料!AB74)*Z47</f>
        <v>20.9714657534247</v>
      </c>
      <c r="AI47" s="482"/>
      <c r="AJ47" s="482"/>
      <c r="AK47" s="482">
        <f t="shared" si="56"/>
        <v>50000</v>
      </c>
      <c r="AL47" s="483"/>
      <c r="AM47" s="483"/>
      <c r="AN47" s="483">
        <v>1761</v>
      </c>
      <c r="AO47" s="482">
        <f t="shared" si="57"/>
        <v>1735633.4793895</v>
      </c>
    </row>
    <row r="48" customHeight="1" spans="1:41">
      <c r="A48" s="487"/>
      <c r="B48" s="498"/>
      <c r="C48" s="489">
        <v>0.0466269841269841</v>
      </c>
      <c r="D48" s="489">
        <v>0.0474025974025974</v>
      </c>
      <c r="E48" s="544" t="s">
        <v>3537</v>
      </c>
      <c r="F48" s="750"/>
      <c r="G48" s="492"/>
      <c r="H48" s="493">
        <v>1</v>
      </c>
      <c r="I48" s="494"/>
      <c r="J48" s="495">
        <v>1.62</v>
      </c>
      <c r="K48" s="751" t="s">
        <v>3530</v>
      </c>
      <c r="L48" s="497"/>
      <c r="M48" s="497"/>
      <c r="N48" s="498"/>
      <c r="O48" s="499">
        <f t="shared" si="4"/>
        <v>51601.2428571428</v>
      </c>
      <c r="P48" s="500">
        <v>19827.1396103896</v>
      </c>
      <c r="Q48" s="500"/>
      <c r="R48" s="500">
        <f>400000*D48</f>
        <v>18961.038961039</v>
      </c>
      <c r="S48" s="500">
        <f>300000*$D$48+27670+1761</f>
        <v>43651.7792207792</v>
      </c>
      <c r="T48" s="500">
        <f>500000*$D$48+22330</f>
        <v>46031.2987012987</v>
      </c>
      <c r="U48" s="500">
        <f>400000*$D$48</f>
        <v>18961.038961039</v>
      </c>
      <c r="V48" s="500">
        <v>33701.2987012987</v>
      </c>
      <c r="W48" s="500">
        <v>28702</v>
      </c>
      <c r="X48" s="501">
        <f t="shared" si="48"/>
        <v>133552.731623377</v>
      </c>
      <c r="Y48" s="500"/>
      <c r="Z48" s="502"/>
      <c r="AA48" s="502"/>
      <c r="AB48" s="753">
        <f t="shared" si="6"/>
        <v>0</v>
      </c>
      <c r="AC48" s="503">
        <f t="shared" si="7"/>
        <v>209835.594155844</v>
      </c>
      <c r="AD48" s="504"/>
      <c r="AE48" s="497">
        <f t="shared" si="9"/>
        <v>194834.892857143</v>
      </c>
      <c r="AF48" s="505">
        <f t="shared" si="51"/>
        <v>194834.892857143</v>
      </c>
      <c r="AG48" s="506">
        <f t="shared" si="11"/>
        <v>15000.7012987013</v>
      </c>
      <c r="AH48" s="747">
        <f>[2]S2新Ratio布料!AB57*AA48</f>
        <v>0</v>
      </c>
      <c r="AI48" s="507"/>
      <c r="AJ48" s="507"/>
      <c r="AK48" s="507">
        <f t="shared" si="56"/>
        <v>50000</v>
      </c>
      <c r="AL48" s="508"/>
      <c r="AM48" s="508"/>
      <c r="AN48" s="508">
        <v>1761</v>
      </c>
      <c r="AO48" s="507"/>
    </row>
    <row r="49" customHeight="1" spans="1:42">
      <c r="A49" s="439"/>
      <c r="B49" s="450" t="s">
        <v>3598</v>
      </c>
      <c r="C49" s="441">
        <v>0.0466269841269841</v>
      </c>
      <c r="D49" s="441">
        <v>0.0474025974025974</v>
      </c>
      <c r="E49" s="758" t="s">
        <v>3599</v>
      </c>
      <c r="F49" s="736" t="s">
        <v>3594</v>
      </c>
      <c r="G49" s="737">
        <f>2500-500</f>
        <v>2000</v>
      </c>
      <c r="H49" s="445">
        <v>0.007245</v>
      </c>
      <c r="I49" s="446">
        <f t="shared" ref="I49:I51" si="58">G49/H49</f>
        <v>276052.449965493</v>
      </c>
      <c r="J49" s="447">
        <v>25.3</v>
      </c>
      <c r="K49" s="738" t="s">
        <v>3530</v>
      </c>
      <c r="L49" s="449">
        <f t="shared" ref="L49:L51" si="59">G49/C49/H49</f>
        <v>5920444.0333025</v>
      </c>
      <c r="M49" s="449">
        <f t="shared" ref="M49:M51" si="60">G49/H49/D49</f>
        <v>5823572.23214877</v>
      </c>
      <c r="N49" s="450"/>
      <c r="O49" s="451">
        <f t="shared" si="4"/>
        <v>373.8510045</v>
      </c>
      <c r="P49" s="452">
        <v>2000</v>
      </c>
      <c r="Q49" s="452"/>
      <c r="R49" s="452"/>
      <c r="S49" s="452"/>
      <c r="T49" s="452"/>
      <c r="U49" s="452"/>
      <c r="V49" s="452">
        <v>0</v>
      </c>
      <c r="W49" s="452">
        <v>0</v>
      </c>
      <c r="X49" s="454">
        <f t="shared" si="48"/>
        <v>50600</v>
      </c>
      <c r="Y49" s="452"/>
      <c r="Z49" s="455"/>
      <c r="AA49" s="455"/>
      <c r="AB49" s="740">
        <f t="shared" si="6"/>
        <v>0</v>
      </c>
      <c r="AC49" s="456">
        <f t="shared" si="7"/>
        <v>2000</v>
      </c>
      <c r="AD49" s="457">
        <f t="shared" ref="AD49:AD51" si="61">AC49/H49</f>
        <v>276052.449965493</v>
      </c>
      <c r="AE49" s="474">
        <f t="shared" si="9"/>
        <v>143073.892857143</v>
      </c>
      <c r="AF49" s="458">
        <f t="shared" si="51"/>
        <v>1036.57035375</v>
      </c>
      <c r="AG49" s="459">
        <f t="shared" si="11"/>
        <v>963.42964625</v>
      </c>
      <c r="AH49" s="741">
        <f>[2]S2新Ratio布料!AB58*AA49</f>
        <v>0</v>
      </c>
      <c r="AI49" s="460">
        <f>$AI$4*C49</f>
        <v>4926.60714285714</v>
      </c>
      <c r="AJ49" s="460">
        <f>$AJ$4*D49</f>
        <v>138147.285714286</v>
      </c>
      <c r="AK49" s="460"/>
      <c r="AL49" s="461"/>
      <c r="AM49" s="461"/>
      <c r="AN49" s="461"/>
      <c r="AO49" s="460">
        <f t="shared" ref="AO49:AO51" si="62">AG49/H49/D49</f>
        <v>2805301.06776521</v>
      </c>
    </row>
    <row r="50" customHeight="1" spans="1:42">
      <c r="A50" s="464"/>
      <c r="B50" s="475"/>
      <c r="C50" s="466">
        <v>0.0466269841269841</v>
      </c>
      <c r="D50" s="466">
        <v>0.0474025974025974</v>
      </c>
      <c r="E50" s="748" t="s">
        <v>3600</v>
      </c>
      <c r="F50" s="743" t="s">
        <v>3596</v>
      </c>
      <c r="G50" s="469">
        <v>500</v>
      </c>
      <c r="H50" s="470">
        <v>0.009555</v>
      </c>
      <c r="I50" s="471">
        <f t="shared" si="58"/>
        <v>52328.6237571952</v>
      </c>
      <c r="J50" s="472">
        <v>17.6</v>
      </c>
      <c r="K50" s="744" t="s">
        <v>3530</v>
      </c>
      <c r="L50" s="474">
        <f t="shared" si="59"/>
        <v>1122281.9733458</v>
      </c>
      <c r="M50" s="474">
        <f t="shared" si="60"/>
        <v>1103918.91213809</v>
      </c>
      <c r="N50" s="475"/>
      <c r="O50" s="476">
        <f t="shared" si="4"/>
        <v>493.0498755</v>
      </c>
      <c r="P50" s="453">
        <v>500</v>
      </c>
      <c r="Q50" s="453"/>
      <c r="R50" s="453"/>
      <c r="S50" s="453"/>
      <c r="T50" s="453">
        <v>500</v>
      </c>
      <c r="U50" s="453"/>
      <c r="V50" s="453">
        <v>500</v>
      </c>
      <c r="W50" s="453">
        <v>0</v>
      </c>
      <c r="X50" s="454">
        <f t="shared" si="48"/>
        <v>8800</v>
      </c>
      <c r="Y50" s="453"/>
      <c r="Z50" s="477"/>
      <c r="AA50" s="477"/>
      <c r="AB50" s="746">
        <f t="shared" si="6"/>
        <v>0</v>
      </c>
      <c r="AC50" s="478">
        <f t="shared" si="7"/>
        <v>1500</v>
      </c>
      <c r="AD50" s="479">
        <f t="shared" si="61"/>
        <v>156985.871271586</v>
      </c>
      <c r="AE50" s="474">
        <f t="shared" si="9"/>
        <v>143073.892857143</v>
      </c>
      <c r="AF50" s="480">
        <f t="shared" si="51"/>
        <v>1367.07104625</v>
      </c>
      <c r="AG50" s="481">
        <f>AC50-AF50-AH50+AP50</f>
        <v>139.92895375</v>
      </c>
      <c r="AH50" s="747">
        <f>[2]S2新Ratio布料!AB59*AA50</f>
        <v>0</v>
      </c>
      <c r="AI50" s="482"/>
      <c r="AJ50" s="482"/>
      <c r="AK50" s="482"/>
      <c r="AL50" s="483"/>
      <c r="AM50" s="483"/>
      <c r="AN50" s="483"/>
      <c r="AO50" s="482">
        <f t="shared" si="62"/>
        <v>308940.436800643</v>
      </c>
      <c r="AP50" s="760">
        <v>7</v>
      </c>
    </row>
    <row r="51" ht="53.75" customHeight="1" spans="1:42">
      <c r="A51" s="464"/>
      <c r="B51" s="475"/>
      <c r="C51" s="466">
        <v>0.0466269841269841</v>
      </c>
      <c r="D51" s="466">
        <v>0.0474025974025974</v>
      </c>
      <c r="E51" s="748" t="s">
        <v>3565</v>
      </c>
      <c r="F51" s="743" t="s">
        <v>3597</v>
      </c>
      <c r="G51" s="469">
        <f>1300+700</f>
        <v>2000</v>
      </c>
      <c r="H51" s="470">
        <v>0.00315</v>
      </c>
      <c r="I51" s="471">
        <f t="shared" si="58"/>
        <v>634920.634920635</v>
      </c>
      <c r="J51" s="472">
        <v>13.56</v>
      </c>
      <c r="K51" s="744" t="s">
        <v>3530</v>
      </c>
      <c r="L51" s="474">
        <f t="shared" si="59"/>
        <v>13617021.2765958</v>
      </c>
      <c r="M51" s="474">
        <f t="shared" si="60"/>
        <v>13394216.1339422</v>
      </c>
      <c r="N51" s="749" t="s">
        <v>3567</v>
      </c>
      <c r="O51" s="476">
        <f t="shared" si="4"/>
        <v>162.543915</v>
      </c>
      <c r="P51" s="453"/>
      <c r="Q51" s="453"/>
      <c r="R51" s="453">
        <v>274</v>
      </c>
      <c r="S51" s="453"/>
      <c r="T51" s="453"/>
      <c r="U51" s="453"/>
      <c r="V51" s="453">
        <v>0</v>
      </c>
      <c r="W51" s="453">
        <v>300</v>
      </c>
      <c r="X51" s="454">
        <f t="shared" si="48"/>
        <v>3715.44</v>
      </c>
      <c r="Y51" s="453">
        <v>802</v>
      </c>
      <c r="Z51" s="477">
        <f>H51/(H24+H29+H34+H39+H43+H47+H51+H55)</f>
        <v>0.136986301369863</v>
      </c>
      <c r="AA51" s="477"/>
      <c r="AB51" s="746">
        <f t="shared" si="6"/>
        <v>109.86301369863</v>
      </c>
      <c r="AC51" s="478">
        <f t="shared" si="7"/>
        <v>683.86301369863</v>
      </c>
      <c r="AD51" s="479">
        <f t="shared" si="61"/>
        <v>217099.369428137</v>
      </c>
      <c r="AE51" s="474">
        <f t="shared" si="9"/>
        <v>143073.892857143</v>
      </c>
      <c r="AF51" s="480">
        <f t="shared" si="51"/>
        <v>450.6827625</v>
      </c>
      <c r="AG51" s="481">
        <f t="shared" ref="AG51:AG53" si="63">AC51-AF51-AH51</f>
        <v>212.208785445205</v>
      </c>
      <c r="AH51" s="747">
        <f>([2]S2新Ratio布料!AB5+[2]S2新Ratio布料!AB9+[2]S2新Ratio布料!AB13+[2]S2新Ratio布料!AB17+[2]S2新Ratio布料!AB21+[2]S2新Ratio布料!AB26+[2]S2新Ratio布料!AB34+[2]S2新Ratio布料!AB53+[2]S2新Ratio布料!AB56+[2]S2新Ratio布料!AB71+[2]S2新Ratio布料!AB74)*Z51</f>
        <v>20.9714657534247</v>
      </c>
      <c r="AI51" s="482"/>
      <c r="AJ51" s="482"/>
      <c r="AK51" s="482"/>
      <c r="AL51" s="483"/>
      <c r="AM51" s="483"/>
      <c r="AN51" s="483"/>
      <c r="AO51" s="482">
        <f t="shared" si="62"/>
        <v>1421185.16888722</v>
      </c>
    </row>
    <row r="52" customHeight="1" spans="1:42">
      <c r="A52" s="487"/>
      <c r="B52" s="498"/>
      <c r="C52" s="489">
        <v>0.0466269841269841</v>
      </c>
      <c r="D52" s="489">
        <v>0.0474025974025974</v>
      </c>
      <c r="E52" s="544" t="s">
        <v>3537</v>
      </c>
      <c r="F52" s="750"/>
      <c r="G52" s="492"/>
      <c r="H52" s="493">
        <v>1</v>
      </c>
      <c r="I52" s="542"/>
      <c r="J52" s="495">
        <v>1.62</v>
      </c>
      <c r="K52" s="751" t="s">
        <v>3530</v>
      </c>
      <c r="L52" s="497"/>
      <c r="M52" s="497"/>
      <c r="N52" s="498"/>
      <c r="O52" s="499">
        <f t="shared" si="4"/>
        <v>51601.2428571428</v>
      </c>
      <c r="P52" s="500">
        <v>19827.1396103896</v>
      </c>
      <c r="Q52" s="500"/>
      <c r="R52" s="500">
        <f>400000*D52</f>
        <v>18961.038961039</v>
      </c>
      <c r="S52" s="500">
        <f>300000*$D$52</f>
        <v>14220.7792207792</v>
      </c>
      <c r="T52" s="500">
        <f>500000*$D$52</f>
        <v>23701.2987012987</v>
      </c>
      <c r="U52" s="500">
        <f>400000*$D$52</f>
        <v>18961.038961039</v>
      </c>
      <c r="V52" s="500">
        <v>23701.2987012987</v>
      </c>
      <c r="W52" s="500">
        <v>23702</v>
      </c>
      <c r="X52" s="501">
        <f t="shared" si="48"/>
        <v>85874.5116233766</v>
      </c>
      <c r="Y52" s="500"/>
      <c r="Z52" s="502"/>
      <c r="AA52" s="502"/>
      <c r="AB52" s="753">
        <f t="shared" si="6"/>
        <v>0</v>
      </c>
      <c r="AC52" s="503">
        <f t="shared" si="7"/>
        <v>143074.594155844</v>
      </c>
      <c r="AD52" s="504"/>
      <c r="AE52" s="497">
        <f t="shared" si="9"/>
        <v>143073.892857143</v>
      </c>
      <c r="AF52" s="505">
        <f t="shared" si="51"/>
        <v>143073.892857143</v>
      </c>
      <c r="AG52" s="506">
        <f t="shared" si="63"/>
        <v>0.70129870128585</v>
      </c>
      <c r="AH52" s="747">
        <f>[2]S2新Ratio布料!AB61*AA52</f>
        <v>0</v>
      </c>
      <c r="AI52" s="507"/>
      <c r="AJ52" s="507"/>
      <c r="AK52" s="507"/>
      <c r="AL52" s="508"/>
      <c r="AM52" s="508"/>
      <c r="AN52" s="508"/>
      <c r="AO52" s="507"/>
    </row>
    <row r="53" customHeight="1" spans="1:42">
      <c r="A53" s="439"/>
      <c r="B53" s="450" t="s">
        <v>3601</v>
      </c>
      <c r="C53" s="441">
        <v>0.0466269841269841</v>
      </c>
      <c r="D53" s="441">
        <v>0.0474025974025974</v>
      </c>
      <c r="E53" s="735" t="s">
        <v>3602</v>
      </c>
      <c r="F53" s="736" t="s">
        <v>3594</v>
      </c>
      <c r="G53" s="737">
        <f>2500-500</f>
        <v>2000</v>
      </c>
      <c r="H53" s="445">
        <v>0.007245</v>
      </c>
      <c r="I53" s="446">
        <f t="shared" ref="I53:I55" si="64">G53/H53</f>
        <v>276052.449965493</v>
      </c>
      <c r="J53" s="447">
        <v>25.3</v>
      </c>
      <c r="K53" s="738" t="s">
        <v>3530</v>
      </c>
      <c r="L53" s="449">
        <f t="shared" ref="L53:L55" si="65">G53/C53/H53</f>
        <v>5920444.0333025</v>
      </c>
      <c r="M53" s="449">
        <f t="shared" ref="M53:M55" si="66">G53/H53/D53</f>
        <v>5823572.23214877</v>
      </c>
      <c r="N53" s="450"/>
      <c r="O53" s="451">
        <f t="shared" si="4"/>
        <v>373.8510045</v>
      </c>
      <c r="P53" s="452">
        <v>2000</v>
      </c>
      <c r="Q53" s="452"/>
      <c r="R53" s="452"/>
      <c r="S53" s="452"/>
      <c r="T53" s="452"/>
      <c r="U53" s="452"/>
      <c r="V53" s="452">
        <v>0</v>
      </c>
      <c r="W53" s="452">
        <v>0</v>
      </c>
      <c r="X53" s="454">
        <f t="shared" si="48"/>
        <v>50600</v>
      </c>
      <c r="Y53" s="452"/>
      <c r="Z53" s="455"/>
      <c r="AA53" s="455"/>
      <c r="AB53" s="740">
        <f t="shared" si="6"/>
        <v>0</v>
      </c>
      <c r="AC53" s="456">
        <f t="shared" si="7"/>
        <v>2000</v>
      </c>
      <c r="AD53" s="457">
        <f t="shared" ref="AD53:AD55" si="67">AC53/H53</f>
        <v>276052.449965493</v>
      </c>
      <c r="AE53" s="474">
        <f t="shared" si="9"/>
        <v>143073.892857143</v>
      </c>
      <c r="AF53" s="458">
        <f t="shared" si="51"/>
        <v>1036.57035375</v>
      </c>
      <c r="AG53" s="459">
        <f t="shared" si="63"/>
        <v>963.42964625</v>
      </c>
      <c r="AH53" s="741">
        <f>[2]S2新Ratio布料!AB62*AA53</f>
        <v>0</v>
      </c>
      <c r="AI53" s="460">
        <f>$AI$4*C53</f>
        <v>4926.60714285714</v>
      </c>
      <c r="AJ53" s="460">
        <f>$AJ$4*D53</f>
        <v>138147.285714286</v>
      </c>
      <c r="AK53" s="460"/>
      <c r="AL53" s="461"/>
      <c r="AM53" s="461"/>
      <c r="AN53" s="461"/>
      <c r="AO53" s="460">
        <f t="shared" ref="AO53:AO55" si="68">AG53/H53/D53</f>
        <v>2805301.06776521</v>
      </c>
    </row>
    <row r="54" customHeight="1" spans="1:42">
      <c r="A54" s="464"/>
      <c r="B54" s="475"/>
      <c r="C54" s="466">
        <v>0.0466269841269841</v>
      </c>
      <c r="D54" s="466">
        <v>0.0474025974025974</v>
      </c>
      <c r="E54" s="748" t="s">
        <v>3603</v>
      </c>
      <c r="F54" s="743" t="s">
        <v>3596</v>
      </c>
      <c r="G54" s="469">
        <v>500</v>
      </c>
      <c r="H54" s="470">
        <v>0.009555</v>
      </c>
      <c r="I54" s="471">
        <f t="shared" si="64"/>
        <v>52328.6237571952</v>
      </c>
      <c r="J54" s="472">
        <v>17.6</v>
      </c>
      <c r="K54" s="744" t="s">
        <v>3530</v>
      </c>
      <c r="L54" s="474">
        <f t="shared" si="65"/>
        <v>1122281.9733458</v>
      </c>
      <c r="M54" s="474">
        <f t="shared" si="66"/>
        <v>1103918.91213809</v>
      </c>
      <c r="N54" s="475"/>
      <c r="O54" s="476">
        <f t="shared" si="4"/>
        <v>493.0498755</v>
      </c>
      <c r="P54" s="453">
        <v>500</v>
      </c>
      <c r="Q54" s="453"/>
      <c r="R54" s="453"/>
      <c r="S54" s="453"/>
      <c r="T54" s="453">
        <v>500</v>
      </c>
      <c r="U54" s="453"/>
      <c r="V54" s="453">
        <v>500</v>
      </c>
      <c r="W54" s="453">
        <v>0</v>
      </c>
      <c r="X54" s="454">
        <f t="shared" si="48"/>
        <v>8800</v>
      </c>
      <c r="Y54" s="453"/>
      <c r="Z54" s="555"/>
      <c r="AA54" s="555"/>
      <c r="AB54" s="746">
        <f t="shared" si="6"/>
        <v>0</v>
      </c>
      <c r="AC54" s="478">
        <f t="shared" si="7"/>
        <v>1500</v>
      </c>
      <c r="AD54" s="479">
        <f t="shared" si="67"/>
        <v>156985.871271586</v>
      </c>
      <c r="AE54" s="474">
        <f t="shared" si="9"/>
        <v>143073.892857143</v>
      </c>
      <c r="AF54" s="480">
        <f t="shared" si="51"/>
        <v>1367.07104625</v>
      </c>
      <c r="AG54" s="481">
        <f>AC54-AF54-AH54+AP54</f>
        <v>139.92895375</v>
      </c>
      <c r="AH54" s="747">
        <f>[2]S2新Ratio布料!AB63*AA54</f>
        <v>0</v>
      </c>
      <c r="AI54" s="482"/>
      <c r="AJ54" s="482"/>
      <c r="AK54" s="482"/>
      <c r="AL54" s="483"/>
      <c r="AM54" s="483"/>
      <c r="AN54" s="483"/>
      <c r="AO54" s="482">
        <f t="shared" si="68"/>
        <v>308940.436800643</v>
      </c>
      <c r="AP54" s="760">
        <v>7</v>
      </c>
    </row>
    <row r="55" ht="50.75" customHeight="1" spans="1:42">
      <c r="A55" s="464"/>
      <c r="B55" s="475"/>
      <c r="C55" s="466">
        <v>0.0466269841269841</v>
      </c>
      <c r="D55" s="466">
        <v>0.0474025974025974</v>
      </c>
      <c r="E55" s="748" t="s">
        <v>3565</v>
      </c>
      <c r="F55" s="743" t="s">
        <v>3597</v>
      </c>
      <c r="G55" s="469">
        <f>1300+700</f>
        <v>2000</v>
      </c>
      <c r="H55" s="470">
        <v>0.00315</v>
      </c>
      <c r="I55" s="471">
        <f t="shared" si="64"/>
        <v>634920.634920635</v>
      </c>
      <c r="J55" s="472">
        <v>13.56</v>
      </c>
      <c r="K55" s="744" t="s">
        <v>3530</v>
      </c>
      <c r="L55" s="474">
        <f t="shared" si="65"/>
        <v>13617021.2765958</v>
      </c>
      <c r="M55" s="474">
        <f t="shared" si="66"/>
        <v>13394216.1339422</v>
      </c>
      <c r="N55" s="749" t="s">
        <v>3567</v>
      </c>
      <c r="O55" s="476">
        <f t="shared" si="4"/>
        <v>162.543915</v>
      </c>
      <c r="P55" s="453"/>
      <c r="Q55" s="453"/>
      <c r="R55" s="453">
        <v>274</v>
      </c>
      <c r="S55" s="453"/>
      <c r="T55" s="453"/>
      <c r="U55" s="453"/>
      <c r="V55" s="453">
        <v>0</v>
      </c>
      <c r="W55" s="453">
        <v>300</v>
      </c>
      <c r="X55" s="454">
        <f t="shared" si="48"/>
        <v>3715.44</v>
      </c>
      <c r="Y55" s="453">
        <v>802</v>
      </c>
      <c r="Z55" s="477">
        <f>H55/(H24+H29+H34+H39+H43+H47+H51+H55)</f>
        <v>0.136986301369863</v>
      </c>
      <c r="AA55" s="477"/>
      <c r="AB55" s="746">
        <f t="shared" si="6"/>
        <v>109.86301369863</v>
      </c>
      <c r="AC55" s="478">
        <f t="shared" si="7"/>
        <v>683.86301369863</v>
      </c>
      <c r="AD55" s="479">
        <f t="shared" si="67"/>
        <v>217099.369428137</v>
      </c>
      <c r="AE55" s="474">
        <f t="shared" si="9"/>
        <v>143073.892857143</v>
      </c>
      <c r="AF55" s="480">
        <f t="shared" si="51"/>
        <v>450.6827625</v>
      </c>
      <c r="AG55" s="481">
        <f t="shared" ref="AG55:AG104" si="69">AC55-AF55-AH55</f>
        <v>212.208785445205</v>
      </c>
      <c r="AH55" s="747">
        <f>([2]S2新Ratio布料!AB5+[2]S2新Ratio布料!AB9+[2]S2新Ratio布料!AB13+[2]S2新Ratio布料!AB17+[2]S2新Ratio布料!AB21+[2]S2新Ratio布料!AB26+[2]S2新Ratio布料!AB34+[2]S2新Ratio布料!AB53+[2]S2新Ratio布料!AB56+[2]S2新Ratio布料!AB71+[2]S2新Ratio布料!AB74)*Z55</f>
        <v>20.9714657534247</v>
      </c>
      <c r="AI55" s="482"/>
      <c r="AJ55" s="482"/>
      <c r="AK55" s="482"/>
      <c r="AL55" s="483"/>
      <c r="AM55" s="483"/>
      <c r="AN55" s="483"/>
      <c r="AO55" s="482">
        <f t="shared" si="68"/>
        <v>1421185.16888722</v>
      </c>
    </row>
    <row r="56" customHeight="1" spans="1:42">
      <c r="A56" s="487"/>
      <c r="B56" s="498"/>
      <c r="C56" s="489">
        <v>0.0466269841269841</v>
      </c>
      <c r="D56" s="489">
        <v>0.0474025974025974</v>
      </c>
      <c r="E56" s="544" t="s">
        <v>3537</v>
      </c>
      <c r="F56" s="750"/>
      <c r="G56" s="549"/>
      <c r="H56" s="493">
        <v>1</v>
      </c>
      <c r="I56" s="542"/>
      <c r="J56" s="495">
        <v>1.62</v>
      </c>
      <c r="K56" s="751" t="s">
        <v>3530</v>
      </c>
      <c r="L56" s="497"/>
      <c r="M56" s="497"/>
      <c r="N56" s="550"/>
      <c r="O56" s="499">
        <f t="shared" si="4"/>
        <v>51601.2428571428</v>
      </c>
      <c r="P56" s="500">
        <v>19827.1396103896</v>
      </c>
      <c r="Q56" s="500"/>
      <c r="R56" s="500">
        <f>400000*D56</f>
        <v>18961.038961039</v>
      </c>
      <c r="S56" s="500">
        <f>300000*$D$56</f>
        <v>14220.7792207792</v>
      </c>
      <c r="T56" s="500">
        <f>500000*$D$56</f>
        <v>23701.2987012987</v>
      </c>
      <c r="U56" s="500">
        <f>400000*$D$56</f>
        <v>18961.038961039</v>
      </c>
      <c r="V56" s="500">
        <v>23701.2987012987</v>
      </c>
      <c r="W56" s="500">
        <v>23702</v>
      </c>
      <c r="X56" s="501">
        <f t="shared" si="48"/>
        <v>85874.5116233766</v>
      </c>
      <c r="Y56" s="500"/>
      <c r="Z56" s="502"/>
      <c r="AA56" s="502"/>
      <c r="AB56" s="753">
        <f t="shared" si="6"/>
        <v>0</v>
      </c>
      <c r="AC56" s="503">
        <f t="shared" si="7"/>
        <v>143074.594155844</v>
      </c>
      <c r="AD56" s="504"/>
      <c r="AE56" s="497">
        <f t="shared" si="9"/>
        <v>143073.892857143</v>
      </c>
      <c r="AF56" s="505">
        <f t="shared" si="51"/>
        <v>143073.892857143</v>
      </c>
      <c r="AG56" s="506">
        <f t="shared" si="69"/>
        <v>0.70129870128585</v>
      </c>
      <c r="AH56" s="747">
        <f>[2]S2新Ratio布料!AB65*AA56</f>
        <v>0</v>
      </c>
      <c r="AI56" s="507"/>
      <c r="AJ56" s="507"/>
      <c r="AK56" s="507"/>
      <c r="AL56" s="508"/>
      <c r="AM56" s="508"/>
      <c r="AN56" s="508"/>
      <c r="AO56" s="507"/>
    </row>
    <row r="57" ht="51.65" customHeight="1" spans="1:42">
      <c r="A57" s="439"/>
      <c r="B57" s="450" t="s">
        <v>3604</v>
      </c>
      <c r="C57" s="441">
        <v>0.0466269841269841</v>
      </c>
      <c r="D57" s="441">
        <v>0.0474025974025974</v>
      </c>
      <c r="E57" s="735" t="s">
        <v>3605</v>
      </c>
      <c r="F57" s="736" t="s">
        <v>3606</v>
      </c>
      <c r="G57" s="737">
        <f>500-100</f>
        <v>400</v>
      </c>
      <c r="H57" s="445">
        <v>0.001176</v>
      </c>
      <c r="I57" s="446">
        <f t="shared" ref="I57:I59" si="70">G57/H57</f>
        <v>340136.054421769</v>
      </c>
      <c r="J57" s="447">
        <v>19.25</v>
      </c>
      <c r="K57" s="738" t="s">
        <v>3530</v>
      </c>
      <c r="L57" s="449">
        <f t="shared" ref="L57:L59" si="71">G57/C57/H57</f>
        <v>7294832.82674772</v>
      </c>
      <c r="M57" s="449">
        <f t="shared" ref="M57:M59" si="72">G57/H57/D57</f>
        <v>7175472.92889759</v>
      </c>
      <c r="N57" s="551"/>
      <c r="O57" s="451">
        <f t="shared" si="4"/>
        <v>60.6830616</v>
      </c>
      <c r="P57" s="452">
        <v>400</v>
      </c>
      <c r="Q57" s="452"/>
      <c r="R57" s="452"/>
      <c r="S57" s="452"/>
      <c r="T57" s="452"/>
      <c r="U57" s="452"/>
      <c r="V57" s="452">
        <v>0</v>
      </c>
      <c r="W57" s="452">
        <v>0</v>
      </c>
      <c r="X57" s="454">
        <f t="shared" si="48"/>
        <v>7700</v>
      </c>
      <c r="Y57" s="452"/>
      <c r="Z57" s="455"/>
      <c r="AA57" s="455"/>
      <c r="AB57" s="740">
        <f t="shared" si="6"/>
        <v>0</v>
      </c>
      <c r="AC57" s="456">
        <f t="shared" si="7"/>
        <v>400</v>
      </c>
      <c r="AD57" s="457">
        <f t="shared" ref="AD57:AD59" si="73">AC57/H57</f>
        <v>340136.054421769</v>
      </c>
      <c r="AE57" s="474">
        <f t="shared" si="9"/>
        <v>143073.892857143</v>
      </c>
      <c r="AF57" s="458">
        <f t="shared" si="51"/>
        <v>168.254898</v>
      </c>
      <c r="AG57" s="459">
        <f t="shared" si="69"/>
        <v>231.745102</v>
      </c>
      <c r="AH57" s="741">
        <f>[2]S2新Ratio布料!AB66*AA57</f>
        <v>0</v>
      </c>
      <c r="AI57" s="460">
        <f>$AI$4*C57</f>
        <v>4926.60714285714</v>
      </c>
      <c r="AJ57" s="460">
        <f>$AJ$4*D57</f>
        <v>138147.285714286</v>
      </c>
      <c r="AK57" s="460"/>
      <c r="AL57" s="461"/>
      <c r="AM57" s="461"/>
      <c r="AN57" s="461"/>
      <c r="AO57" s="460">
        <f t="shared" ref="AO57:AO59" si="74">AG57/H57/D57</f>
        <v>4157201.76451403</v>
      </c>
    </row>
    <row r="58" customHeight="1" spans="1:42">
      <c r="A58" s="464"/>
      <c r="B58" s="475"/>
      <c r="C58" s="466">
        <v>0.0466269841269841</v>
      </c>
      <c r="D58" s="466">
        <v>0.0474025974025974</v>
      </c>
      <c r="E58" s="475" t="s">
        <v>3607</v>
      </c>
      <c r="F58" s="743" t="s">
        <v>3608</v>
      </c>
      <c r="G58" s="469">
        <v>2500</v>
      </c>
      <c r="H58" s="470">
        <v>0.003465</v>
      </c>
      <c r="I58" s="471">
        <f t="shared" si="70"/>
        <v>721500.721500721</v>
      </c>
      <c r="J58" s="472">
        <v>25.3</v>
      </c>
      <c r="K58" s="744" t="s">
        <v>3530</v>
      </c>
      <c r="L58" s="474">
        <f t="shared" si="71"/>
        <v>15473887.8143134</v>
      </c>
      <c r="M58" s="474">
        <f t="shared" si="72"/>
        <v>15220700.152207</v>
      </c>
      <c r="N58" s="761" t="s">
        <v>3609</v>
      </c>
      <c r="O58" s="476">
        <f t="shared" si="4"/>
        <v>178.7983065</v>
      </c>
      <c r="P58" s="453">
        <v>0</v>
      </c>
      <c r="Q58" s="453"/>
      <c r="R58" s="453"/>
      <c r="S58" s="453"/>
      <c r="T58" s="453">
        <f>2500-1500</f>
        <v>1000</v>
      </c>
      <c r="U58" s="453"/>
      <c r="V58" s="453">
        <v>0</v>
      </c>
      <c r="W58" s="453">
        <v>0</v>
      </c>
      <c r="X58" s="454">
        <f t="shared" si="48"/>
        <v>0</v>
      </c>
      <c r="Y58" s="453">
        <v>1002</v>
      </c>
      <c r="Z58" s="477">
        <f>H58/(H58+H67)</f>
        <v>0.266129032258065</v>
      </c>
      <c r="AA58" s="477"/>
      <c r="AB58" s="746">
        <f t="shared" si="6"/>
        <v>266.661290322581</v>
      </c>
      <c r="AC58" s="478">
        <f t="shared" si="7"/>
        <v>1266.66129032258</v>
      </c>
      <c r="AD58" s="479">
        <f t="shared" si="73"/>
        <v>365558.813945911</v>
      </c>
      <c r="AE58" s="474">
        <f t="shared" si="9"/>
        <v>143073.892857143</v>
      </c>
      <c r="AF58" s="480">
        <f t="shared" si="51"/>
        <v>495.75103875</v>
      </c>
      <c r="AG58" s="481">
        <f t="shared" si="69"/>
        <v>753.641138669355</v>
      </c>
      <c r="AH58" s="747">
        <f>[2]S2新Ratio布料!AB65*Z58</f>
        <v>17.2691129032258</v>
      </c>
      <c r="AI58" s="482"/>
      <c r="AJ58" s="482"/>
      <c r="AK58" s="482"/>
      <c r="AL58" s="483"/>
      <c r="AM58" s="483"/>
      <c r="AN58" s="483"/>
      <c r="AO58" s="482">
        <f t="shared" si="74"/>
        <v>4588378.31762164</v>
      </c>
    </row>
    <row r="59" customHeight="1" spans="1:42">
      <c r="A59" s="464"/>
      <c r="B59" s="475"/>
      <c r="C59" s="466">
        <v>0.0466269841269841</v>
      </c>
      <c r="D59" s="466">
        <v>0.0474025974025974</v>
      </c>
      <c r="E59" s="748" t="s">
        <v>3610</v>
      </c>
      <c r="F59" s="743" t="s">
        <v>3608</v>
      </c>
      <c r="G59" s="486">
        <v>1000</v>
      </c>
      <c r="H59" s="470">
        <v>0.003465</v>
      </c>
      <c r="I59" s="471">
        <f t="shared" si="70"/>
        <v>288600.288600289</v>
      </c>
      <c r="J59" s="472">
        <v>16.72</v>
      </c>
      <c r="K59" s="744" t="s">
        <v>3530</v>
      </c>
      <c r="L59" s="474">
        <f t="shared" si="71"/>
        <v>6189555.12572534</v>
      </c>
      <c r="M59" s="474">
        <f t="shared" si="72"/>
        <v>6088280.0608828</v>
      </c>
      <c r="N59" s="749" t="s">
        <v>3611</v>
      </c>
      <c r="O59" s="476">
        <f t="shared" si="4"/>
        <v>178.7983065</v>
      </c>
      <c r="P59" s="453">
        <v>343.75</v>
      </c>
      <c r="Q59" s="453"/>
      <c r="R59" s="453"/>
      <c r="S59" s="453"/>
      <c r="T59" s="453"/>
      <c r="U59" s="453"/>
      <c r="V59" s="453">
        <v>350</v>
      </c>
      <c r="W59" s="453">
        <v>0</v>
      </c>
      <c r="X59" s="454">
        <f t="shared" si="48"/>
        <v>5747.5</v>
      </c>
      <c r="Y59" s="453">
        <v>53</v>
      </c>
      <c r="Z59" s="477">
        <f>H59/(H59+H66)</f>
        <v>0.34375</v>
      </c>
      <c r="AA59" s="477"/>
      <c r="AB59" s="746">
        <f t="shared" si="6"/>
        <v>18.21875</v>
      </c>
      <c r="AC59" s="478">
        <f t="shared" si="7"/>
        <v>711.96875</v>
      </c>
      <c r="AD59" s="479">
        <f t="shared" si="73"/>
        <v>205474.386724387</v>
      </c>
      <c r="AE59" s="474">
        <f t="shared" si="9"/>
        <v>143073.892857143</v>
      </c>
      <c r="AF59" s="480">
        <f t="shared" si="51"/>
        <v>495.75103875</v>
      </c>
      <c r="AG59" s="481">
        <f t="shared" si="69"/>
        <v>216.21771125</v>
      </c>
      <c r="AH59" s="747">
        <f>[2]S2新Ratio布料!AB68*AA59</f>
        <v>0</v>
      </c>
      <c r="AI59" s="482"/>
      <c r="AJ59" s="482"/>
      <c r="AK59" s="482"/>
      <c r="AL59" s="483"/>
      <c r="AM59" s="483"/>
      <c r="AN59" s="483"/>
      <c r="AO59" s="482">
        <f t="shared" si="74"/>
        <v>1316393.98021309</v>
      </c>
    </row>
    <row r="60" customHeight="1" spans="1:42">
      <c r="A60" s="487"/>
      <c r="B60" s="498"/>
      <c r="C60" s="489">
        <v>0.0466269841269841</v>
      </c>
      <c r="D60" s="489">
        <v>0.0474025974025974</v>
      </c>
      <c r="E60" s="544" t="s">
        <v>3537</v>
      </c>
      <c r="F60" s="498"/>
      <c r="G60" s="492"/>
      <c r="H60" s="493">
        <v>1</v>
      </c>
      <c r="I60" s="542"/>
      <c r="J60" s="495">
        <v>0.53</v>
      </c>
      <c r="K60" s="751" t="s">
        <v>3530</v>
      </c>
      <c r="L60" s="497"/>
      <c r="M60" s="497"/>
      <c r="N60" s="550"/>
      <c r="O60" s="499">
        <f t="shared" si="4"/>
        <v>51601.2428571428</v>
      </c>
      <c r="P60" s="500">
        <v>19827.1396103896</v>
      </c>
      <c r="Q60" s="500"/>
      <c r="R60" s="500">
        <f>400000*D60</f>
        <v>18961.038961039</v>
      </c>
      <c r="S60" s="500">
        <f>300000*$D$60</f>
        <v>14220.7792207792</v>
      </c>
      <c r="T60" s="500">
        <f>500000*$D$60</f>
        <v>23701.2987012987</v>
      </c>
      <c r="U60" s="500">
        <f>400000*$D$60</f>
        <v>18961.038961039</v>
      </c>
      <c r="V60" s="500">
        <v>23701.2987012987</v>
      </c>
      <c r="W60" s="500">
        <v>23702</v>
      </c>
      <c r="X60" s="501">
        <f t="shared" si="48"/>
        <v>28094.7476298701</v>
      </c>
      <c r="Y60" s="500"/>
      <c r="Z60" s="502"/>
      <c r="AA60" s="502"/>
      <c r="AB60" s="753">
        <f t="shared" si="6"/>
        <v>0</v>
      </c>
      <c r="AC60" s="503">
        <f t="shared" si="7"/>
        <v>143074.594155844</v>
      </c>
      <c r="AD60" s="504"/>
      <c r="AE60" s="497">
        <f t="shared" si="9"/>
        <v>143073.892857143</v>
      </c>
      <c r="AF60" s="505">
        <f t="shared" si="51"/>
        <v>143073.892857143</v>
      </c>
      <c r="AG60" s="506">
        <f t="shared" si="69"/>
        <v>0.70129870128585</v>
      </c>
      <c r="AH60" s="747">
        <f>[2]S2新Ratio布料!AB69*AA60</f>
        <v>0</v>
      </c>
      <c r="AI60" s="507"/>
      <c r="AJ60" s="507"/>
      <c r="AK60" s="507"/>
      <c r="AL60" s="508"/>
      <c r="AM60" s="508"/>
      <c r="AN60" s="508"/>
      <c r="AO60" s="507"/>
    </row>
    <row r="61" customHeight="1" spans="1:42">
      <c r="A61" s="439"/>
      <c r="B61" s="450" t="s">
        <v>3612</v>
      </c>
      <c r="C61" s="441">
        <v>0.0466269841269841</v>
      </c>
      <c r="D61" s="441">
        <v>0.0474025974025974</v>
      </c>
      <c r="E61" s="735" t="s">
        <v>3613</v>
      </c>
      <c r="F61" s="736" t="s">
        <v>3606</v>
      </c>
      <c r="G61" s="737">
        <f>500-100</f>
        <v>400</v>
      </c>
      <c r="H61" s="445">
        <v>0.001176</v>
      </c>
      <c r="I61" s="446">
        <f t="shared" ref="I61:I63" si="75">G61/H61</f>
        <v>340136.054421769</v>
      </c>
      <c r="J61" s="447">
        <v>19.25</v>
      </c>
      <c r="K61" s="738" t="s">
        <v>3530</v>
      </c>
      <c r="L61" s="449">
        <f t="shared" ref="L61:L63" si="76">G61/C61/H61</f>
        <v>7294832.82674772</v>
      </c>
      <c r="M61" s="449">
        <f t="shared" ref="M61:M63" si="77">G61/H61/D61</f>
        <v>7175472.92889759</v>
      </c>
      <c r="N61" s="551"/>
      <c r="O61" s="451">
        <f t="shared" si="4"/>
        <v>60.6830616</v>
      </c>
      <c r="P61" s="452">
        <v>400</v>
      </c>
      <c r="Q61" s="452"/>
      <c r="R61" s="452"/>
      <c r="S61" s="452"/>
      <c r="T61" s="452"/>
      <c r="U61" s="452"/>
      <c r="V61" s="452">
        <v>0</v>
      </c>
      <c r="W61" s="452">
        <v>0</v>
      </c>
      <c r="X61" s="454">
        <f t="shared" si="48"/>
        <v>7700</v>
      </c>
      <c r="Y61" s="452"/>
      <c r="Z61" s="455"/>
      <c r="AA61" s="455"/>
      <c r="AB61" s="740">
        <f t="shared" si="6"/>
        <v>0</v>
      </c>
      <c r="AC61" s="456">
        <f t="shared" si="7"/>
        <v>400</v>
      </c>
      <c r="AD61" s="457">
        <f t="shared" ref="AD61:AD63" si="78">AC61/H61</f>
        <v>340136.054421769</v>
      </c>
      <c r="AE61" s="474">
        <f t="shared" si="9"/>
        <v>143073.892857143</v>
      </c>
      <c r="AF61" s="458">
        <f t="shared" si="51"/>
        <v>168.254898</v>
      </c>
      <c r="AG61" s="459">
        <f t="shared" si="69"/>
        <v>231.745102</v>
      </c>
      <c r="AH61" s="741">
        <f>[2]S2新Ratio布料!AB70*AA61</f>
        <v>0</v>
      </c>
      <c r="AI61" s="460">
        <f>$AI$4*C61</f>
        <v>4926.60714285714</v>
      </c>
      <c r="AJ61" s="460">
        <f>$AJ$4*D61</f>
        <v>138147.285714286</v>
      </c>
      <c r="AK61" s="460"/>
      <c r="AL61" s="461"/>
      <c r="AM61" s="461"/>
      <c r="AN61" s="461"/>
      <c r="AO61" s="460">
        <f t="shared" ref="AO61:AO63" si="79">AG61/H61/D61</f>
        <v>4157201.76451403</v>
      </c>
    </row>
    <row r="62" customHeight="1" spans="1:42">
      <c r="A62" s="464"/>
      <c r="B62" s="475"/>
      <c r="C62" s="466">
        <v>0.0466269841269841</v>
      </c>
      <c r="D62" s="466">
        <v>0.0474025974025974</v>
      </c>
      <c r="E62" s="748" t="s">
        <v>3553</v>
      </c>
      <c r="F62" s="743" t="s">
        <v>3608</v>
      </c>
      <c r="G62" s="469">
        <v>2500</v>
      </c>
      <c r="H62" s="470">
        <v>0.003465</v>
      </c>
      <c r="I62" s="471">
        <f t="shared" si="75"/>
        <v>721500.721500721</v>
      </c>
      <c r="J62" s="472">
        <v>25.3</v>
      </c>
      <c r="K62" s="744" t="s">
        <v>3530</v>
      </c>
      <c r="L62" s="474">
        <f t="shared" si="76"/>
        <v>15473887.8143134</v>
      </c>
      <c r="M62" s="474">
        <f t="shared" si="77"/>
        <v>15220700.152207</v>
      </c>
      <c r="N62" s="475" t="s">
        <v>3577</v>
      </c>
      <c r="O62" s="476">
        <f t="shared" si="4"/>
        <v>178.7983065</v>
      </c>
      <c r="P62" s="453">
        <v>233.71104815864</v>
      </c>
      <c r="Q62" s="453"/>
      <c r="R62" s="453"/>
      <c r="S62" s="453"/>
      <c r="T62" s="453">
        <v>300</v>
      </c>
      <c r="U62" s="453"/>
      <c r="V62" s="453">
        <v>500</v>
      </c>
      <c r="W62" s="453">
        <v>0</v>
      </c>
      <c r="X62" s="454">
        <f t="shared" si="48"/>
        <v>5912.88951841359</v>
      </c>
      <c r="Y62" s="453"/>
      <c r="Z62" s="477">
        <f>H62/(H16+H31+H62)</f>
        <v>0.0934844192634561</v>
      </c>
      <c r="AA62" s="477"/>
      <c r="AB62" s="746">
        <f t="shared" si="6"/>
        <v>0</v>
      </c>
      <c r="AC62" s="478">
        <f t="shared" si="7"/>
        <v>1033.71104815864</v>
      </c>
      <c r="AD62" s="479">
        <f t="shared" si="78"/>
        <v>298329.30682789</v>
      </c>
      <c r="AE62" s="474">
        <f t="shared" si="9"/>
        <v>143073.892857143</v>
      </c>
      <c r="AF62" s="480">
        <f t="shared" si="51"/>
        <v>495.75103875</v>
      </c>
      <c r="AG62" s="481">
        <f t="shared" si="69"/>
        <v>537.96000940864</v>
      </c>
      <c r="AH62" s="747">
        <f>[2]S2新Ratio布料!AB71*AA62</f>
        <v>0</v>
      </c>
      <c r="AI62" s="482"/>
      <c r="AJ62" s="482"/>
      <c r="AK62" s="482"/>
      <c r="AL62" s="483"/>
      <c r="AM62" s="483"/>
      <c r="AN62" s="483"/>
      <c r="AO62" s="482">
        <f t="shared" si="79"/>
        <v>3275251.19883495</v>
      </c>
    </row>
    <row r="63" customHeight="1" spans="1:42">
      <c r="A63" s="464"/>
      <c r="B63" s="475"/>
      <c r="C63" s="466">
        <v>0.0466269841269841</v>
      </c>
      <c r="D63" s="466">
        <v>0.0474025974025974</v>
      </c>
      <c r="E63" s="748" t="s">
        <v>3614</v>
      </c>
      <c r="F63" s="743" t="s">
        <v>3608</v>
      </c>
      <c r="G63" s="762">
        <f>1000-200</f>
        <v>800</v>
      </c>
      <c r="H63" s="470">
        <v>0.003465</v>
      </c>
      <c r="I63" s="471">
        <f t="shared" si="75"/>
        <v>230880.230880231</v>
      </c>
      <c r="J63" s="472">
        <v>16.72</v>
      </c>
      <c r="K63" s="744" t="s">
        <v>3530</v>
      </c>
      <c r="L63" s="474">
        <f t="shared" si="76"/>
        <v>4951644.10058027</v>
      </c>
      <c r="M63" s="474">
        <f t="shared" si="77"/>
        <v>4870624.04870624</v>
      </c>
      <c r="N63" s="545" t="s">
        <v>3580</v>
      </c>
      <c r="O63" s="476">
        <f t="shared" si="4"/>
        <v>178.7983065</v>
      </c>
      <c r="P63" s="453">
        <v>800</v>
      </c>
      <c r="Q63" s="453"/>
      <c r="R63" s="453"/>
      <c r="S63" s="453"/>
      <c r="T63" s="453"/>
      <c r="U63" s="453"/>
      <c r="V63" s="453">
        <v>0</v>
      </c>
      <c r="W63" s="453">
        <v>0</v>
      </c>
      <c r="X63" s="454">
        <f t="shared" si="48"/>
        <v>13376</v>
      </c>
      <c r="Y63" s="453"/>
      <c r="Z63" s="477"/>
      <c r="AA63" s="477"/>
      <c r="AB63" s="746">
        <f t="shared" si="6"/>
        <v>0</v>
      </c>
      <c r="AC63" s="478">
        <f t="shared" si="7"/>
        <v>800</v>
      </c>
      <c r="AD63" s="479">
        <f t="shared" si="78"/>
        <v>230880.230880231</v>
      </c>
      <c r="AE63" s="474">
        <f t="shared" si="9"/>
        <v>143073.892857143</v>
      </c>
      <c r="AF63" s="480">
        <f t="shared" si="51"/>
        <v>495.75103875</v>
      </c>
      <c r="AG63" s="481">
        <f t="shared" si="69"/>
        <v>304.24896125</v>
      </c>
      <c r="AH63" s="747">
        <f>[2]S2新Ratio布料!AB72*AA63</f>
        <v>0</v>
      </c>
      <c r="AI63" s="482"/>
      <c r="AJ63" s="482"/>
      <c r="AK63" s="482"/>
      <c r="AL63" s="483"/>
      <c r="AM63" s="483"/>
      <c r="AN63" s="483"/>
      <c r="AO63" s="482">
        <f t="shared" si="79"/>
        <v>1852352.88432268</v>
      </c>
    </row>
    <row r="64" customHeight="1" spans="1:42">
      <c r="A64" s="487"/>
      <c r="B64" s="498"/>
      <c r="C64" s="489">
        <v>0.0466269841269841</v>
      </c>
      <c r="D64" s="489">
        <v>0.0474025974025974</v>
      </c>
      <c r="E64" s="544" t="s">
        <v>3537</v>
      </c>
      <c r="F64" s="498"/>
      <c r="G64" s="492"/>
      <c r="H64" s="493">
        <v>1</v>
      </c>
      <c r="I64" s="542"/>
      <c r="J64" s="495">
        <v>0.53</v>
      </c>
      <c r="K64" s="751" t="s">
        <v>3530</v>
      </c>
      <c r="L64" s="497"/>
      <c r="M64" s="497"/>
      <c r="N64" s="550"/>
      <c r="O64" s="499">
        <f t="shared" si="4"/>
        <v>51601.2428571428</v>
      </c>
      <c r="P64" s="500">
        <v>19827.1396103896</v>
      </c>
      <c r="Q64" s="500"/>
      <c r="R64" s="500">
        <f>400000*D64</f>
        <v>18961.038961039</v>
      </c>
      <c r="S64" s="500">
        <f>300000*$D$64</f>
        <v>14220.7792207792</v>
      </c>
      <c r="T64" s="500">
        <f>500000*$D$64</f>
        <v>23701.2987012987</v>
      </c>
      <c r="U64" s="500">
        <f>400000*$D$64</f>
        <v>18961.038961039</v>
      </c>
      <c r="V64" s="500">
        <v>23701.2987012987</v>
      </c>
      <c r="W64" s="500">
        <v>23702</v>
      </c>
      <c r="X64" s="501">
        <f t="shared" si="48"/>
        <v>28094.7476298701</v>
      </c>
      <c r="Y64" s="500"/>
      <c r="Z64" s="502"/>
      <c r="AA64" s="502"/>
      <c r="AB64" s="753">
        <f t="shared" si="6"/>
        <v>0</v>
      </c>
      <c r="AC64" s="503">
        <f t="shared" si="7"/>
        <v>143074.594155844</v>
      </c>
      <c r="AD64" s="504"/>
      <c r="AE64" s="497">
        <f t="shared" si="9"/>
        <v>143073.892857143</v>
      </c>
      <c r="AF64" s="505">
        <f t="shared" si="51"/>
        <v>143073.892857143</v>
      </c>
      <c r="AG64" s="506">
        <f t="shared" si="69"/>
        <v>0.70129870128585</v>
      </c>
      <c r="AH64" s="747">
        <f>[2]S2新Ratio布料!AB73*AA64</f>
        <v>0</v>
      </c>
      <c r="AI64" s="507"/>
      <c r="AJ64" s="507"/>
      <c r="AK64" s="507"/>
      <c r="AL64" s="508"/>
      <c r="AM64" s="508"/>
      <c r="AN64" s="508"/>
      <c r="AO64" s="507"/>
    </row>
    <row r="65" customHeight="1" spans="1:41">
      <c r="A65" s="439"/>
      <c r="B65" s="450" t="s">
        <v>3615</v>
      </c>
      <c r="C65" s="441">
        <v>0.0466269841269841</v>
      </c>
      <c r="D65" s="441">
        <v>0.0474025974025974</v>
      </c>
      <c r="E65" s="735" t="s">
        <v>3616</v>
      </c>
      <c r="F65" s="736" t="s">
        <v>3617</v>
      </c>
      <c r="G65" s="554">
        <v>1000</v>
      </c>
      <c r="H65" s="445">
        <v>0.00861</v>
      </c>
      <c r="I65" s="446">
        <f t="shared" ref="I65:I67" si="80">G65/H65</f>
        <v>116144.018583043</v>
      </c>
      <c r="J65" s="447">
        <v>18.45</v>
      </c>
      <c r="K65" s="738" t="s">
        <v>3530</v>
      </c>
      <c r="L65" s="449">
        <f t="shared" ref="L65:L67" si="81">G65/C65/H65</f>
        <v>2490918.52620654</v>
      </c>
      <c r="M65" s="449">
        <f t="shared" ref="M65:M67" si="82">G65/H65/D65</f>
        <v>2450161.48791625</v>
      </c>
      <c r="N65" s="450"/>
      <c r="O65" s="451">
        <f t="shared" si="4"/>
        <v>444.286701</v>
      </c>
      <c r="P65" s="452">
        <v>1000</v>
      </c>
      <c r="Q65" s="452"/>
      <c r="R65" s="452"/>
      <c r="S65" s="452"/>
      <c r="T65" s="452"/>
      <c r="U65" s="452"/>
      <c r="V65" s="452">
        <v>1000</v>
      </c>
      <c r="W65" s="452">
        <v>0</v>
      </c>
      <c r="X65" s="454">
        <f t="shared" si="48"/>
        <v>18450</v>
      </c>
      <c r="Y65" s="452"/>
      <c r="Z65" s="455"/>
      <c r="AA65" s="455"/>
      <c r="AB65" s="740">
        <f t="shared" si="6"/>
        <v>0</v>
      </c>
      <c r="AC65" s="456">
        <f t="shared" si="7"/>
        <v>2000</v>
      </c>
      <c r="AD65" s="457">
        <f t="shared" ref="AD65:AD67" si="83">AC65/H65</f>
        <v>232288.037166086</v>
      </c>
      <c r="AE65" s="474">
        <f t="shared" si="9"/>
        <v>143073.892857143</v>
      </c>
      <c r="AF65" s="458">
        <f t="shared" si="51"/>
        <v>1231.8662175</v>
      </c>
      <c r="AG65" s="459">
        <f t="shared" si="69"/>
        <v>768.1337825</v>
      </c>
      <c r="AH65" s="741">
        <f>[2]S2新Ratio布料!AB74*AA65</f>
        <v>0</v>
      </c>
      <c r="AI65" s="460">
        <f>$AI$4*C65</f>
        <v>4926.60714285714</v>
      </c>
      <c r="AJ65" s="460">
        <f>$AJ$4*D65</f>
        <v>138147.285714286</v>
      </c>
      <c r="AK65" s="460"/>
      <c r="AL65" s="461"/>
      <c r="AM65" s="461"/>
      <c r="AN65" s="461"/>
      <c r="AO65" s="460">
        <f t="shared" ref="AO65:AO67" si="84">AG65/H65/D65</f>
        <v>1882051.81144894</v>
      </c>
    </row>
    <row r="66" customHeight="1" spans="1:41">
      <c r="A66" s="464"/>
      <c r="B66" s="475"/>
      <c r="C66" s="466">
        <v>0.0466269841269841</v>
      </c>
      <c r="D66" s="466">
        <v>0.0474025974025974</v>
      </c>
      <c r="E66" s="748" t="s">
        <v>3610</v>
      </c>
      <c r="F66" s="743" t="s">
        <v>3618</v>
      </c>
      <c r="G66" s="486">
        <v>1000</v>
      </c>
      <c r="H66" s="470">
        <v>0.006615</v>
      </c>
      <c r="I66" s="471">
        <f t="shared" si="80"/>
        <v>151171.579743008</v>
      </c>
      <c r="J66" s="472">
        <v>16.72</v>
      </c>
      <c r="K66" s="744" t="s">
        <v>3530</v>
      </c>
      <c r="L66" s="474">
        <f t="shared" si="81"/>
        <v>3242147.92299899</v>
      </c>
      <c r="M66" s="474">
        <f t="shared" si="82"/>
        <v>3189099.07951004</v>
      </c>
      <c r="N66" s="749" t="s">
        <v>3611</v>
      </c>
      <c r="O66" s="476">
        <f t="shared" si="4"/>
        <v>341.3422215</v>
      </c>
      <c r="P66" s="453">
        <v>656.25</v>
      </c>
      <c r="Q66" s="453"/>
      <c r="R66" s="453"/>
      <c r="S66" s="453"/>
      <c r="T66" s="453"/>
      <c r="U66" s="453"/>
      <c r="V66" s="453">
        <v>650</v>
      </c>
      <c r="W66" s="453">
        <v>0</v>
      </c>
      <c r="X66" s="454">
        <f t="shared" si="48"/>
        <v>10972.5</v>
      </c>
      <c r="Y66" s="453">
        <v>53</v>
      </c>
      <c r="Z66" s="477">
        <f>H66/(H59+H66)</f>
        <v>0.65625</v>
      </c>
      <c r="AA66" s="477"/>
      <c r="AB66" s="746">
        <f t="shared" si="6"/>
        <v>34.78125</v>
      </c>
      <c r="AC66" s="478">
        <f t="shared" si="7"/>
        <v>1341.03125</v>
      </c>
      <c r="AD66" s="479">
        <f t="shared" si="83"/>
        <v>202725.812547241</v>
      </c>
      <c r="AE66" s="474">
        <f t="shared" si="9"/>
        <v>143073.892857143</v>
      </c>
      <c r="AF66" s="480">
        <f t="shared" si="51"/>
        <v>946.43380125</v>
      </c>
      <c r="AG66" s="481">
        <f t="shared" si="69"/>
        <v>394.59744875</v>
      </c>
      <c r="AH66" s="747">
        <f>[2]S2新Ratio布料!AB75*AA66</f>
        <v>0</v>
      </c>
      <c r="AI66" s="482"/>
      <c r="AJ66" s="482"/>
      <c r="AK66" s="482"/>
      <c r="AL66" s="483"/>
      <c r="AM66" s="483"/>
      <c r="AN66" s="483"/>
      <c r="AO66" s="482">
        <f t="shared" si="84"/>
        <v>1258410.36058564</v>
      </c>
    </row>
    <row r="67" customHeight="1" spans="1:41">
      <c r="A67" s="464"/>
      <c r="B67" s="475"/>
      <c r="C67" s="466">
        <v>0.0466269841269841</v>
      </c>
      <c r="D67" s="466">
        <v>0.0474025974025974</v>
      </c>
      <c r="E67" s="475" t="s">
        <v>3607</v>
      </c>
      <c r="F67" s="743"/>
      <c r="G67" s="469">
        <v>2500</v>
      </c>
      <c r="H67" s="470">
        <v>0.009555</v>
      </c>
      <c r="I67" s="471">
        <f t="shared" si="80"/>
        <v>261643.118785976</v>
      </c>
      <c r="J67" s="472">
        <v>25.3</v>
      </c>
      <c r="K67" s="744" t="s">
        <v>3530</v>
      </c>
      <c r="L67" s="474">
        <f t="shared" si="81"/>
        <v>5611409.86672902</v>
      </c>
      <c r="M67" s="474">
        <f t="shared" si="82"/>
        <v>5519594.56069045</v>
      </c>
      <c r="N67" s="749" t="s">
        <v>3619</v>
      </c>
      <c r="O67" s="476">
        <f t="shared" si="4"/>
        <v>493.0498755</v>
      </c>
      <c r="P67" s="453">
        <v>0</v>
      </c>
      <c r="Q67" s="453"/>
      <c r="R67" s="453"/>
      <c r="S67" s="453"/>
      <c r="T67" s="453">
        <v>1500</v>
      </c>
      <c r="U67" s="453"/>
      <c r="V67" s="453">
        <v>0</v>
      </c>
      <c r="W67" s="453">
        <v>0</v>
      </c>
      <c r="X67" s="454">
        <f t="shared" si="48"/>
        <v>0</v>
      </c>
      <c r="Y67" s="453">
        <v>1002</v>
      </c>
      <c r="Z67" s="477">
        <f>H67/(H67+H58)</f>
        <v>0.733870967741935</v>
      </c>
      <c r="AA67" s="477"/>
      <c r="AB67" s="746">
        <f t="shared" si="6"/>
        <v>735.338709677419</v>
      </c>
      <c r="AC67" s="478">
        <f t="shared" si="7"/>
        <v>2235.33870967742</v>
      </c>
      <c r="AD67" s="479">
        <f t="shared" si="83"/>
        <v>233944.396617208</v>
      </c>
      <c r="AE67" s="474">
        <f t="shared" si="9"/>
        <v>143073.892857143</v>
      </c>
      <c r="AF67" s="480">
        <f t="shared" si="51"/>
        <v>1367.07104625</v>
      </c>
      <c r="AG67" s="481">
        <f t="shared" si="69"/>
        <v>820.646776330646</v>
      </c>
      <c r="AH67" s="747">
        <f>[2]S2新Ratio布料!AB65*'77485车缝MA'!Z67</f>
        <v>47.6208870967742</v>
      </c>
      <c r="AI67" s="482"/>
      <c r="AJ67" s="482"/>
      <c r="AK67" s="482"/>
      <c r="AL67" s="483"/>
      <c r="AM67" s="483"/>
      <c r="AN67" s="483"/>
      <c r="AO67" s="482">
        <f t="shared" si="84"/>
        <v>1811854.99315311</v>
      </c>
    </row>
    <row r="68" customHeight="1" spans="1:41">
      <c r="A68" s="487"/>
      <c r="B68" s="498"/>
      <c r="C68" s="489">
        <v>0.0466269841269841</v>
      </c>
      <c r="D68" s="489">
        <v>0.0474025974025974</v>
      </c>
      <c r="E68" s="544" t="s">
        <v>3537</v>
      </c>
      <c r="F68" s="750"/>
      <c r="G68" s="549"/>
      <c r="H68" s="493">
        <v>1</v>
      </c>
      <c r="I68" s="542"/>
      <c r="J68" s="495">
        <v>1.5</v>
      </c>
      <c r="K68" s="751" t="s">
        <v>3530</v>
      </c>
      <c r="L68" s="497"/>
      <c r="M68" s="497"/>
      <c r="N68" s="498"/>
      <c r="O68" s="499">
        <f t="shared" si="4"/>
        <v>51601.2428571428</v>
      </c>
      <c r="P68" s="500">
        <v>19827.1396103896</v>
      </c>
      <c r="Q68" s="500"/>
      <c r="R68" s="500">
        <f t="shared" ref="R68:R72" si="85">400000*D68</f>
        <v>18961.038961039</v>
      </c>
      <c r="S68" s="500">
        <f>300000*$D$68</f>
        <v>14220.7792207792</v>
      </c>
      <c r="T68" s="500">
        <f>500000*$D$68</f>
        <v>23701.2987012987</v>
      </c>
      <c r="U68" s="500">
        <f>400000*$D$68</f>
        <v>18961.038961039</v>
      </c>
      <c r="V68" s="500">
        <v>23701.2987012987</v>
      </c>
      <c r="W68" s="500">
        <v>23702</v>
      </c>
      <c r="X68" s="501">
        <f t="shared" si="48"/>
        <v>79513.4366883117</v>
      </c>
      <c r="Y68" s="500"/>
      <c r="Z68" s="502"/>
      <c r="AA68" s="502"/>
      <c r="AB68" s="753">
        <f t="shared" si="6"/>
        <v>0</v>
      </c>
      <c r="AC68" s="503">
        <f t="shared" si="7"/>
        <v>143074.594155844</v>
      </c>
      <c r="AD68" s="504"/>
      <c r="AE68" s="497">
        <f t="shared" si="9"/>
        <v>143073.892857143</v>
      </c>
      <c r="AF68" s="505">
        <f t="shared" si="51"/>
        <v>143073.892857143</v>
      </c>
      <c r="AG68" s="506">
        <f t="shared" si="69"/>
        <v>0.70129870128585</v>
      </c>
      <c r="AH68" s="747">
        <f>[2]S2新Ratio布料!AB77*AA68</f>
        <v>0</v>
      </c>
      <c r="AI68" s="507"/>
      <c r="AJ68" s="507"/>
      <c r="AK68" s="507"/>
      <c r="AL68" s="508"/>
      <c r="AM68" s="508"/>
      <c r="AN68" s="508"/>
      <c r="AO68" s="507"/>
    </row>
    <row r="69" customHeight="1" spans="1:41">
      <c r="A69" s="439"/>
      <c r="B69" s="450" t="s">
        <v>3620</v>
      </c>
      <c r="C69" s="441">
        <v>0.0466269841269841</v>
      </c>
      <c r="D69" s="441">
        <v>0.0474025974025974</v>
      </c>
      <c r="E69" s="450" t="s">
        <v>3621</v>
      </c>
      <c r="F69" s="736" t="s">
        <v>3622</v>
      </c>
      <c r="G69" s="444">
        <v>800</v>
      </c>
      <c r="H69" s="445">
        <v>0.0084</v>
      </c>
      <c r="I69" s="446">
        <f t="shared" ref="I69:I74" si="86">G69/H69</f>
        <v>95238.0952380952</v>
      </c>
      <c r="J69" s="447">
        <v>19.8</v>
      </c>
      <c r="K69" s="738" t="s">
        <v>3530</v>
      </c>
      <c r="L69" s="449">
        <f t="shared" ref="L69:L74" si="87">G69/C69/H69</f>
        <v>2042553.19148936</v>
      </c>
      <c r="M69" s="449">
        <f t="shared" ref="M69:M74" si="88">G69/H69/D69</f>
        <v>2009132.42009132</v>
      </c>
      <c r="N69" s="450"/>
      <c r="O69" s="451">
        <f t="shared" ref="O69:O75" si="89">C69*$L$3*H69+D69*H69*$M$3</f>
        <v>433.45044</v>
      </c>
      <c r="P69" s="452">
        <v>800</v>
      </c>
      <c r="Q69" s="452"/>
      <c r="R69" s="452"/>
      <c r="S69" s="452"/>
      <c r="T69" s="452"/>
      <c r="U69" s="452">
        <v>800</v>
      </c>
      <c r="V69" s="452">
        <v>0</v>
      </c>
      <c r="W69" s="452">
        <v>0</v>
      </c>
      <c r="X69" s="454">
        <f t="shared" ref="X69:X75" si="90">(P69+Q69+R69+S69)*J69</f>
        <v>15840</v>
      </c>
      <c r="Y69" s="452"/>
      <c r="Z69" s="455"/>
      <c r="AA69" s="455"/>
      <c r="AB69" s="740">
        <f t="shared" ref="AB69:AB104" si="91">Y69*(Z69+AA69)</f>
        <v>0</v>
      </c>
      <c r="AC69" s="456">
        <f t="shared" ref="AC69:AC75" si="92">SUM(P69:W69)+AB69</f>
        <v>1600</v>
      </c>
      <c r="AD69" s="457">
        <f t="shared" ref="AD69:AD74" si="93">AC69/H69</f>
        <v>190476.19047619</v>
      </c>
      <c r="AE69" s="474">
        <f t="shared" ref="AE69:AE104" si="94">$AI$4*C69+$AJ$4*D69+AK69+AL69+AM69+AN69</f>
        <v>143073.892857143</v>
      </c>
      <c r="AF69" s="458">
        <f t="shared" si="51"/>
        <v>1201.8207</v>
      </c>
      <c r="AG69" s="459">
        <f t="shared" si="69"/>
        <v>398.1793</v>
      </c>
      <c r="AH69" s="741">
        <f>[2]S2新Ratio布料!AB78*AA69</f>
        <v>0</v>
      </c>
      <c r="AI69" s="460">
        <f>$AI$4*C69</f>
        <v>4926.60714285714</v>
      </c>
      <c r="AJ69" s="460">
        <f>$AJ$4*D69</f>
        <v>138147.285714286</v>
      </c>
      <c r="AK69" s="460"/>
      <c r="AL69" s="461"/>
      <c r="AM69" s="461"/>
      <c r="AN69" s="461"/>
      <c r="AO69" s="460">
        <f t="shared" ref="AO69:AO74" si="95">AG69/H69/D69</f>
        <v>999993.675799088</v>
      </c>
    </row>
    <row r="70" customHeight="1" spans="1:41">
      <c r="A70" s="487"/>
      <c r="B70" s="498"/>
      <c r="C70" s="489">
        <v>0.0466269841269841</v>
      </c>
      <c r="D70" s="489">
        <v>0.0474025974025974</v>
      </c>
      <c r="E70" s="544" t="s">
        <v>3537</v>
      </c>
      <c r="F70" s="750"/>
      <c r="G70" s="492"/>
      <c r="H70" s="493">
        <v>1</v>
      </c>
      <c r="I70" s="542"/>
      <c r="J70" s="495">
        <v>1.47</v>
      </c>
      <c r="K70" s="751" t="s">
        <v>3530</v>
      </c>
      <c r="L70" s="497"/>
      <c r="M70" s="497"/>
      <c r="N70" s="498"/>
      <c r="O70" s="499">
        <f t="shared" si="89"/>
        <v>51601.2428571428</v>
      </c>
      <c r="P70" s="500">
        <v>19827.1396103896</v>
      </c>
      <c r="Q70" s="500"/>
      <c r="R70" s="500">
        <f t="shared" si="85"/>
        <v>18961.038961039</v>
      </c>
      <c r="S70" s="500">
        <f>300000*$D$70</f>
        <v>14220.7792207792</v>
      </c>
      <c r="T70" s="500">
        <f>500000*$D$70</f>
        <v>23701.2987012987</v>
      </c>
      <c r="U70" s="500">
        <f>400000*$D$70</f>
        <v>18961.038961039</v>
      </c>
      <c r="V70" s="500">
        <v>23701.2987012987</v>
      </c>
      <c r="W70" s="500">
        <v>23702</v>
      </c>
      <c r="X70" s="501">
        <f t="shared" si="90"/>
        <v>77923.1679545454</v>
      </c>
      <c r="Y70" s="500"/>
      <c r="Z70" s="502"/>
      <c r="AA70" s="502"/>
      <c r="AB70" s="753">
        <f t="shared" si="91"/>
        <v>0</v>
      </c>
      <c r="AC70" s="503">
        <f t="shared" si="92"/>
        <v>143074.594155844</v>
      </c>
      <c r="AD70" s="504"/>
      <c r="AE70" s="497">
        <f t="shared" si="94"/>
        <v>143073.892857143</v>
      </c>
      <c r="AF70" s="505">
        <f t="shared" si="51"/>
        <v>143073.892857143</v>
      </c>
      <c r="AG70" s="506" t="e">
        <f t="shared" si="69"/>
        <v>#REF!</v>
      </c>
      <c r="AH70" s="747" t="e">
        <f>[2]S2新Ratio布料!AB79*AA70</f>
        <v>#REF!</v>
      </c>
      <c r="AI70" s="507"/>
      <c r="AJ70" s="507"/>
      <c r="AK70" s="507"/>
      <c r="AL70" s="508"/>
      <c r="AM70" s="508"/>
      <c r="AN70" s="508"/>
      <c r="AO70" s="507"/>
    </row>
    <row r="71" customHeight="1" spans="1:41">
      <c r="A71" s="439"/>
      <c r="B71" s="450" t="s">
        <v>3623</v>
      </c>
      <c r="C71" s="441">
        <v>0.0466269841269841</v>
      </c>
      <c r="D71" s="441">
        <v>0.0474025974025974</v>
      </c>
      <c r="E71" s="736" t="s">
        <v>3624</v>
      </c>
      <c r="F71" s="736" t="s">
        <v>3622</v>
      </c>
      <c r="G71" s="444">
        <v>800</v>
      </c>
      <c r="H71" s="445">
        <v>0.0084</v>
      </c>
      <c r="I71" s="446">
        <f t="shared" si="86"/>
        <v>95238.0952380952</v>
      </c>
      <c r="J71" s="447">
        <v>19.8</v>
      </c>
      <c r="K71" s="738" t="s">
        <v>3530</v>
      </c>
      <c r="L71" s="449">
        <f t="shared" si="87"/>
        <v>2042553.19148936</v>
      </c>
      <c r="M71" s="449">
        <f t="shared" si="88"/>
        <v>2009132.42009132</v>
      </c>
      <c r="N71" s="450"/>
      <c r="O71" s="451">
        <f t="shared" si="89"/>
        <v>433.45044</v>
      </c>
      <c r="P71" s="452">
        <v>800</v>
      </c>
      <c r="Q71" s="452"/>
      <c r="R71" s="452"/>
      <c r="S71" s="452"/>
      <c r="T71" s="452"/>
      <c r="U71" s="452">
        <v>800</v>
      </c>
      <c r="V71" s="452">
        <v>0</v>
      </c>
      <c r="W71" s="452">
        <v>0</v>
      </c>
      <c r="X71" s="454">
        <f t="shared" si="90"/>
        <v>15840</v>
      </c>
      <c r="Y71" s="452"/>
      <c r="Z71" s="455"/>
      <c r="AA71" s="455"/>
      <c r="AB71" s="740">
        <f t="shared" si="91"/>
        <v>0</v>
      </c>
      <c r="AC71" s="456">
        <f t="shared" si="92"/>
        <v>1600</v>
      </c>
      <c r="AD71" s="457">
        <f t="shared" si="93"/>
        <v>190476.19047619</v>
      </c>
      <c r="AE71" s="474">
        <f t="shared" si="94"/>
        <v>143073.892857143</v>
      </c>
      <c r="AF71" s="458">
        <f t="shared" si="51"/>
        <v>1201.8207</v>
      </c>
      <c r="AG71" s="459" t="e">
        <f t="shared" si="69"/>
        <v>#REF!</v>
      </c>
      <c r="AH71" s="741" t="e">
        <f>[2]S2新Ratio布料!AB80*AA71</f>
        <v>#REF!</v>
      </c>
      <c r="AI71" s="460">
        <f>$AI$4*C71</f>
        <v>4926.60714285714</v>
      </c>
      <c r="AJ71" s="460">
        <f>$AJ$4*D71</f>
        <v>138147.285714286</v>
      </c>
      <c r="AK71" s="460"/>
      <c r="AL71" s="461"/>
      <c r="AM71" s="461"/>
      <c r="AN71" s="461"/>
      <c r="AO71" s="460" t="e">
        <f t="shared" si="95"/>
        <v>#REF!</v>
      </c>
    </row>
    <row r="72" customHeight="1" spans="1:41">
      <c r="A72" s="487"/>
      <c r="B72" s="498"/>
      <c r="C72" s="489">
        <v>0.0466269841269841</v>
      </c>
      <c r="D72" s="489">
        <v>0.0474025974025974</v>
      </c>
      <c r="E72" s="544" t="s">
        <v>3537</v>
      </c>
      <c r="F72" s="498"/>
      <c r="G72" s="492"/>
      <c r="H72" s="493">
        <v>1</v>
      </c>
      <c r="I72" s="494"/>
      <c r="J72" s="495">
        <v>1.47</v>
      </c>
      <c r="K72" s="751" t="s">
        <v>3530</v>
      </c>
      <c r="L72" s="497"/>
      <c r="M72" s="497"/>
      <c r="N72" s="498"/>
      <c r="O72" s="499">
        <f t="shared" si="89"/>
        <v>51601.2428571428</v>
      </c>
      <c r="P72" s="500">
        <v>19827.1396103896</v>
      </c>
      <c r="Q72" s="500"/>
      <c r="R72" s="500">
        <f t="shared" si="85"/>
        <v>18961.038961039</v>
      </c>
      <c r="S72" s="500">
        <f>300000*$D$72</f>
        <v>14220.7792207792</v>
      </c>
      <c r="T72" s="500">
        <f>500000*$D$72</f>
        <v>23701.2987012987</v>
      </c>
      <c r="U72" s="500">
        <f>400000*$D$72</f>
        <v>18961.038961039</v>
      </c>
      <c r="V72" s="500">
        <v>23701.2987012987</v>
      </c>
      <c r="W72" s="500">
        <v>23702</v>
      </c>
      <c r="X72" s="501">
        <f t="shared" si="90"/>
        <v>77923.1679545454</v>
      </c>
      <c r="Y72" s="500"/>
      <c r="Z72" s="502"/>
      <c r="AA72" s="502"/>
      <c r="AB72" s="753">
        <f t="shared" si="91"/>
        <v>0</v>
      </c>
      <c r="AC72" s="503">
        <f t="shared" si="92"/>
        <v>143074.594155844</v>
      </c>
      <c r="AD72" s="504"/>
      <c r="AE72" s="497">
        <f t="shared" si="94"/>
        <v>143073.892857143</v>
      </c>
      <c r="AF72" s="505">
        <f t="shared" si="51"/>
        <v>143073.892857143</v>
      </c>
      <c r="AG72" s="506" t="e">
        <f t="shared" si="69"/>
        <v>#REF!</v>
      </c>
      <c r="AH72" s="747" t="e">
        <f>[2]S2新Ratio布料!AB81*AA72</f>
        <v>#REF!</v>
      </c>
      <c r="AI72" s="507"/>
      <c r="AJ72" s="507"/>
      <c r="AK72" s="507"/>
      <c r="AL72" s="508"/>
      <c r="AM72" s="508"/>
      <c r="AN72" s="508"/>
      <c r="AO72" s="507"/>
    </row>
    <row r="73" customHeight="1" spans="1:41">
      <c r="A73" s="439"/>
      <c r="B73" s="450" t="s">
        <v>3625</v>
      </c>
      <c r="C73" s="441">
        <v>0.0208333333333333</v>
      </c>
      <c r="D73" s="763">
        <v>0.0474025974025974</v>
      </c>
      <c r="E73" s="736" t="s">
        <v>3626</v>
      </c>
      <c r="F73" s="450" t="s">
        <v>3627</v>
      </c>
      <c r="G73" s="737">
        <f>500-100</f>
        <v>400</v>
      </c>
      <c r="H73" s="445">
        <v>0.002268</v>
      </c>
      <c r="I73" s="446">
        <f t="shared" si="86"/>
        <v>176366.84303351</v>
      </c>
      <c r="J73" s="447">
        <v>16.5</v>
      </c>
      <c r="K73" s="738" t="s">
        <v>3530</v>
      </c>
      <c r="L73" s="449">
        <f t="shared" si="87"/>
        <v>8465608.46560848</v>
      </c>
      <c r="M73" s="449">
        <f t="shared" si="88"/>
        <v>3720615.59276171</v>
      </c>
      <c r="N73" s="450"/>
      <c r="O73" s="451">
        <f t="shared" si="89"/>
        <v>110.8505088</v>
      </c>
      <c r="P73" s="452">
        <v>400</v>
      </c>
      <c r="Q73" s="452"/>
      <c r="R73" s="452"/>
      <c r="S73" s="452"/>
      <c r="T73" s="452"/>
      <c r="U73" s="452"/>
      <c r="V73" s="452">
        <v>0</v>
      </c>
      <c r="W73" s="452">
        <v>0</v>
      </c>
      <c r="X73" s="454">
        <f t="shared" si="90"/>
        <v>6600</v>
      </c>
      <c r="Y73" s="452"/>
      <c r="Z73" s="455"/>
      <c r="AA73" s="455"/>
      <c r="AB73" s="740">
        <f t="shared" si="91"/>
        <v>0</v>
      </c>
      <c r="AC73" s="456">
        <f t="shared" si="92"/>
        <v>400</v>
      </c>
      <c r="AD73" s="457">
        <f t="shared" si="93"/>
        <v>176366.84303351</v>
      </c>
      <c r="AE73" s="474">
        <f t="shared" si="94"/>
        <v>140348.535714286</v>
      </c>
      <c r="AF73" s="458">
        <f t="shared" si="51"/>
        <v>318.310479</v>
      </c>
      <c r="AG73" s="459" t="e">
        <f t="shared" si="69"/>
        <v>#REF!</v>
      </c>
      <c r="AH73" s="741" t="e">
        <f>[2]S2新Ratio布料!AB82*AA73</f>
        <v>#REF!</v>
      </c>
      <c r="AI73" s="460">
        <f>$AI$4*C73</f>
        <v>2201.25</v>
      </c>
      <c r="AJ73" s="460">
        <f>$AJ$4*D73</f>
        <v>138147.285714286</v>
      </c>
      <c r="AK73" s="460"/>
      <c r="AL73" s="461"/>
      <c r="AM73" s="461"/>
      <c r="AN73" s="461"/>
      <c r="AO73" s="460" t="e">
        <f t="shared" si="95"/>
        <v>#REF!</v>
      </c>
    </row>
    <row r="74" customHeight="1" spans="1:41">
      <c r="A74" s="464"/>
      <c r="B74" s="475"/>
      <c r="C74" s="466">
        <v>0.0208333333333333</v>
      </c>
      <c r="D74" s="764">
        <v>0.0474025974025974</v>
      </c>
      <c r="E74" s="765" t="s">
        <v>3628</v>
      </c>
      <c r="F74" s="475" t="s">
        <v>3629</v>
      </c>
      <c r="G74" s="469">
        <v>1000</v>
      </c>
      <c r="H74" s="470">
        <v>0.036435</v>
      </c>
      <c r="I74" s="471">
        <f t="shared" si="86"/>
        <v>27446.1369562234</v>
      </c>
      <c r="J74" s="472">
        <v>1.65</v>
      </c>
      <c r="K74" s="744" t="s">
        <v>3530</v>
      </c>
      <c r="L74" s="474">
        <f t="shared" si="87"/>
        <v>1317414.57389873</v>
      </c>
      <c r="M74" s="474">
        <f t="shared" si="88"/>
        <v>579000.697432658</v>
      </c>
      <c r="N74" s="475"/>
      <c r="O74" s="476">
        <f t="shared" si="89"/>
        <v>1780.792896</v>
      </c>
      <c r="P74" s="453">
        <v>1000</v>
      </c>
      <c r="Q74" s="453"/>
      <c r="R74" s="453">
        <v>1000</v>
      </c>
      <c r="S74" s="453"/>
      <c r="T74" s="453">
        <v>1000</v>
      </c>
      <c r="U74" s="453">
        <v>1000</v>
      </c>
      <c r="V74" s="453">
        <v>1000</v>
      </c>
      <c r="W74" s="453">
        <v>1000</v>
      </c>
      <c r="X74" s="454">
        <f t="shared" si="90"/>
        <v>3300</v>
      </c>
      <c r="Y74" s="453"/>
      <c r="Z74" s="477"/>
      <c r="AA74" s="477"/>
      <c r="AB74" s="746">
        <f t="shared" si="91"/>
        <v>0</v>
      </c>
      <c r="AC74" s="478">
        <f t="shared" si="92"/>
        <v>6000</v>
      </c>
      <c r="AD74" s="479">
        <f t="shared" si="93"/>
        <v>164676.82173734</v>
      </c>
      <c r="AE74" s="474">
        <f t="shared" si="94"/>
        <v>140348.535714286</v>
      </c>
      <c r="AF74" s="480">
        <f t="shared" si="51"/>
        <v>5113.59889875</v>
      </c>
      <c r="AG74" s="481" t="e">
        <f t="shared" si="69"/>
        <v>#REF!</v>
      </c>
      <c r="AH74" s="747" t="e">
        <f>[2]S2新Ratio布料!AB83*AA74</f>
        <v>#REF!</v>
      </c>
      <c r="AI74" s="482"/>
      <c r="AJ74" s="482"/>
      <c r="AK74" s="482"/>
      <c r="AL74" s="483"/>
      <c r="AM74" s="483"/>
      <c r="AN74" s="483"/>
      <c r="AO74" s="482" t="e">
        <f t="shared" si="95"/>
        <v>#REF!</v>
      </c>
    </row>
    <row r="75" customHeight="1" spans="1:41">
      <c r="A75" s="487"/>
      <c r="B75" s="498"/>
      <c r="C75" s="489">
        <v>0.0208333333333333</v>
      </c>
      <c r="D75" s="766">
        <v>0.0474025974025974</v>
      </c>
      <c r="E75" s="544" t="s">
        <v>3537</v>
      </c>
      <c r="F75" s="498"/>
      <c r="G75" s="492"/>
      <c r="H75" s="493">
        <v>1</v>
      </c>
      <c r="I75" s="542"/>
      <c r="J75" s="495">
        <v>0.45</v>
      </c>
      <c r="K75" s="751" t="s">
        <v>3530</v>
      </c>
      <c r="L75" s="497"/>
      <c r="M75" s="497"/>
      <c r="N75" s="498"/>
      <c r="O75" s="499">
        <f t="shared" si="89"/>
        <v>48875.8857142857</v>
      </c>
      <c r="P75" s="500">
        <v>9745.41</v>
      </c>
      <c r="Q75" s="500"/>
      <c r="R75" s="500">
        <v>26316</v>
      </c>
      <c r="S75" s="500">
        <v>14220</v>
      </c>
      <c r="T75" s="500">
        <f>500000*$D$75+2</f>
        <v>23703.2987012987</v>
      </c>
      <c r="U75" s="500">
        <f>400000*$D$75</f>
        <v>18961.038961039</v>
      </c>
      <c r="V75" s="500">
        <v>23701.2987012987</v>
      </c>
      <c r="W75" s="500">
        <v>23702</v>
      </c>
      <c r="X75" s="501">
        <f t="shared" si="90"/>
        <v>22626.6345</v>
      </c>
      <c r="Y75" s="500"/>
      <c r="Z75" s="502"/>
      <c r="AA75" s="502"/>
      <c r="AB75" s="753">
        <f t="shared" si="91"/>
        <v>0</v>
      </c>
      <c r="AC75" s="503">
        <f t="shared" si="92"/>
        <v>140349.046363636</v>
      </c>
      <c r="AD75" s="504"/>
      <c r="AE75" s="497">
        <f t="shared" si="94"/>
        <v>140348.535714286</v>
      </c>
      <c r="AF75" s="505">
        <f t="shared" si="51"/>
        <v>140348.535714286</v>
      </c>
      <c r="AG75" s="506" t="e">
        <f t="shared" si="69"/>
        <v>#REF!</v>
      </c>
      <c r="AH75" s="747" t="e">
        <f>[2]S2新Ratio布料!AB84*AA75</f>
        <v>#REF!</v>
      </c>
      <c r="AI75" s="507"/>
      <c r="AJ75" s="507"/>
      <c r="AK75" s="507"/>
      <c r="AL75" s="508"/>
      <c r="AM75" s="508"/>
      <c r="AN75" s="508"/>
      <c r="AO75" s="507"/>
    </row>
    <row r="76" ht="70.25" customHeight="1" spans="1:41">
      <c r="A76" s="521"/>
      <c r="B76" s="525" t="s">
        <v>3630</v>
      </c>
      <c r="C76" s="523">
        <v>0.0466269841269841</v>
      </c>
      <c r="D76" s="523">
        <v>0.0474025974025974</v>
      </c>
      <c r="E76" s="767" t="s">
        <v>3631</v>
      </c>
      <c r="F76" s="525"/>
      <c r="G76" s="525"/>
      <c r="H76" s="526"/>
      <c r="I76" s="527"/>
      <c r="J76" s="528"/>
      <c r="K76" s="768"/>
      <c r="L76" s="530"/>
      <c r="M76" s="530"/>
      <c r="N76" s="525"/>
      <c r="O76" s="531"/>
      <c r="P76" s="532"/>
      <c r="Q76" s="532"/>
      <c r="R76" s="532"/>
      <c r="S76" s="532"/>
      <c r="T76" s="532"/>
      <c r="U76" s="532"/>
      <c r="V76" s="532"/>
      <c r="W76" s="532"/>
      <c r="X76" s="533">
        <f t="shared" ref="X76:X79" si="96">(P76+Q76+R76)*J76</f>
        <v>0</v>
      </c>
      <c r="Y76" s="769"/>
      <c r="Z76" s="534"/>
      <c r="AA76" s="534"/>
      <c r="AB76" s="770">
        <f t="shared" si="91"/>
        <v>0</v>
      </c>
      <c r="AC76" s="562">
        <f t="shared" ref="AC76:AC79" si="97">P76+AB76+Q76</f>
        <v>0</v>
      </c>
      <c r="AD76" s="535"/>
      <c r="AE76" s="497">
        <f t="shared" si="94"/>
        <v>198334.892857143</v>
      </c>
      <c r="AF76" s="536"/>
      <c r="AG76" s="537" t="e">
        <f t="shared" si="69"/>
        <v>#REF!</v>
      </c>
      <c r="AH76" s="741" t="e">
        <f>[2]S2新Ratio布料!AB85*AA76</f>
        <v>#REF!</v>
      </c>
      <c r="AI76" s="538">
        <f>$AI$4*C76</f>
        <v>4926.60714285714</v>
      </c>
      <c r="AJ76" s="538">
        <f>$AJ$4*D76</f>
        <v>138147.285714286</v>
      </c>
      <c r="AK76" s="538">
        <f>15970+11700+22330</f>
        <v>50000</v>
      </c>
      <c r="AL76" s="539"/>
      <c r="AM76" s="539">
        <f t="shared" ref="AM76:AM81" si="98">300+3200</f>
        <v>3500</v>
      </c>
      <c r="AN76" s="539">
        <v>1761</v>
      </c>
      <c r="AO76" s="538"/>
    </row>
    <row r="77" ht="70.25" customHeight="1" spans="1:41">
      <c r="A77" s="521"/>
      <c r="B77" s="525" t="s">
        <v>3632</v>
      </c>
      <c r="C77" s="523">
        <v>0.0466269841269841</v>
      </c>
      <c r="D77" s="523">
        <v>0.0474025974025974</v>
      </c>
      <c r="E77" s="767" t="s">
        <v>3633</v>
      </c>
      <c r="F77" s="525"/>
      <c r="G77" s="525"/>
      <c r="H77" s="526"/>
      <c r="I77" s="527"/>
      <c r="J77" s="528"/>
      <c r="K77" s="768"/>
      <c r="L77" s="530"/>
      <c r="M77" s="530"/>
      <c r="N77" s="525"/>
      <c r="O77" s="531"/>
      <c r="P77" s="532"/>
      <c r="Q77" s="532"/>
      <c r="R77" s="532"/>
      <c r="S77" s="532"/>
      <c r="T77" s="532"/>
      <c r="U77" s="532"/>
      <c r="V77" s="532"/>
      <c r="W77" s="532"/>
      <c r="X77" s="533">
        <f t="shared" si="96"/>
        <v>0</v>
      </c>
      <c r="Y77" s="769"/>
      <c r="Z77" s="534"/>
      <c r="AA77" s="534"/>
      <c r="AB77" s="770">
        <f t="shared" si="91"/>
        <v>0</v>
      </c>
      <c r="AC77" s="562">
        <f t="shared" si="97"/>
        <v>0</v>
      </c>
      <c r="AD77" s="535"/>
      <c r="AE77" s="497">
        <f t="shared" si="94"/>
        <v>143073.892857143</v>
      </c>
      <c r="AF77" s="536"/>
      <c r="AG77" s="537">
        <f t="shared" si="69"/>
        <v>0</v>
      </c>
      <c r="AH77" s="771"/>
      <c r="AI77" s="538">
        <f>$AI$4*C77</f>
        <v>4926.60714285714</v>
      </c>
      <c r="AJ77" s="538">
        <f>$AJ$4*D77</f>
        <v>138147.285714286</v>
      </c>
      <c r="AK77" s="538"/>
      <c r="AL77" s="539"/>
      <c r="AM77" s="539"/>
      <c r="AN77" s="539"/>
      <c r="AO77" s="538"/>
    </row>
    <row r="78" ht="72.65" customHeight="1" spans="1:41">
      <c r="A78" s="521"/>
      <c r="B78" s="525" t="s">
        <v>3634</v>
      </c>
      <c r="C78" s="523">
        <v>0.0466269841269841</v>
      </c>
      <c r="D78" s="523">
        <v>0.0474025974025974</v>
      </c>
      <c r="E78" s="767" t="s">
        <v>3635</v>
      </c>
      <c r="F78" s="525"/>
      <c r="G78" s="525"/>
      <c r="H78" s="526"/>
      <c r="I78" s="527"/>
      <c r="J78" s="528"/>
      <c r="K78" s="768"/>
      <c r="L78" s="530"/>
      <c r="M78" s="530"/>
      <c r="N78" s="525"/>
      <c r="O78" s="531"/>
      <c r="P78" s="532"/>
      <c r="Q78" s="532"/>
      <c r="R78" s="532"/>
      <c r="S78" s="532"/>
      <c r="T78" s="532"/>
      <c r="U78" s="532"/>
      <c r="V78" s="532"/>
      <c r="W78" s="532"/>
      <c r="X78" s="533">
        <f t="shared" si="96"/>
        <v>0</v>
      </c>
      <c r="Y78" s="769"/>
      <c r="Z78" s="534"/>
      <c r="AA78" s="534"/>
      <c r="AB78" s="770">
        <f t="shared" si="91"/>
        <v>0</v>
      </c>
      <c r="AC78" s="562">
        <f t="shared" si="97"/>
        <v>0</v>
      </c>
      <c r="AD78" s="535"/>
      <c r="AE78" s="497">
        <f t="shared" si="94"/>
        <v>143073.892857143</v>
      </c>
      <c r="AF78" s="536"/>
      <c r="AG78" s="537">
        <f t="shared" si="69"/>
        <v>0</v>
      </c>
      <c r="AH78" s="771"/>
      <c r="AI78" s="538">
        <f>$AI$4*C78</f>
        <v>4926.60714285714</v>
      </c>
      <c r="AJ78" s="538">
        <f>$AJ$4*D78</f>
        <v>138147.285714286</v>
      </c>
      <c r="AK78" s="538"/>
      <c r="AL78" s="539"/>
      <c r="AM78" s="539"/>
      <c r="AN78" s="539"/>
      <c r="AO78" s="538"/>
    </row>
    <row r="79" ht="60" customHeight="1" spans="1:41">
      <c r="A79" s="772"/>
      <c r="B79" s="475" t="s">
        <v>3636</v>
      </c>
      <c r="C79" s="466">
        <v>0.0466269841269841</v>
      </c>
      <c r="D79" s="466">
        <v>0.0474025974025974</v>
      </c>
      <c r="E79" s="743" t="s">
        <v>3637</v>
      </c>
      <c r="F79" s="475"/>
      <c r="G79" s="475"/>
      <c r="H79" s="773"/>
      <c r="I79" s="774"/>
      <c r="J79" s="472"/>
      <c r="K79" s="744"/>
      <c r="L79" s="474"/>
      <c r="M79" s="474"/>
      <c r="N79" s="475"/>
      <c r="O79" s="476"/>
      <c r="P79" s="453"/>
      <c r="Q79" s="453"/>
      <c r="R79" s="453"/>
      <c r="S79" s="453"/>
      <c r="T79" s="453"/>
      <c r="U79" s="453"/>
      <c r="V79" s="453"/>
      <c r="W79" s="453"/>
      <c r="X79" s="533">
        <f t="shared" si="96"/>
        <v>0</v>
      </c>
      <c r="Y79" s="775"/>
      <c r="Z79" s="477"/>
      <c r="AA79" s="477"/>
      <c r="AB79" s="746">
        <f t="shared" si="91"/>
        <v>0</v>
      </c>
      <c r="AC79" s="562">
        <f t="shared" si="97"/>
        <v>0</v>
      </c>
      <c r="AD79" s="479"/>
      <c r="AE79" s="497">
        <f t="shared" si="94"/>
        <v>143473.892857143</v>
      </c>
      <c r="AF79" s="480"/>
      <c r="AG79" s="481">
        <f t="shared" si="69"/>
        <v>0</v>
      </c>
      <c r="AH79" s="747"/>
      <c r="AI79" s="482">
        <f>$AI$4*C79</f>
        <v>4926.60714285714</v>
      </c>
      <c r="AJ79" s="482">
        <f>$AJ$4*D79</f>
        <v>138147.285714286</v>
      </c>
      <c r="AK79" s="482"/>
      <c r="AL79" s="483">
        <f t="shared" ref="AL79:AL81" si="99">100+300</f>
        <v>400</v>
      </c>
      <c r="AM79" s="483"/>
      <c r="AN79" s="483"/>
      <c r="AO79" s="482"/>
    </row>
    <row r="80" customHeight="1" spans="1:41">
      <c r="A80" s="439"/>
      <c r="B80" s="450" t="s">
        <v>3638</v>
      </c>
      <c r="C80" s="441"/>
      <c r="D80" s="441">
        <v>0.0474025974025974</v>
      </c>
      <c r="E80" s="735" t="s">
        <v>3639</v>
      </c>
      <c r="F80" s="736" t="s">
        <v>3640</v>
      </c>
      <c r="G80" s="554">
        <v>500</v>
      </c>
      <c r="H80" s="445">
        <v>0.00357</v>
      </c>
      <c r="I80" s="446">
        <f t="shared" ref="I80:I83" si="100">G80/H80</f>
        <v>140056.022408964</v>
      </c>
      <c r="J80" s="447">
        <v>17.6</v>
      </c>
      <c r="K80" s="738" t="s">
        <v>3641</v>
      </c>
      <c r="L80" s="449"/>
      <c r="M80" s="449">
        <f t="shared" ref="M80:M83" si="101">G80/H80/D80</f>
        <v>2954606.5001343</v>
      </c>
      <c r="N80" s="450"/>
      <c r="O80" s="451">
        <f>$M$3*D80*H80</f>
        <v>166.6284495</v>
      </c>
      <c r="P80" s="452"/>
      <c r="Q80" s="452">
        <v>500</v>
      </c>
      <c r="R80" s="452"/>
      <c r="S80" s="452"/>
      <c r="T80" s="452"/>
      <c r="U80" s="452"/>
      <c r="V80" s="452">
        <v>0</v>
      </c>
      <c r="W80" s="452">
        <v>500</v>
      </c>
      <c r="X80" s="454">
        <f t="shared" ref="X80:X104" si="102">(P80+Q80+R80+S80)*J80</f>
        <v>8800</v>
      </c>
      <c r="Y80" s="452"/>
      <c r="Z80" s="455"/>
      <c r="AA80" s="455"/>
      <c r="AB80" s="740">
        <f t="shared" si="91"/>
        <v>0</v>
      </c>
      <c r="AC80" s="456">
        <f t="shared" ref="AC80:AC104" si="103">SUM(P80:W80)+AB80</f>
        <v>1000</v>
      </c>
      <c r="AD80" s="457"/>
      <c r="AE80" s="474">
        <f t="shared" si="94"/>
        <v>142047.285714286</v>
      </c>
      <c r="AF80" s="458">
        <f t="shared" ref="AF80:AF104" si="104">AE80*H80</f>
        <v>507.10881</v>
      </c>
      <c r="AG80" s="459">
        <f t="shared" si="69"/>
        <v>492.89119</v>
      </c>
      <c r="AH80" s="741"/>
      <c r="AI80" s="460"/>
      <c r="AJ80" s="460">
        <f>$AJ$4*D80</f>
        <v>138147.285714286</v>
      </c>
      <c r="AK80" s="460"/>
      <c r="AL80" s="461">
        <f t="shared" si="99"/>
        <v>400</v>
      </c>
      <c r="AM80" s="461">
        <f t="shared" si="98"/>
        <v>3500</v>
      </c>
      <c r="AN80" s="461"/>
      <c r="AO80" s="460">
        <f t="shared" ref="AO80:AO85" si="105">AG80/H80/D80</f>
        <v>2912599.02766586</v>
      </c>
    </row>
    <row r="81" customHeight="1" spans="1:42">
      <c r="A81" s="487"/>
      <c r="B81" s="498"/>
      <c r="C81" s="489"/>
      <c r="D81" s="489">
        <v>0.0474025974025974</v>
      </c>
      <c r="E81" s="544" t="s">
        <v>3537</v>
      </c>
      <c r="F81" s="498"/>
      <c r="G81" s="492"/>
      <c r="H81" s="493">
        <v>1</v>
      </c>
      <c r="I81" s="494"/>
      <c r="J81" s="495">
        <v>1.1226</v>
      </c>
      <c r="K81" s="751" t="s">
        <v>3641</v>
      </c>
      <c r="L81" s="497"/>
      <c r="M81" s="497"/>
      <c r="N81" s="498"/>
      <c r="O81" s="499"/>
      <c r="P81" s="500"/>
      <c r="Q81" s="500">
        <v>14900.5324675325</v>
      </c>
      <c r="R81" s="500">
        <f t="shared" ref="R81:R86" si="106">400000*D81</f>
        <v>18961.038961039</v>
      </c>
      <c r="S81" s="500">
        <f>300000*$D$81</f>
        <v>14220.7792207792</v>
      </c>
      <c r="T81" s="500">
        <f>500000*$D$81+100+300</f>
        <v>24101.2987012987</v>
      </c>
      <c r="U81" s="500">
        <f>400000*$D$81+3200+300</f>
        <v>22461.038961039</v>
      </c>
      <c r="V81" s="500">
        <v>24701.2987012987</v>
      </c>
      <c r="W81" s="500">
        <v>23702</v>
      </c>
      <c r="X81" s="501">
        <f t="shared" si="102"/>
        <v>53977.2468389611</v>
      </c>
      <c r="Y81" s="500"/>
      <c r="Z81" s="502"/>
      <c r="AA81" s="502"/>
      <c r="AB81" s="753">
        <f t="shared" si="91"/>
        <v>0</v>
      </c>
      <c r="AC81" s="503">
        <f t="shared" si="103"/>
        <v>143047.987012987</v>
      </c>
      <c r="AD81" s="504"/>
      <c r="AE81" s="497">
        <f t="shared" si="94"/>
        <v>142047.285714286</v>
      </c>
      <c r="AF81" s="505">
        <f t="shared" si="104"/>
        <v>142047.285714286</v>
      </c>
      <c r="AG81" s="506">
        <f t="shared" si="69"/>
        <v>1000.70129870131</v>
      </c>
      <c r="AH81" s="754"/>
      <c r="AI81" s="507"/>
      <c r="AJ81" s="507"/>
      <c r="AK81" s="507"/>
      <c r="AL81" s="508">
        <f t="shared" si="99"/>
        <v>400</v>
      </c>
      <c r="AM81" s="508">
        <f t="shared" si="98"/>
        <v>3500</v>
      </c>
      <c r="AN81" s="508"/>
      <c r="AO81" s="507"/>
    </row>
    <row r="82" customHeight="1" spans="1:42">
      <c r="A82" s="439"/>
      <c r="B82" s="450" t="s">
        <v>3642</v>
      </c>
      <c r="C82" s="441"/>
      <c r="D82" s="441">
        <v>0.0474025974025974</v>
      </c>
      <c r="E82" s="735" t="s">
        <v>3643</v>
      </c>
      <c r="F82" s="736" t="s">
        <v>3644</v>
      </c>
      <c r="G82" s="554">
        <v>100</v>
      </c>
      <c r="H82" s="445">
        <v>0.00546</v>
      </c>
      <c r="I82" s="446">
        <f t="shared" si="100"/>
        <v>18315.0183150183</v>
      </c>
      <c r="J82" s="447">
        <v>13.56</v>
      </c>
      <c r="K82" s="738" t="s">
        <v>3641</v>
      </c>
      <c r="L82" s="449"/>
      <c r="M82" s="449">
        <f t="shared" si="101"/>
        <v>386371.619248332</v>
      </c>
      <c r="N82" s="450"/>
      <c r="O82" s="451">
        <f>$M$3*D82*H82</f>
        <v>254.843511</v>
      </c>
      <c r="P82" s="452"/>
      <c r="Q82" s="452">
        <v>100</v>
      </c>
      <c r="R82" s="452">
        <v>100</v>
      </c>
      <c r="S82" s="452">
        <v>100</v>
      </c>
      <c r="T82" s="452">
        <v>100</v>
      </c>
      <c r="U82" s="452">
        <v>100</v>
      </c>
      <c r="V82" s="452">
        <v>125</v>
      </c>
      <c r="W82" s="452">
        <v>130</v>
      </c>
      <c r="X82" s="454">
        <f t="shared" si="102"/>
        <v>4068</v>
      </c>
      <c r="Y82" s="452"/>
      <c r="Z82" s="455"/>
      <c r="AA82" s="455"/>
      <c r="AB82" s="740">
        <f t="shared" si="91"/>
        <v>0</v>
      </c>
      <c r="AC82" s="456">
        <f t="shared" si="103"/>
        <v>755</v>
      </c>
      <c r="AD82" s="457"/>
      <c r="AE82" s="474">
        <f t="shared" si="94"/>
        <v>138147.285714286</v>
      </c>
      <c r="AF82" s="458">
        <f t="shared" si="104"/>
        <v>754.28418</v>
      </c>
      <c r="AG82" s="459">
        <f t="shared" si="69"/>
        <v>0.715820000000122</v>
      </c>
      <c r="AH82" s="741"/>
      <c r="AI82" s="460"/>
      <c r="AJ82" s="460">
        <f>$AJ$4*D82</f>
        <v>138147.285714286</v>
      </c>
      <c r="AK82" s="460"/>
      <c r="AL82" s="461"/>
      <c r="AM82" s="461"/>
      <c r="AN82" s="461"/>
      <c r="AO82" s="460">
        <f t="shared" si="105"/>
        <v>2765.72532490388</v>
      </c>
    </row>
    <row r="83" customHeight="1" spans="1:42">
      <c r="A83" s="464"/>
      <c r="B83" s="475"/>
      <c r="C83" s="466"/>
      <c r="D83" s="466">
        <v>0.0474025974025974</v>
      </c>
      <c r="E83" s="743" t="s">
        <v>3645</v>
      </c>
      <c r="F83" s="475" t="s">
        <v>3646</v>
      </c>
      <c r="G83" s="469">
        <v>100</v>
      </c>
      <c r="H83" s="470">
        <v>0.007455</v>
      </c>
      <c r="I83" s="471">
        <f t="shared" si="100"/>
        <v>13413.8162307176</v>
      </c>
      <c r="J83" s="472">
        <v>3.42</v>
      </c>
      <c r="K83" s="744" t="s">
        <v>3641</v>
      </c>
      <c r="L83" s="474"/>
      <c r="M83" s="474">
        <f t="shared" si="101"/>
        <v>282976.397195961</v>
      </c>
      <c r="N83" s="475"/>
      <c r="O83" s="476">
        <f>$M$3*D83*H83</f>
        <v>347.95940925</v>
      </c>
      <c r="P83" s="453"/>
      <c r="Q83" s="453">
        <v>120</v>
      </c>
      <c r="R83" s="453">
        <v>132</v>
      </c>
      <c r="S83" s="453">
        <v>106</v>
      </c>
      <c r="T83" s="453">
        <v>177</v>
      </c>
      <c r="U83" s="453">
        <v>142</v>
      </c>
      <c r="V83" s="453">
        <v>176</v>
      </c>
      <c r="W83" s="453">
        <v>178</v>
      </c>
      <c r="X83" s="454">
        <f t="shared" si="102"/>
        <v>1224.36</v>
      </c>
      <c r="Y83" s="453"/>
      <c r="Z83" s="477"/>
      <c r="AA83" s="477"/>
      <c r="AB83" s="746">
        <f t="shared" si="91"/>
        <v>0</v>
      </c>
      <c r="AC83" s="478">
        <f t="shared" si="103"/>
        <v>1031</v>
      </c>
      <c r="AD83" s="479"/>
      <c r="AE83" s="474">
        <f t="shared" si="94"/>
        <v>138147.285714286</v>
      </c>
      <c r="AF83" s="480">
        <f t="shared" si="104"/>
        <v>1029.888015</v>
      </c>
      <c r="AG83" s="481">
        <f t="shared" si="69"/>
        <v>1.111985</v>
      </c>
      <c r="AH83" s="747"/>
      <c r="AI83" s="482"/>
      <c r="AJ83" s="482"/>
      <c r="AK83" s="482"/>
      <c r="AL83" s="483"/>
      <c r="AM83" s="483"/>
      <c r="AN83" s="483"/>
      <c r="AO83" s="482"/>
    </row>
    <row r="84" customHeight="1" spans="1:42">
      <c r="A84" s="487"/>
      <c r="B84" s="498"/>
      <c r="C84" s="489"/>
      <c r="D84" s="489">
        <v>0.0474025974025974</v>
      </c>
      <c r="E84" s="544" t="s">
        <v>3537</v>
      </c>
      <c r="F84" s="498"/>
      <c r="G84" s="492"/>
      <c r="H84" s="493">
        <v>1</v>
      </c>
      <c r="I84" s="494"/>
      <c r="J84" s="495">
        <v>0.725</v>
      </c>
      <c r="K84" s="751" t="s">
        <v>3641</v>
      </c>
      <c r="L84" s="497"/>
      <c r="M84" s="497"/>
      <c r="N84" s="498"/>
      <c r="O84" s="499"/>
      <c r="P84" s="500"/>
      <c r="Q84" s="500">
        <v>14900.5324675325</v>
      </c>
      <c r="R84" s="500">
        <f t="shared" si="106"/>
        <v>18961.038961039</v>
      </c>
      <c r="S84" s="500">
        <f>300000*$D$84</f>
        <v>14220.7792207792</v>
      </c>
      <c r="T84" s="500">
        <f>500000*$D$84</f>
        <v>23701.2987012987</v>
      </c>
      <c r="U84" s="500">
        <f>400000*$D$84</f>
        <v>18961.038961039</v>
      </c>
      <c r="V84" s="500">
        <v>23701.2987012987</v>
      </c>
      <c r="W84" s="500">
        <v>23702</v>
      </c>
      <c r="X84" s="501">
        <f t="shared" si="102"/>
        <v>34859.7042207792</v>
      </c>
      <c r="Y84" s="500"/>
      <c r="Z84" s="502"/>
      <c r="AA84" s="502"/>
      <c r="AB84" s="753">
        <f t="shared" si="91"/>
        <v>0</v>
      </c>
      <c r="AC84" s="503">
        <f t="shared" si="103"/>
        <v>138147.987012987</v>
      </c>
      <c r="AD84" s="504"/>
      <c r="AE84" s="497">
        <f t="shared" si="94"/>
        <v>138147.285714286</v>
      </c>
      <c r="AF84" s="505">
        <f t="shared" si="104"/>
        <v>138147.285714286</v>
      </c>
      <c r="AG84" s="506">
        <f t="shared" si="69"/>
        <v>0.701298701314954</v>
      </c>
      <c r="AH84" s="754"/>
      <c r="AI84" s="507"/>
      <c r="AJ84" s="507"/>
      <c r="AK84" s="507"/>
      <c r="AL84" s="508"/>
      <c r="AM84" s="508"/>
      <c r="AN84" s="508"/>
      <c r="AO84" s="507"/>
    </row>
    <row r="85" customHeight="1" spans="1:42">
      <c r="A85" s="439"/>
      <c r="B85" s="450" t="s">
        <v>3647</v>
      </c>
      <c r="C85" s="441"/>
      <c r="D85" s="441">
        <v>0.0474025974025974</v>
      </c>
      <c r="E85" s="735" t="s">
        <v>3648</v>
      </c>
      <c r="F85" s="736" t="s">
        <v>3649</v>
      </c>
      <c r="G85" s="554">
        <v>500</v>
      </c>
      <c r="H85" s="445">
        <v>0.00504</v>
      </c>
      <c r="I85" s="446">
        <f t="shared" ref="I85:I89" si="107">G85/H85</f>
        <v>99206.3492063492</v>
      </c>
      <c r="J85" s="447">
        <v>6.38</v>
      </c>
      <c r="K85" s="738" t="s">
        <v>3641</v>
      </c>
      <c r="L85" s="449"/>
      <c r="M85" s="449">
        <f t="shared" ref="M85:M89" si="108">G85/H85/D85</f>
        <v>2092846.27092846</v>
      </c>
      <c r="N85" s="450"/>
      <c r="O85" s="451">
        <f>$M$3*D85*H85</f>
        <v>235.240164</v>
      </c>
      <c r="P85" s="452"/>
      <c r="Q85" s="452">
        <v>500</v>
      </c>
      <c r="R85" s="452"/>
      <c r="S85" s="452"/>
      <c r="T85" s="452"/>
      <c r="U85" s="452"/>
      <c r="V85" s="452">
        <v>500</v>
      </c>
      <c r="W85" s="452">
        <v>0</v>
      </c>
      <c r="X85" s="454">
        <f t="shared" si="102"/>
        <v>3190</v>
      </c>
      <c r="Y85" s="452"/>
      <c r="Z85" s="455"/>
      <c r="AA85" s="455"/>
      <c r="AB85" s="740">
        <f t="shared" si="91"/>
        <v>0</v>
      </c>
      <c r="AC85" s="456">
        <f t="shared" si="103"/>
        <v>1000</v>
      </c>
      <c r="AD85" s="457"/>
      <c r="AE85" s="474">
        <f t="shared" si="94"/>
        <v>138147.285714286</v>
      </c>
      <c r="AF85" s="458">
        <f t="shared" si="104"/>
        <v>696.26232</v>
      </c>
      <c r="AG85" s="459">
        <f t="shared" si="69"/>
        <v>303.73768</v>
      </c>
      <c r="AH85" s="741"/>
      <c r="AI85" s="460"/>
      <c r="AJ85" s="460">
        <f>$AJ$4*D85</f>
        <v>138147.285714286</v>
      </c>
      <c r="AK85" s="460"/>
      <c r="AL85" s="461"/>
      <c r="AM85" s="461"/>
      <c r="AN85" s="461"/>
      <c r="AO85" s="460">
        <f t="shared" si="105"/>
        <v>1271352.54185693</v>
      </c>
    </row>
    <row r="86" customHeight="1" spans="1:42">
      <c r="A86" s="487"/>
      <c r="B86" s="498"/>
      <c r="C86" s="489"/>
      <c r="D86" s="489">
        <v>0.0474025974025974</v>
      </c>
      <c r="E86" s="544" t="s">
        <v>3537</v>
      </c>
      <c r="F86" s="498"/>
      <c r="G86" s="492"/>
      <c r="H86" s="493">
        <v>1</v>
      </c>
      <c r="I86" s="494"/>
      <c r="J86" s="495">
        <v>1.35</v>
      </c>
      <c r="K86" s="751" t="s">
        <v>3641</v>
      </c>
      <c r="L86" s="497"/>
      <c r="M86" s="497"/>
      <c r="N86" s="498"/>
      <c r="O86" s="499"/>
      <c r="P86" s="500"/>
      <c r="Q86" s="500">
        <v>14900.5324675325</v>
      </c>
      <c r="R86" s="500">
        <f t="shared" si="106"/>
        <v>18961.038961039</v>
      </c>
      <c r="S86" s="500">
        <f>300000*$D$86</f>
        <v>14220.7792207792</v>
      </c>
      <c r="T86" s="500">
        <f>500000*$D$86</f>
        <v>23701.2987012987</v>
      </c>
      <c r="U86" s="500">
        <f>400000*$D$86</f>
        <v>18961.038961039</v>
      </c>
      <c r="V86" s="500">
        <v>23701.2987012987</v>
      </c>
      <c r="W86" s="500">
        <v>23702</v>
      </c>
      <c r="X86" s="501">
        <f t="shared" si="102"/>
        <v>64911.1733766234</v>
      </c>
      <c r="Y86" s="500"/>
      <c r="Z86" s="502"/>
      <c r="AA86" s="502"/>
      <c r="AB86" s="753">
        <f t="shared" si="91"/>
        <v>0</v>
      </c>
      <c r="AC86" s="503">
        <f t="shared" si="103"/>
        <v>138147.987012987</v>
      </c>
      <c r="AD86" s="504"/>
      <c r="AE86" s="497">
        <f t="shared" si="94"/>
        <v>138147.285714286</v>
      </c>
      <c r="AF86" s="505">
        <f t="shared" si="104"/>
        <v>138147.285714286</v>
      </c>
      <c r="AG86" s="506">
        <f t="shared" si="69"/>
        <v>0.701298701314954</v>
      </c>
      <c r="AH86" s="754"/>
      <c r="AI86" s="507"/>
      <c r="AJ86" s="507"/>
      <c r="AK86" s="507"/>
      <c r="AL86" s="508"/>
      <c r="AM86" s="508"/>
      <c r="AN86" s="508"/>
      <c r="AO86" s="507"/>
    </row>
    <row r="87" customHeight="1" spans="1:42">
      <c r="A87" s="439"/>
      <c r="B87" s="450" t="s">
        <v>3650</v>
      </c>
      <c r="C87" s="441"/>
      <c r="D87" s="441">
        <v>0.0474025974025974</v>
      </c>
      <c r="E87" s="735" t="s">
        <v>3651</v>
      </c>
      <c r="F87" s="736" t="s">
        <v>3652</v>
      </c>
      <c r="G87" s="554">
        <v>500</v>
      </c>
      <c r="H87" s="445">
        <v>0.00399</v>
      </c>
      <c r="I87" s="446">
        <f t="shared" si="107"/>
        <v>125313.28320802</v>
      </c>
      <c r="J87" s="447">
        <v>17.6</v>
      </c>
      <c r="K87" s="738" t="s">
        <v>3641</v>
      </c>
      <c r="L87" s="449"/>
      <c r="M87" s="449">
        <f t="shared" si="108"/>
        <v>2643595.28959385</v>
      </c>
      <c r="N87" s="450"/>
      <c r="O87" s="451">
        <f>$M$3*D87*H87</f>
        <v>186.2317965</v>
      </c>
      <c r="P87" s="452"/>
      <c r="Q87" s="452">
        <v>500</v>
      </c>
      <c r="R87" s="452"/>
      <c r="S87" s="452"/>
      <c r="T87" s="452"/>
      <c r="U87" s="452"/>
      <c r="V87" s="452">
        <v>0</v>
      </c>
      <c r="W87" s="452">
        <v>500</v>
      </c>
      <c r="X87" s="454">
        <f t="shared" si="102"/>
        <v>8800</v>
      </c>
      <c r="Y87" s="452"/>
      <c r="Z87" s="455"/>
      <c r="AA87" s="455"/>
      <c r="AB87" s="740">
        <f t="shared" si="91"/>
        <v>0</v>
      </c>
      <c r="AC87" s="456">
        <f t="shared" si="103"/>
        <v>1000</v>
      </c>
      <c r="AD87" s="457"/>
      <c r="AE87" s="474">
        <f t="shared" si="94"/>
        <v>138147.285714286</v>
      </c>
      <c r="AF87" s="458">
        <f t="shared" si="104"/>
        <v>551.20767</v>
      </c>
      <c r="AG87" s="459">
        <f t="shared" si="69"/>
        <v>448.79233</v>
      </c>
      <c r="AH87" s="741"/>
      <c r="AI87" s="460"/>
      <c r="AJ87" s="460">
        <f>$AJ$4*D87</f>
        <v>138147.285714286</v>
      </c>
      <c r="AK87" s="460"/>
      <c r="AL87" s="461"/>
      <c r="AM87" s="461"/>
      <c r="AN87" s="461"/>
      <c r="AO87" s="460">
        <f t="shared" ref="AO87:AO92" si="109">AG87/H87/D87</f>
        <v>2372850.5791877</v>
      </c>
    </row>
    <row r="88" customHeight="1" spans="1:42">
      <c r="A88" s="487"/>
      <c r="B88" s="498"/>
      <c r="C88" s="489"/>
      <c r="D88" s="489">
        <v>0.0474025974025974</v>
      </c>
      <c r="E88" s="544" t="s">
        <v>3537</v>
      </c>
      <c r="F88" s="498"/>
      <c r="G88" s="492"/>
      <c r="H88" s="493">
        <v>1</v>
      </c>
      <c r="I88" s="494"/>
      <c r="J88" s="495">
        <v>0.84</v>
      </c>
      <c r="K88" s="751" t="s">
        <v>3641</v>
      </c>
      <c r="L88" s="497"/>
      <c r="M88" s="497"/>
      <c r="N88" s="498"/>
      <c r="O88" s="499"/>
      <c r="P88" s="500"/>
      <c r="Q88" s="500">
        <v>14900.5324675325</v>
      </c>
      <c r="R88" s="500">
        <f>400000*D88</f>
        <v>18961.038961039</v>
      </c>
      <c r="S88" s="500">
        <f>300000*$D$88</f>
        <v>14220.7792207792</v>
      </c>
      <c r="T88" s="500">
        <f>500000*$D$88</f>
        <v>23701.2987012987</v>
      </c>
      <c r="U88" s="500">
        <f>400000*$D$88</f>
        <v>18961.038961039</v>
      </c>
      <c r="V88" s="500">
        <v>23701.2987012987</v>
      </c>
      <c r="W88" s="500">
        <v>23702</v>
      </c>
      <c r="X88" s="501">
        <f t="shared" si="102"/>
        <v>40389.1745454546</v>
      </c>
      <c r="Y88" s="500"/>
      <c r="Z88" s="502"/>
      <c r="AA88" s="502"/>
      <c r="AB88" s="753">
        <f t="shared" si="91"/>
        <v>0</v>
      </c>
      <c r="AC88" s="503">
        <f t="shared" si="103"/>
        <v>138147.987012987</v>
      </c>
      <c r="AD88" s="504"/>
      <c r="AE88" s="497">
        <f t="shared" si="94"/>
        <v>138147.285714286</v>
      </c>
      <c r="AF88" s="505">
        <f t="shared" si="104"/>
        <v>138147.285714286</v>
      </c>
      <c r="AG88" s="506">
        <f t="shared" si="69"/>
        <v>0.701298701314954</v>
      </c>
      <c r="AH88" s="754"/>
      <c r="AI88" s="507"/>
      <c r="AJ88" s="507"/>
      <c r="AK88" s="507"/>
      <c r="AL88" s="508"/>
      <c r="AM88" s="508"/>
      <c r="AN88" s="508"/>
      <c r="AO88" s="507"/>
    </row>
    <row r="89" customHeight="1" spans="1:42">
      <c r="A89" s="439"/>
      <c r="B89" s="450" t="s">
        <v>3653</v>
      </c>
      <c r="C89" s="441"/>
      <c r="D89" s="441">
        <v>0.0474025974025974</v>
      </c>
      <c r="E89" s="735" t="s">
        <v>3654</v>
      </c>
      <c r="F89" s="736" t="s">
        <v>3655</v>
      </c>
      <c r="G89" s="554">
        <v>500</v>
      </c>
      <c r="H89" s="445">
        <v>0.00567</v>
      </c>
      <c r="I89" s="446">
        <f t="shared" si="107"/>
        <v>88183.4215167549</v>
      </c>
      <c r="J89" s="447">
        <v>17.6</v>
      </c>
      <c r="K89" s="738" t="s">
        <v>3641</v>
      </c>
      <c r="L89" s="449"/>
      <c r="M89" s="449">
        <f t="shared" si="108"/>
        <v>1860307.79638086</v>
      </c>
      <c r="N89" s="450"/>
      <c r="O89" s="451">
        <f>$M$3*D89*H89</f>
        <v>264.6451845</v>
      </c>
      <c r="P89" s="452"/>
      <c r="Q89" s="452">
        <v>500</v>
      </c>
      <c r="R89" s="452"/>
      <c r="S89" s="452"/>
      <c r="T89" s="452"/>
      <c r="U89" s="452">
        <v>500</v>
      </c>
      <c r="V89" s="452">
        <v>0</v>
      </c>
      <c r="W89" s="452">
        <v>0</v>
      </c>
      <c r="X89" s="454">
        <f t="shared" si="102"/>
        <v>8800</v>
      </c>
      <c r="Y89" s="452"/>
      <c r="Z89" s="455"/>
      <c r="AA89" s="455"/>
      <c r="AB89" s="740">
        <f t="shared" si="91"/>
        <v>0</v>
      </c>
      <c r="AC89" s="456">
        <f t="shared" si="103"/>
        <v>1000</v>
      </c>
      <c r="AD89" s="457"/>
      <c r="AE89" s="474">
        <f t="shared" si="94"/>
        <v>138147.285714286</v>
      </c>
      <c r="AF89" s="458">
        <f t="shared" si="104"/>
        <v>783.29511</v>
      </c>
      <c r="AG89" s="459">
        <f t="shared" si="69"/>
        <v>216.70489</v>
      </c>
      <c r="AH89" s="741"/>
      <c r="AI89" s="460"/>
      <c r="AJ89" s="460">
        <f>$AJ$4*D89</f>
        <v>138147.285714286</v>
      </c>
      <c r="AK89" s="460"/>
      <c r="AL89" s="461"/>
      <c r="AM89" s="461"/>
      <c r="AN89" s="461"/>
      <c r="AO89" s="460">
        <f t="shared" si="109"/>
        <v>806275.592761712</v>
      </c>
    </row>
    <row r="90" customHeight="1" spans="1:42">
      <c r="A90" s="487"/>
      <c r="B90" s="498"/>
      <c r="C90" s="489"/>
      <c r="D90" s="489">
        <v>0.0474025974025974</v>
      </c>
      <c r="E90" s="544" t="s">
        <v>3537</v>
      </c>
      <c r="F90" s="498"/>
      <c r="G90" s="492"/>
      <c r="H90" s="493">
        <v>1</v>
      </c>
      <c r="I90" s="494"/>
      <c r="J90" s="495">
        <v>1.13</v>
      </c>
      <c r="K90" s="751" t="s">
        <v>3641</v>
      </c>
      <c r="L90" s="497"/>
      <c r="M90" s="497"/>
      <c r="N90" s="498"/>
      <c r="O90" s="499"/>
      <c r="P90" s="500"/>
      <c r="Q90" s="500">
        <v>14900.5324675325</v>
      </c>
      <c r="R90" s="500">
        <f>400000*D90</f>
        <v>18961.038961039</v>
      </c>
      <c r="S90" s="500">
        <f>300000*$D$90</f>
        <v>14220.7792207792</v>
      </c>
      <c r="T90" s="500">
        <f>500000*$D$90</f>
        <v>23701.2987012987</v>
      </c>
      <c r="U90" s="500">
        <f>400000*$D$90</f>
        <v>18961.038961039</v>
      </c>
      <c r="V90" s="500">
        <v>23701.2987012987</v>
      </c>
      <c r="W90" s="500">
        <v>23702</v>
      </c>
      <c r="X90" s="501">
        <f t="shared" si="102"/>
        <v>54333.0562337663</v>
      </c>
      <c r="Y90" s="500"/>
      <c r="Z90" s="502"/>
      <c r="AA90" s="502"/>
      <c r="AB90" s="753">
        <f t="shared" si="91"/>
        <v>0</v>
      </c>
      <c r="AC90" s="503">
        <f t="shared" si="103"/>
        <v>138147.987012987</v>
      </c>
      <c r="AD90" s="504"/>
      <c r="AE90" s="497">
        <f t="shared" si="94"/>
        <v>138147.285714286</v>
      </c>
      <c r="AF90" s="505">
        <f t="shared" si="104"/>
        <v>138147.285714286</v>
      </c>
      <c r="AG90" s="506">
        <f t="shared" si="69"/>
        <v>0.701298701314954</v>
      </c>
      <c r="AH90" s="754"/>
      <c r="AI90" s="507"/>
      <c r="AJ90" s="507"/>
      <c r="AK90" s="507"/>
      <c r="AL90" s="508"/>
      <c r="AM90" s="508"/>
      <c r="AN90" s="508"/>
      <c r="AO90" s="507"/>
    </row>
    <row r="91" ht="72.65" customHeight="1" spans="1:42">
      <c r="A91" s="521"/>
      <c r="B91" s="525" t="s">
        <v>3656</v>
      </c>
      <c r="C91" s="523"/>
      <c r="D91" s="523">
        <v>0.0474025974025974</v>
      </c>
      <c r="E91" s="544" t="s">
        <v>3537</v>
      </c>
      <c r="F91" s="525"/>
      <c r="G91" s="554">
        <v>20000</v>
      </c>
      <c r="H91" s="493">
        <v>1</v>
      </c>
      <c r="I91" s="446">
        <f t="shared" ref="I91:I93" si="110">G91/H91</f>
        <v>20000</v>
      </c>
      <c r="J91" s="528">
        <v>1.543</v>
      </c>
      <c r="K91" s="768" t="s">
        <v>3641</v>
      </c>
      <c r="L91" s="530"/>
      <c r="M91" s="530">
        <f t="shared" ref="M91:M93" si="111">G91/H91/D91</f>
        <v>421917.808219178</v>
      </c>
      <c r="N91" s="561" t="s">
        <v>3657</v>
      </c>
      <c r="O91" s="531">
        <f>$M$3*D91*H91</f>
        <v>46674.6357142857</v>
      </c>
      <c r="P91" s="532"/>
      <c r="Q91" s="532"/>
      <c r="R91" s="532">
        <v>33862</v>
      </c>
      <c r="S91" s="500">
        <f>300000*$D$91</f>
        <v>14220.7792207792</v>
      </c>
      <c r="T91" s="500">
        <f>500000*$D$91</f>
        <v>23701.2987012987</v>
      </c>
      <c r="U91" s="500">
        <f>400000*$D$91</f>
        <v>18961.038961039</v>
      </c>
      <c r="V91" s="500">
        <v>23701.2987012987</v>
      </c>
      <c r="W91" s="500">
        <v>23702</v>
      </c>
      <c r="X91" s="501">
        <f t="shared" si="102"/>
        <v>74191.7283376623</v>
      </c>
      <c r="Y91" s="769"/>
      <c r="Z91" s="534"/>
      <c r="AA91" s="534"/>
      <c r="AB91" s="770">
        <f t="shared" si="91"/>
        <v>0</v>
      </c>
      <c r="AC91" s="562">
        <f t="shared" si="103"/>
        <v>138148.415584416</v>
      </c>
      <c r="AD91" s="535"/>
      <c r="AE91" s="497">
        <f t="shared" si="94"/>
        <v>138147.285714286</v>
      </c>
      <c r="AF91" s="536">
        <f t="shared" si="104"/>
        <v>138147.285714286</v>
      </c>
      <c r="AG91" s="537">
        <f t="shared" si="69"/>
        <v>1.12987012986559</v>
      </c>
      <c r="AH91" s="771"/>
      <c r="AI91" s="538"/>
      <c r="AJ91" s="538">
        <f>$AJ$4*D91</f>
        <v>138147.285714286</v>
      </c>
      <c r="AK91" s="538"/>
      <c r="AL91" s="539"/>
      <c r="AM91" s="539"/>
      <c r="AN91" s="539"/>
      <c r="AO91" s="538"/>
      <c r="AP91" s="404" t="s">
        <v>3658</v>
      </c>
    </row>
    <row r="92" customHeight="1" spans="1:42">
      <c r="A92" s="439"/>
      <c r="B92" s="450" t="s">
        <v>3659</v>
      </c>
      <c r="C92" s="441"/>
      <c r="D92" s="441">
        <v>0.0474025974025974</v>
      </c>
      <c r="E92" s="736" t="s">
        <v>3660</v>
      </c>
      <c r="F92" s="736" t="s">
        <v>3661</v>
      </c>
      <c r="G92" s="554">
        <v>2500</v>
      </c>
      <c r="H92" s="445">
        <v>0.0126</v>
      </c>
      <c r="I92" s="446">
        <f t="shared" si="110"/>
        <v>198412.698412698</v>
      </c>
      <c r="J92" s="447">
        <v>25.3</v>
      </c>
      <c r="K92" s="738" t="s">
        <v>3641</v>
      </c>
      <c r="L92" s="449"/>
      <c r="M92" s="449">
        <f t="shared" si="111"/>
        <v>4185692.54185693</v>
      </c>
      <c r="N92" s="450" t="s">
        <v>3662</v>
      </c>
      <c r="O92" s="451">
        <f>$M$3*D92*H92</f>
        <v>588.10041</v>
      </c>
      <c r="P92" s="452"/>
      <c r="Q92" s="452"/>
      <c r="R92" s="452"/>
      <c r="S92" s="452"/>
      <c r="T92" s="452">
        <f>2500-1000</f>
        <v>1500</v>
      </c>
      <c r="U92" s="452"/>
      <c r="V92" s="452">
        <v>0</v>
      </c>
      <c r="W92" s="452">
        <v>0</v>
      </c>
      <c r="X92" s="454">
        <f t="shared" si="102"/>
        <v>0</v>
      </c>
      <c r="Y92" s="452">
        <v>1799</v>
      </c>
      <c r="Z92" s="455"/>
      <c r="AA92" s="455">
        <f>(H92*D92)/(H92*D92+D22*H22+D6*H6)/2</f>
        <v>0.254656097986395</v>
      </c>
      <c r="AB92" s="740">
        <f t="shared" si="91"/>
        <v>458.126320277525</v>
      </c>
      <c r="AC92" s="456">
        <f t="shared" si="103"/>
        <v>1958.12632027752</v>
      </c>
      <c r="AD92" s="457">
        <f>AC92/H92</f>
        <v>155406.850815677</v>
      </c>
      <c r="AE92" s="474">
        <f t="shared" si="94"/>
        <v>138147.285714286</v>
      </c>
      <c r="AF92" s="458">
        <f t="shared" si="104"/>
        <v>1740.6558</v>
      </c>
      <c r="AG92" s="459">
        <f t="shared" si="69"/>
        <v>179.951188507529</v>
      </c>
      <c r="AH92" s="741">
        <f>[2]S2新Ratio布料!AB15*AA92</f>
        <v>37.5193317699955</v>
      </c>
      <c r="AI92" s="460"/>
      <c r="AJ92" s="460">
        <f>$AJ$4*D92</f>
        <v>138147.285714286</v>
      </c>
      <c r="AK92" s="460"/>
      <c r="AL92" s="461"/>
      <c r="AM92" s="461"/>
      <c r="AN92" s="461"/>
      <c r="AO92" s="460">
        <f t="shared" si="109"/>
        <v>301288.139053702</v>
      </c>
    </row>
    <row r="93" customHeight="1" spans="1:42">
      <c r="A93" s="464"/>
      <c r="B93" s="475"/>
      <c r="C93" s="466"/>
      <c r="D93" s="466">
        <v>0.0474025974025974</v>
      </c>
      <c r="E93" s="743" t="s">
        <v>3663</v>
      </c>
      <c r="F93" s="475" t="s">
        <v>3664</v>
      </c>
      <c r="G93" s="469">
        <v>1000</v>
      </c>
      <c r="H93" s="470">
        <v>0.00294</v>
      </c>
      <c r="I93" s="471">
        <f t="shared" si="110"/>
        <v>340136.054421769</v>
      </c>
      <c r="J93" s="472">
        <v>16.72</v>
      </c>
      <c r="K93" s="744" t="s">
        <v>3641</v>
      </c>
      <c r="L93" s="474"/>
      <c r="M93" s="474">
        <f t="shared" si="111"/>
        <v>7175472.92889759</v>
      </c>
      <c r="N93" s="475" t="s">
        <v>3662</v>
      </c>
      <c r="O93" s="476">
        <f>$M$3*D93*H93</f>
        <v>137.223429</v>
      </c>
      <c r="P93" s="453"/>
      <c r="Q93" s="453"/>
      <c r="R93" s="453"/>
      <c r="S93" s="453"/>
      <c r="T93" s="453"/>
      <c r="U93" s="453"/>
      <c r="V93" s="453">
        <v>0</v>
      </c>
      <c r="W93" s="453">
        <v>400</v>
      </c>
      <c r="X93" s="454">
        <f t="shared" si="102"/>
        <v>0</v>
      </c>
      <c r="Y93" s="453">
        <v>1298</v>
      </c>
      <c r="Z93" s="477"/>
      <c r="AA93" s="477">
        <f>(H93*D93)/(H93*D93+H23*D23+D7*H7)/2+5%+3%</f>
        <v>0.239662552726136</v>
      </c>
      <c r="AB93" s="746">
        <f t="shared" si="91"/>
        <v>311.081993438525</v>
      </c>
      <c r="AC93" s="478">
        <f t="shared" si="103"/>
        <v>711.081993438525</v>
      </c>
      <c r="AD93" s="479">
        <f>AC93/H93</f>
        <v>241864.623618546</v>
      </c>
      <c r="AE93" s="474">
        <f t="shared" si="94"/>
        <v>138147.285714286</v>
      </c>
      <c r="AF93" s="480">
        <f t="shared" si="104"/>
        <v>406.15302</v>
      </c>
      <c r="AG93" s="481">
        <f t="shared" si="69"/>
        <v>281.845075797532</v>
      </c>
      <c r="AH93" s="747">
        <f>([2]S2新Ratio布料!AB16+[2]S2新Ratio布料!AB59+[2]S2新Ratio布料!AB77)*AA93</f>
        <v>23.0838976409936</v>
      </c>
      <c r="AI93" s="482"/>
      <c r="AJ93" s="482"/>
      <c r="AK93" s="482"/>
      <c r="AL93" s="483"/>
      <c r="AM93" s="483"/>
      <c r="AN93" s="483"/>
      <c r="AO93" s="482"/>
    </row>
    <row r="94" customHeight="1" spans="1:42">
      <c r="A94" s="487"/>
      <c r="B94" s="498"/>
      <c r="C94" s="489"/>
      <c r="D94" s="489">
        <v>0.0474025974025974</v>
      </c>
      <c r="E94" s="544" t="s">
        <v>3665</v>
      </c>
      <c r="F94" s="498"/>
      <c r="G94" s="492"/>
      <c r="H94" s="493">
        <v>1</v>
      </c>
      <c r="I94" s="494"/>
      <c r="J94" s="495">
        <v>0.706</v>
      </c>
      <c r="K94" s="751" t="s">
        <v>3641</v>
      </c>
      <c r="L94" s="497"/>
      <c r="M94" s="497"/>
      <c r="N94" s="498"/>
      <c r="O94" s="499"/>
      <c r="P94" s="500"/>
      <c r="Q94" s="500">
        <v>14900.5324675325</v>
      </c>
      <c r="R94" s="500">
        <f t="shared" ref="R94:R98" si="112">400000*D94</f>
        <v>18961.038961039</v>
      </c>
      <c r="S94" s="500">
        <f>300000*$D$94</f>
        <v>14220.7792207792</v>
      </c>
      <c r="T94" s="500">
        <f>500000*$D$94</f>
        <v>23701.2987012987</v>
      </c>
      <c r="U94" s="500">
        <f>400000*$D$94</f>
        <v>18961.038961039</v>
      </c>
      <c r="V94" s="500">
        <v>23701.2987012987</v>
      </c>
      <c r="W94" s="500">
        <v>23702</v>
      </c>
      <c r="X94" s="501">
        <f t="shared" si="102"/>
        <v>33946.1395584416</v>
      </c>
      <c r="Y94" s="500"/>
      <c r="Z94" s="502"/>
      <c r="AA94" s="502"/>
      <c r="AB94" s="753">
        <f t="shared" si="91"/>
        <v>0</v>
      </c>
      <c r="AC94" s="503">
        <f t="shared" si="103"/>
        <v>138147.987012987</v>
      </c>
      <c r="AD94" s="504"/>
      <c r="AE94" s="497">
        <f t="shared" si="94"/>
        <v>138147.285714286</v>
      </c>
      <c r="AF94" s="505">
        <f t="shared" si="104"/>
        <v>138147.285714286</v>
      </c>
      <c r="AG94" s="506">
        <f t="shared" si="69"/>
        <v>0.701298701314954</v>
      </c>
      <c r="AH94" s="754"/>
      <c r="AI94" s="507"/>
      <c r="AJ94" s="507"/>
      <c r="AK94" s="507"/>
      <c r="AL94" s="508"/>
      <c r="AM94" s="508"/>
      <c r="AN94" s="508"/>
      <c r="AO94" s="507"/>
    </row>
    <row r="95" customHeight="1" spans="1:42">
      <c r="A95" s="439"/>
      <c r="B95" s="450" t="s">
        <v>3666</v>
      </c>
      <c r="C95" s="441"/>
      <c r="D95" s="441">
        <v>0.0474025974025974</v>
      </c>
      <c r="E95" s="735" t="s">
        <v>3667</v>
      </c>
      <c r="F95" s="736" t="s">
        <v>3668</v>
      </c>
      <c r="G95" s="554">
        <v>500</v>
      </c>
      <c r="H95" s="445">
        <v>0.007875</v>
      </c>
      <c r="I95" s="446">
        <f t="shared" ref="I95:I99" si="113">G95/H95</f>
        <v>63492.0634920635</v>
      </c>
      <c r="J95" s="447">
        <v>17.6</v>
      </c>
      <c r="K95" s="738" t="s">
        <v>3641</v>
      </c>
      <c r="L95" s="449"/>
      <c r="M95" s="449">
        <f t="shared" ref="M95:M99" si="114">G95/H95/D95</f>
        <v>1339421.61339422</v>
      </c>
      <c r="N95" s="450"/>
      <c r="O95" s="451">
        <f>$M$3*D95*H95</f>
        <v>367.56275625</v>
      </c>
      <c r="P95" s="452"/>
      <c r="Q95" s="452">
        <v>500</v>
      </c>
      <c r="R95" s="452"/>
      <c r="S95" s="452"/>
      <c r="T95" s="452">
        <f>500-300</f>
        <v>200</v>
      </c>
      <c r="U95" s="452">
        <v>100</v>
      </c>
      <c r="V95" s="452">
        <v>200</v>
      </c>
      <c r="W95" s="452">
        <v>150</v>
      </c>
      <c r="X95" s="454">
        <f t="shared" si="102"/>
        <v>8800</v>
      </c>
      <c r="Y95" s="452"/>
      <c r="Z95" s="455"/>
      <c r="AA95" s="455">
        <f>(H95*D95)/(D95*H95+D99*H99)</f>
        <v>0.323275862068966</v>
      </c>
      <c r="AB95" s="740">
        <f t="shared" si="91"/>
        <v>0</v>
      </c>
      <c r="AC95" s="456">
        <f t="shared" si="103"/>
        <v>1150</v>
      </c>
      <c r="AD95" s="457"/>
      <c r="AE95" s="474">
        <f t="shared" si="94"/>
        <v>138147.285714286</v>
      </c>
      <c r="AF95" s="458">
        <f t="shared" si="104"/>
        <v>1087.909875</v>
      </c>
      <c r="AG95" s="459">
        <f t="shared" si="69"/>
        <v>62.0901249999999</v>
      </c>
      <c r="AH95" s="741"/>
      <c r="AI95" s="460"/>
      <c r="AJ95" s="460">
        <f>$AJ$4*D95</f>
        <v>138147.285714286</v>
      </c>
      <c r="AK95" s="460"/>
      <c r="AL95" s="461"/>
      <c r="AM95" s="461"/>
      <c r="AN95" s="461"/>
      <c r="AO95" s="460">
        <f t="shared" ref="AO95:AO99" si="115">AG95/H95/D95</f>
        <v>166329.710806697</v>
      </c>
    </row>
    <row r="96" customHeight="1" spans="1:42">
      <c r="A96" s="487"/>
      <c r="B96" s="498"/>
      <c r="C96" s="489"/>
      <c r="D96" s="489">
        <v>0.0474025974025974</v>
      </c>
      <c r="E96" s="544" t="s">
        <v>3665</v>
      </c>
      <c r="F96" s="498"/>
      <c r="G96" s="492"/>
      <c r="H96" s="493">
        <v>1</v>
      </c>
      <c r="I96" s="494"/>
      <c r="J96" s="495">
        <v>1.3</v>
      </c>
      <c r="K96" s="751" t="s">
        <v>3641</v>
      </c>
      <c r="L96" s="497"/>
      <c r="M96" s="497"/>
      <c r="N96" s="498"/>
      <c r="O96" s="499"/>
      <c r="P96" s="500"/>
      <c r="Q96" s="500">
        <v>14900.5324675325</v>
      </c>
      <c r="R96" s="500">
        <f t="shared" si="112"/>
        <v>18961.038961039</v>
      </c>
      <c r="S96" s="500">
        <f>300000*$D$96</f>
        <v>14220.7792207792</v>
      </c>
      <c r="T96" s="500">
        <f>500000*$D$96</f>
        <v>23701.2987012987</v>
      </c>
      <c r="U96" s="500">
        <f>400000*$D$96</f>
        <v>18961.038961039</v>
      </c>
      <c r="V96" s="500">
        <v>23701.2987012987</v>
      </c>
      <c r="W96" s="500">
        <v>23702</v>
      </c>
      <c r="X96" s="501">
        <f t="shared" si="102"/>
        <v>62507.0558441559</v>
      </c>
      <c r="Y96" s="500"/>
      <c r="Z96" s="502"/>
      <c r="AA96" s="502"/>
      <c r="AB96" s="753">
        <f t="shared" si="91"/>
        <v>0</v>
      </c>
      <c r="AC96" s="503">
        <f t="shared" si="103"/>
        <v>138147.987012987</v>
      </c>
      <c r="AD96" s="504"/>
      <c r="AE96" s="497">
        <f t="shared" si="94"/>
        <v>138147.285714286</v>
      </c>
      <c r="AF96" s="505">
        <f t="shared" si="104"/>
        <v>138147.285714286</v>
      </c>
      <c r="AG96" s="506">
        <f t="shared" si="69"/>
        <v>0.701298701314954</v>
      </c>
      <c r="AH96" s="754"/>
      <c r="AI96" s="507"/>
      <c r="AJ96" s="507"/>
      <c r="AK96" s="507"/>
      <c r="AL96" s="508"/>
      <c r="AM96" s="508"/>
      <c r="AN96" s="508"/>
      <c r="AO96" s="507"/>
    </row>
    <row r="97" customHeight="1" spans="1:41">
      <c r="A97" s="439"/>
      <c r="B97" s="450" t="s">
        <v>3669</v>
      </c>
      <c r="C97" s="441"/>
      <c r="D97" s="441">
        <v>0.0474025974025974</v>
      </c>
      <c r="E97" s="735" t="s">
        <v>3670</v>
      </c>
      <c r="F97" s="736" t="s">
        <v>3671</v>
      </c>
      <c r="G97" s="554">
        <v>500</v>
      </c>
      <c r="H97" s="445">
        <v>0.006615</v>
      </c>
      <c r="I97" s="446">
        <f t="shared" si="113"/>
        <v>75585.7898715042</v>
      </c>
      <c r="J97" s="447">
        <v>17.6</v>
      </c>
      <c r="K97" s="738" t="s">
        <v>3641</v>
      </c>
      <c r="L97" s="449"/>
      <c r="M97" s="449">
        <f t="shared" si="114"/>
        <v>1594549.53975502</v>
      </c>
      <c r="N97" s="450"/>
      <c r="O97" s="451">
        <f>$M$3*D97*H97</f>
        <v>308.75271525</v>
      </c>
      <c r="P97" s="452"/>
      <c r="Q97" s="452">
        <v>500</v>
      </c>
      <c r="R97" s="452"/>
      <c r="S97" s="452"/>
      <c r="T97" s="452"/>
      <c r="U97" s="452">
        <v>500</v>
      </c>
      <c r="V97" s="452">
        <v>0</v>
      </c>
      <c r="W97" s="452">
        <v>0</v>
      </c>
      <c r="X97" s="454">
        <f t="shared" si="102"/>
        <v>8800</v>
      </c>
      <c r="Y97" s="452"/>
      <c r="Z97" s="455"/>
      <c r="AA97" s="455"/>
      <c r="AB97" s="740">
        <f t="shared" si="91"/>
        <v>0</v>
      </c>
      <c r="AC97" s="456">
        <f t="shared" si="103"/>
        <v>1000</v>
      </c>
      <c r="AD97" s="457"/>
      <c r="AE97" s="474">
        <f t="shared" si="94"/>
        <v>138147.285714286</v>
      </c>
      <c r="AF97" s="458">
        <f t="shared" si="104"/>
        <v>913.844295</v>
      </c>
      <c r="AG97" s="459">
        <f t="shared" si="69"/>
        <v>86.155705</v>
      </c>
      <c r="AH97" s="741"/>
      <c r="AI97" s="460"/>
      <c r="AJ97" s="460">
        <f>$AJ$4*D97</f>
        <v>138147.285714286</v>
      </c>
      <c r="AK97" s="460"/>
      <c r="AL97" s="461"/>
      <c r="AM97" s="461"/>
      <c r="AN97" s="461"/>
      <c r="AO97" s="460">
        <f t="shared" si="115"/>
        <v>274759.079510038</v>
      </c>
    </row>
    <row r="98" customHeight="1" spans="1:41">
      <c r="A98" s="487"/>
      <c r="B98" s="498"/>
      <c r="C98" s="489"/>
      <c r="D98" s="489">
        <v>0.0474025974025974</v>
      </c>
      <c r="E98" s="544" t="s">
        <v>3665</v>
      </c>
      <c r="F98" s="498"/>
      <c r="G98" s="492"/>
      <c r="H98" s="493">
        <v>1</v>
      </c>
      <c r="I98" s="494"/>
      <c r="J98" s="495">
        <v>0.4456</v>
      </c>
      <c r="K98" s="751" t="s">
        <v>3641</v>
      </c>
      <c r="L98" s="497"/>
      <c r="M98" s="497"/>
      <c r="N98" s="498"/>
      <c r="O98" s="499"/>
      <c r="P98" s="500"/>
      <c r="Q98" s="500">
        <v>14900.5324675325</v>
      </c>
      <c r="R98" s="500">
        <f t="shared" si="112"/>
        <v>18961.038961039</v>
      </c>
      <c r="S98" s="500">
        <f>300000*$D$98</f>
        <v>14220.7792207792</v>
      </c>
      <c r="T98" s="500">
        <f>500000*$D$98</f>
        <v>23701.2987012987</v>
      </c>
      <c r="U98" s="500">
        <f>400000*$D$98</f>
        <v>18961.038961039</v>
      </c>
      <c r="V98" s="500">
        <v>23701.2987012987</v>
      </c>
      <c r="W98" s="500">
        <v>23702</v>
      </c>
      <c r="X98" s="501">
        <f t="shared" si="102"/>
        <v>21425.4954493507</v>
      </c>
      <c r="Y98" s="500"/>
      <c r="Z98" s="502"/>
      <c r="AA98" s="502"/>
      <c r="AB98" s="753">
        <f t="shared" si="91"/>
        <v>0</v>
      </c>
      <c r="AC98" s="503">
        <f t="shared" si="103"/>
        <v>138147.987012987</v>
      </c>
      <c r="AD98" s="504"/>
      <c r="AE98" s="497">
        <f t="shared" si="94"/>
        <v>138147.285714286</v>
      </c>
      <c r="AF98" s="505">
        <f t="shared" si="104"/>
        <v>138147.285714286</v>
      </c>
      <c r="AG98" s="506">
        <f t="shared" si="69"/>
        <v>0.701298701314954</v>
      </c>
      <c r="AH98" s="754"/>
      <c r="AI98" s="507"/>
      <c r="AJ98" s="507"/>
      <c r="AK98" s="507"/>
      <c r="AL98" s="508"/>
      <c r="AM98" s="508"/>
      <c r="AN98" s="508"/>
      <c r="AO98" s="507"/>
    </row>
    <row r="99" customHeight="1" spans="1:41">
      <c r="A99" s="439"/>
      <c r="B99" s="450" t="s">
        <v>3672</v>
      </c>
      <c r="C99" s="441"/>
      <c r="D99" s="441">
        <v>0.0474025974025974</v>
      </c>
      <c r="E99" s="735" t="s">
        <v>3667</v>
      </c>
      <c r="F99" s="736" t="s">
        <v>3673</v>
      </c>
      <c r="G99" s="554">
        <v>500</v>
      </c>
      <c r="H99" s="445">
        <v>0.016485</v>
      </c>
      <c r="I99" s="446">
        <f t="shared" si="113"/>
        <v>30330.6035790112</v>
      </c>
      <c r="J99" s="447">
        <v>17.6</v>
      </c>
      <c r="K99" s="738" t="s">
        <v>3641</v>
      </c>
      <c r="L99" s="449"/>
      <c r="M99" s="449">
        <f t="shared" si="114"/>
        <v>639851.089201059</v>
      </c>
      <c r="N99" s="450"/>
      <c r="O99" s="451">
        <f>$M$3*D99*H99</f>
        <v>769.43136975</v>
      </c>
      <c r="P99" s="452"/>
      <c r="Q99" s="452">
        <v>500</v>
      </c>
      <c r="R99" s="452">
        <v>500</v>
      </c>
      <c r="S99" s="452"/>
      <c r="T99" s="452">
        <v>300</v>
      </c>
      <c r="U99" s="452">
        <f>500-100</f>
        <v>400</v>
      </c>
      <c r="V99" s="452">
        <v>300</v>
      </c>
      <c r="W99" s="452">
        <v>350</v>
      </c>
      <c r="X99" s="454">
        <f t="shared" si="102"/>
        <v>17600</v>
      </c>
      <c r="Y99" s="452"/>
      <c r="Z99" s="455"/>
      <c r="AA99" s="455">
        <f>(H99*D99)/(D99*H99+H95*D95)</f>
        <v>0.676724137931034</v>
      </c>
      <c r="AB99" s="740">
        <f t="shared" si="91"/>
        <v>0</v>
      </c>
      <c r="AC99" s="456">
        <f t="shared" si="103"/>
        <v>2350</v>
      </c>
      <c r="AD99" s="457"/>
      <c r="AE99" s="474">
        <f t="shared" si="94"/>
        <v>138147.285714286</v>
      </c>
      <c r="AF99" s="458">
        <f t="shared" si="104"/>
        <v>2277.358005</v>
      </c>
      <c r="AG99" s="459">
        <f t="shared" si="69"/>
        <v>72.641995</v>
      </c>
      <c r="AH99" s="741"/>
      <c r="AI99" s="460"/>
      <c r="AJ99" s="460">
        <f>$AJ$4*D99</f>
        <v>138147.285714286</v>
      </c>
      <c r="AK99" s="460"/>
      <c r="AL99" s="461"/>
      <c r="AM99" s="461"/>
      <c r="AN99" s="461"/>
      <c r="AO99" s="460">
        <f t="shared" si="115"/>
        <v>92960.1192449757</v>
      </c>
    </row>
    <row r="100" customHeight="1" spans="1:41">
      <c r="A100" s="487"/>
      <c r="B100" s="498"/>
      <c r="C100" s="489"/>
      <c r="D100" s="489">
        <v>0.0474025974025974</v>
      </c>
      <c r="E100" s="544" t="s">
        <v>3665</v>
      </c>
      <c r="F100" s="498"/>
      <c r="G100" s="492"/>
      <c r="H100" s="493">
        <v>1</v>
      </c>
      <c r="I100" s="494"/>
      <c r="J100" s="495">
        <v>0.524</v>
      </c>
      <c r="K100" s="751" t="s">
        <v>3641</v>
      </c>
      <c r="L100" s="497"/>
      <c r="M100" s="497"/>
      <c r="N100" s="498"/>
      <c r="O100" s="499"/>
      <c r="P100" s="500"/>
      <c r="Q100" s="500">
        <v>14900.5324675325</v>
      </c>
      <c r="R100" s="500">
        <f t="shared" ref="R100:R104" si="116">400000*D100</f>
        <v>18961.038961039</v>
      </c>
      <c r="S100" s="500">
        <f>300000*D100</f>
        <v>14220.7792207792</v>
      </c>
      <c r="T100" s="500">
        <f>500000*$D$100</f>
        <v>23701.2987012987</v>
      </c>
      <c r="U100" s="500">
        <f>400000*$D$100</f>
        <v>18961.038961039</v>
      </c>
      <c r="V100" s="500">
        <v>23701.2987012987</v>
      </c>
      <c r="W100" s="500">
        <v>23702</v>
      </c>
      <c r="X100" s="501">
        <f t="shared" si="102"/>
        <v>25195.1517402598</v>
      </c>
      <c r="Y100" s="500"/>
      <c r="Z100" s="502"/>
      <c r="AA100" s="502"/>
      <c r="AB100" s="753">
        <f t="shared" si="91"/>
        <v>0</v>
      </c>
      <c r="AC100" s="503">
        <f t="shared" si="103"/>
        <v>138147.987012987</v>
      </c>
      <c r="AD100" s="504"/>
      <c r="AE100" s="497">
        <f t="shared" si="94"/>
        <v>138147.285714286</v>
      </c>
      <c r="AF100" s="505">
        <f t="shared" si="104"/>
        <v>138147.285714286</v>
      </c>
      <c r="AG100" s="506">
        <f t="shared" si="69"/>
        <v>0.701298701314954</v>
      </c>
      <c r="AH100" s="754"/>
      <c r="AI100" s="507"/>
      <c r="AJ100" s="507"/>
      <c r="AK100" s="507"/>
      <c r="AL100" s="508"/>
      <c r="AM100" s="508"/>
      <c r="AN100" s="508"/>
      <c r="AO100" s="507"/>
    </row>
    <row r="101" customHeight="1" spans="1:41">
      <c r="A101" s="439"/>
      <c r="B101" s="450" t="s">
        <v>3674</v>
      </c>
      <c r="C101" s="441"/>
      <c r="D101" s="441">
        <v>0.0474025974025974</v>
      </c>
      <c r="E101" s="735" t="s">
        <v>3675</v>
      </c>
      <c r="F101" s="736" t="s">
        <v>3661</v>
      </c>
      <c r="G101" s="554">
        <v>500</v>
      </c>
      <c r="H101" s="445">
        <v>0.02226</v>
      </c>
      <c r="I101" s="446">
        <f>G101/H101</f>
        <v>22461.8149146451</v>
      </c>
      <c r="J101" s="447">
        <v>17.6</v>
      </c>
      <c r="K101" s="738" t="s">
        <v>3641</v>
      </c>
      <c r="L101" s="449"/>
      <c r="M101" s="449">
        <f>G101/H101/D101</f>
        <v>473851.985870595</v>
      </c>
      <c r="N101" s="450"/>
      <c r="O101" s="451">
        <f>$M$3*D101*H101</f>
        <v>1038.977391</v>
      </c>
      <c r="P101" s="452"/>
      <c r="Q101" s="452">
        <v>500</v>
      </c>
      <c r="R101" s="452">
        <v>500</v>
      </c>
      <c r="S101" s="452">
        <v>500</v>
      </c>
      <c r="T101" s="452">
        <v>500</v>
      </c>
      <c r="U101" s="452">
        <v>500</v>
      </c>
      <c r="V101" s="452">
        <v>500</v>
      </c>
      <c r="W101" s="452">
        <v>500</v>
      </c>
      <c r="X101" s="454">
        <f t="shared" si="102"/>
        <v>26400</v>
      </c>
      <c r="Y101" s="452"/>
      <c r="Z101" s="455"/>
      <c r="AA101" s="455"/>
      <c r="AB101" s="740">
        <f t="shared" si="91"/>
        <v>0</v>
      </c>
      <c r="AC101" s="456">
        <f t="shared" si="103"/>
        <v>3500</v>
      </c>
      <c r="AD101" s="457"/>
      <c r="AE101" s="474">
        <f t="shared" si="94"/>
        <v>138147.285714286</v>
      </c>
      <c r="AF101" s="458">
        <f t="shared" si="104"/>
        <v>3075.15858</v>
      </c>
      <c r="AG101" s="459">
        <f t="shared" si="69"/>
        <v>424.84142</v>
      </c>
      <c r="AH101" s="741"/>
      <c r="AI101" s="460"/>
      <c r="AJ101" s="460">
        <f>$AJ$4*D101</f>
        <v>138147.285714286</v>
      </c>
      <c r="AK101" s="460"/>
      <c r="AL101" s="461"/>
      <c r="AM101" s="461"/>
      <c r="AN101" s="461"/>
      <c r="AO101" s="460">
        <f>AG101/H101/D101</f>
        <v>402623.901094168</v>
      </c>
    </row>
    <row r="102" customHeight="1" spans="1:41">
      <c r="A102" s="487"/>
      <c r="B102" s="498"/>
      <c r="C102" s="489"/>
      <c r="D102" s="489">
        <v>0.0474025974025974</v>
      </c>
      <c r="E102" s="544" t="s">
        <v>3665</v>
      </c>
      <c r="F102" s="498"/>
      <c r="G102" s="492"/>
      <c r="H102" s="493">
        <v>1</v>
      </c>
      <c r="I102" s="494"/>
      <c r="J102" s="495">
        <v>0.826</v>
      </c>
      <c r="K102" s="751" t="s">
        <v>3641</v>
      </c>
      <c r="L102" s="497"/>
      <c r="M102" s="497"/>
      <c r="N102" s="498"/>
      <c r="O102" s="499"/>
      <c r="P102" s="500"/>
      <c r="Q102" s="500">
        <v>14900.5324675325</v>
      </c>
      <c r="R102" s="500">
        <f t="shared" si="116"/>
        <v>18961.038961039</v>
      </c>
      <c r="S102" s="500">
        <f>300000*$D$102</f>
        <v>14220.7792207792</v>
      </c>
      <c r="T102" s="500">
        <f>500000*$D$102</f>
        <v>23701.2987012987</v>
      </c>
      <c r="U102" s="500">
        <f>400000*$D$102</f>
        <v>18961.038961039</v>
      </c>
      <c r="V102" s="500">
        <v>23701.2987012987</v>
      </c>
      <c r="W102" s="500">
        <v>23702</v>
      </c>
      <c r="X102" s="501">
        <f t="shared" si="102"/>
        <v>39716.0216363637</v>
      </c>
      <c r="Y102" s="500"/>
      <c r="Z102" s="502"/>
      <c r="AA102" s="502"/>
      <c r="AB102" s="753">
        <f t="shared" si="91"/>
        <v>0</v>
      </c>
      <c r="AC102" s="503">
        <f t="shared" si="103"/>
        <v>138147.987012987</v>
      </c>
      <c r="AD102" s="504"/>
      <c r="AE102" s="497">
        <f t="shared" si="94"/>
        <v>138147.285714286</v>
      </c>
      <c r="AF102" s="505">
        <f t="shared" si="104"/>
        <v>138147.285714286</v>
      </c>
      <c r="AG102" s="506">
        <f t="shared" si="69"/>
        <v>0.701298701314954</v>
      </c>
      <c r="AH102" s="754"/>
      <c r="AI102" s="507"/>
      <c r="AJ102" s="507"/>
      <c r="AK102" s="507"/>
      <c r="AL102" s="508"/>
      <c r="AM102" s="508"/>
      <c r="AN102" s="508"/>
      <c r="AO102" s="507"/>
    </row>
    <row r="103" customHeight="1" spans="1:41">
      <c r="A103" s="439"/>
      <c r="B103" s="450" t="s">
        <v>3676</v>
      </c>
      <c r="C103" s="441"/>
      <c r="D103" s="441">
        <v>0.00454545454545455</v>
      </c>
      <c r="E103" s="735" t="s">
        <v>3677</v>
      </c>
      <c r="F103" s="736" t="s">
        <v>3652</v>
      </c>
      <c r="G103" s="776">
        <v>500</v>
      </c>
      <c r="H103" s="445">
        <v>0.003255</v>
      </c>
      <c r="I103" s="446"/>
      <c r="J103" s="447">
        <v>28.8</v>
      </c>
      <c r="K103" s="738" t="s">
        <v>3641</v>
      </c>
      <c r="L103" s="449"/>
      <c r="M103" s="449">
        <f>G103/H103/D103</f>
        <v>33794162.8264209</v>
      </c>
      <c r="N103" s="777" t="s">
        <v>3678</v>
      </c>
      <c r="O103" s="451">
        <f>$M$3*D103*H103</f>
        <v>14.56824075</v>
      </c>
      <c r="P103" s="452"/>
      <c r="Q103" s="452"/>
      <c r="R103" s="452">
        <v>500</v>
      </c>
      <c r="S103" s="452"/>
      <c r="T103" s="452"/>
      <c r="U103" s="452"/>
      <c r="V103" s="452">
        <v>0</v>
      </c>
      <c r="W103" s="452">
        <v>0</v>
      </c>
      <c r="X103" s="454">
        <f t="shared" si="102"/>
        <v>14400</v>
      </c>
      <c r="Y103" s="452"/>
      <c r="Z103" s="455"/>
      <c r="AA103" s="455"/>
      <c r="AB103" s="740">
        <f t="shared" si="91"/>
        <v>0</v>
      </c>
      <c r="AC103" s="456">
        <f t="shared" si="103"/>
        <v>500</v>
      </c>
      <c r="AD103" s="457"/>
      <c r="AE103" s="474">
        <f t="shared" si="94"/>
        <v>13247</v>
      </c>
      <c r="AF103" s="458">
        <f t="shared" si="104"/>
        <v>43.118985</v>
      </c>
      <c r="AG103" s="459">
        <f t="shared" si="69"/>
        <v>456.881015</v>
      </c>
      <c r="AH103" s="741"/>
      <c r="AI103" s="460"/>
      <c r="AJ103" s="460">
        <f>$AJ$4*D103</f>
        <v>13247</v>
      </c>
      <c r="AK103" s="460"/>
      <c r="AL103" s="461"/>
      <c r="AM103" s="461"/>
      <c r="AN103" s="461"/>
      <c r="AO103" s="460">
        <f>AG103/H103/D103</f>
        <v>30879822.8264209</v>
      </c>
    </row>
    <row r="104" customHeight="1" spans="1:41">
      <c r="A104" s="487"/>
      <c r="B104" s="498"/>
      <c r="C104" s="489"/>
      <c r="D104" s="489">
        <v>0.00454545454545455</v>
      </c>
      <c r="E104" s="544" t="s">
        <v>3665</v>
      </c>
      <c r="F104" s="498"/>
      <c r="G104" s="492"/>
      <c r="H104" s="493">
        <v>1</v>
      </c>
      <c r="I104" s="494"/>
      <c r="J104" s="495">
        <v>2.605</v>
      </c>
      <c r="K104" s="751" t="s">
        <v>3641</v>
      </c>
      <c r="L104" s="497"/>
      <c r="M104" s="497"/>
      <c r="N104" s="498"/>
      <c r="O104" s="499"/>
      <c r="P104" s="500"/>
      <c r="Q104" s="500">
        <v>1428.81818181818</v>
      </c>
      <c r="R104" s="500">
        <f t="shared" si="116"/>
        <v>1818.18181818182</v>
      </c>
      <c r="S104" s="500">
        <f>300000*$D$104</f>
        <v>1363.63636363636</v>
      </c>
      <c r="T104" s="500">
        <f>500000*$D$104</f>
        <v>2272.72727272727</v>
      </c>
      <c r="U104" s="500">
        <f>400000*$D$104</f>
        <v>1818.18181818182</v>
      </c>
      <c r="V104" s="500">
        <v>2272.72727272727</v>
      </c>
      <c r="W104" s="500">
        <v>2273</v>
      </c>
      <c r="X104" s="501">
        <f t="shared" si="102"/>
        <v>12010.7077272727</v>
      </c>
      <c r="Y104" s="500"/>
      <c r="Z104" s="502"/>
      <c r="AA104" s="502"/>
      <c r="AB104" s="753">
        <f t="shared" si="91"/>
        <v>0</v>
      </c>
      <c r="AC104" s="503">
        <f t="shared" si="103"/>
        <v>13247.2727272727</v>
      </c>
      <c r="AD104" s="504"/>
      <c r="AE104" s="497">
        <f t="shared" si="94"/>
        <v>13247</v>
      </c>
      <c r="AF104" s="505">
        <f t="shared" si="104"/>
        <v>13247</v>
      </c>
      <c r="AG104" s="506">
        <f t="shared" si="69"/>
        <v>0.27272727271702</v>
      </c>
      <c r="AH104" s="754"/>
      <c r="AI104" s="507"/>
      <c r="AJ104" s="507"/>
      <c r="AK104" s="507"/>
      <c r="AL104" s="508"/>
      <c r="AM104" s="508"/>
      <c r="AN104" s="508"/>
      <c r="AO104" s="507"/>
    </row>
    <row r="105" customHeight="1" spans="1:41">
      <c r="O105" s="563" t="s">
        <v>3679</v>
      </c>
      <c r="P105" s="564">
        <f t="shared" ref="P105:W105" si="117">SUM(P5:P104)</f>
        <v>377206.237931275</v>
      </c>
      <c r="Q105" s="564">
        <f t="shared" si="117"/>
        <v>154654.142857143</v>
      </c>
      <c r="R105" s="564">
        <f t="shared" si="117"/>
        <v>580495.415584416</v>
      </c>
      <c r="S105" s="564">
        <f t="shared" si="117"/>
        <v>474436.090909091</v>
      </c>
      <c r="T105" s="564">
        <f t="shared" si="117"/>
        <v>751822.116883117</v>
      </c>
      <c r="U105" s="564">
        <f t="shared" si="117"/>
        <v>562248.493506494</v>
      </c>
      <c r="V105" s="564">
        <f t="shared" si="117"/>
        <v>724784.116883117</v>
      </c>
      <c r="W105" s="564">
        <f t="shared" si="117"/>
        <v>705012</v>
      </c>
      <c r="X105" s="565">
        <f t="shared" ref="X105:AC105" si="118">SUM(X5:X104)</f>
        <v>4066616.37170932</v>
      </c>
      <c r="Y105" s="567">
        <f t="shared" si="118"/>
        <v>20205</v>
      </c>
      <c r="Z105" s="566"/>
      <c r="AA105" s="566"/>
      <c r="AB105" s="567">
        <f t="shared" si="118"/>
        <v>7234</v>
      </c>
      <c r="AC105" s="567">
        <f t="shared" si="118"/>
        <v>4337892.61455465</v>
      </c>
      <c r="AD105" s="567"/>
      <c r="AE105" s="567"/>
      <c r="AF105" s="567"/>
      <c r="AG105" s="568" t="e">
        <f>SUM(AG5:AG104)</f>
        <v>#REF!</v>
      </c>
      <c r="AH105" s="778"/>
      <c r="AI105" s="569">
        <f t="shared" ref="AI105:AN105" si="119">SUM(AI5:AI71)+SUM(AI76:AI79)</f>
        <v>105660</v>
      </c>
      <c r="AJ105" s="569">
        <f t="shared" si="119"/>
        <v>2914340</v>
      </c>
      <c r="AK105" s="569">
        <f t="shared" si="119"/>
        <v>350000</v>
      </c>
      <c r="AL105" s="567">
        <f t="shared" si="119"/>
        <v>1200</v>
      </c>
      <c r="AM105" s="569">
        <f t="shared" si="119"/>
        <v>3500</v>
      </c>
      <c r="AN105" s="567">
        <f t="shared" si="119"/>
        <v>8805</v>
      </c>
      <c r="AO105" s="569" t="e">
        <f>MIN(AO5:AO104)</f>
        <v>#REF!</v>
      </c>
    </row>
    <row r="106" customHeight="1" spans="1:41">
      <c r="O106" s="578" t="s">
        <v>3680</v>
      </c>
      <c r="P106" s="579">
        <f>AI105+AJ105</f>
        <v>3020000</v>
      </c>
      <c r="Q106" s="779"/>
      <c r="R106" s="580"/>
      <c r="S106" s="580"/>
      <c r="T106" s="580"/>
      <c r="U106" s="580"/>
      <c r="V106" s="580"/>
      <c r="W106" s="580"/>
      <c r="X106" s="581"/>
      <c r="Y106" s="582"/>
      <c r="Z106" s="582"/>
      <c r="AA106" s="582"/>
      <c r="AB106" s="582"/>
      <c r="AC106" s="582"/>
      <c r="AD106" s="582"/>
      <c r="AE106" s="582"/>
      <c r="AF106" s="582"/>
      <c r="AG106" s="583"/>
      <c r="AH106" s="780"/>
      <c r="AI106" s="584"/>
      <c r="AJ106" s="584"/>
      <c r="AK106" s="584"/>
      <c r="AL106" s="582"/>
      <c r="AM106" s="582"/>
      <c r="AN106" s="582"/>
      <c r="AO106" s="584"/>
    </row>
    <row r="107" customHeight="1" spans="1:41">
      <c r="O107" s="585" t="s">
        <v>3681</v>
      </c>
      <c r="P107" s="580">
        <v>15970</v>
      </c>
      <c r="Q107" s="580"/>
      <c r="R107" s="580"/>
      <c r="S107" s="580"/>
      <c r="T107" s="580"/>
      <c r="U107" s="580"/>
      <c r="V107" s="580"/>
      <c r="W107" s="580"/>
      <c r="X107" s="581"/>
      <c r="Y107" s="582"/>
      <c r="Z107" s="582"/>
      <c r="AA107" s="582"/>
      <c r="AB107" s="582"/>
      <c r="AC107" s="582"/>
      <c r="AD107" s="582"/>
      <c r="AE107" s="582"/>
      <c r="AF107" s="582"/>
      <c r="AG107" s="583"/>
      <c r="AH107" s="780"/>
      <c r="AI107" s="584"/>
      <c r="AJ107" s="584"/>
      <c r="AK107" s="584"/>
      <c r="AL107" s="582"/>
      <c r="AM107" s="582"/>
      <c r="AN107" s="582"/>
      <c r="AO107" s="584"/>
    </row>
    <row r="108" customHeight="1" spans="1:41">
      <c r="O108" s="585" t="s">
        <v>3682</v>
      </c>
      <c r="P108" s="580">
        <v>1761</v>
      </c>
      <c r="Q108" s="580"/>
      <c r="R108" s="580"/>
      <c r="S108" s="580"/>
      <c r="T108" s="580"/>
      <c r="U108" s="580"/>
      <c r="V108" s="580"/>
      <c r="W108" s="580"/>
      <c r="X108" s="581"/>
      <c r="Y108" s="582"/>
      <c r="Z108" s="582"/>
      <c r="AA108" s="582"/>
      <c r="AB108" s="582"/>
      <c r="AC108" s="582"/>
      <c r="AD108" s="582"/>
      <c r="AE108" s="582"/>
      <c r="AF108" s="582"/>
      <c r="AG108" s="583"/>
      <c r="AH108" s="780"/>
      <c r="AI108" s="584"/>
      <c r="AJ108" s="584"/>
      <c r="AK108" s="584"/>
      <c r="AL108" s="582"/>
      <c r="AM108" s="582"/>
      <c r="AN108" s="582"/>
      <c r="AO108" s="584"/>
    </row>
    <row r="109" customHeight="1" spans="1:41">
      <c r="O109" s="586" t="s">
        <v>3683</v>
      </c>
      <c r="P109" s="587"/>
      <c r="Q109" s="587"/>
      <c r="R109" s="587"/>
      <c r="S109" s="587"/>
      <c r="T109" s="587"/>
      <c r="U109" s="587"/>
      <c r="V109" s="587"/>
      <c r="W109" s="587"/>
      <c r="X109" s="588"/>
      <c r="Y109" s="589"/>
      <c r="Z109" s="589"/>
      <c r="AA109" s="589"/>
      <c r="AB109" s="589"/>
      <c r="AC109" s="589"/>
      <c r="AD109" s="589"/>
      <c r="AE109" s="589"/>
      <c r="AF109" s="589"/>
      <c r="AG109" s="590"/>
      <c r="AH109" s="781"/>
      <c r="AI109" s="591"/>
      <c r="AJ109" s="591"/>
      <c r="AK109" s="591"/>
      <c r="AL109" s="589"/>
      <c r="AM109" s="589"/>
      <c r="AN109" s="589"/>
      <c r="AO109" s="591"/>
    </row>
    <row r="110" customHeight="1" spans="1:41">
      <c r="O110" s="782" t="s">
        <v>3684</v>
      </c>
      <c r="P110" s="783">
        <f>P106-'77485半成品MA'!U6</f>
        <v>0</v>
      </c>
    </row>
    <row r="111" customHeight="1" spans="1:41">
      <c r="O111" s="782" t="s">
        <v>3685</v>
      </c>
      <c r="P111" s="783">
        <f>P106-'77485半成品MA'!V6</f>
        <v>50820</v>
      </c>
    </row>
  </sheetData>
  <sheetProtection formatCells="0" formatColumns="0" formatRows="0" insertRows="0" insertColumns="0" insertHyperlinks="0" deleteColumns="0" deleteRows="0" sort="0" autoFilter="0" pivotTables="0"/>
  <autoFilter xmlns:etc="http://www.wps.cn/officeDocument/2017/etCustomData" ref="A4:AP111" etc:filterBottomFollowUsedRange="0">
    <extLst/>
  </autoFilter>
  <conditionalFormatting sqref="E80">
    <cfRule type="duplicateValues" dxfId="0" priority="39"/>
  </conditionalFormatting>
  <conditionalFormatting sqref="E81">
    <cfRule type="duplicateValues" dxfId="0" priority="38"/>
  </conditionalFormatting>
  <conditionalFormatting sqref="E82">
    <cfRule type="duplicateValues" dxfId="0" priority="37"/>
  </conditionalFormatting>
  <conditionalFormatting sqref="E83">
    <cfRule type="duplicateValues" dxfId="0" priority="35"/>
  </conditionalFormatting>
  <conditionalFormatting sqref="E84">
    <cfRule type="duplicateValues" dxfId="0" priority="36"/>
  </conditionalFormatting>
  <conditionalFormatting sqref="E85">
    <cfRule type="duplicateValues" dxfId="0" priority="34"/>
  </conditionalFormatting>
  <conditionalFormatting sqref="E86">
    <cfRule type="duplicateValues" dxfId="0" priority="33"/>
  </conditionalFormatting>
  <conditionalFormatting sqref="E87">
    <cfRule type="duplicateValues" dxfId="0" priority="32"/>
  </conditionalFormatting>
  <conditionalFormatting sqref="E88">
    <cfRule type="duplicateValues" dxfId="0" priority="31"/>
  </conditionalFormatting>
  <conditionalFormatting sqref="E89">
    <cfRule type="duplicateValues" dxfId="0" priority="30"/>
  </conditionalFormatting>
  <conditionalFormatting sqref="E90">
    <cfRule type="duplicateValues" dxfId="0" priority="25"/>
  </conditionalFormatting>
  <conditionalFormatting sqref="E91">
    <cfRule type="duplicateValues" dxfId="0" priority="26"/>
  </conditionalFormatting>
  <conditionalFormatting sqref="E92">
    <cfRule type="duplicateValues" dxfId="0" priority="29"/>
  </conditionalFormatting>
  <conditionalFormatting sqref="E93">
    <cfRule type="duplicateValues" dxfId="0" priority="27"/>
  </conditionalFormatting>
  <conditionalFormatting sqref="E94">
    <cfRule type="duplicateValues" dxfId="0" priority="28"/>
  </conditionalFormatting>
  <conditionalFormatting sqref="E95">
    <cfRule type="duplicateValues" dxfId="0" priority="21"/>
  </conditionalFormatting>
  <conditionalFormatting sqref="E96">
    <cfRule type="duplicateValues" dxfId="0" priority="20"/>
  </conditionalFormatting>
  <conditionalFormatting sqref="E97">
    <cfRule type="duplicateValues" dxfId="0" priority="17"/>
  </conditionalFormatting>
  <conditionalFormatting sqref="E98">
    <cfRule type="duplicateValues" dxfId="0" priority="16"/>
  </conditionalFormatting>
  <conditionalFormatting sqref="E99">
    <cfRule type="duplicateValues" dxfId="0" priority="13"/>
  </conditionalFormatting>
  <conditionalFormatting sqref="E100">
    <cfRule type="duplicateValues" dxfId="0" priority="12"/>
  </conditionalFormatting>
  <conditionalFormatting sqref="E101">
    <cfRule type="duplicateValues" dxfId="0" priority="9"/>
  </conditionalFormatting>
  <conditionalFormatting sqref="E102">
    <cfRule type="duplicateValues" dxfId="0" priority="8"/>
  </conditionalFormatting>
  <conditionalFormatting sqref="E103">
    <cfRule type="duplicateValues" dxfId="0" priority="5"/>
  </conditionalFormatting>
  <conditionalFormatting sqref="E104">
    <cfRule type="duplicateValues" dxfId="0" priority="4"/>
  </conditionalFormatting>
  <conditionalFormatting sqref="E1:E113">
    <cfRule type="duplicateValues" dxfId="0" priority="1"/>
  </conditionalFormatting>
  <conditionalFormatting sqref="E92:E94">
    <cfRule type="duplicateValues" dxfId="0" priority="22"/>
  </conditionalFormatting>
  <conditionalFormatting sqref="E95:E96">
    <cfRule type="duplicateValues" dxfId="0" priority="19"/>
  </conditionalFormatting>
  <conditionalFormatting sqref="E97:E98">
    <cfRule type="duplicateValues" dxfId="0" priority="15"/>
  </conditionalFormatting>
  <conditionalFormatting sqref="E99:E100">
    <cfRule type="duplicateValues" dxfId="0" priority="11"/>
  </conditionalFormatting>
  <conditionalFormatting sqref="E101:E102">
    <cfRule type="duplicateValues" dxfId="0" priority="7"/>
  </conditionalFormatting>
  <conditionalFormatting sqref="E103:E104">
    <cfRule type="duplicateValues" dxfId="0" priority="3"/>
  </conditionalFormatting>
  <conditionalFormatting sqref="E105:E113 E1:E94">
    <cfRule type="duplicateValues" dxfId="0" priority="24"/>
  </conditionalFormatting>
  <conditionalFormatting sqref="E105:E113 E4:E79">
    <cfRule type="duplicateValues" dxfId="0" priority="40"/>
  </conditionalFormatting>
  <conditionalFormatting sqref="E90:E91 E88 E86 E84 E81">
    <cfRule type="duplicateValues" dxfId="0" priority="23"/>
  </conditionalFormatting>
  <pageMargins left="0.35" right="0.12" top="0.2" bottom="0.75" header="0.3" footer="0.3"/>
  <pageSetup paperSize="9" scale="18" fitToHeight="0" orientation="portrait" verticalDpi="30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AC52"/>
  <sheetViews>
    <sheetView showGridLines="0" workbookViewId="0">
      <pane xSplit="2" ySplit="1" topLeftCell="C2" activePane="bottomRight" state="frozen"/>
      <selection/>
      <selection pane="topRight"/>
      <selection pane="bottomLeft"/>
      <selection pane="bottomRight" activeCell="A1" sqref="A1:I1"/>
    </sheetView>
  </sheetViews>
  <sheetFormatPr defaultColWidth="11.4416666666667" defaultRowHeight="14.25"/>
  <cols>
    <col min="1" max="1" width="14.35" style="669" customWidth="1"/>
    <col min="2" max="2" width="13.4416666666667" style="669" customWidth="1"/>
    <col min="3" max="3" width="26.175" style="669" customWidth="1"/>
    <col min="4" max="4" width="21.8166666666667" style="670" customWidth="1"/>
    <col min="5" max="5" width="19.5333333333333" style="670" customWidth="1"/>
    <col min="6" max="6" width="18.65" style="670" customWidth="1"/>
    <col min="7" max="7" width="15.175" style="670" customWidth="1"/>
    <col min="8" max="8" width="18" style="670" hidden="1" customWidth="1"/>
    <col min="9" max="9" width="8.44166666666667" style="670" customWidth="1"/>
    <col min="10" max="20" width="20.35" style="670" customWidth="1"/>
    <col min="21" max="21" width="18.8833333333333" style="670" customWidth="1"/>
    <col min="22" max="22" width="20.325" style="670" customWidth="1"/>
    <col min="23" max="23" width="22" style="670" customWidth="1"/>
    <col min="24" max="24" width="6.81666666666667" style="669" customWidth="1"/>
    <col min="25" max="16384" width="11.4416666666667" style="669"/>
  </cols>
  <sheetData>
    <row r="1" customFormat="1" spans="1:29">
      <c r="A1" s="594" t="s">
        <v>1</v>
      </c>
      <c r="B1" s="595"/>
      <c r="C1" s="595"/>
      <c r="D1" s="595"/>
      <c r="E1" s="595"/>
      <c r="F1" s="595"/>
      <c r="G1" s="595"/>
      <c r="H1" s="596"/>
      <c r="I1" s="597"/>
      <c r="J1" s="598">
        <v>45132</v>
      </c>
      <c r="K1" s="598">
        <v>45156</v>
      </c>
      <c r="L1" s="598">
        <v>45188</v>
      </c>
      <c r="M1" s="598">
        <v>45257</v>
      </c>
      <c r="N1" s="598">
        <v>45267</v>
      </c>
      <c r="O1" s="598">
        <v>45365</v>
      </c>
      <c r="P1" s="598">
        <v>45397</v>
      </c>
      <c r="Q1" s="598">
        <v>45471</v>
      </c>
      <c r="R1" s="598">
        <v>45805</v>
      </c>
      <c r="S1" s="598">
        <v>46092</v>
      </c>
      <c r="T1" s="598"/>
      <c r="U1" s="598"/>
      <c r="V1" s="598"/>
      <c r="W1" s="598"/>
      <c r="X1" s="669"/>
      <c r="Y1" s="669"/>
      <c r="Z1" s="669"/>
      <c r="AA1" s="669"/>
      <c r="AB1" s="669"/>
      <c r="AC1" s="669"/>
    </row>
    <row r="2" customFormat="1" spans="1:29">
      <c r="A2" s="594" t="s">
        <v>3686</v>
      </c>
      <c r="B2" s="595"/>
      <c r="C2" s="595"/>
      <c r="D2" s="595"/>
      <c r="E2" s="595"/>
      <c r="F2" s="595"/>
      <c r="G2" s="595"/>
      <c r="H2" s="596"/>
      <c r="I2" s="597"/>
      <c r="J2" s="600" t="s">
        <v>3687</v>
      </c>
      <c r="K2" s="600" t="s">
        <v>3688</v>
      </c>
      <c r="L2" s="600" t="s">
        <v>3689</v>
      </c>
      <c r="M2" s="600" t="s">
        <v>3690</v>
      </c>
      <c r="N2" s="600" t="s">
        <v>3691</v>
      </c>
      <c r="O2" s="671" t="s">
        <v>3692</v>
      </c>
      <c r="P2" s="672" t="s">
        <v>3693</v>
      </c>
      <c r="Q2" s="672" t="s">
        <v>3694</v>
      </c>
      <c r="R2" s="672" t="s">
        <v>3695</v>
      </c>
      <c r="S2" s="672" t="s">
        <v>3696</v>
      </c>
      <c r="T2" s="672"/>
      <c r="U2" s="598"/>
      <c r="V2" s="600"/>
      <c r="W2" s="600"/>
      <c r="X2" s="669"/>
      <c r="Y2" s="669"/>
      <c r="Z2" s="669"/>
      <c r="AA2" s="669"/>
      <c r="AB2" s="669"/>
      <c r="AC2" s="669"/>
    </row>
    <row r="3" customFormat="1" spans="1:29">
      <c r="A3" s="601" t="s">
        <v>3697</v>
      </c>
      <c r="B3" s="602"/>
      <c r="C3" s="602"/>
      <c r="D3" s="602"/>
      <c r="E3" s="602"/>
      <c r="F3" s="602"/>
      <c r="G3" s="602"/>
      <c r="H3" s="603"/>
      <c r="I3" s="604"/>
      <c r="J3" s="605">
        <v>45177</v>
      </c>
      <c r="K3" s="605">
        <v>45215</v>
      </c>
      <c r="L3" s="605">
        <v>45260</v>
      </c>
      <c r="M3" s="605">
        <v>45342</v>
      </c>
      <c r="N3" s="605">
        <v>45342</v>
      </c>
      <c r="O3" s="605">
        <v>45409</v>
      </c>
      <c r="P3" s="605">
        <v>45442</v>
      </c>
      <c r="Q3" s="605">
        <v>45516</v>
      </c>
      <c r="R3" s="605">
        <v>45850</v>
      </c>
      <c r="S3" s="605">
        <v>46137</v>
      </c>
      <c r="T3" s="605"/>
      <c r="U3" s="605"/>
      <c r="V3" s="605"/>
      <c r="W3" s="605"/>
      <c r="X3" s="669"/>
      <c r="Y3" s="669"/>
      <c r="Z3" s="669"/>
      <c r="AA3" s="669"/>
      <c r="AB3" s="669"/>
      <c r="AC3" s="669"/>
    </row>
    <row r="4" customFormat="1" ht="16.5" spans="1:29">
      <c r="A4" s="608"/>
      <c r="B4" s="609"/>
      <c r="C4" s="609"/>
      <c r="D4" s="609"/>
      <c r="E4" s="609"/>
      <c r="F4" s="609"/>
      <c r="G4" s="609"/>
      <c r="H4" s="610" t="s">
        <v>3698</v>
      </c>
      <c r="I4" s="611" t="s">
        <v>3699</v>
      </c>
      <c r="J4" s="609" t="s">
        <v>3336</v>
      </c>
      <c r="K4" s="609" t="s">
        <v>3336</v>
      </c>
      <c r="L4" s="609" t="s">
        <v>3336</v>
      </c>
      <c r="M4" s="609" t="s">
        <v>3336</v>
      </c>
      <c r="N4" s="609" t="s">
        <v>3336</v>
      </c>
      <c r="O4" s="609" t="s">
        <v>3336</v>
      </c>
      <c r="P4" s="609" t="s">
        <v>3336</v>
      </c>
      <c r="Q4" s="609" t="s">
        <v>3336</v>
      </c>
      <c r="R4" s="609" t="s">
        <v>3336</v>
      </c>
      <c r="S4" s="609" t="s">
        <v>3336</v>
      </c>
      <c r="T4" s="609"/>
      <c r="U4" s="609" t="s">
        <v>3337</v>
      </c>
      <c r="V4" s="612" t="s">
        <v>3338</v>
      </c>
      <c r="W4" s="609" t="s">
        <v>3700</v>
      </c>
      <c r="X4" s="669"/>
      <c r="Y4" s="669"/>
      <c r="Z4" s="669"/>
      <c r="AA4" s="669"/>
      <c r="AB4" s="669"/>
      <c r="AC4" s="669"/>
    </row>
    <row r="5" ht="16.5" spans="1:29">
      <c r="A5" s="673"/>
      <c r="B5" s="674" t="s">
        <v>3335</v>
      </c>
      <c r="C5" s="675"/>
      <c r="D5" s="674"/>
      <c r="E5" s="676"/>
      <c r="F5" s="676"/>
      <c r="G5" s="676"/>
      <c r="H5" s="677" t="s">
        <v>3336</v>
      </c>
      <c r="I5" s="678"/>
      <c r="J5" s="679" t="s">
        <v>3474</v>
      </c>
      <c r="K5" s="674"/>
      <c r="L5" s="674"/>
      <c r="M5" s="674" t="s">
        <v>3701</v>
      </c>
      <c r="N5" s="674" t="s">
        <v>3701</v>
      </c>
      <c r="O5" s="674" t="s">
        <v>3701</v>
      </c>
      <c r="P5" s="674" t="s">
        <v>3701</v>
      </c>
      <c r="Q5" s="674" t="s">
        <v>3701</v>
      </c>
      <c r="R5" s="674" t="s">
        <v>3701</v>
      </c>
      <c r="S5" s="674"/>
      <c r="T5" s="674"/>
      <c r="U5" s="680"/>
      <c r="V5" s="680"/>
      <c r="W5" s="681"/>
    </row>
    <row r="6" ht="19.5" spans="1:29">
      <c r="A6" s="614" t="s">
        <v>3342</v>
      </c>
      <c r="B6" s="615" t="s">
        <v>3342</v>
      </c>
      <c r="C6" s="616"/>
      <c r="D6" s="366"/>
      <c r="E6" s="367" t="s">
        <v>3343</v>
      </c>
      <c r="F6" s="682"/>
      <c r="G6" s="683"/>
      <c r="H6" s="644"/>
      <c r="I6" s="684" t="s">
        <v>3702</v>
      </c>
      <c r="J6" s="644">
        <v>105660</v>
      </c>
      <c r="K6" s="644">
        <v>314340</v>
      </c>
      <c r="L6" s="644">
        <v>400000</v>
      </c>
      <c r="M6" s="685">
        <v>300000</v>
      </c>
      <c r="N6" s="685">
        <v>300000</v>
      </c>
      <c r="O6" s="685">
        <v>200000</v>
      </c>
      <c r="P6" s="685">
        <v>400000</v>
      </c>
      <c r="Q6" s="685">
        <v>500000</v>
      </c>
      <c r="R6" s="685">
        <v>300000</v>
      </c>
      <c r="S6" s="685">
        <v>200000</v>
      </c>
      <c r="T6" s="685"/>
      <c r="U6" s="685">
        <f>J6+K6+L6+M6+N6+O6+P6+Q6+R6+S6</f>
        <v>3020000</v>
      </c>
      <c r="V6" s="685">
        <f>'77485 S3 明细'!AK390+'77485 S3 明细'!AL390+2188428</f>
        <v>2969180</v>
      </c>
      <c r="W6" s="685">
        <f t="shared" ref="W6:W41" si="0">U6-V6</f>
        <v>50820</v>
      </c>
    </row>
    <row r="7" ht="17.25" spans="1:29">
      <c r="A7" s="686"/>
      <c r="B7" s="687"/>
      <c r="C7" s="688" t="s">
        <v>3344</v>
      </c>
      <c r="D7" s="689" t="s">
        <v>3345</v>
      </c>
      <c r="E7" s="689" t="s">
        <v>3346</v>
      </c>
      <c r="F7" s="689" t="s">
        <v>3347</v>
      </c>
      <c r="G7" s="689" t="s">
        <v>3703</v>
      </c>
      <c r="H7" s="664"/>
      <c r="I7" s="690"/>
      <c r="J7" s="690"/>
      <c r="K7" s="690"/>
      <c r="L7" s="690"/>
      <c r="M7" s="690"/>
      <c r="N7" s="690"/>
      <c r="O7" s="690"/>
      <c r="P7" s="690"/>
      <c r="Q7" s="690"/>
      <c r="R7" s="690"/>
      <c r="S7" s="690"/>
      <c r="T7" s="690"/>
      <c r="U7" s="690"/>
      <c r="V7" s="690"/>
      <c r="W7" s="690"/>
    </row>
    <row r="8" ht="16.5" spans="1:29">
      <c r="A8" s="691" t="s">
        <v>3704</v>
      </c>
      <c r="B8" s="378" t="s">
        <v>3350</v>
      </c>
      <c r="C8" s="378" t="s">
        <v>3351</v>
      </c>
      <c r="D8" s="692" t="s">
        <v>3705</v>
      </c>
      <c r="E8" s="692" t="s">
        <v>3706</v>
      </c>
      <c r="F8" s="692" t="s">
        <v>3707</v>
      </c>
      <c r="G8" s="692" t="s">
        <v>3708</v>
      </c>
      <c r="H8" s="644" t="e">
        <f>[1]Summary!I7</f>
        <v>#REF!</v>
      </c>
      <c r="I8" s="693" t="s">
        <v>3702</v>
      </c>
      <c r="J8" s="644">
        <v>4926.60714285714</v>
      </c>
      <c r="K8" s="685">
        <v>14900.5324675325</v>
      </c>
      <c r="L8" s="685">
        <v>18961.038961039</v>
      </c>
      <c r="M8" s="685">
        <v>14220.7792207792</v>
      </c>
      <c r="N8" s="685">
        <v>14220.7792207792</v>
      </c>
      <c r="O8" s="685">
        <v>9480.51948051948</v>
      </c>
      <c r="P8" s="685">
        <v>18962</v>
      </c>
      <c r="Q8" s="685">
        <v>23702</v>
      </c>
      <c r="R8" s="685">
        <v>14221</v>
      </c>
      <c r="S8" s="685">
        <v>9481</v>
      </c>
      <c r="T8" s="685"/>
      <c r="U8" s="685">
        <f>J8+K8+L8+M8+N8+O8+P8+Q8+R8+S8</f>
        <v>143076.256493507</v>
      </c>
      <c r="V8" s="685">
        <f>Sheet1!D2+103737</f>
        <v>140746.672727273</v>
      </c>
      <c r="W8" s="685">
        <f t="shared" si="0"/>
        <v>2329.58376623428</v>
      </c>
    </row>
    <row r="9" ht="16.5" spans="1:29">
      <c r="A9" s="694"/>
      <c r="B9" s="381" t="s">
        <v>3356</v>
      </c>
      <c r="C9" s="381" t="s">
        <v>3357</v>
      </c>
      <c r="D9" s="692" t="s">
        <v>3709</v>
      </c>
      <c r="E9" s="692" t="s">
        <v>3710</v>
      </c>
      <c r="F9" s="692" t="s">
        <v>3711</v>
      </c>
      <c r="G9" s="692" t="s">
        <v>3712</v>
      </c>
      <c r="H9" s="644">
        <f>[1]Summary!I8</f>
        <v>5035.71428571429</v>
      </c>
      <c r="I9" s="695" t="s">
        <v>3702</v>
      </c>
      <c r="J9" s="644">
        <v>4926.60714285714</v>
      </c>
      <c r="K9" s="624">
        <v>14900.5324675325</v>
      </c>
      <c r="L9" s="624">
        <v>18961.038961039</v>
      </c>
      <c r="M9" s="685">
        <v>14220.7792207792</v>
      </c>
      <c r="N9" s="685">
        <v>14220.7792207792</v>
      </c>
      <c r="O9" s="685">
        <v>9480.51948051948</v>
      </c>
      <c r="P9" s="685">
        <v>18962</v>
      </c>
      <c r="Q9" s="685">
        <v>23702</v>
      </c>
      <c r="R9" s="685">
        <v>14221</v>
      </c>
      <c r="S9" s="685">
        <v>9481</v>
      </c>
      <c r="T9" s="685"/>
      <c r="U9" s="685">
        <f t="shared" ref="U9:U41" si="1">J9+K9+L9+M9+N9+O9+P9+Q9+R9+S9</f>
        <v>143076.256493507</v>
      </c>
      <c r="V9" s="685">
        <f>Sheet1!D3+103737</f>
        <v>140746.672727273</v>
      </c>
      <c r="W9" s="685">
        <f t="shared" si="0"/>
        <v>2329.58376623428</v>
      </c>
    </row>
    <row r="10" ht="16.5" spans="1:29">
      <c r="A10" s="694"/>
      <c r="B10" s="381" t="s">
        <v>3362</v>
      </c>
      <c r="C10" s="381" t="s">
        <v>3363</v>
      </c>
      <c r="D10" s="692" t="s">
        <v>3713</v>
      </c>
      <c r="E10" s="692" t="s">
        <v>3714</v>
      </c>
      <c r="F10" s="692" t="s">
        <v>3715</v>
      </c>
      <c r="G10" s="692" t="s">
        <v>3716</v>
      </c>
      <c r="H10" s="644">
        <f>[1]Summary!I9</f>
        <v>5035.71428571429</v>
      </c>
      <c r="I10" s="695" t="s">
        <v>3702</v>
      </c>
      <c r="J10" s="644">
        <v>4926.60714285714</v>
      </c>
      <c r="K10" s="624">
        <v>14900.5324675325</v>
      </c>
      <c r="L10" s="624">
        <v>18961.038961039</v>
      </c>
      <c r="M10" s="685">
        <v>14220.7792207792</v>
      </c>
      <c r="N10" s="685">
        <v>14220.7792207792</v>
      </c>
      <c r="O10" s="685">
        <v>9480.51948051948</v>
      </c>
      <c r="P10" s="685">
        <v>18962</v>
      </c>
      <c r="Q10" s="685">
        <v>23702</v>
      </c>
      <c r="R10" s="685">
        <v>14221</v>
      </c>
      <c r="S10" s="685">
        <v>9481</v>
      </c>
      <c r="T10" s="685"/>
      <c r="U10" s="685">
        <f t="shared" si="1"/>
        <v>143076.256493507</v>
      </c>
      <c r="V10" s="685">
        <f>Sheet1!D4+103737</f>
        <v>140746.672727273</v>
      </c>
      <c r="W10" s="685">
        <f t="shared" si="0"/>
        <v>2329.58376623428</v>
      </c>
    </row>
    <row r="11" ht="16.5" spans="1:29">
      <c r="A11" s="694"/>
      <c r="B11" s="381" t="s">
        <v>3367</v>
      </c>
      <c r="C11" s="381" t="s">
        <v>3368</v>
      </c>
      <c r="D11" s="692" t="s">
        <v>3717</v>
      </c>
      <c r="E11" s="692" t="s">
        <v>3706</v>
      </c>
      <c r="F11" s="692" t="s">
        <v>3718</v>
      </c>
      <c r="G11" s="692" t="s">
        <v>3719</v>
      </c>
      <c r="H11" s="644">
        <f>[1]Summary!I10</f>
        <v>5035.71428571429</v>
      </c>
      <c r="I11" s="695" t="s">
        <v>3702</v>
      </c>
      <c r="J11" s="644">
        <v>4926.60714285714</v>
      </c>
      <c r="K11" s="624">
        <v>14900.5324675325</v>
      </c>
      <c r="L11" s="624">
        <v>18961.038961039</v>
      </c>
      <c r="M11" s="685">
        <v>14220.7792207792</v>
      </c>
      <c r="N11" s="685">
        <v>14220.7792207792</v>
      </c>
      <c r="O11" s="685">
        <v>9480.51948051948</v>
      </c>
      <c r="P11" s="685">
        <v>18962</v>
      </c>
      <c r="Q11" s="685">
        <v>23702</v>
      </c>
      <c r="R11" s="685">
        <v>14221</v>
      </c>
      <c r="S11" s="685">
        <v>9481</v>
      </c>
      <c r="T11" s="685"/>
      <c r="U11" s="685">
        <f t="shared" si="1"/>
        <v>143076.256493507</v>
      </c>
      <c r="V11" s="685">
        <f>Sheet1!D5+103737</f>
        <v>140746.672727273</v>
      </c>
      <c r="W11" s="685">
        <f t="shared" si="0"/>
        <v>2329.58376623428</v>
      </c>
    </row>
    <row r="12" ht="16.5" spans="1:29">
      <c r="A12" s="694"/>
      <c r="B12" s="381" t="s">
        <v>3372</v>
      </c>
      <c r="C12" s="381" t="s">
        <v>3373</v>
      </c>
      <c r="D12" s="692" t="s">
        <v>3720</v>
      </c>
      <c r="E12" s="692" t="s">
        <v>3710</v>
      </c>
      <c r="F12" s="692" t="s">
        <v>3721</v>
      </c>
      <c r="G12" s="692" t="s">
        <v>3722</v>
      </c>
      <c r="H12" s="644">
        <f>[1]Summary!I11</f>
        <v>5035.71428571429</v>
      </c>
      <c r="I12" s="695" t="s">
        <v>3702</v>
      </c>
      <c r="J12" s="644">
        <v>4926.60714285714</v>
      </c>
      <c r="K12" s="624">
        <v>14900.5324675325</v>
      </c>
      <c r="L12" s="624">
        <v>18961.038961039</v>
      </c>
      <c r="M12" s="685">
        <v>14220.7792207792</v>
      </c>
      <c r="N12" s="685">
        <v>14220.7792207792</v>
      </c>
      <c r="O12" s="685">
        <v>9480.51948051948</v>
      </c>
      <c r="P12" s="685">
        <v>18962</v>
      </c>
      <c r="Q12" s="685">
        <v>23702</v>
      </c>
      <c r="R12" s="685">
        <v>14221</v>
      </c>
      <c r="S12" s="685">
        <v>9481</v>
      </c>
      <c r="T12" s="685"/>
      <c r="U12" s="685">
        <f t="shared" si="1"/>
        <v>143076.256493507</v>
      </c>
      <c r="V12" s="685">
        <f>Sheet1!D6+103737</f>
        <v>140746.672727273</v>
      </c>
      <c r="W12" s="685">
        <f t="shared" si="0"/>
        <v>2329.58376623428</v>
      </c>
    </row>
    <row r="13" ht="16.5" spans="1:29">
      <c r="A13" s="694"/>
      <c r="B13" s="381" t="s">
        <v>3377</v>
      </c>
      <c r="C13" s="381" t="s">
        <v>3378</v>
      </c>
      <c r="D13" s="692" t="s">
        <v>3723</v>
      </c>
      <c r="E13" s="692" t="s">
        <v>3714</v>
      </c>
      <c r="F13" s="692" t="s">
        <v>3724</v>
      </c>
      <c r="G13" s="692" t="s">
        <v>3725</v>
      </c>
      <c r="H13" s="644">
        <f>[1]Summary!I12</f>
        <v>5035.71428571429</v>
      </c>
      <c r="I13" s="695" t="s">
        <v>3702</v>
      </c>
      <c r="J13" s="644">
        <v>4926.60714285714</v>
      </c>
      <c r="K13" s="624">
        <v>14900.5324675325</v>
      </c>
      <c r="L13" s="624">
        <v>18961.038961039</v>
      </c>
      <c r="M13" s="685">
        <v>14220.7792207792</v>
      </c>
      <c r="N13" s="685">
        <v>14220.7792207792</v>
      </c>
      <c r="O13" s="685">
        <v>9480.51948051948</v>
      </c>
      <c r="P13" s="685">
        <v>18962</v>
      </c>
      <c r="Q13" s="685">
        <v>23702</v>
      </c>
      <c r="R13" s="685">
        <v>14221</v>
      </c>
      <c r="S13" s="685">
        <v>9481</v>
      </c>
      <c r="T13" s="685"/>
      <c r="U13" s="685">
        <f t="shared" si="1"/>
        <v>143076.256493507</v>
      </c>
      <c r="V13" s="685">
        <f>Sheet1!D7+103737</f>
        <v>140746.672727273</v>
      </c>
      <c r="W13" s="685">
        <f t="shared" si="0"/>
        <v>2329.58376623428</v>
      </c>
    </row>
    <row r="14" ht="16.5" spans="1:29">
      <c r="A14" s="694"/>
      <c r="B14" s="381" t="s">
        <v>3382</v>
      </c>
      <c r="C14" s="381" t="s">
        <v>3383</v>
      </c>
      <c r="D14" s="692" t="s">
        <v>3726</v>
      </c>
      <c r="E14" s="692" t="s">
        <v>3706</v>
      </c>
      <c r="F14" s="692" t="s">
        <v>3707</v>
      </c>
      <c r="G14" s="692" t="s">
        <v>3718</v>
      </c>
      <c r="H14" s="644">
        <f>[1]Summary!I13</f>
        <v>5035.71428571429</v>
      </c>
      <c r="I14" s="695" t="s">
        <v>3702</v>
      </c>
      <c r="J14" s="644">
        <v>4926.60714285714</v>
      </c>
      <c r="K14" s="624">
        <v>14900.5324675325</v>
      </c>
      <c r="L14" s="624">
        <v>18961.038961039</v>
      </c>
      <c r="M14" s="685">
        <v>14220.7792207792</v>
      </c>
      <c r="N14" s="685">
        <v>14220.7792207792</v>
      </c>
      <c r="O14" s="685">
        <v>9480.51948051948</v>
      </c>
      <c r="P14" s="685">
        <v>18962</v>
      </c>
      <c r="Q14" s="685">
        <v>23702</v>
      </c>
      <c r="R14" s="685">
        <v>14221</v>
      </c>
      <c r="S14" s="685">
        <v>9481</v>
      </c>
      <c r="T14" s="685"/>
      <c r="U14" s="685">
        <f t="shared" si="1"/>
        <v>143076.256493507</v>
      </c>
      <c r="V14" s="685">
        <f>Sheet1!D8+103737</f>
        <v>140746.672727273</v>
      </c>
      <c r="W14" s="685">
        <f t="shared" si="0"/>
        <v>2329.58376623428</v>
      </c>
    </row>
    <row r="15" ht="16.5" spans="1:29">
      <c r="A15" s="694"/>
      <c r="B15" s="381" t="s">
        <v>3387</v>
      </c>
      <c r="C15" s="381" t="s">
        <v>3388</v>
      </c>
      <c r="D15" s="692" t="s">
        <v>3727</v>
      </c>
      <c r="E15" s="692" t="s">
        <v>3710</v>
      </c>
      <c r="F15" s="692" t="s">
        <v>3711</v>
      </c>
      <c r="G15" s="692" t="s">
        <v>3708</v>
      </c>
      <c r="H15" s="644">
        <f>[1]Summary!I14</f>
        <v>5035.71428571429</v>
      </c>
      <c r="I15" s="695" t="s">
        <v>3702</v>
      </c>
      <c r="J15" s="644">
        <v>4926.60714285714</v>
      </c>
      <c r="K15" s="624">
        <v>14900.5324675325</v>
      </c>
      <c r="L15" s="624">
        <v>18961.038961039</v>
      </c>
      <c r="M15" s="685">
        <v>14220.7792207792</v>
      </c>
      <c r="N15" s="685">
        <v>14220.7792207792</v>
      </c>
      <c r="O15" s="685">
        <v>9480.51948051948</v>
      </c>
      <c r="P15" s="685">
        <v>18962</v>
      </c>
      <c r="Q15" s="685">
        <v>23702</v>
      </c>
      <c r="R15" s="685">
        <v>14221</v>
      </c>
      <c r="S15" s="685">
        <v>9481</v>
      </c>
      <c r="T15" s="685"/>
      <c r="U15" s="685">
        <f t="shared" si="1"/>
        <v>143076.256493507</v>
      </c>
      <c r="V15" s="685">
        <f>Sheet1!D9+103737</f>
        <v>140746.672727273</v>
      </c>
      <c r="W15" s="685">
        <f t="shared" si="0"/>
        <v>2329.58376623428</v>
      </c>
    </row>
    <row r="16" ht="16.5" spans="1:29">
      <c r="A16" s="694"/>
      <c r="B16" s="381" t="s">
        <v>3392</v>
      </c>
      <c r="C16" s="381" t="s">
        <v>3393</v>
      </c>
      <c r="D16" s="692" t="s">
        <v>3728</v>
      </c>
      <c r="E16" s="692" t="s">
        <v>3714</v>
      </c>
      <c r="F16" s="692" t="s">
        <v>3712</v>
      </c>
      <c r="G16" s="692" t="s">
        <v>3719</v>
      </c>
      <c r="H16" s="644">
        <f>[1]Summary!I15</f>
        <v>5035.71428571429</v>
      </c>
      <c r="I16" s="695" t="s">
        <v>3702</v>
      </c>
      <c r="J16" s="644">
        <v>4926.60714285714</v>
      </c>
      <c r="K16" s="624">
        <v>14900.5324675325</v>
      </c>
      <c r="L16" s="624">
        <v>18961.038961039</v>
      </c>
      <c r="M16" s="685">
        <v>14220.7792207792</v>
      </c>
      <c r="N16" s="685">
        <v>14220.7792207792</v>
      </c>
      <c r="O16" s="685">
        <v>9480.51948051948</v>
      </c>
      <c r="P16" s="685">
        <v>18962</v>
      </c>
      <c r="Q16" s="685">
        <v>23702</v>
      </c>
      <c r="R16" s="685">
        <v>14221</v>
      </c>
      <c r="S16" s="685">
        <v>9481</v>
      </c>
      <c r="T16" s="685"/>
      <c r="U16" s="685">
        <f t="shared" si="1"/>
        <v>143076.256493507</v>
      </c>
      <c r="V16" s="685">
        <f>Sheet1!D10+103737</f>
        <v>140746.672727273</v>
      </c>
      <c r="W16" s="685">
        <f t="shared" si="0"/>
        <v>2329.58376623428</v>
      </c>
    </row>
    <row r="17" ht="16.5" spans="1:23">
      <c r="A17" s="694"/>
      <c r="B17" s="381" t="s">
        <v>3397</v>
      </c>
      <c r="C17" s="381" t="s">
        <v>3398</v>
      </c>
      <c r="D17" s="692" t="s">
        <v>3729</v>
      </c>
      <c r="E17" s="692" t="s">
        <v>3706</v>
      </c>
      <c r="F17" s="692" t="s">
        <v>3715</v>
      </c>
      <c r="G17" s="692" t="s">
        <v>3708</v>
      </c>
      <c r="H17" s="644">
        <f>[1]Summary!I16</f>
        <v>5035.71428571429</v>
      </c>
      <c r="I17" s="695" t="s">
        <v>3702</v>
      </c>
      <c r="J17" s="644">
        <v>4926.60714285714</v>
      </c>
      <c r="K17" s="624">
        <v>14900.5324675325</v>
      </c>
      <c r="L17" s="624">
        <v>18961.038961039</v>
      </c>
      <c r="M17" s="685">
        <v>14220.7792207792</v>
      </c>
      <c r="N17" s="685">
        <v>14220.7792207792</v>
      </c>
      <c r="O17" s="685">
        <v>9480.51948051948</v>
      </c>
      <c r="P17" s="685">
        <v>18962</v>
      </c>
      <c r="Q17" s="685">
        <v>23702</v>
      </c>
      <c r="R17" s="685">
        <v>14221</v>
      </c>
      <c r="S17" s="685">
        <v>9481</v>
      </c>
      <c r="T17" s="685"/>
      <c r="U17" s="685">
        <f t="shared" si="1"/>
        <v>143076.256493507</v>
      </c>
      <c r="V17" s="685">
        <f>Sheet1!D11+103737</f>
        <v>140746.672727273</v>
      </c>
      <c r="W17" s="685">
        <f t="shared" si="0"/>
        <v>2329.58376623428</v>
      </c>
    </row>
    <row r="18" ht="16.5" spans="1:23">
      <c r="A18" s="694"/>
      <c r="B18" s="381" t="s">
        <v>3402</v>
      </c>
      <c r="C18" s="381" t="s">
        <v>3403</v>
      </c>
      <c r="D18" s="692" t="s">
        <v>3730</v>
      </c>
      <c r="E18" s="692" t="s">
        <v>3710</v>
      </c>
      <c r="F18" s="692" t="s">
        <v>3722</v>
      </c>
      <c r="G18" s="692" t="s">
        <v>3718</v>
      </c>
      <c r="H18" s="644">
        <f>[1]Summary!I17</f>
        <v>5035.71428571429</v>
      </c>
      <c r="I18" s="695" t="s">
        <v>3702</v>
      </c>
      <c r="J18" s="644">
        <v>4926.60714285714</v>
      </c>
      <c r="K18" s="624">
        <v>14900.5324675325</v>
      </c>
      <c r="L18" s="624">
        <v>18961.038961039</v>
      </c>
      <c r="M18" s="685">
        <v>14220.7792207792</v>
      </c>
      <c r="N18" s="685">
        <v>14220.7792207792</v>
      </c>
      <c r="O18" s="685">
        <v>9480.51948051948</v>
      </c>
      <c r="P18" s="685">
        <v>18962</v>
      </c>
      <c r="Q18" s="685">
        <v>23702</v>
      </c>
      <c r="R18" s="685">
        <v>14221</v>
      </c>
      <c r="S18" s="685">
        <v>9481</v>
      </c>
      <c r="T18" s="685"/>
      <c r="U18" s="685">
        <f t="shared" si="1"/>
        <v>143076.256493507</v>
      </c>
      <c r="V18" s="685">
        <f>Sheet1!D12+103737</f>
        <v>140746.672727273</v>
      </c>
      <c r="W18" s="685">
        <f t="shared" si="0"/>
        <v>2329.58376623428</v>
      </c>
    </row>
    <row r="19" ht="16.5" spans="1:23">
      <c r="A19" s="694"/>
      <c r="B19" s="381" t="s">
        <v>3407</v>
      </c>
      <c r="C19" s="381" t="s">
        <v>3408</v>
      </c>
      <c r="D19" s="692" t="s">
        <v>3731</v>
      </c>
      <c r="E19" s="692" t="s">
        <v>3714</v>
      </c>
      <c r="F19" s="692" t="s">
        <v>3716</v>
      </c>
      <c r="G19" s="692" t="s">
        <v>3712</v>
      </c>
      <c r="H19" s="644">
        <f>[1]Summary!I18</f>
        <v>5035.71428571429</v>
      </c>
      <c r="I19" s="695" t="s">
        <v>3702</v>
      </c>
      <c r="J19" s="644">
        <v>4926.60714285714</v>
      </c>
      <c r="K19" s="624">
        <v>14900.5324675325</v>
      </c>
      <c r="L19" s="624">
        <v>18961.038961039</v>
      </c>
      <c r="M19" s="685">
        <v>14220.7792207792</v>
      </c>
      <c r="N19" s="685">
        <v>14220.7792207792</v>
      </c>
      <c r="O19" s="685">
        <v>9480.51948051948</v>
      </c>
      <c r="P19" s="685">
        <v>18962</v>
      </c>
      <c r="Q19" s="685">
        <v>23702</v>
      </c>
      <c r="R19" s="685">
        <v>14221</v>
      </c>
      <c r="S19" s="685">
        <v>9481</v>
      </c>
      <c r="T19" s="685"/>
      <c r="U19" s="685">
        <f t="shared" si="1"/>
        <v>143076.256493507</v>
      </c>
      <c r="V19" s="685">
        <f>Sheet1!D13+103737</f>
        <v>140746.672727273</v>
      </c>
      <c r="W19" s="685">
        <f t="shared" si="0"/>
        <v>2329.58376623428</v>
      </c>
    </row>
    <row r="20" ht="16.5" spans="1:23">
      <c r="A20" s="694"/>
      <c r="B20" s="381" t="s">
        <v>3412</v>
      </c>
      <c r="C20" s="381" t="s">
        <v>3413</v>
      </c>
      <c r="D20" s="692" t="s">
        <v>3732</v>
      </c>
      <c r="E20" s="692" t="s">
        <v>3706</v>
      </c>
      <c r="F20" s="692" t="s">
        <v>3707</v>
      </c>
      <c r="G20" s="692" t="s">
        <v>3715</v>
      </c>
      <c r="H20" s="644">
        <f>[1]Summary!I19</f>
        <v>5035.71428571429</v>
      </c>
      <c r="I20" s="695" t="s">
        <v>3702</v>
      </c>
      <c r="J20" s="644">
        <v>4926.60714285714</v>
      </c>
      <c r="K20" s="624">
        <v>14900.5324675325</v>
      </c>
      <c r="L20" s="624">
        <v>18961.038961039</v>
      </c>
      <c r="M20" s="685">
        <v>14220.7792207792</v>
      </c>
      <c r="N20" s="685">
        <v>14220.7792207792</v>
      </c>
      <c r="O20" s="685">
        <v>9480.51948051948</v>
      </c>
      <c r="P20" s="685">
        <v>18962</v>
      </c>
      <c r="Q20" s="685">
        <v>23702</v>
      </c>
      <c r="R20" s="685">
        <v>14221</v>
      </c>
      <c r="S20" s="685">
        <v>9481</v>
      </c>
      <c r="T20" s="685"/>
      <c r="U20" s="685">
        <f t="shared" si="1"/>
        <v>143076.256493507</v>
      </c>
      <c r="V20" s="685">
        <f>Sheet1!D14+103737</f>
        <v>140746.672727273</v>
      </c>
      <c r="W20" s="685">
        <f t="shared" si="0"/>
        <v>2329.58376623428</v>
      </c>
    </row>
    <row r="21" ht="16.5" spans="1:23">
      <c r="A21" s="694"/>
      <c r="B21" s="381" t="s">
        <v>3417</v>
      </c>
      <c r="C21" s="381" t="s">
        <v>3418</v>
      </c>
      <c r="D21" s="692" t="s">
        <v>3733</v>
      </c>
      <c r="E21" s="692" t="s">
        <v>3710</v>
      </c>
      <c r="F21" s="692" t="s">
        <v>3711</v>
      </c>
      <c r="G21" s="692" t="s">
        <v>3721</v>
      </c>
      <c r="H21" s="644">
        <f>[1]Summary!I20</f>
        <v>5035.71428571429</v>
      </c>
      <c r="I21" s="695" t="s">
        <v>3702</v>
      </c>
      <c r="J21" s="644">
        <v>4926.60714285714</v>
      </c>
      <c r="K21" s="624">
        <v>14900.5324675325</v>
      </c>
      <c r="L21" s="624">
        <v>18961.038961039</v>
      </c>
      <c r="M21" s="685">
        <v>14220.7792207792</v>
      </c>
      <c r="N21" s="685">
        <v>14220.7792207792</v>
      </c>
      <c r="O21" s="685">
        <v>9480.51948051948</v>
      </c>
      <c r="P21" s="685">
        <v>18962</v>
      </c>
      <c r="Q21" s="685">
        <v>23702</v>
      </c>
      <c r="R21" s="685">
        <v>14221</v>
      </c>
      <c r="S21" s="685">
        <v>9481</v>
      </c>
      <c r="T21" s="685"/>
      <c r="U21" s="685">
        <f t="shared" si="1"/>
        <v>143076.256493507</v>
      </c>
      <c r="V21" s="685">
        <f>Sheet1!D15+103737</f>
        <v>140746.672727273</v>
      </c>
      <c r="W21" s="685">
        <f t="shared" si="0"/>
        <v>2329.58376623428</v>
      </c>
    </row>
    <row r="22" ht="16.5" spans="1:23">
      <c r="A22" s="694"/>
      <c r="B22" s="381" t="s">
        <v>3422</v>
      </c>
      <c r="C22" s="381" t="s">
        <v>3423</v>
      </c>
      <c r="D22" s="692" t="s">
        <v>3734</v>
      </c>
      <c r="E22" s="692" t="s">
        <v>3714</v>
      </c>
      <c r="F22" s="692" t="s">
        <v>3724</v>
      </c>
      <c r="G22" s="692" t="s">
        <v>3708</v>
      </c>
      <c r="H22" s="644">
        <f>[1]Summary!I21</f>
        <v>5035.71428571429</v>
      </c>
      <c r="I22" s="695" t="s">
        <v>3702</v>
      </c>
      <c r="J22" s="644">
        <v>4926.60714285714</v>
      </c>
      <c r="K22" s="624">
        <v>14900.5324675325</v>
      </c>
      <c r="L22" s="624">
        <v>18961.038961039</v>
      </c>
      <c r="M22" s="685">
        <v>14220.7792207792</v>
      </c>
      <c r="N22" s="685">
        <v>14220.7792207792</v>
      </c>
      <c r="O22" s="685">
        <v>9480.51948051948</v>
      </c>
      <c r="P22" s="685">
        <v>18962</v>
      </c>
      <c r="Q22" s="685">
        <v>23702</v>
      </c>
      <c r="R22" s="685">
        <v>14221</v>
      </c>
      <c r="S22" s="685">
        <v>9481</v>
      </c>
      <c r="T22" s="685"/>
      <c r="U22" s="685">
        <f t="shared" si="1"/>
        <v>143076.256493507</v>
      </c>
      <c r="V22" s="685">
        <f>Sheet1!D16+103737</f>
        <v>140746.672727273</v>
      </c>
      <c r="W22" s="685">
        <f t="shared" si="0"/>
        <v>2329.58376623428</v>
      </c>
    </row>
    <row r="23" ht="16.5" spans="1:23">
      <c r="A23" s="694"/>
      <c r="B23" s="381" t="s">
        <v>3427</v>
      </c>
      <c r="C23" s="381" t="s">
        <v>3428</v>
      </c>
      <c r="D23" s="692" t="s">
        <v>3735</v>
      </c>
      <c r="E23" s="692" t="s">
        <v>3706</v>
      </c>
      <c r="F23" s="692" t="s">
        <v>3711</v>
      </c>
      <c r="G23" s="692" t="s">
        <v>3716</v>
      </c>
      <c r="H23" s="644">
        <f>[1]Summary!I22</f>
        <v>5035.71428571429</v>
      </c>
      <c r="I23" s="695" t="s">
        <v>3702</v>
      </c>
      <c r="J23" s="644">
        <v>4926.60714285714</v>
      </c>
      <c r="K23" s="624">
        <v>14900.5324675325</v>
      </c>
      <c r="L23" s="624">
        <v>18961.038961039</v>
      </c>
      <c r="M23" s="685">
        <v>14220.7792207792</v>
      </c>
      <c r="N23" s="685">
        <v>14220.7792207792</v>
      </c>
      <c r="O23" s="685">
        <v>9480.51948051948</v>
      </c>
      <c r="P23" s="685">
        <v>18962</v>
      </c>
      <c r="Q23" s="685">
        <v>23702</v>
      </c>
      <c r="R23" s="685">
        <v>14221</v>
      </c>
      <c r="S23" s="685">
        <v>9481</v>
      </c>
      <c r="T23" s="685"/>
      <c r="U23" s="685">
        <f t="shared" si="1"/>
        <v>143076.256493507</v>
      </c>
      <c r="V23" s="685">
        <f>Sheet1!D17+103737</f>
        <v>140746.672727273</v>
      </c>
      <c r="W23" s="685">
        <f t="shared" si="0"/>
        <v>2329.58376623428</v>
      </c>
    </row>
    <row r="24" ht="16.5" spans="1:23">
      <c r="A24" s="694"/>
      <c r="B24" s="381" t="s">
        <v>3430</v>
      </c>
      <c r="C24" s="381" t="s">
        <v>3431</v>
      </c>
      <c r="D24" s="692" t="s">
        <v>3736</v>
      </c>
      <c r="E24" s="692" t="s">
        <v>3710</v>
      </c>
      <c r="F24" s="692" t="s">
        <v>3721</v>
      </c>
      <c r="G24" s="692" t="s">
        <v>3712</v>
      </c>
      <c r="H24" s="644">
        <f>[1]Summary!I23</f>
        <v>5035.71428571429</v>
      </c>
      <c r="I24" s="695" t="s">
        <v>3702</v>
      </c>
      <c r="J24" s="644">
        <v>4926.60714285714</v>
      </c>
      <c r="K24" s="624">
        <v>14900.5324675325</v>
      </c>
      <c r="L24" s="624">
        <v>18961.038961039</v>
      </c>
      <c r="M24" s="685">
        <v>14220.7792207792</v>
      </c>
      <c r="N24" s="685">
        <v>14220.7792207792</v>
      </c>
      <c r="O24" s="685">
        <v>9480.51948051948</v>
      </c>
      <c r="P24" s="685">
        <v>18962</v>
      </c>
      <c r="Q24" s="685">
        <v>23702</v>
      </c>
      <c r="R24" s="685">
        <v>14221</v>
      </c>
      <c r="S24" s="685">
        <v>9481</v>
      </c>
      <c r="T24" s="685"/>
      <c r="U24" s="685">
        <f t="shared" si="1"/>
        <v>143076.256493507</v>
      </c>
      <c r="V24" s="685">
        <f>Sheet1!D18+103737</f>
        <v>140746.672727273</v>
      </c>
      <c r="W24" s="685">
        <f t="shared" si="0"/>
        <v>2329.58376623428</v>
      </c>
    </row>
    <row r="25" ht="16.5" spans="1:23">
      <c r="A25" s="694"/>
      <c r="B25" s="381" t="s">
        <v>3435</v>
      </c>
      <c r="C25" s="381" t="s">
        <v>3436</v>
      </c>
      <c r="D25" s="692" t="s">
        <v>3737</v>
      </c>
      <c r="E25" s="692" t="s">
        <v>3714</v>
      </c>
      <c r="F25" s="692" t="s">
        <v>3724</v>
      </c>
      <c r="G25" s="692" t="s">
        <v>3718</v>
      </c>
      <c r="H25" s="644">
        <f>[1]Summary!I24</f>
        <v>5035.71428571429</v>
      </c>
      <c r="I25" s="695" t="s">
        <v>3702</v>
      </c>
      <c r="J25" s="644">
        <v>4926.60714285714</v>
      </c>
      <c r="K25" s="624">
        <v>14900.5324675325</v>
      </c>
      <c r="L25" s="624">
        <v>18961.038961039</v>
      </c>
      <c r="M25" s="685">
        <v>14220.7792207792</v>
      </c>
      <c r="N25" s="685">
        <v>14220.7792207792</v>
      </c>
      <c r="O25" s="685">
        <v>9480.51948051948</v>
      </c>
      <c r="P25" s="685">
        <v>18962</v>
      </c>
      <c r="Q25" s="685">
        <v>23702</v>
      </c>
      <c r="R25" s="685">
        <v>14221</v>
      </c>
      <c r="S25" s="685">
        <v>9481</v>
      </c>
      <c r="T25" s="685"/>
      <c r="U25" s="685">
        <f t="shared" si="1"/>
        <v>143076.256493507</v>
      </c>
      <c r="V25" s="685">
        <f>Sheet1!D19+103737</f>
        <v>140746.672727273</v>
      </c>
      <c r="W25" s="685">
        <f t="shared" si="0"/>
        <v>2329.58376623428</v>
      </c>
    </row>
    <row r="26" ht="16.5" spans="1:23">
      <c r="A26" s="694"/>
      <c r="B26" s="381" t="s">
        <v>3440</v>
      </c>
      <c r="C26" s="381" t="s">
        <v>3441</v>
      </c>
      <c r="D26" s="692" t="s">
        <v>3738</v>
      </c>
      <c r="E26" s="692" t="s">
        <v>3706</v>
      </c>
      <c r="F26" s="692" t="s">
        <v>3710</v>
      </c>
      <c r="G26" s="692" t="s">
        <v>3707</v>
      </c>
      <c r="H26" s="644">
        <f>[1]Summary!I25</f>
        <v>5035.71428571429</v>
      </c>
      <c r="I26" s="695" t="s">
        <v>3702</v>
      </c>
      <c r="J26" s="644">
        <v>4926.60714285714</v>
      </c>
      <c r="K26" s="624">
        <v>14900.5324675325</v>
      </c>
      <c r="L26" s="624">
        <v>18961.038961039</v>
      </c>
      <c r="M26" s="685">
        <v>14220.7792207792</v>
      </c>
      <c r="N26" s="685">
        <v>14220.7792207792</v>
      </c>
      <c r="O26" s="685">
        <v>9480.51948051948</v>
      </c>
      <c r="P26" s="685">
        <v>18962</v>
      </c>
      <c r="Q26" s="685">
        <v>23702</v>
      </c>
      <c r="R26" s="685">
        <v>14221</v>
      </c>
      <c r="S26" s="685">
        <v>9481</v>
      </c>
      <c r="T26" s="685"/>
      <c r="U26" s="685">
        <f t="shared" si="1"/>
        <v>143076.256493507</v>
      </c>
      <c r="V26" s="685">
        <f>Sheet1!D20+103737</f>
        <v>140746.672727273</v>
      </c>
      <c r="W26" s="685">
        <f t="shared" si="0"/>
        <v>2329.58376623428</v>
      </c>
    </row>
    <row r="27" ht="16.5" spans="1:23">
      <c r="A27" s="694"/>
      <c r="B27" s="381" t="s">
        <v>3445</v>
      </c>
      <c r="C27" s="381" t="s">
        <v>3446</v>
      </c>
      <c r="D27" s="692" t="s">
        <v>3739</v>
      </c>
      <c r="E27" s="692" t="s">
        <v>3710</v>
      </c>
      <c r="F27" s="692" t="s">
        <v>3714</v>
      </c>
      <c r="G27" s="692" t="s">
        <v>3722</v>
      </c>
      <c r="H27" s="644">
        <f>[1]Summary!I26</f>
        <v>5035.71428571429</v>
      </c>
      <c r="I27" s="695" t="s">
        <v>3702</v>
      </c>
      <c r="J27" s="644">
        <v>4926.60714285714</v>
      </c>
      <c r="K27" s="624">
        <v>14900.5324675325</v>
      </c>
      <c r="L27" s="624">
        <v>18961.038961039</v>
      </c>
      <c r="M27" s="685">
        <v>14220.7792207792</v>
      </c>
      <c r="N27" s="685">
        <v>14220.7792207792</v>
      </c>
      <c r="O27" s="685">
        <v>9480.51948051948</v>
      </c>
      <c r="P27" s="685">
        <v>18962</v>
      </c>
      <c r="Q27" s="685">
        <v>23702</v>
      </c>
      <c r="R27" s="685">
        <v>14221</v>
      </c>
      <c r="S27" s="685">
        <v>9481</v>
      </c>
      <c r="T27" s="685"/>
      <c r="U27" s="685">
        <f t="shared" si="1"/>
        <v>143076.256493507</v>
      </c>
      <c r="V27" s="685">
        <f>Sheet1!D21+103737</f>
        <v>140746.672727273</v>
      </c>
      <c r="W27" s="685">
        <f t="shared" si="0"/>
        <v>2329.58376623428</v>
      </c>
    </row>
    <row r="28" ht="16.5" spans="1:23">
      <c r="A28" s="694"/>
      <c r="B28" s="381" t="s">
        <v>3450</v>
      </c>
      <c r="C28" s="381" t="s">
        <v>3451</v>
      </c>
      <c r="D28" s="692" t="s">
        <v>3740</v>
      </c>
      <c r="E28" s="692" t="s">
        <v>3714</v>
      </c>
      <c r="F28" s="692" t="s">
        <v>3706</v>
      </c>
      <c r="G28" s="692" t="s">
        <v>3725</v>
      </c>
      <c r="H28" s="644">
        <f>[1]Summary!I27</f>
        <v>5035.71428571429</v>
      </c>
      <c r="I28" s="695" t="s">
        <v>3702</v>
      </c>
      <c r="J28" s="644">
        <v>4926.60714285714</v>
      </c>
      <c r="K28" s="624">
        <v>14900.5324675325</v>
      </c>
      <c r="L28" s="624">
        <v>18961.038961039</v>
      </c>
      <c r="M28" s="685">
        <v>14220.7792207792</v>
      </c>
      <c r="N28" s="685">
        <v>14220.7792207792</v>
      </c>
      <c r="O28" s="685">
        <v>9480.51948051948</v>
      </c>
      <c r="P28" s="685">
        <v>18962</v>
      </c>
      <c r="Q28" s="685">
        <v>23702</v>
      </c>
      <c r="R28" s="685">
        <v>14221</v>
      </c>
      <c r="S28" s="685">
        <v>9481</v>
      </c>
      <c r="T28" s="685"/>
      <c r="U28" s="685">
        <f t="shared" si="1"/>
        <v>143076.256493507</v>
      </c>
      <c r="V28" s="685">
        <f>Sheet1!D22+103737</f>
        <v>140746.672727273</v>
      </c>
      <c r="W28" s="685">
        <f t="shared" si="0"/>
        <v>2329.58376623428</v>
      </c>
    </row>
    <row r="29" ht="16.5" spans="1:23">
      <c r="A29" s="694"/>
      <c r="B29" s="381" t="s">
        <v>3455</v>
      </c>
      <c r="C29" s="381" t="s">
        <v>3741</v>
      </c>
      <c r="D29" s="692" t="s">
        <v>3742</v>
      </c>
      <c r="E29" s="692" t="s">
        <v>3743</v>
      </c>
      <c r="F29" s="692" t="s">
        <v>3744</v>
      </c>
      <c r="G29" s="692" t="s">
        <v>3745</v>
      </c>
      <c r="H29" s="644">
        <f>[1]Summary!I28</f>
        <v>5035.71428571429</v>
      </c>
      <c r="I29" s="695" t="s">
        <v>3702</v>
      </c>
      <c r="J29" s="644">
        <v>2201.25</v>
      </c>
      <c r="K29" s="624">
        <v>1428.81818181818</v>
      </c>
      <c r="L29" s="624">
        <v>1818.18181818182</v>
      </c>
      <c r="M29" s="685">
        <v>1363.63636363636</v>
      </c>
      <c r="N29" s="685">
        <v>1363.63636363636</v>
      </c>
      <c r="O29" s="685">
        <v>909.09090909091</v>
      </c>
      <c r="P29" s="685">
        <v>1819</v>
      </c>
      <c r="Q29" s="685">
        <v>2273</v>
      </c>
      <c r="R29" s="685">
        <v>1364</v>
      </c>
      <c r="S29" s="685">
        <v>910</v>
      </c>
      <c r="T29" s="685"/>
      <c r="U29" s="685">
        <f t="shared" si="1"/>
        <v>15450.6136363636</v>
      </c>
      <c r="V29" s="685">
        <f>Sheet1!D23+9947</f>
        <v>13495.8727272727</v>
      </c>
      <c r="W29" s="685">
        <f t="shared" si="0"/>
        <v>1954.74090909087</v>
      </c>
    </row>
    <row r="30" ht="16.5" spans="1:23">
      <c r="A30" s="696" t="s">
        <v>3746</v>
      </c>
      <c r="B30" s="697" t="s">
        <v>3465</v>
      </c>
      <c r="C30" s="697" t="s">
        <v>3747</v>
      </c>
      <c r="D30" s="697"/>
      <c r="E30" s="698"/>
      <c r="F30" s="698"/>
      <c r="G30" s="699"/>
      <c r="H30" s="644">
        <f>[1]Summary!I29</f>
        <v>2250</v>
      </c>
      <c r="I30" s="700" t="s">
        <v>3702</v>
      </c>
      <c r="J30" s="644">
        <v>0</v>
      </c>
      <c r="K30" s="701">
        <v>2000</v>
      </c>
      <c r="L30" s="701">
        <v>13970</v>
      </c>
      <c r="M30" s="701">
        <v>11700</v>
      </c>
      <c r="N30" s="644">
        <v>22330</v>
      </c>
      <c r="O30" s="685">
        <v>0</v>
      </c>
      <c r="P30" s="685">
        <v>0</v>
      </c>
      <c r="Q30" s="685">
        <v>10000</v>
      </c>
      <c r="R30" s="685"/>
      <c r="S30" s="685">
        <v>0</v>
      </c>
      <c r="T30" s="685"/>
      <c r="U30" s="685">
        <f t="shared" si="1"/>
        <v>60000</v>
      </c>
      <c r="V30" s="685">
        <f>Sheet1!I2+46987</f>
        <v>51955.48</v>
      </c>
      <c r="W30" s="685">
        <f t="shared" si="0"/>
        <v>8044.52</v>
      </c>
    </row>
    <row r="31" ht="16.5" spans="1:23">
      <c r="A31" s="702"/>
      <c r="B31" s="697" t="s">
        <v>3465</v>
      </c>
      <c r="C31" s="697"/>
      <c r="D31" s="697" t="s">
        <v>3748</v>
      </c>
      <c r="E31" s="698"/>
      <c r="F31" s="698"/>
      <c r="G31" s="699"/>
      <c r="H31" s="644">
        <f>[1]Summary!I30</f>
        <v>0</v>
      </c>
      <c r="I31" s="700"/>
      <c r="J31" s="644">
        <v>0</v>
      </c>
      <c r="K31" s="701">
        <v>2000</v>
      </c>
      <c r="L31" s="701">
        <v>13970</v>
      </c>
      <c r="M31" s="701">
        <v>11700</v>
      </c>
      <c r="N31" s="644">
        <v>22330</v>
      </c>
      <c r="O31" s="685">
        <v>0</v>
      </c>
      <c r="P31" s="685">
        <v>0</v>
      </c>
      <c r="Q31" s="685">
        <v>10000</v>
      </c>
      <c r="R31" s="685"/>
      <c r="S31" s="685">
        <v>0</v>
      </c>
      <c r="T31" s="685"/>
      <c r="U31" s="685">
        <f t="shared" si="1"/>
        <v>60000</v>
      </c>
      <c r="V31" s="685">
        <f>Sheet1!I3+46987</f>
        <v>51955.48</v>
      </c>
      <c r="W31" s="685">
        <f t="shared" si="0"/>
        <v>8044.52</v>
      </c>
    </row>
    <row r="32" ht="16.5" spans="1:23">
      <c r="A32" s="702"/>
      <c r="B32" s="697" t="s">
        <v>3465</v>
      </c>
      <c r="C32" s="697" t="s">
        <v>3368</v>
      </c>
      <c r="D32" s="703"/>
      <c r="E32" s="698"/>
      <c r="F32" s="698"/>
      <c r="G32" s="699"/>
      <c r="H32" s="644">
        <f>[1]Summary!I31</f>
        <v>0</v>
      </c>
      <c r="I32" s="700" t="s">
        <v>3702</v>
      </c>
      <c r="J32" s="644">
        <v>0</v>
      </c>
      <c r="K32" s="701">
        <v>2000</v>
      </c>
      <c r="L32" s="701">
        <v>13970</v>
      </c>
      <c r="M32" s="701">
        <v>11700</v>
      </c>
      <c r="N32" s="644">
        <v>22330</v>
      </c>
      <c r="O32" s="685">
        <v>0</v>
      </c>
      <c r="P32" s="685">
        <v>0</v>
      </c>
      <c r="Q32" s="685">
        <v>10000</v>
      </c>
      <c r="R32" s="685"/>
      <c r="S32" s="685">
        <v>0</v>
      </c>
      <c r="T32" s="685"/>
      <c r="U32" s="685">
        <f t="shared" si="1"/>
        <v>60000</v>
      </c>
      <c r="V32" s="685">
        <f>Sheet1!I4+46987</f>
        <v>51955.48</v>
      </c>
      <c r="W32" s="685">
        <f t="shared" si="0"/>
        <v>8044.52</v>
      </c>
    </row>
    <row r="33" ht="16.5" spans="1:23">
      <c r="A33" s="704"/>
      <c r="B33" s="697" t="s">
        <v>3465</v>
      </c>
      <c r="C33" s="697" t="s">
        <v>3403</v>
      </c>
      <c r="D33" s="697"/>
      <c r="E33" s="698"/>
      <c r="F33" s="698"/>
      <c r="G33" s="699"/>
      <c r="H33" s="644">
        <f>[1]Summary!I32</f>
        <v>0</v>
      </c>
      <c r="I33" s="700" t="s">
        <v>3702</v>
      </c>
      <c r="J33" s="644">
        <v>0</v>
      </c>
      <c r="K33" s="701">
        <v>2000</v>
      </c>
      <c r="L33" s="701">
        <v>13970</v>
      </c>
      <c r="M33" s="701">
        <v>11700</v>
      </c>
      <c r="N33" s="644">
        <v>22330</v>
      </c>
      <c r="O33" s="685">
        <v>0</v>
      </c>
      <c r="P33" s="685">
        <v>0</v>
      </c>
      <c r="Q33" s="685">
        <v>10000</v>
      </c>
      <c r="R33" s="685"/>
      <c r="S33" s="685">
        <v>0</v>
      </c>
      <c r="T33" s="685"/>
      <c r="U33" s="685">
        <f t="shared" si="1"/>
        <v>60000</v>
      </c>
      <c r="V33" s="685">
        <f>Sheet1!I5+46987</f>
        <v>51955.48</v>
      </c>
      <c r="W33" s="685">
        <f t="shared" si="0"/>
        <v>8044.52</v>
      </c>
    </row>
    <row r="34" ht="16.5" spans="1:23">
      <c r="A34" s="697" t="s">
        <v>3749</v>
      </c>
      <c r="B34" s="697" t="s">
        <v>3465</v>
      </c>
      <c r="C34" s="697" t="s">
        <v>3750</v>
      </c>
      <c r="D34" s="697"/>
      <c r="E34" s="698"/>
      <c r="F34" s="698"/>
      <c r="G34" s="699"/>
      <c r="H34" s="644"/>
      <c r="I34" s="700"/>
      <c r="J34" s="644"/>
      <c r="K34" s="701"/>
      <c r="L34" s="701"/>
      <c r="M34" s="701">
        <v>100</v>
      </c>
      <c r="N34" s="644">
        <v>0</v>
      </c>
      <c r="O34" s="685">
        <v>300</v>
      </c>
      <c r="P34" s="685">
        <v>0</v>
      </c>
      <c r="Q34" s="685">
        <v>0</v>
      </c>
      <c r="R34" s="685"/>
      <c r="S34" s="685">
        <v>0</v>
      </c>
      <c r="T34" s="685"/>
      <c r="U34" s="685">
        <f t="shared" si="1"/>
        <v>400</v>
      </c>
      <c r="V34" s="685">
        <f>Sheet1!I13+211</f>
        <v>298</v>
      </c>
      <c r="W34" s="685">
        <f t="shared" si="0"/>
        <v>102</v>
      </c>
    </row>
    <row r="35" ht="16.5" spans="1:23">
      <c r="A35" s="697"/>
      <c r="B35" s="697" t="s">
        <v>3465</v>
      </c>
      <c r="C35" s="697"/>
      <c r="D35" s="697" t="s">
        <v>3751</v>
      </c>
      <c r="E35" s="698"/>
      <c r="F35" s="698"/>
      <c r="G35" s="699"/>
      <c r="H35" s="644"/>
      <c r="I35" s="700"/>
      <c r="J35" s="644"/>
      <c r="K35" s="701"/>
      <c r="L35" s="701"/>
      <c r="M35" s="701">
        <v>100</v>
      </c>
      <c r="N35" s="644">
        <v>0</v>
      </c>
      <c r="O35" s="685">
        <v>300</v>
      </c>
      <c r="P35" s="685">
        <v>0</v>
      </c>
      <c r="Q35" s="685">
        <v>0</v>
      </c>
      <c r="R35" s="685"/>
      <c r="S35" s="685">
        <v>0</v>
      </c>
      <c r="T35" s="685"/>
      <c r="U35" s="685">
        <f t="shared" si="1"/>
        <v>400</v>
      </c>
      <c r="V35" s="685">
        <f>Sheet1!I14+211</f>
        <v>298</v>
      </c>
      <c r="W35" s="685">
        <f t="shared" si="0"/>
        <v>102</v>
      </c>
    </row>
    <row r="36" ht="16.5" spans="1:23">
      <c r="A36" s="697" t="s">
        <v>3752</v>
      </c>
      <c r="B36" s="697" t="s">
        <v>3465</v>
      </c>
      <c r="C36" s="697" t="s">
        <v>3747</v>
      </c>
      <c r="D36" s="697"/>
      <c r="E36" s="698"/>
      <c r="F36" s="698"/>
      <c r="G36" s="699"/>
      <c r="H36" s="644">
        <f>[1]Summary!I33</f>
        <v>0</v>
      </c>
      <c r="I36" s="700" t="s">
        <v>3702</v>
      </c>
      <c r="J36" s="644">
        <v>0</v>
      </c>
      <c r="K36" s="701">
        <v>1761</v>
      </c>
      <c r="L36" s="701"/>
      <c r="M36" s="701"/>
      <c r="N36" s="644">
        <v>0</v>
      </c>
      <c r="O36" s="685">
        <v>0</v>
      </c>
      <c r="P36" s="685">
        <v>0</v>
      </c>
      <c r="Q36" s="685">
        <v>0</v>
      </c>
      <c r="R36" s="685"/>
      <c r="S36" s="685">
        <v>0</v>
      </c>
      <c r="T36" s="685"/>
      <c r="U36" s="685">
        <f t="shared" si="1"/>
        <v>1761</v>
      </c>
      <c r="V36" s="685">
        <f>Sheet1!I8+1761</f>
        <v>1761</v>
      </c>
      <c r="W36" s="685">
        <f t="shared" si="0"/>
        <v>0</v>
      </c>
    </row>
    <row r="37" ht="16.5" spans="1:23">
      <c r="A37" s="697"/>
      <c r="B37" s="697" t="s">
        <v>3465</v>
      </c>
      <c r="C37" s="697"/>
      <c r="D37" s="697" t="s">
        <v>3717</v>
      </c>
      <c r="E37" s="698"/>
      <c r="F37" s="698"/>
      <c r="G37" s="699"/>
      <c r="H37" s="644">
        <f>[1]Summary!I34</f>
        <v>0</v>
      </c>
      <c r="I37" s="700"/>
      <c r="J37" s="644">
        <v>0</v>
      </c>
      <c r="K37" s="701">
        <v>1761</v>
      </c>
      <c r="L37" s="701"/>
      <c r="M37" s="701"/>
      <c r="N37" s="644">
        <v>0</v>
      </c>
      <c r="O37" s="685">
        <v>0</v>
      </c>
      <c r="P37" s="685">
        <v>0</v>
      </c>
      <c r="Q37" s="685">
        <v>0</v>
      </c>
      <c r="R37" s="685"/>
      <c r="S37" s="685">
        <v>0</v>
      </c>
      <c r="T37" s="685"/>
      <c r="U37" s="685">
        <f t="shared" si="1"/>
        <v>1761</v>
      </c>
      <c r="V37" s="685">
        <f>Sheet1!I9+1761</f>
        <v>1761</v>
      </c>
      <c r="W37" s="685">
        <f t="shared" si="0"/>
        <v>0</v>
      </c>
    </row>
    <row r="38" ht="16.5" spans="1:23">
      <c r="A38" s="705"/>
      <c r="B38" s="697" t="s">
        <v>3465</v>
      </c>
      <c r="C38" s="697" t="s">
        <v>3753</v>
      </c>
      <c r="D38" s="697"/>
      <c r="E38" s="706"/>
      <c r="F38" s="706"/>
      <c r="G38" s="706"/>
      <c r="H38" s="644">
        <f>[1]Summary!I35</f>
        <v>0</v>
      </c>
      <c r="I38" s="700" t="s">
        <v>3702</v>
      </c>
      <c r="J38" s="644">
        <f>[1]Summary!U35</f>
        <v>0</v>
      </c>
      <c r="K38" s="701">
        <v>1761</v>
      </c>
      <c r="L38" s="701"/>
      <c r="M38" s="701"/>
      <c r="N38" s="644">
        <v>0</v>
      </c>
      <c r="O38" s="685">
        <v>0</v>
      </c>
      <c r="P38" s="685">
        <v>0</v>
      </c>
      <c r="Q38" s="685">
        <v>0</v>
      </c>
      <c r="R38" s="685"/>
      <c r="S38" s="685">
        <v>0</v>
      </c>
      <c r="T38" s="685"/>
      <c r="U38" s="685">
        <f t="shared" si="1"/>
        <v>1761</v>
      </c>
      <c r="V38" s="685">
        <f>Sheet1!I10+1761</f>
        <v>1761</v>
      </c>
      <c r="W38" s="685">
        <f t="shared" si="0"/>
        <v>0</v>
      </c>
    </row>
    <row r="39" ht="16.5" spans="1:23">
      <c r="A39" s="697" t="s">
        <v>3754</v>
      </c>
      <c r="B39" s="707" t="s">
        <v>3465</v>
      </c>
      <c r="C39" s="708" t="s">
        <v>3351</v>
      </c>
      <c r="D39" s="709"/>
      <c r="E39" s="706"/>
      <c r="F39" s="706"/>
      <c r="G39" s="706"/>
      <c r="H39" s="644"/>
      <c r="I39" s="684"/>
      <c r="J39" s="644"/>
      <c r="K39" s="701"/>
      <c r="L39" s="701"/>
      <c r="M39" s="701"/>
      <c r="N39" s="644">
        <v>300</v>
      </c>
      <c r="O39" s="644">
        <v>2200</v>
      </c>
      <c r="P39" s="644">
        <v>1000</v>
      </c>
      <c r="Q39" s="685">
        <v>0</v>
      </c>
      <c r="R39" s="685"/>
      <c r="S39" s="685">
        <v>0</v>
      </c>
      <c r="T39" s="685"/>
      <c r="U39" s="685">
        <f t="shared" si="1"/>
        <v>3500</v>
      </c>
      <c r="V39" s="685">
        <f>Sheet1!I17+586</f>
        <v>586</v>
      </c>
      <c r="W39" s="685">
        <f t="shared" si="0"/>
        <v>2914</v>
      </c>
    </row>
    <row r="40" ht="16.5" spans="1:23">
      <c r="A40" s="697"/>
      <c r="B40" s="707" t="s">
        <v>3465</v>
      </c>
      <c r="C40" s="708"/>
      <c r="D40" s="709" t="s">
        <v>3755</v>
      </c>
      <c r="E40" s="706"/>
      <c r="F40" s="706"/>
      <c r="G40" s="706"/>
      <c r="H40" s="644"/>
      <c r="I40" s="684"/>
      <c r="J40" s="644"/>
      <c r="K40" s="701"/>
      <c r="L40" s="701"/>
      <c r="M40" s="701"/>
      <c r="N40" s="644">
        <v>300</v>
      </c>
      <c r="O40" s="644">
        <v>2200</v>
      </c>
      <c r="P40" s="644">
        <v>1000</v>
      </c>
      <c r="Q40" s="685">
        <v>0</v>
      </c>
      <c r="R40" s="685"/>
      <c r="S40" s="685">
        <v>0</v>
      </c>
      <c r="T40" s="685"/>
      <c r="U40" s="685">
        <f t="shared" si="1"/>
        <v>3500</v>
      </c>
      <c r="V40" s="685">
        <f>Sheet1!I18+586</f>
        <v>586</v>
      </c>
      <c r="W40" s="685">
        <f t="shared" si="0"/>
        <v>2914</v>
      </c>
    </row>
    <row r="41" ht="16.5" spans="1:23">
      <c r="A41" s="705"/>
      <c r="B41" s="707" t="s">
        <v>3465</v>
      </c>
      <c r="C41" s="708"/>
      <c r="D41" s="709" t="s">
        <v>3756</v>
      </c>
      <c r="E41" s="706"/>
      <c r="F41" s="706"/>
      <c r="G41" s="706"/>
      <c r="H41" s="644"/>
      <c r="I41" s="684"/>
      <c r="J41" s="644"/>
      <c r="K41" s="701"/>
      <c r="L41" s="701"/>
      <c r="M41" s="701"/>
      <c r="N41" s="644">
        <v>300</v>
      </c>
      <c r="O41" s="644">
        <v>2200</v>
      </c>
      <c r="P41" s="644">
        <v>1000</v>
      </c>
      <c r="Q41" s="685">
        <v>0</v>
      </c>
      <c r="R41" s="685"/>
      <c r="S41" s="685">
        <v>0</v>
      </c>
      <c r="T41" s="685"/>
      <c r="U41" s="685">
        <f t="shared" si="1"/>
        <v>3500</v>
      </c>
      <c r="V41" s="685">
        <f>Sheet1!I19+586</f>
        <v>586</v>
      </c>
      <c r="W41" s="685">
        <f t="shared" si="0"/>
        <v>2914</v>
      </c>
    </row>
    <row r="42" ht="17.25" spans="1:23">
      <c r="A42" s="710"/>
      <c r="B42" s="711" t="s">
        <v>3474</v>
      </c>
      <c r="C42" s="712"/>
      <c r="D42" s="713"/>
      <c r="E42" s="714"/>
      <c r="F42" s="714"/>
      <c r="G42" s="715"/>
      <c r="H42" s="664"/>
      <c r="I42" s="716"/>
      <c r="J42" s="717">
        <f t="shared" ref="J42:P42" si="2">SUM(J8:J38)</f>
        <v>105660</v>
      </c>
      <c r="K42" s="717">
        <f t="shared" si="2"/>
        <v>327623.000000001</v>
      </c>
      <c r="L42" s="717">
        <f t="shared" si="2"/>
        <v>455880.000000001</v>
      </c>
      <c r="M42" s="717">
        <f t="shared" si="2"/>
        <v>346999.999999999</v>
      </c>
      <c r="N42" s="717">
        <f t="shared" ref="N42:T42" si="3">SUM(N8:N41)</f>
        <v>390219.999999999</v>
      </c>
      <c r="O42" s="717">
        <f t="shared" si="3"/>
        <v>207200</v>
      </c>
      <c r="P42" s="717">
        <f t="shared" si="3"/>
        <v>403021</v>
      </c>
      <c r="Q42" s="717">
        <f t="shared" si="3"/>
        <v>540015</v>
      </c>
      <c r="R42" s="717">
        <f t="shared" si="3"/>
        <v>300005</v>
      </c>
      <c r="S42" s="717">
        <f t="shared" si="3"/>
        <v>200011</v>
      </c>
      <c r="T42" s="717"/>
      <c r="U42" s="717">
        <f>SUM(U8:U41)</f>
        <v>3276635.00000001</v>
      </c>
      <c r="V42" s="717">
        <f>SUM(V8:V41)+2</f>
        <v>3184636.92</v>
      </c>
      <c r="W42" s="717">
        <f>SUM(W8:W38)</f>
        <v>83258.0800000108</v>
      </c>
    </row>
    <row r="43" ht="16.5" spans="1:23">
      <c r="A43" s="718" t="s">
        <v>12</v>
      </c>
      <c r="B43" s="718"/>
      <c r="C43" s="719" t="s">
        <v>3757</v>
      </c>
      <c r="D43" s="720"/>
      <c r="E43" s="720"/>
      <c r="F43" s="720"/>
      <c r="G43" s="720"/>
      <c r="H43" s="720"/>
      <c r="I43" s="720"/>
      <c r="J43" s="720"/>
      <c r="K43" s="720"/>
      <c r="L43" s="720"/>
      <c r="M43" s="720"/>
      <c r="N43" s="720"/>
      <c r="O43" s="720"/>
      <c r="P43" s="720"/>
      <c r="Q43" s="720"/>
      <c r="R43" s="720"/>
      <c r="S43" s="720"/>
      <c r="T43" s="720"/>
      <c r="U43" s="720"/>
      <c r="V43" s="720"/>
      <c r="W43" s="721"/>
    </row>
    <row r="44" spans="1:23">
      <c r="A44" s="722"/>
      <c r="B44" s="722"/>
      <c r="C44" s="722"/>
      <c r="D44" s="722"/>
      <c r="E44" s="722"/>
      <c r="F44" s="722"/>
      <c r="G44" s="722"/>
      <c r="H44" s="722"/>
      <c r="I44" s="722"/>
      <c r="J44" s="722"/>
      <c r="K44" s="722"/>
      <c r="L44" s="722"/>
      <c r="M44" s="722"/>
      <c r="N44" s="722"/>
      <c r="O44" s="722"/>
      <c r="P44" s="722"/>
      <c r="Q44" s="722"/>
      <c r="R44" s="722"/>
      <c r="S44" s="722"/>
      <c r="T44" s="722"/>
      <c r="U44" s="722"/>
      <c r="V44" s="722"/>
      <c r="W44" s="722"/>
    </row>
    <row r="45" ht="18" spans="1:23">
      <c r="A45" s="723" t="s">
        <v>3476</v>
      </c>
      <c r="B45" s="723"/>
      <c r="C45" s="723"/>
      <c r="D45" s="723"/>
      <c r="E45" s="593"/>
      <c r="F45" s="593"/>
      <c r="G45" s="723"/>
      <c r="H45" s="723"/>
      <c r="I45" s="723"/>
      <c r="J45" s="723" t="s">
        <v>3758</v>
      </c>
      <c r="K45" s="723"/>
      <c r="L45" s="723"/>
      <c r="M45" s="723"/>
      <c r="N45" s="723"/>
      <c r="O45" s="723"/>
      <c r="P45" s="723"/>
      <c r="Q45" s="723"/>
      <c r="R45" s="723"/>
      <c r="S45" s="723"/>
      <c r="T45" s="723"/>
      <c r="U45" s="723"/>
      <c r="V45" s="724"/>
      <c r="W45" s="724"/>
    </row>
    <row r="46" ht="18" spans="1:23">
      <c r="A46" s="723" t="s">
        <v>3476</v>
      </c>
      <c r="B46" s="723"/>
      <c r="C46" s="723"/>
      <c r="D46" s="723"/>
      <c r="E46" s="593"/>
      <c r="F46" s="593"/>
      <c r="G46" s="723"/>
      <c r="H46" s="723"/>
      <c r="I46" s="723"/>
      <c r="J46" s="723" t="s">
        <v>3758</v>
      </c>
      <c r="K46" s="723"/>
      <c r="L46" s="723"/>
      <c r="M46" s="723"/>
      <c r="N46" s="723"/>
      <c r="O46" s="723"/>
      <c r="P46" s="723"/>
      <c r="Q46" s="723"/>
      <c r="R46" s="723"/>
      <c r="S46" s="723"/>
      <c r="T46" s="723"/>
      <c r="U46" s="723"/>
      <c r="V46" s="724"/>
      <c r="W46" s="724"/>
    </row>
    <row r="47" ht="18" spans="1:23">
      <c r="A47" s="723"/>
      <c r="B47" s="723"/>
      <c r="C47" s="723"/>
      <c r="D47" s="723"/>
      <c r="E47" s="723"/>
      <c r="F47" s="723"/>
      <c r="G47" s="723"/>
      <c r="H47" s="723"/>
      <c r="I47" s="723"/>
      <c r="J47" s="723"/>
      <c r="K47" s="723"/>
      <c r="L47" s="723"/>
      <c r="M47" s="723"/>
      <c r="N47" s="723"/>
      <c r="O47" s="723"/>
      <c r="P47" s="723"/>
      <c r="Q47" s="723"/>
      <c r="R47" s="723"/>
      <c r="S47" s="723"/>
      <c r="T47" s="723"/>
      <c r="U47" s="723"/>
      <c r="V47" s="724"/>
      <c r="W47" s="724"/>
    </row>
    <row r="48" ht="18" spans="1:23">
      <c r="A48" s="723"/>
      <c r="B48" s="723"/>
      <c r="C48" s="723"/>
      <c r="D48" s="723"/>
      <c r="E48" s="723"/>
      <c r="F48" s="723"/>
      <c r="G48" s="723"/>
      <c r="H48" s="723"/>
      <c r="I48" s="723"/>
      <c r="J48" s="723"/>
      <c r="K48" s="723"/>
      <c r="L48" s="723"/>
      <c r="M48" s="723"/>
      <c r="N48" s="723"/>
      <c r="O48" s="723"/>
      <c r="P48" s="723"/>
      <c r="Q48" s="723"/>
      <c r="R48" s="723"/>
      <c r="S48" s="723"/>
      <c r="T48" s="723"/>
      <c r="U48" s="723"/>
      <c r="V48" s="724"/>
      <c r="W48" s="724"/>
    </row>
    <row r="49" ht="18" spans="1:23">
      <c r="A49" s="723"/>
      <c r="B49" s="723"/>
      <c r="C49" s="723"/>
      <c r="D49" s="723"/>
      <c r="E49" s="723"/>
      <c r="F49" s="723"/>
      <c r="G49" s="723"/>
      <c r="H49" s="723"/>
      <c r="I49" s="723"/>
      <c r="J49" s="723"/>
      <c r="K49" s="723"/>
      <c r="L49" s="723"/>
      <c r="M49" s="723"/>
      <c r="N49" s="723"/>
      <c r="O49" s="723"/>
      <c r="P49" s="723"/>
      <c r="Q49" s="723"/>
      <c r="R49" s="723"/>
      <c r="S49" s="723"/>
      <c r="T49" s="723"/>
      <c r="U49" s="723"/>
      <c r="V49" s="724"/>
      <c r="W49" s="724"/>
    </row>
    <row r="50" ht="18" spans="1:23">
      <c r="A50" s="725" t="s">
        <v>3477</v>
      </c>
      <c r="B50" s="725"/>
      <c r="C50" s="725"/>
      <c r="D50" s="725"/>
      <c r="E50" s="723"/>
      <c r="F50" s="723"/>
      <c r="G50" s="723"/>
      <c r="H50" s="723"/>
      <c r="I50" s="723"/>
      <c r="J50" s="725" t="s">
        <v>3477</v>
      </c>
      <c r="K50" s="725"/>
      <c r="L50" s="725"/>
      <c r="M50" s="725"/>
      <c r="N50" s="725"/>
      <c r="O50" s="725"/>
      <c r="P50" s="725"/>
      <c r="Q50" s="725"/>
      <c r="R50" s="725"/>
      <c r="S50" s="725"/>
      <c r="T50" s="725"/>
      <c r="U50" s="723"/>
      <c r="V50" s="724"/>
      <c r="W50" s="724"/>
    </row>
    <row r="51" spans="1:23">
      <c r="W51" s="669"/>
    </row>
    <row r="52" spans="1:23">
      <c r="W52" s="669"/>
    </row>
  </sheetData>
  <sheetProtection formatCells="0" formatColumns="0" formatRows="0" insertRows="0" insertColumns="0" insertHyperlinks="0" deleteColumns="0" deleteRows="0" sort="0" autoFilter="0" pivotTables="0"/>
  <mergeCells count="16">
    <mergeCell ref="A1:I1"/>
    <mergeCell ref="A2:I2"/>
    <mergeCell ref="A3:I3"/>
    <mergeCell ref="B4:C4"/>
    <mergeCell ref="E4:F4"/>
    <mergeCell ref="B5:C5"/>
    <mergeCell ref="D5:G5"/>
    <mergeCell ref="V5:W5"/>
    <mergeCell ref="B6:C6"/>
    <mergeCell ref="A43:B43"/>
    <mergeCell ref="C43:W43"/>
    <mergeCell ref="A8:A29"/>
    <mergeCell ref="A30:A33"/>
    <mergeCell ref="A34:A35"/>
    <mergeCell ref="A36:A38"/>
    <mergeCell ref="A39:A41"/>
  </mergeCells>
  <printOptions horizontalCentered="1"/>
  <pageMargins left="0" right="0" top="0.393700787401575" bottom="0.393700787401575" header="0" footer="0"/>
  <pageSetup paperSize="9" scale="25" fitToHeight="3" orientation="portrait" horizontalDpi="1200" verticalDpi="1200"/>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9"/>
  <sheetViews>
    <sheetView workbookViewId="0">
      <selection activeCell="H213" sqref="H213"/>
    </sheetView>
  </sheetViews>
  <sheetFormatPr defaultColWidth="8.89166666666667" defaultRowHeight="13.5"/>
  <cols>
    <col min="1" max="1" width="17.3083333333333" customWidth="1"/>
    <col min="2" max="2" width="12.4416666666667" customWidth="1"/>
    <col min="3" max="3" width="11" customWidth="1"/>
    <col min="4" max="4" width="16.8166666666667" customWidth="1"/>
    <col min="5" max="5" width="29.225" customWidth="1"/>
    <col min="6" max="7" width="27.4416666666667" customWidth="1"/>
    <col min="8" max="8" width="10.1083333333333" customWidth="1"/>
    <col min="10" max="10" width="9.66666666666667" customWidth="1"/>
    <col min="11" max="11" width="15.775" customWidth="1"/>
    <col min="12" max="12" width="14.4416666666667" customWidth="1"/>
    <col min="13" max="16" width="15.775" customWidth="1"/>
    <col min="17" max="17" width="16.025" customWidth="1"/>
    <col min="18" max="19" width="18.825" customWidth="1"/>
    <col min="20" max="20" width="23.8916666666667" customWidth="1"/>
    <col min="21" max="21" width="14.775" customWidth="1"/>
    <col min="22" max="22" width="49.2" customWidth="1"/>
  </cols>
  <sheetData>
    <row r="1" ht="14.25" spans="1:22">
      <c r="A1" s="594" t="s">
        <v>1</v>
      </c>
      <c r="B1" s="595"/>
      <c r="C1" s="595"/>
      <c r="D1" s="595"/>
      <c r="E1" s="595"/>
      <c r="F1" s="595"/>
      <c r="G1" s="595"/>
      <c r="H1" s="596"/>
      <c r="I1" s="597"/>
      <c r="J1" s="597"/>
      <c r="K1" s="598">
        <v>44721</v>
      </c>
      <c r="L1" s="598">
        <v>44744</v>
      </c>
      <c r="M1" s="598">
        <v>44903</v>
      </c>
      <c r="N1" s="598">
        <v>45015</v>
      </c>
      <c r="O1" s="598">
        <v>45077</v>
      </c>
      <c r="P1" s="598">
        <v>45104</v>
      </c>
      <c r="Q1" s="598"/>
      <c r="R1" s="599" t="s">
        <v>3759</v>
      </c>
      <c r="S1" s="599"/>
      <c r="T1" s="599"/>
      <c r="U1" s="599"/>
    </row>
    <row r="2" ht="14.25" spans="1:22">
      <c r="A2" s="594" t="s">
        <v>3686</v>
      </c>
      <c r="B2" s="595"/>
      <c r="C2" s="595"/>
      <c r="D2" s="595"/>
      <c r="E2" s="595"/>
      <c r="F2" s="595"/>
      <c r="G2" s="595"/>
      <c r="H2" s="596"/>
      <c r="I2" s="597"/>
      <c r="J2" s="597"/>
      <c r="K2" s="600" t="s">
        <v>3760</v>
      </c>
      <c r="L2" s="598" t="s">
        <v>3761</v>
      </c>
      <c r="M2" s="600" t="s">
        <v>3762</v>
      </c>
      <c r="N2" s="600" t="s">
        <v>3763</v>
      </c>
      <c r="O2" s="600" t="s">
        <v>3764</v>
      </c>
      <c r="P2" s="600" t="s">
        <v>3765</v>
      </c>
      <c r="Q2" s="598"/>
      <c r="R2" s="599"/>
      <c r="S2" s="599"/>
      <c r="T2" s="599"/>
      <c r="U2" s="599"/>
    </row>
    <row r="3" ht="14.25" spans="1:22">
      <c r="A3" s="601" t="s">
        <v>3697</v>
      </c>
      <c r="B3" s="602"/>
      <c r="C3" s="602"/>
      <c r="D3" s="602"/>
      <c r="E3" s="602"/>
      <c r="F3" s="602"/>
      <c r="G3" s="602"/>
      <c r="H3" s="603"/>
      <c r="I3" s="604"/>
      <c r="J3" s="604"/>
      <c r="K3" s="605">
        <v>44808</v>
      </c>
      <c r="L3" s="605">
        <v>44810</v>
      </c>
      <c r="M3" s="605">
        <v>44598</v>
      </c>
      <c r="N3" s="605">
        <v>45051</v>
      </c>
      <c r="O3" s="605">
        <v>45077</v>
      </c>
      <c r="P3" s="605">
        <v>45154</v>
      </c>
      <c r="Q3" s="605"/>
      <c r="R3" s="606"/>
      <c r="S3" s="606"/>
      <c r="T3" s="606"/>
      <c r="U3" s="607"/>
      <c r="V3" t="s">
        <v>3766</v>
      </c>
    </row>
    <row r="4" ht="33" spans="1:22">
      <c r="A4" s="608"/>
      <c r="B4" s="609" t="s">
        <v>3335</v>
      </c>
      <c r="C4" s="609"/>
      <c r="D4" s="609"/>
      <c r="E4" s="609"/>
      <c r="F4" s="609"/>
      <c r="G4" s="609"/>
      <c r="H4" s="610" t="s">
        <v>3698</v>
      </c>
      <c r="I4" s="611" t="s">
        <v>3699</v>
      </c>
      <c r="J4" s="611" t="s">
        <v>3767</v>
      </c>
      <c r="K4" s="609" t="s">
        <v>3336</v>
      </c>
      <c r="L4" s="609" t="s">
        <v>3336</v>
      </c>
      <c r="M4" s="609" t="s">
        <v>3336</v>
      </c>
      <c r="N4" s="609" t="s">
        <v>3336</v>
      </c>
      <c r="O4" s="609" t="s">
        <v>3336</v>
      </c>
      <c r="P4" s="609" t="s">
        <v>3336</v>
      </c>
      <c r="Q4" s="609"/>
      <c r="R4" s="609" t="s">
        <v>3337</v>
      </c>
      <c r="S4" s="612" t="s">
        <v>3768</v>
      </c>
      <c r="T4" s="612" t="s">
        <v>3338</v>
      </c>
      <c r="U4" s="609" t="s">
        <v>3700</v>
      </c>
      <c r="V4" s="613">
        <v>28000</v>
      </c>
    </row>
    <row r="5" s="593" customFormat="1" ht="22.9" customHeight="1" spans="1:22">
      <c r="A5" s="614" t="s">
        <v>3342</v>
      </c>
      <c r="B5" s="615" t="s">
        <v>3769</v>
      </c>
      <c r="C5" s="616"/>
      <c r="D5" s="617"/>
      <c r="E5" s="618" t="s">
        <v>3770</v>
      </c>
      <c r="F5" s="619"/>
      <c r="G5" s="620"/>
      <c r="H5" s="621" t="s">
        <v>3771</v>
      </c>
      <c r="I5" s="622"/>
      <c r="J5" s="623"/>
      <c r="K5" s="624">
        <v>952800</v>
      </c>
      <c r="L5" s="624">
        <v>347520</v>
      </c>
      <c r="M5" s="624"/>
      <c r="N5" s="624"/>
      <c r="O5" s="624"/>
      <c r="P5" s="624"/>
      <c r="Q5" s="624"/>
      <c r="R5" s="625">
        <f t="shared" ref="R5:R56" si="0">SUM(K5:Q5)</f>
        <v>1300320</v>
      </c>
      <c r="S5" s="625">
        <v>2265120</v>
      </c>
      <c r="T5" s="626">
        <v>2311008</v>
      </c>
      <c r="U5" s="627">
        <f>S5-T5</f>
        <v>-45888</v>
      </c>
      <c r="V5" s="628">
        <f>U5+V4</f>
        <v>-17888</v>
      </c>
    </row>
    <row r="6" s="593" customFormat="1" ht="19" customHeight="1" spans="1:22">
      <c r="A6" s="629" t="s">
        <v>3772</v>
      </c>
      <c r="B6" s="630" t="s">
        <v>3773</v>
      </c>
      <c r="C6" s="631" t="s">
        <v>3344</v>
      </c>
      <c r="D6" s="632"/>
      <c r="E6" s="633" t="s">
        <v>3345</v>
      </c>
      <c r="F6" s="632" t="s">
        <v>3346</v>
      </c>
      <c r="G6" s="632" t="s">
        <v>3347</v>
      </c>
      <c r="H6" s="634"/>
      <c r="I6" s="635"/>
      <c r="J6" s="636">
        <v>77425</v>
      </c>
      <c r="K6" s="637"/>
      <c r="L6" s="637"/>
      <c r="M6" s="637">
        <v>30000</v>
      </c>
      <c r="N6" s="637">
        <v>20000</v>
      </c>
      <c r="O6" s="637">
        <v>40000</v>
      </c>
      <c r="P6" s="637">
        <v>32674</v>
      </c>
      <c r="Q6" s="637"/>
      <c r="R6" s="625">
        <f>M6+N6+O6+P6</f>
        <v>122674</v>
      </c>
      <c r="S6" s="625">
        <f>R6</f>
        <v>122674</v>
      </c>
      <c r="T6" s="626">
        <f>'77425明细 '!AI20+'77425明细 '!AJ20+118164</f>
        <v>119908</v>
      </c>
      <c r="U6" s="627">
        <f>S6-T6-2726</f>
        <v>40</v>
      </c>
      <c r="V6" s="638"/>
    </row>
    <row r="7" ht="18.75" spans="1:22">
      <c r="A7" s="629"/>
      <c r="B7" s="615" t="s">
        <v>3350</v>
      </c>
      <c r="C7" s="616" t="s">
        <v>3630</v>
      </c>
      <c r="D7" s="616" t="s">
        <v>3630</v>
      </c>
      <c r="E7" s="639" t="s">
        <v>3774</v>
      </c>
      <c r="F7" s="640" t="s">
        <v>3775</v>
      </c>
      <c r="G7" s="640" t="s">
        <v>3776</v>
      </c>
      <c r="H7" s="641"/>
      <c r="I7" s="642"/>
      <c r="J7" s="643"/>
      <c r="K7" s="644">
        <v>20800</v>
      </c>
      <c r="L7" s="644">
        <v>7580</v>
      </c>
      <c r="M7" s="644"/>
      <c r="N7" s="644"/>
      <c r="O7" s="644"/>
      <c r="P7" s="644"/>
      <c r="Q7" s="644"/>
      <c r="R7" s="625">
        <f t="shared" si="0"/>
        <v>28380</v>
      </c>
      <c r="S7" s="625">
        <v>46170</v>
      </c>
      <c r="T7" s="644">
        <v>50438.6666666667</v>
      </c>
      <c r="U7" s="644">
        <f t="shared" ref="U5:U50" si="1">S7-T7</f>
        <v>-4268.6666666667</v>
      </c>
      <c r="V7" s="645"/>
    </row>
    <row r="8" ht="18.75" spans="1:22">
      <c r="A8" s="629"/>
      <c r="B8" s="615" t="s">
        <v>3356</v>
      </c>
      <c r="C8" s="616" t="s">
        <v>3630</v>
      </c>
      <c r="D8" s="616" t="s">
        <v>3630</v>
      </c>
      <c r="E8" s="639" t="s">
        <v>3774</v>
      </c>
      <c r="F8" s="640" t="s">
        <v>3777</v>
      </c>
      <c r="G8" s="640" t="s">
        <v>3778</v>
      </c>
      <c r="H8" s="641"/>
      <c r="I8" s="642"/>
      <c r="J8" s="643"/>
      <c r="K8" s="644">
        <v>20800</v>
      </c>
      <c r="L8" s="644">
        <v>7580</v>
      </c>
      <c r="M8" s="644"/>
      <c r="N8" s="644"/>
      <c r="O8" s="644"/>
      <c r="P8" s="644"/>
      <c r="Q8" s="644"/>
      <c r="R8" s="625">
        <f t="shared" si="0"/>
        <v>28380</v>
      </c>
      <c r="S8" s="625">
        <v>46170</v>
      </c>
      <c r="T8" s="644">
        <v>50438.6666666667</v>
      </c>
      <c r="U8" s="644">
        <f t="shared" si="1"/>
        <v>-4268.6666666667</v>
      </c>
      <c r="V8" s="645"/>
    </row>
    <row r="9" ht="18.75" spans="1:22">
      <c r="A9" s="629"/>
      <c r="B9" s="615" t="s">
        <v>3362</v>
      </c>
      <c r="C9" s="616" t="s">
        <v>3779</v>
      </c>
      <c r="D9" s="616" t="s">
        <v>3779</v>
      </c>
      <c r="E9" s="639" t="s">
        <v>3780</v>
      </c>
      <c r="F9" s="640" t="s">
        <v>3781</v>
      </c>
      <c r="G9" s="640" t="s">
        <v>3782</v>
      </c>
      <c r="H9" s="641"/>
      <c r="I9" s="642"/>
      <c r="J9" s="643"/>
      <c r="K9" s="644">
        <v>20800</v>
      </c>
      <c r="L9" s="644">
        <v>7580</v>
      </c>
      <c r="M9" s="644"/>
      <c r="N9" s="644"/>
      <c r="O9" s="644"/>
      <c r="P9" s="644"/>
      <c r="Q9" s="644"/>
      <c r="R9" s="625">
        <f t="shared" si="0"/>
        <v>28380</v>
      </c>
      <c r="S9" s="625">
        <v>47670</v>
      </c>
      <c r="T9" s="644">
        <v>50438.6666666667</v>
      </c>
      <c r="U9" s="644">
        <f t="shared" si="1"/>
        <v>-2768.6666666667</v>
      </c>
      <c r="V9" s="645"/>
    </row>
    <row r="10" ht="18.75" spans="1:22">
      <c r="A10" s="629"/>
      <c r="B10" s="615" t="s">
        <v>3367</v>
      </c>
      <c r="C10" s="616" t="s">
        <v>3779</v>
      </c>
      <c r="D10" s="616" t="s">
        <v>3779</v>
      </c>
      <c r="E10" s="639" t="s">
        <v>3780</v>
      </c>
      <c r="F10" s="640" t="s">
        <v>3783</v>
      </c>
      <c r="G10" s="640" t="s">
        <v>3784</v>
      </c>
      <c r="H10" s="641"/>
      <c r="I10" s="642"/>
      <c r="J10" s="643"/>
      <c r="K10" s="644">
        <v>20800</v>
      </c>
      <c r="L10" s="644">
        <v>7580</v>
      </c>
      <c r="M10" s="644"/>
      <c r="N10" s="644"/>
      <c r="O10" s="644"/>
      <c r="P10" s="644"/>
      <c r="Q10" s="644"/>
      <c r="R10" s="625">
        <f t="shared" si="0"/>
        <v>28380</v>
      </c>
      <c r="S10" s="625">
        <v>47670</v>
      </c>
      <c r="T10" s="644">
        <v>50438.6666666667</v>
      </c>
      <c r="U10" s="644">
        <f t="shared" si="1"/>
        <v>-2768.6666666667</v>
      </c>
      <c r="V10" s="645"/>
    </row>
    <row r="11" ht="18.75" spans="1:22">
      <c r="A11" s="629"/>
      <c r="B11" s="615" t="s">
        <v>3372</v>
      </c>
      <c r="C11" s="616" t="s">
        <v>3785</v>
      </c>
      <c r="D11" s="616" t="s">
        <v>3785</v>
      </c>
      <c r="E11" s="639" t="s">
        <v>3786</v>
      </c>
      <c r="F11" s="640" t="s">
        <v>3777</v>
      </c>
      <c r="G11" s="640" t="s">
        <v>3787</v>
      </c>
      <c r="H11" s="641"/>
      <c r="I11" s="642"/>
      <c r="J11" s="643"/>
      <c r="K11" s="644">
        <v>20800</v>
      </c>
      <c r="L11" s="644">
        <v>7580</v>
      </c>
      <c r="M11" s="644"/>
      <c r="N11" s="644"/>
      <c r="O11" s="644"/>
      <c r="P11" s="644"/>
      <c r="Q11" s="644"/>
      <c r="R11" s="625">
        <f t="shared" si="0"/>
        <v>28380</v>
      </c>
      <c r="S11" s="625">
        <v>47670</v>
      </c>
      <c r="T11" s="644">
        <v>50438.6666666667</v>
      </c>
      <c r="U11" s="644">
        <f t="shared" si="1"/>
        <v>-2768.6666666667</v>
      </c>
      <c r="V11" s="645"/>
    </row>
    <row r="12" ht="18" customHeight="1" spans="1:22">
      <c r="A12" s="629"/>
      <c r="B12" s="615" t="s">
        <v>3377</v>
      </c>
      <c r="C12" s="616" t="s">
        <v>3785</v>
      </c>
      <c r="D12" s="616" t="s">
        <v>3785</v>
      </c>
      <c r="E12" s="639" t="s">
        <v>3786</v>
      </c>
      <c r="F12" s="640" t="s">
        <v>3775</v>
      </c>
      <c r="G12" s="640" t="s">
        <v>3788</v>
      </c>
      <c r="H12" s="641"/>
      <c r="I12" s="642"/>
      <c r="J12" s="643"/>
      <c r="K12" s="644">
        <v>20800</v>
      </c>
      <c r="L12" s="644">
        <v>7580</v>
      </c>
      <c r="M12" s="644"/>
      <c r="N12" s="644"/>
      <c r="O12" s="644"/>
      <c r="P12" s="644"/>
      <c r="Q12" s="644"/>
      <c r="R12" s="625">
        <f t="shared" si="0"/>
        <v>28380</v>
      </c>
      <c r="S12" s="625">
        <v>47670</v>
      </c>
      <c r="T12" s="644">
        <v>50438.6666666667</v>
      </c>
      <c r="U12" s="644">
        <f t="shared" si="1"/>
        <v>-2768.6666666667</v>
      </c>
      <c r="V12" s="645"/>
    </row>
    <row r="13" ht="18" customHeight="1" spans="1:22">
      <c r="A13" s="629"/>
      <c r="B13" s="615" t="s">
        <v>3382</v>
      </c>
      <c r="C13" s="616" t="s">
        <v>3789</v>
      </c>
      <c r="D13" s="616" t="s">
        <v>3789</v>
      </c>
      <c r="E13" s="639" t="s">
        <v>3790</v>
      </c>
      <c r="F13" s="640" t="s">
        <v>3791</v>
      </c>
      <c r="G13" s="640" t="s">
        <v>3792</v>
      </c>
      <c r="H13" s="641"/>
      <c r="I13" s="642"/>
      <c r="J13" s="643"/>
      <c r="K13" s="644">
        <v>20800</v>
      </c>
      <c r="L13" s="644">
        <v>7580</v>
      </c>
      <c r="M13" s="644"/>
      <c r="N13" s="644"/>
      <c r="O13" s="644"/>
      <c r="P13" s="644"/>
      <c r="Q13" s="644"/>
      <c r="R13" s="625">
        <f t="shared" si="0"/>
        <v>28380</v>
      </c>
      <c r="S13" s="625">
        <v>47670</v>
      </c>
      <c r="T13" s="644">
        <v>50438.6666666667</v>
      </c>
      <c r="U13" s="644">
        <f t="shared" si="1"/>
        <v>-2768.6666666667</v>
      </c>
      <c r="V13" s="646"/>
    </row>
    <row r="14" ht="18" customHeight="1" spans="1:22">
      <c r="A14" s="629"/>
      <c r="B14" s="615" t="s">
        <v>3387</v>
      </c>
      <c r="C14" s="616" t="s">
        <v>3789</v>
      </c>
      <c r="D14" s="616" t="s">
        <v>3789</v>
      </c>
      <c r="E14" s="639" t="s">
        <v>3790</v>
      </c>
      <c r="F14" s="640" t="s">
        <v>3793</v>
      </c>
      <c r="G14" s="640" t="s">
        <v>3794</v>
      </c>
      <c r="H14" s="641"/>
      <c r="I14" s="642"/>
      <c r="J14" s="643"/>
      <c r="K14" s="644">
        <v>20800</v>
      </c>
      <c r="L14" s="644">
        <v>7580</v>
      </c>
      <c r="M14" s="644"/>
      <c r="N14" s="644"/>
      <c r="O14" s="644"/>
      <c r="P14" s="644"/>
      <c r="Q14" s="644"/>
      <c r="R14" s="625">
        <f t="shared" si="0"/>
        <v>28380</v>
      </c>
      <c r="S14" s="625">
        <v>47670</v>
      </c>
      <c r="T14" s="644">
        <v>50438.6666666667</v>
      </c>
      <c r="U14" s="644">
        <f t="shared" si="1"/>
        <v>-2768.6666666667</v>
      </c>
      <c r="V14" s="646"/>
    </row>
    <row r="15" ht="18" customHeight="1" spans="1:22">
      <c r="A15" s="629"/>
      <c r="B15" s="615" t="s">
        <v>3392</v>
      </c>
      <c r="C15" s="616" t="s">
        <v>3795</v>
      </c>
      <c r="D15" s="616" t="s">
        <v>3795</v>
      </c>
      <c r="E15" s="639" t="s">
        <v>3796</v>
      </c>
      <c r="F15" s="640" t="s">
        <v>3797</v>
      </c>
      <c r="G15" s="640" t="s">
        <v>3798</v>
      </c>
      <c r="H15" s="641"/>
      <c r="I15" s="642"/>
      <c r="J15" s="643"/>
      <c r="K15" s="644">
        <v>20800</v>
      </c>
      <c r="L15" s="644">
        <v>7580</v>
      </c>
      <c r="M15" s="644"/>
      <c r="N15" s="644"/>
      <c r="O15" s="644"/>
      <c r="P15" s="644"/>
      <c r="Q15" s="644"/>
      <c r="R15" s="625">
        <f t="shared" si="0"/>
        <v>28380</v>
      </c>
      <c r="S15" s="625">
        <v>46170</v>
      </c>
      <c r="T15" s="644">
        <v>50438.6666666667</v>
      </c>
      <c r="U15" s="644">
        <f t="shared" si="1"/>
        <v>-4268.6666666667</v>
      </c>
      <c r="V15" s="645"/>
    </row>
    <row r="16" ht="18" customHeight="1" spans="1:22">
      <c r="A16" s="629"/>
      <c r="B16" s="615" t="s">
        <v>3397</v>
      </c>
      <c r="C16" s="616" t="s">
        <v>3795</v>
      </c>
      <c r="D16" s="616" t="s">
        <v>3795</v>
      </c>
      <c r="E16" s="639" t="s">
        <v>3796</v>
      </c>
      <c r="F16" s="640" t="s">
        <v>3792</v>
      </c>
      <c r="G16" s="640" t="s">
        <v>3799</v>
      </c>
      <c r="H16" s="641"/>
      <c r="I16" s="642"/>
      <c r="J16" s="643"/>
      <c r="K16" s="644">
        <v>20800</v>
      </c>
      <c r="L16" s="644">
        <v>7580</v>
      </c>
      <c r="M16" s="644"/>
      <c r="N16" s="644"/>
      <c r="O16" s="644"/>
      <c r="P16" s="644"/>
      <c r="Q16" s="644"/>
      <c r="R16" s="625">
        <f t="shared" si="0"/>
        <v>28380</v>
      </c>
      <c r="S16" s="625">
        <v>46170</v>
      </c>
      <c r="T16" s="644">
        <v>50438.6666666667</v>
      </c>
      <c r="U16" s="644">
        <f t="shared" si="1"/>
        <v>-4268.6666666667</v>
      </c>
      <c r="V16" s="645"/>
    </row>
    <row r="17" ht="18" customHeight="1" spans="1:22">
      <c r="A17" s="629"/>
      <c r="B17" s="615" t="s">
        <v>3402</v>
      </c>
      <c r="C17" s="616" t="s">
        <v>3800</v>
      </c>
      <c r="D17" s="616" t="s">
        <v>3800</v>
      </c>
      <c r="E17" s="639" t="s">
        <v>3801</v>
      </c>
      <c r="F17" s="640" t="s">
        <v>3799</v>
      </c>
      <c r="G17" s="640" t="s">
        <v>3792</v>
      </c>
      <c r="H17" s="641"/>
      <c r="I17" s="642"/>
      <c r="J17" s="643"/>
      <c r="K17" s="644">
        <v>20800</v>
      </c>
      <c r="L17" s="644">
        <v>7580</v>
      </c>
      <c r="M17" s="644"/>
      <c r="N17" s="644"/>
      <c r="O17" s="644"/>
      <c r="P17" s="644"/>
      <c r="Q17" s="644"/>
      <c r="R17" s="625">
        <f t="shared" si="0"/>
        <v>28380</v>
      </c>
      <c r="S17" s="625">
        <v>47145</v>
      </c>
      <c r="T17" s="644">
        <v>50438.6666666667</v>
      </c>
      <c r="U17" s="644">
        <f t="shared" si="1"/>
        <v>-3293.6666666667</v>
      </c>
      <c r="V17" s="645"/>
    </row>
    <row r="18" ht="18" customHeight="1" spans="1:22">
      <c r="A18" s="629"/>
      <c r="B18" s="615" t="s">
        <v>3407</v>
      </c>
      <c r="C18" s="616" t="s">
        <v>3800</v>
      </c>
      <c r="D18" s="616" t="s">
        <v>3800</v>
      </c>
      <c r="E18" s="639" t="s">
        <v>3801</v>
      </c>
      <c r="F18" s="640" t="s">
        <v>3802</v>
      </c>
      <c r="G18" s="640" t="s">
        <v>3803</v>
      </c>
      <c r="H18" s="641"/>
      <c r="I18" s="642"/>
      <c r="J18" s="643"/>
      <c r="K18" s="644">
        <v>20800</v>
      </c>
      <c r="L18" s="644">
        <v>7580</v>
      </c>
      <c r="M18" s="644"/>
      <c r="N18" s="644"/>
      <c r="O18" s="644"/>
      <c r="P18" s="644"/>
      <c r="Q18" s="644"/>
      <c r="R18" s="625">
        <f t="shared" si="0"/>
        <v>28380</v>
      </c>
      <c r="S18" s="625">
        <v>47145</v>
      </c>
      <c r="T18" s="644">
        <v>50438.6666666667</v>
      </c>
      <c r="U18" s="644">
        <f t="shared" si="1"/>
        <v>-3293.6666666667</v>
      </c>
      <c r="V18" s="645"/>
    </row>
    <row r="19" ht="18" customHeight="1" spans="1:22">
      <c r="A19" s="629"/>
      <c r="B19" s="615" t="s">
        <v>3412</v>
      </c>
      <c r="C19" s="616" t="s">
        <v>3804</v>
      </c>
      <c r="D19" s="616" t="s">
        <v>3804</v>
      </c>
      <c r="E19" s="639" t="s">
        <v>3805</v>
      </c>
      <c r="F19" s="640" t="s">
        <v>3784</v>
      </c>
      <c r="G19" s="640" t="s">
        <v>3793</v>
      </c>
      <c r="H19" s="641"/>
      <c r="I19" s="642"/>
      <c r="J19" s="643"/>
      <c r="K19" s="644">
        <v>20800</v>
      </c>
      <c r="L19" s="644">
        <v>7580</v>
      </c>
      <c r="M19" s="644"/>
      <c r="N19" s="644"/>
      <c r="O19" s="644"/>
      <c r="P19" s="644"/>
      <c r="Q19" s="644"/>
      <c r="R19" s="625">
        <f t="shared" si="0"/>
        <v>28380</v>
      </c>
      <c r="S19" s="625">
        <v>47895</v>
      </c>
      <c r="T19" s="644">
        <v>50438.6666666667</v>
      </c>
      <c r="U19" s="644">
        <f t="shared" si="1"/>
        <v>-2543.6666666667</v>
      </c>
      <c r="V19" s="645"/>
    </row>
    <row r="20" ht="18" customHeight="1" spans="1:22">
      <c r="A20" s="629"/>
      <c r="B20" s="615" t="s">
        <v>3417</v>
      </c>
      <c r="C20" s="616" t="s">
        <v>3804</v>
      </c>
      <c r="D20" s="616" t="s">
        <v>3804</v>
      </c>
      <c r="E20" s="639" t="s">
        <v>3805</v>
      </c>
      <c r="F20" s="640" t="s">
        <v>3788</v>
      </c>
      <c r="G20" s="640" t="s">
        <v>3806</v>
      </c>
      <c r="H20" s="641"/>
      <c r="I20" s="642"/>
      <c r="J20" s="643"/>
      <c r="K20" s="644">
        <v>20800</v>
      </c>
      <c r="L20" s="644">
        <v>7580</v>
      </c>
      <c r="M20" s="644"/>
      <c r="N20" s="644"/>
      <c r="O20" s="644"/>
      <c r="P20" s="644"/>
      <c r="Q20" s="644"/>
      <c r="R20" s="625">
        <f t="shared" si="0"/>
        <v>28380</v>
      </c>
      <c r="S20" s="625">
        <v>47895</v>
      </c>
      <c r="T20" s="644">
        <v>50438.6666666667</v>
      </c>
      <c r="U20" s="644">
        <f t="shared" si="1"/>
        <v>-2543.6666666667</v>
      </c>
      <c r="V20" s="645"/>
    </row>
    <row r="21" ht="18" customHeight="1" spans="1:22">
      <c r="A21" s="629"/>
      <c r="B21" s="615" t="s">
        <v>3422</v>
      </c>
      <c r="C21" s="616" t="s">
        <v>3807</v>
      </c>
      <c r="D21" s="616" t="s">
        <v>3807</v>
      </c>
      <c r="E21" s="639" t="s">
        <v>3808</v>
      </c>
      <c r="F21" s="640" t="s">
        <v>3809</v>
      </c>
      <c r="G21" s="640" t="s">
        <v>3810</v>
      </c>
      <c r="H21" s="641"/>
      <c r="I21" s="642"/>
      <c r="J21" s="643"/>
      <c r="K21" s="644">
        <v>20800</v>
      </c>
      <c r="L21" s="644">
        <v>7580</v>
      </c>
      <c r="M21" s="644"/>
      <c r="N21" s="644"/>
      <c r="O21" s="644"/>
      <c r="P21" s="644"/>
      <c r="Q21" s="644"/>
      <c r="R21" s="625">
        <f t="shared" si="0"/>
        <v>28380</v>
      </c>
      <c r="S21" s="625">
        <v>48420</v>
      </c>
      <c r="T21" s="644">
        <v>50438.6666666667</v>
      </c>
      <c r="U21" s="644">
        <f t="shared" si="1"/>
        <v>-2018.6666666667</v>
      </c>
      <c r="V21" s="645"/>
    </row>
    <row r="22" ht="18" customHeight="1" spans="1:22">
      <c r="A22" s="629"/>
      <c r="B22" s="615" t="s">
        <v>3427</v>
      </c>
      <c r="C22" s="616" t="s">
        <v>3807</v>
      </c>
      <c r="D22" s="616" t="s">
        <v>3807</v>
      </c>
      <c r="E22" s="639" t="s">
        <v>3808</v>
      </c>
      <c r="F22" s="640" t="s">
        <v>3782</v>
      </c>
      <c r="G22" s="640" t="s">
        <v>3791</v>
      </c>
      <c r="H22" s="641"/>
      <c r="I22" s="642"/>
      <c r="J22" s="643"/>
      <c r="K22" s="644">
        <v>20800</v>
      </c>
      <c r="L22" s="644">
        <v>7580</v>
      </c>
      <c r="M22" s="644"/>
      <c r="N22" s="644"/>
      <c r="O22" s="644"/>
      <c r="P22" s="644"/>
      <c r="Q22" s="644"/>
      <c r="R22" s="625">
        <f t="shared" si="0"/>
        <v>28380</v>
      </c>
      <c r="S22" s="625">
        <v>48420</v>
      </c>
      <c r="T22" s="644">
        <v>50438.6666666667</v>
      </c>
      <c r="U22" s="644">
        <f t="shared" si="1"/>
        <v>-2018.6666666667</v>
      </c>
      <c r="V22" s="645"/>
    </row>
    <row r="23" ht="18" customHeight="1" spans="1:22">
      <c r="A23" s="629"/>
      <c r="B23" s="615" t="s">
        <v>3430</v>
      </c>
      <c r="C23" s="616" t="s">
        <v>3811</v>
      </c>
      <c r="D23" s="616" t="s">
        <v>3811</v>
      </c>
      <c r="E23" s="639" t="s">
        <v>3812</v>
      </c>
      <c r="F23" s="640" t="s">
        <v>3813</v>
      </c>
      <c r="G23" s="640" t="s">
        <v>3814</v>
      </c>
      <c r="H23" s="641"/>
      <c r="I23" s="642"/>
      <c r="J23" s="643"/>
      <c r="K23" s="644">
        <v>20800</v>
      </c>
      <c r="L23" s="644">
        <v>7580</v>
      </c>
      <c r="M23" s="644"/>
      <c r="N23" s="644"/>
      <c r="O23" s="644"/>
      <c r="P23" s="644"/>
      <c r="Q23" s="644"/>
      <c r="R23" s="625">
        <f t="shared" si="0"/>
        <v>28380</v>
      </c>
      <c r="S23" s="625">
        <v>48420</v>
      </c>
      <c r="T23" s="644">
        <v>50438.6666666667</v>
      </c>
      <c r="U23" s="644">
        <f t="shared" si="1"/>
        <v>-2018.6666666667</v>
      </c>
      <c r="V23" s="645"/>
    </row>
    <row r="24" ht="18" customHeight="1" spans="1:22">
      <c r="A24" s="629"/>
      <c r="B24" s="615" t="s">
        <v>3435</v>
      </c>
      <c r="C24" s="616" t="s">
        <v>3811</v>
      </c>
      <c r="D24" s="616" t="s">
        <v>3811</v>
      </c>
      <c r="E24" s="639" t="s">
        <v>3812</v>
      </c>
      <c r="F24" s="640" t="s">
        <v>3792</v>
      </c>
      <c r="G24" s="640" t="s">
        <v>3776</v>
      </c>
      <c r="H24" s="641"/>
      <c r="I24" s="642"/>
      <c r="J24" s="643"/>
      <c r="K24" s="644">
        <v>20800</v>
      </c>
      <c r="L24" s="644">
        <v>7580</v>
      </c>
      <c r="M24" s="644"/>
      <c r="N24" s="644"/>
      <c r="O24" s="644"/>
      <c r="P24" s="644"/>
      <c r="Q24" s="644"/>
      <c r="R24" s="625">
        <f t="shared" si="0"/>
        <v>28380</v>
      </c>
      <c r="S24" s="625">
        <v>48420</v>
      </c>
      <c r="T24" s="644">
        <v>50438.6666666667</v>
      </c>
      <c r="U24" s="644">
        <f t="shared" si="1"/>
        <v>-2018.6666666667</v>
      </c>
      <c r="V24" s="645"/>
    </row>
    <row r="25" ht="18" customHeight="1" spans="1:22">
      <c r="A25" s="629"/>
      <c r="B25" s="615" t="s">
        <v>3440</v>
      </c>
      <c r="C25" s="616" t="s">
        <v>3815</v>
      </c>
      <c r="D25" s="616" t="s">
        <v>3815</v>
      </c>
      <c r="E25" s="639" t="s">
        <v>3778</v>
      </c>
      <c r="F25" s="640" t="s">
        <v>3816</v>
      </c>
      <c r="G25" s="640" t="s">
        <v>3817</v>
      </c>
      <c r="H25" s="641"/>
      <c r="I25" s="642"/>
      <c r="J25" s="643"/>
      <c r="K25" s="644">
        <v>20800</v>
      </c>
      <c r="L25" s="644">
        <v>7580</v>
      </c>
      <c r="M25" s="644"/>
      <c r="N25" s="644"/>
      <c r="O25" s="644"/>
      <c r="P25" s="644"/>
      <c r="Q25" s="644"/>
      <c r="R25" s="625">
        <f t="shared" si="0"/>
        <v>28380</v>
      </c>
      <c r="S25" s="625">
        <v>47895</v>
      </c>
      <c r="T25" s="644">
        <v>50438.6666666667</v>
      </c>
      <c r="U25" s="644">
        <f t="shared" si="1"/>
        <v>-2543.6666666667</v>
      </c>
      <c r="V25" s="645"/>
    </row>
    <row r="26" ht="18" customHeight="1" spans="1:22">
      <c r="A26" s="629"/>
      <c r="B26" s="615" t="s">
        <v>3445</v>
      </c>
      <c r="C26" s="616" t="s">
        <v>3815</v>
      </c>
      <c r="D26" s="616" t="s">
        <v>3815</v>
      </c>
      <c r="E26" s="639" t="s">
        <v>3778</v>
      </c>
      <c r="F26" s="640" t="s">
        <v>3797</v>
      </c>
      <c r="G26" s="640" t="s">
        <v>3818</v>
      </c>
      <c r="H26" s="641"/>
      <c r="I26" s="642"/>
      <c r="J26" s="643"/>
      <c r="K26" s="644">
        <v>20800</v>
      </c>
      <c r="L26" s="644">
        <v>7580</v>
      </c>
      <c r="M26" s="644"/>
      <c r="N26" s="644"/>
      <c r="O26" s="644"/>
      <c r="P26" s="644"/>
      <c r="Q26" s="644"/>
      <c r="R26" s="625">
        <f t="shared" si="0"/>
        <v>28380</v>
      </c>
      <c r="S26" s="625">
        <v>47895</v>
      </c>
      <c r="T26" s="644">
        <v>50438.6666666667</v>
      </c>
      <c r="U26" s="644">
        <f t="shared" si="1"/>
        <v>-2543.6666666667</v>
      </c>
      <c r="V26" s="645"/>
    </row>
    <row r="27" ht="18" customHeight="1" spans="1:22">
      <c r="A27" s="629"/>
      <c r="B27" s="615" t="s">
        <v>3450</v>
      </c>
      <c r="C27" s="616" t="s">
        <v>3819</v>
      </c>
      <c r="D27" s="616" t="s">
        <v>3819</v>
      </c>
      <c r="E27" s="639" t="s">
        <v>3820</v>
      </c>
      <c r="F27" s="640" t="s">
        <v>3803</v>
      </c>
      <c r="G27" s="640" t="s">
        <v>3821</v>
      </c>
      <c r="H27" s="641"/>
      <c r="I27" s="642"/>
      <c r="J27" s="643"/>
      <c r="K27" s="644">
        <v>20800</v>
      </c>
      <c r="L27" s="644">
        <v>7580</v>
      </c>
      <c r="M27" s="644"/>
      <c r="N27" s="644"/>
      <c r="O27" s="644"/>
      <c r="P27" s="644"/>
      <c r="Q27" s="644"/>
      <c r="R27" s="625">
        <f t="shared" si="0"/>
        <v>28380</v>
      </c>
      <c r="S27" s="625">
        <v>46170</v>
      </c>
      <c r="T27" s="644">
        <v>50438.6666666667</v>
      </c>
      <c r="U27" s="644">
        <f t="shared" si="1"/>
        <v>-4268.6666666667</v>
      </c>
      <c r="V27" s="646"/>
    </row>
    <row r="28" ht="18" customHeight="1" spans="1:22">
      <c r="A28" s="629"/>
      <c r="B28" s="615" t="s">
        <v>3455</v>
      </c>
      <c r="C28" s="616" t="s">
        <v>3819</v>
      </c>
      <c r="D28" s="616" t="s">
        <v>3819</v>
      </c>
      <c r="E28" s="639" t="s">
        <v>3820</v>
      </c>
      <c r="F28" s="640" t="s">
        <v>3810</v>
      </c>
      <c r="G28" s="640" t="s">
        <v>3781</v>
      </c>
      <c r="H28" s="641"/>
      <c r="I28" s="642"/>
      <c r="J28" s="643"/>
      <c r="K28" s="644">
        <v>20800</v>
      </c>
      <c r="L28" s="644">
        <v>7580</v>
      </c>
      <c r="M28" s="644"/>
      <c r="N28" s="644"/>
      <c r="O28" s="644"/>
      <c r="P28" s="644"/>
      <c r="Q28" s="644"/>
      <c r="R28" s="625">
        <f t="shared" si="0"/>
        <v>28380</v>
      </c>
      <c r="S28" s="625">
        <v>46170</v>
      </c>
      <c r="T28" s="644">
        <v>50438.6666666667</v>
      </c>
      <c r="U28" s="644">
        <f t="shared" si="1"/>
        <v>-4268.6666666667</v>
      </c>
      <c r="V28" s="646"/>
    </row>
    <row r="29" ht="18" customHeight="1" spans="1:22">
      <c r="A29" s="629"/>
      <c r="B29" s="615" t="s">
        <v>3459</v>
      </c>
      <c r="C29" s="616" t="s">
        <v>3822</v>
      </c>
      <c r="D29" s="616" t="s">
        <v>3822</v>
      </c>
      <c r="E29" s="639" t="s">
        <v>3823</v>
      </c>
      <c r="F29" s="640" t="s">
        <v>3824</v>
      </c>
      <c r="G29" s="640" t="s">
        <v>3825</v>
      </c>
      <c r="H29" s="641"/>
      <c r="I29" s="642"/>
      <c r="J29" s="643"/>
      <c r="K29" s="644">
        <v>20800</v>
      </c>
      <c r="L29" s="644">
        <v>7580</v>
      </c>
      <c r="M29" s="644"/>
      <c r="N29" s="644"/>
      <c r="O29" s="644"/>
      <c r="P29" s="644"/>
      <c r="Q29" s="644"/>
      <c r="R29" s="625">
        <f t="shared" si="0"/>
        <v>28380</v>
      </c>
      <c r="S29" s="625">
        <v>47670</v>
      </c>
      <c r="T29" s="644">
        <v>50438.6666666667</v>
      </c>
      <c r="U29" s="644">
        <f t="shared" si="1"/>
        <v>-2768.6666666667</v>
      </c>
      <c r="V29" s="645"/>
    </row>
    <row r="30" ht="18" customHeight="1" spans="1:22">
      <c r="A30" s="629"/>
      <c r="B30" s="615" t="s">
        <v>3826</v>
      </c>
      <c r="C30" s="616" t="s">
        <v>3822</v>
      </c>
      <c r="D30" s="616" t="s">
        <v>3822</v>
      </c>
      <c r="E30" s="639" t="s">
        <v>3823</v>
      </c>
      <c r="F30" s="640" t="s">
        <v>3778</v>
      </c>
      <c r="G30" s="640" t="s">
        <v>3827</v>
      </c>
      <c r="H30" s="641"/>
      <c r="I30" s="642"/>
      <c r="J30" s="643"/>
      <c r="K30" s="644">
        <v>20800</v>
      </c>
      <c r="L30" s="644">
        <v>7580</v>
      </c>
      <c r="M30" s="644"/>
      <c r="N30" s="644"/>
      <c r="O30" s="644"/>
      <c r="P30" s="644"/>
      <c r="Q30" s="644"/>
      <c r="R30" s="625">
        <f t="shared" si="0"/>
        <v>28380</v>
      </c>
      <c r="S30" s="625">
        <v>47670</v>
      </c>
      <c r="T30" s="644">
        <v>50438.6666666667</v>
      </c>
      <c r="U30" s="644">
        <f t="shared" si="1"/>
        <v>-2768.6666666667</v>
      </c>
      <c r="V30" s="645"/>
    </row>
    <row r="31" ht="18" customHeight="1" spans="1:22">
      <c r="A31" s="629"/>
      <c r="B31" s="615" t="s">
        <v>3828</v>
      </c>
      <c r="C31" s="616" t="s">
        <v>3829</v>
      </c>
      <c r="D31" s="616" t="s">
        <v>3829</v>
      </c>
      <c r="E31" s="639" t="s">
        <v>3830</v>
      </c>
      <c r="F31" s="640" t="s">
        <v>3831</v>
      </c>
      <c r="G31" s="640" t="s">
        <v>3832</v>
      </c>
      <c r="H31" s="641"/>
      <c r="I31" s="642"/>
      <c r="J31" s="643"/>
      <c r="K31" s="644">
        <v>20800</v>
      </c>
      <c r="L31" s="644">
        <v>7580</v>
      </c>
      <c r="M31" s="644"/>
      <c r="N31" s="644"/>
      <c r="O31" s="644"/>
      <c r="P31" s="644"/>
      <c r="Q31" s="644"/>
      <c r="R31" s="625">
        <f t="shared" si="0"/>
        <v>28380</v>
      </c>
      <c r="S31" s="625">
        <v>47670</v>
      </c>
      <c r="T31" s="644">
        <v>50438.6666666667</v>
      </c>
      <c r="U31" s="644">
        <f t="shared" si="1"/>
        <v>-2768.6666666667</v>
      </c>
      <c r="V31" s="646"/>
    </row>
    <row r="32" ht="18" customHeight="1" spans="1:22">
      <c r="A32" s="629"/>
      <c r="B32" s="615" t="s">
        <v>3833</v>
      </c>
      <c r="C32" s="616" t="s">
        <v>3829</v>
      </c>
      <c r="D32" s="616" t="s">
        <v>3829</v>
      </c>
      <c r="E32" s="639" t="s">
        <v>3830</v>
      </c>
      <c r="F32" s="640" t="s">
        <v>3834</v>
      </c>
      <c r="G32" s="640" t="s">
        <v>3787</v>
      </c>
      <c r="H32" s="641"/>
      <c r="I32" s="642"/>
      <c r="J32" s="643"/>
      <c r="K32" s="644">
        <v>20800</v>
      </c>
      <c r="L32" s="644">
        <v>7580</v>
      </c>
      <c r="M32" s="644"/>
      <c r="N32" s="644"/>
      <c r="O32" s="644"/>
      <c r="P32" s="644"/>
      <c r="Q32" s="644"/>
      <c r="R32" s="625">
        <f t="shared" si="0"/>
        <v>28380</v>
      </c>
      <c r="S32" s="625">
        <v>47670</v>
      </c>
      <c r="T32" s="644">
        <v>50438.6666666667</v>
      </c>
      <c r="U32" s="644">
        <f t="shared" si="1"/>
        <v>-2768.6666666667</v>
      </c>
      <c r="V32" s="645"/>
    </row>
    <row r="33" ht="18" customHeight="1" spans="1:22">
      <c r="A33" s="629"/>
      <c r="B33" s="615" t="s">
        <v>3835</v>
      </c>
      <c r="C33" s="616" t="s">
        <v>3836</v>
      </c>
      <c r="D33" s="616" t="s">
        <v>3836</v>
      </c>
      <c r="E33" s="639" t="s">
        <v>3837</v>
      </c>
      <c r="F33" s="640" t="s">
        <v>3838</v>
      </c>
      <c r="G33" s="640" t="s">
        <v>3839</v>
      </c>
      <c r="H33" s="641"/>
      <c r="I33" s="642"/>
      <c r="J33" s="643"/>
      <c r="K33" s="644">
        <v>20800</v>
      </c>
      <c r="L33" s="644">
        <v>7580</v>
      </c>
      <c r="M33" s="644"/>
      <c r="N33" s="644"/>
      <c r="O33" s="644"/>
      <c r="P33" s="644"/>
      <c r="Q33" s="644"/>
      <c r="R33" s="625">
        <f t="shared" si="0"/>
        <v>28380</v>
      </c>
      <c r="S33" s="625">
        <v>62820</v>
      </c>
      <c r="T33" s="644">
        <v>50438.6666666667</v>
      </c>
      <c r="U33" s="644">
        <f t="shared" si="1"/>
        <v>12381.3333333333</v>
      </c>
      <c r="V33" s="645"/>
    </row>
    <row r="34" ht="18" customHeight="1" spans="1:22">
      <c r="A34" s="629"/>
      <c r="B34" s="615" t="s">
        <v>3840</v>
      </c>
      <c r="C34" s="616" t="s">
        <v>3836</v>
      </c>
      <c r="D34" s="616" t="s">
        <v>3836</v>
      </c>
      <c r="E34" s="639" t="s">
        <v>3837</v>
      </c>
      <c r="F34" s="640" t="s">
        <v>3831</v>
      </c>
      <c r="G34" s="640" t="s">
        <v>3814</v>
      </c>
      <c r="H34" s="641"/>
      <c r="I34" s="642"/>
      <c r="J34" s="643"/>
      <c r="K34" s="644">
        <v>20800</v>
      </c>
      <c r="L34" s="644">
        <v>7580</v>
      </c>
      <c r="M34" s="644"/>
      <c r="N34" s="644"/>
      <c r="O34" s="644"/>
      <c r="P34" s="644"/>
      <c r="Q34" s="644"/>
      <c r="R34" s="625">
        <f t="shared" si="0"/>
        <v>28380</v>
      </c>
      <c r="S34" s="625">
        <v>62820</v>
      </c>
      <c r="T34" s="644">
        <v>50438.6666666667</v>
      </c>
      <c r="U34" s="644">
        <f t="shared" si="1"/>
        <v>12381.3333333333</v>
      </c>
      <c r="V34" s="645"/>
    </row>
    <row r="35" ht="18" customHeight="1" spans="1:22">
      <c r="A35" s="629"/>
      <c r="B35" s="615" t="s">
        <v>3841</v>
      </c>
      <c r="C35" s="616" t="s">
        <v>3842</v>
      </c>
      <c r="D35" s="616" t="s">
        <v>3842</v>
      </c>
      <c r="E35" s="639" t="s">
        <v>3843</v>
      </c>
      <c r="F35" s="640" t="s">
        <v>3844</v>
      </c>
      <c r="G35" s="640" t="s">
        <v>3845</v>
      </c>
      <c r="H35" s="641"/>
      <c r="I35" s="642"/>
      <c r="J35" s="643"/>
      <c r="K35" s="644">
        <v>20800</v>
      </c>
      <c r="L35" s="644">
        <v>7580</v>
      </c>
      <c r="M35" s="644"/>
      <c r="N35" s="644"/>
      <c r="O35" s="644"/>
      <c r="P35" s="644"/>
      <c r="Q35" s="644"/>
      <c r="R35" s="625">
        <f t="shared" si="0"/>
        <v>28380</v>
      </c>
      <c r="S35" s="625">
        <v>62820</v>
      </c>
      <c r="T35" s="644">
        <v>50438.6666666667</v>
      </c>
      <c r="U35" s="644">
        <f t="shared" si="1"/>
        <v>12381.3333333333</v>
      </c>
      <c r="V35" s="645"/>
    </row>
    <row r="36" ht="18" customHeight="1" spans="1:22">
      <c r="A36" s="629"/>
      <c r="B36" s="615" t="s">
        <v>3846</v>
      </c>
      <c r="C36" s="616" t="s">
        <v>3842</v>
      </c>
      <c r="D36" s="616" t="s">
        <v>3842</v>
      </c>
      <c r="E36" s="639" t="s">
        <v>3843</v>
      </c>
      <c r="F36" s="640" t="s">
        <v>3847</v>
      </c>
      <c r="G36" s="640" t="s">
        <v>3821</v>
      </c>
      <c r="H36" s="641"/>
      <c r="I36" s="642"/>
      <c r="J36" s="643"/>
      <c r="K36" s="644">
        <v>20800</v>
      </c>
      <c r="L36" s="644">
        <v>7580</v>
      </c>
      <c r="M36" s="644"/>
      <c r="N36" s="644"/>
      <c r="O36" s="644"/>
      <c r="P36" s="644"/>
      <c r="Q36" s="644"/>
      <c r="R36" s="625">
        <f t="shared" si="0"/>
        <v>28380</v>
      </c>
      <c r="S36" s="625">
        <v>62820</v>
      </c>
      <c r="T36" s="644">
        <v>50438.6666666667</v>
      </c>
      <c r="U36" s="644">
        <f t="shared" si="1"/>
        <v>12381.3333333333</v>
      </c>
      <c r="V36" s="645"/>
    </row>
    <row r="37" ht="18" customHeight="1" spans="1:22">
      <c r="A37" s="629"/>
      <c r="B37" s="615" t="s">
        <v>3848</v>
      </c>
      <c r="C37" s="616" t="s">
        <v>3849</v>
      </c>
      <c r="D37" s="616" t="s">
        <v>3849</v>
      </c>
      <c r="E37" s="639" t="s">
        <v>3850</v>
      </c>
      <c r="F37" s="640" t="s">
        <v>3818</v>
      </c>
      <c r="G37" s="640" t="s">
        <v>3851</v>
      </c>
      <c r="H37" s="641"/>
      <c r="I37" s="642"/>
      <c r="J37" s="643"/>
      <c r="K37" s="644">
        <v>20800</v>
      </c>
      <c r="L37" s="644">
        <v>7580</v>
      </c>
      <c r="M37" s="644"/>
      <c r="N37" s="644"/>
      <c r="O37" s="644"/>
      <c r="P37" s="644"/>
      <c r="Q37" s="644"/>
      <c r="R37" s="625">
        <f t="shared" si="0"/>
        <v>28380</v>
      </c>
      <c r="S37" s="625">
        <v>49170</v>
      </c>
      <c r="T37" s="644">
        <v>50438.6666666667</v>
      </c>
      <c r="U37" s="644">
        <f t="shared" si="1"/>
        <v>-1268.6666666667</v>
      </c>
      <c r="V37" s="646"/>
    </row>
    <row r="38" ht="18" customHeight="1" spans="1:22">
      <c r="A38" s="629"/>
      <c r="B38" s="615" t="s">
        <v>3852</v>
      </c>
      <c r="C38" s="616" t="s">
        <v>3849</v>
      </c>
      <c r="D38" s="616" t="s">
        <v>3849</v>
      </c>
      <c r="E38" s="639" t="s">
        <v>3850</v>
      </c>
      <c r="F38" s="640" t="s">
        <v>3853</v>
      </c>
      <c r="G38" s="640" t="s">
        <v>3832</v>
      </c>
      <c r="H38" s="641"/>
      <c r="I38" s="642"/>
      <c r="J38" s="643"/>
      <c r="K38" s="644">
        <v>20800</v>
      </c>
      <c r="L38" s="644">
        <v>7580</v>
      </c>
      <c r="M38" s="644"/>
      <c r="N38" s="644"/>
      <c r="O38" s="644"/>
      <c r="P38" s="644"/>
      <c r="Q38" s="644"/>
      <c r="R38" s="625">
        <f t="shared" si="0"/>
        <v>28380</v>
      </c>
      <c r="S38" s="625">
        <v>49170</v>
      </c>
      <c r="T38" s="644">
        <v>50438.6666666667</v>
      </c>
      <c r="U38" s="644">
        <f t="shared" si="1"/>
        <v>-1268.6666666667</v>
      </c>
      <c r="V38" s="646"/>
    </row>
    <row r="39" ht="18" customHeight="1" spans="1:22">
      <c r="A39" s="629"/>
      <c r="B39" s="615" t="s">
        <v>3854</v>
      </c>
      <c r="C39" s="616" t="s">
        <v>3855</v>
      </c>
      <c r="D39" s="616" t="s">
        <v>3855</v>
      </c>
      <c r="E39" s="639" t="s">
        <v>3856</v>
      </c>
      <c r="F39" s="640" t="s">
        <v>3857</v>
      </c>
      <c r="G39" s="640" t="s">
        <v>3847</v>
      </c>
      <c r="H39" s="641"/>
      <c r="I39" s="642"/>
      <c r="J39" s="643"/>
      <c r="K39" s="644">
        <v>20800</v>
      </c>
      <c r="L39" s="644">
        <v>7580</v>
      </c>
      <c r="M39" s="644"/>
      <c r="N39" s="644"/>
      <c r="O39" s="644"/>
      <c r="P39" s="644"/>
      <c r="Q39" s="644"/>
      <c r="R39" s="625">
        <f t="shared" si="0"/>
        <v>28380</v>
      </c>
      <c r="S39" s="625">
        <v>47670</v>
      </c>
      <c r="T39" s="644">
        <v>50438.6666666667</v>
      </c>
      <c r="U39" s="644">
        <f t="shared" si="1"/>
        <v>-2768.6666666667</v>
      </c>
      <c r="V39" s="646"/>
    </row>
    <row r="40" ht="18" customHeight="1" spans="1:22">
      <c r="A40" s="629"/>
      <c r="B40" s="615" t="s">
        <v>3858</v>
      </c>
      <c r="C40" s="616" t="s">
        <v>3855</v>
      </c>
      <c r="D40" s="616" t="s">
        <v>3855</v>
      </c>
      <c r="E40" s="639" t="s">
        <v>3856</v>
      </c>
      <c r="F40" s="640" t="s">
        <v>3818</v>
      </c>
      <c r="G40" s="640" t="s">
        <v>3809</v>
      </c>
      <c r="H40" s="641"/>
      <c r="I40" s="642"/>
      <c r="J40" s="643"/>
      <c r="K40" s="644">
        <v>20800</v>
      </c>
      <c r="L40" s="644">
        <v>7580</v>
      </c>
      <c r="M40" s="644"/>
      <c r="N40" s="644"/>
      <c r="O40" s="644"/>
      <c r="P40" s="644"/>
      <c r="Q40" s="644"/>
      <c r="R40" s="625">
        <f t="shared" si="0"/>
        <v>28380</v>
      </c>
      <c r="S40" s="625">
        <v>47670</v>
      </c>
      <c r="T40" s="644">
        <v>50438.6666666667</v>
      </c>
      <c r="U40" s="644">
        <f t="shared" si="1"/>
        <v>-2768.6666666667</v>
      </c>
      <c r="V40" s="645"/>
    </row>
    <row r="41" ht="18" customHeight="1" spans="1:22">
      <c r="A41" s="629"/>
      <c r="B41" s="615" t="s">
        <v>3859</v>
      </c>
      <c r="C41" s="616" t="s">
        <v>3860</v>
      </c>
      <c r="D41" s="616" t="s">
        <v>3860</v>
      </c>
      <c r="E41" s="639" t="s">
        <v>3861</v>
      </c>
      <c r="F41" s="640" t="s">
        <v>3862</v>
      </c>
      <c r="G41" s="640" t="s">
        <v>3806</v>
      </c>
      <c r="H41" s="641"/>
      <c r="I41" s="642"/>
      <c r="J41" s="643"/>
      <c r="K41" s="644">
        <v>20800</v>
      </c>
      <c r="L41" s="644">
        <v>7580</v>
      </c>
      <c r="M41" s="644"/>
      <c r="N41" s="644"/>
      <c r="O41" s="644"/>
      <c r="P41" s="644"/>
      <c r="Q41" s="644"/>
      <c r="R41" s="625">
        <f t="shared" si="0"/>
        <v>28380</v>
      </c>
      <c r="S41" s="625">
        <v>46620</v>
      </c>
      <c r="T41" s="644">
        <v>50438.6666666667</v>
      </c>
      <c r="U41" s="644">
        <f t="shared" si="1"/>
        <v>-3818.6666666667</v>
      </c>
      <c r="V41" s="647"/>
    </row>
    <row r="42" ht="18" customHeight="1" spans="1:22">
      <c r="A42" s="629"/>
      <c r="B42" s="615" t="s">
        <v>3863</v>
      </c>
      <c r="C42" s="616" t="s">
        <v>3860</v>
      </c>
      <c r="D42" s="616" t="s">
        <v>3860</v>
      </c>
      <c r="E42" s="639" t="s">
        <v>3861</v>
      </c>
      <c r="F42" s="640" t="s">
        <v>3824</v>
      </c>
      <c r="G42" s="640" t="s">
        <v>3832</v>
      </c>
      <c r="H42" s="641"/>
      <c r="I42" s="642"/>
      <c r="J42" s="643"/>
      <c r="K42" s="644">
        <v>20800</v>
      </c>
      <c r="L42" s="644">
        <v>7580</v>
      </c>
      <c r="M42" s="644"/>
      <c r="N42" s="644"/>
      <c r="O42" s="644"/>
      <c r="P42" s="644"/>
      <c r="Q42" s="644"/>
      <c r="R42" s="625">
        <f t="shared" si="0"/>
        <v>28380</v>
      </c>
      <c r="S42" s="625">
        <v>46620</v>
      </c>
      <c r="T42" s="644">
        <v>50438.6666666667</v>
      </c>
      <c r="U42" s="644">
        <f t="shared" si="1"/>
        <v>-3818.6666666667</v>
      </c>
      <c r="V42" s="647"/>
    </row>
    <row r="43" ht="18" customHeight="1" spans="1:22">
      <c r="A43" s="629"/>
      <c r="B43" s="615" t="s">
        <v>3864</v>
      </c>
      <c r="C43" s="616" t="s">
        <v>3632</v>
      </c>
      <c r="D43" s="616" t="s">
        <v>3632</v>
      </c>
      <c r="E43" s="639" t="s">
        <v>3834</v>
      </c>
      <c r="F43" s="640" t="s">
        <v>3794</v>
      </c>
      <c r="G43" s="640" t="s">
        <v>3865</v>
      </c>
      <c r="H43" s="641"/>
      <c r="I43" s="642"/>
      <c r="J43" s="643"/>
      <c r="K43" s="644">
        <v>20800</v>
      </c>
      <c r="L43" s="644">
        <v>7580</v>
      </c>
      <c r="M43" s="644"/>
      <c r="N43" s="644"/>
      <c r="O43" s="644"/>
      <c r="P43" s="644"/>
      <c r="Q43" s="644"/>
      <c r="R43" s="625">
        <f t="shared" si="0"/>
        <v>28380</v>
      </c>
      <c r="S43" s="625">
        <v>52170</v>
      </c>
      <c r="T43" s="644">
        <v>50438.6666666667</v>
      </c>
      <c r="U43" s="644">
        <f t="shared" si="1"/>
        <v>1731.3333333333</v>
      </c>
      <c r="V43" s="645"/>
    </row>
    <row r="44" ht="18" customHeight="1" spans="1:22">
      <c r="A44" s="629"/>
      <c r="B44" s="615" t="s">
        <v>3866</v>
      </c>
      <c r="C44" s="616" t="s">
        <v>3632</v>
      </c>
      <c r="D44" s="616" t="s">
        <v>3632</v>
      </c>
      <c r="E44" s="639" t="s">
        <v>3834</v>
      </c>
      <c r="F44" s="640" t="s">
        <v>3867</v>
      </c>
      <c r="G44" s="640" t="s">
        <v>3827</v>
      </c>
      <c r="H44" s="641"/>
      <c r="I44" s="642"/>
      <c r="J44" s="643"/>
      <c r="K44" s="644">
        <v>20800</v>
      </c>
      <c r="L44" s="644">
        <v>7580</v>
      </c>
      <c r="M44" s="644"/>
      <c r="N44" s="644"/>
      <c r="O44" s="644"/>
      <c r="P44" s="644"/>
      <c r="Q44" s="644"/>
      <c r="R44" s="625">
        <f t="shared" si="0"/>
        <v>28380</v>
      </c>
      <c r="S44" s="625">
        <v>52170</v>
      </c>
      <c r="T44" s="644">
        <v>50438.6666666667</v>
      </c>
      <c r="U44" s="644">
        <f t="shared" si="1"/>
        <v>1731.3333333333</v>
      </c>
      <c r="V44" s="645"/>
    </row>
    <row r="45" ht="18" customHeight="1" spans="1:22">
      <c r="A45" s="629"/>
      <c r="B45" s="615" t="s">
        <v>3868</v>
      </c>
      <c r="C45" s="616" t="s">
        <v>3634</v>
      </c>
      <c r="D45" s="616" t="s">
        <v>3634</v>
      </c>
      <c r="E45" s="639" t="s">
        <v>3869</v>
      </c>
      <c r="F45" s="640" t="s">
        <v>3853</v>
      </c>
      <c r="G45" s="640" t="s">
        <v>3786</v>
      </c>
      <c r="H45" s="641"/>
      <c r="I45" s="642"/>
      <c r="J45" s="643"/>
      <c r="K45" s="644">
        <v>20800</v>
      </c>
      <c r="L45" s="644">
        <v>7580</v>
      </c>
      <c r="M45" s="644"/>
      <c r="N45" s="644"/>
      <c r="O45" s="644"/>
      <c r="P45" s="644"/>
      <c r="Q45" s="644"/>
      <c r="R45" s="625">
        <f t="shared" si="0"/>
        <v>28380</v>
      </c>
      <c r="S45" s="625">
        <v>52170</v>
      </c>
      <c r="T45" s="644">
        <v>50438.6666666667</v>
      </c>
      <c r="U45" s="644">
        <f t="shared" si="1"/>
        <v>1731.3333333333</v>
      </c>
      <c r="V45" s="645"/>
    </row>
    <row r="46" ht="18" customHeight="1" spans="1:22">
      <c r="A46" s="629"/>
      <c r="B46" s="615" t="s">
        <v>3870</v>
      </c>
      <c r="C46" s="616" t="s">
        <v>3634</v>
      </c>
      <c r="D46" s="616" t="s">
        <v>3634</v>
      </c>
      <c r="E46" s="639" t="s">
        <v>3869</v>
      </c>
      <c r="F46" s="640" t="s">
        <v>3817</v>
      </c>
      <c r="G46" s="640" t="s">
        <v>3871</v>
      </c>
      <c r="H46" s="641"/>
      <c r="I46" s="642"/>
      <c r="J46" s="643"/>
      <c r="K46" s="644">
        <v>20800</v>
      </c>
      <c r="L46" s="644">
        <v>7580</v>
      </c>
      <c r="M46" s="644"/>
      <c r="N46" s="644"/>
      <c r="O46" s="644"/>
      <c r="P46" s="644"/>
      <c r="Q46" s="644"/>
      <c r="R46" s="625">
        <f t="shared" si="0"/>
        <v>28380</v>
      </c>
      <c r="S46" s="625">
        <v>52170</v>
      </c>
      <c r="T46" s="644">
        <v>50438.6666666667</v>
      </c>
      <c r="U46" s="644">
        <f t="shared" si="1"/>
        <v>1731.3333333333</v>
      </c>
      <c r="V46" s="645"/>
    </row>
    <row r="47" ht="18" customHeight="1" spans="1:22">
      <c r="A47" s="629"/>
      <c r="B47" s="615" t="s">
        <v>3872</v>
      </c>
      <c r="C47" s="616" t="s">
        <v>3636</v>
      </c>
      <c r="D47" s="616" t="s">
        <v>3636</v>
      </c>
      <c r="E47" s="639" t="s">
        <v>3783</v>
      </c>
      <c r="F47" s="640" t="s">
        <v>3873</v>
      </c>
      <c r="G47" s="640" t="s">
        <v>3827</v>
      </c>
      <c r="H47" s="641"/>
      <c r="I47" s="642"/>
      <c r="J47" s="643"/>
      <c r="K47" s="644">
        <v>20800</v>
      </c>
      <c r="L47" s="644">
        <v>7580</v>
      </c>
      <c r="M47" s="644"/>
      <c r="N47" s="644"/>
      <c r="O47" s="644"/>
      <c r="P47" s="644"/>
      <c r="Q47" s="644"/>
      <c r="R47" s="625">
        <f t="shared" si="0"/>
        <v>28380</v>
      </c>
      <c r="S47" s="625">
        <v>47670</v>
      </c>
      <c r="T47" s="644">
        <v>50438.6666666667</v>
      </c>
      <c r="U47" s="644">
        <f t="shared" si="1"/>
        <v>-2768.6666666667</v>
      </c>
      <c r="V47" s="645"/>
    </row>
    <row r="48" ht="18" customHeight="1" spans="1:22">
      <c r="A48" s="629"/>
      <c r="B48" s="615" t="s">
        <v>3874</v>
      </c>
      <c r="C48" s="616" t="s">
        <v>3636</v>
      </c>
      <c r="D48" s="616" t="s">
        <v>3636</v>
      </c>
      <c r="E48" s="639" t="s">
        <v>3783</v>
      </c>
      <c r="F48" s="640" t="s">
        <v>3865</v>
      </c>
      <c r="G48" s="640" t="s">
        <v>3844</v>
      </c>
      <c r="H48" s="641"/>
      <c r="I48" s="642"/>
      <c r="J48" s="643"/>
      <c r="K48" s="644">
        <v>20800</v>
      </c>
      <c r="L48" s="644">
        <v>7580</v>
      </c>
      <c r="M48" s="644"/>
      <c r="N48" s="644"/>
      <c r="O48" s="644"/>
      <c r="P48" s="644"/>
      <c r="Q48" s="644"/>
      <c r="R48" s="625">
        <f t="shared" si="0"/>
        <v>28380</v>
      </c>
      <c r="S48" s="625">
        <v>47670</v>
      </c>
      <c r="T48" s="644">
        <v>50438.6666666667</v>
      </c>
      <c r="U48" s="644">
        <f t="shared" si="1"/>
        <v>-2768.6666666667</v>
      </c>
      <c r="V48" s="645"/>
    </row>
    <row r="49" ht="18" customHeight="1" spans="1:22">
      <c r="A49" s="629"/>
      <c r="B49" s="615" t="s">
        <v>3875</v>
      </c>
      <c r="C49" s="616" t="s">
        <v>3876</v>
      </c>
      <c r="D49" s="616" t="s">
        <v>3876</v>
      </c>
      <c r="E49" s="639" t="s">
        <v>3877</v>
      </c>
      <c r="F49" s="640" t="s">
        <v>3796</v>
      </c>
      <c r="G49" s="640" t="s">
        <v>3776</v>
      </c>
      <c r="H49" s="641"/>
      <c r="I49" s="642"/>
      <c r="J49" s="643"/>
      <c r="K49" s="644">
        <v>6700</v>
      </c>
      <c r="L49" s="644">
        <v>2330</v>
      </c>
      <c r="M49" s="644"/>
      <c r="N49" s="644"/>
      <c r="O49" s="644"/>
      <c r="P49" s="644"/>
      <c r="Q49" s="644"/>
      <c r="R49" s="625">
        <f t="shared" si="0"/>
        <v>9030</v>
      </c>
      <c r="S49" s="625">
        <v>17690</v>
      </c>
      <c r="T49" s="644">
        <v>16048.6666666667</v>
      </c>
      <c r="U49" s="644">
        <f t="shared" si="1"/>
        <v>1641.3333333333</v>
      </c>
      <c r="V49" s="645"/>
    </row>
    <row r="50" ht="18" customHeight="1" spans="1:22">
      <c r="A50" s="629"/>
      <c r="B50" s="615" t="s">
        <v>3875</v>
      </c>
      <c r="C50" s="616" t="s">
        <v>3878</v>
      </c>
      <c r="D50" s="616" t="s">
        <v>3878</v>
      </c>
      <c r="E50" s="639" t="s">
        <v>3871</v>
      </c>
      <c r="F50" s="640" t="s">
        <v>3838</v>
      </c>
      <c r="G50" s="640" t="s">
        <v>3824</v>
      </c>
      <c r="H50" s="641"/>
      <c r="I50" s="642"/>
      <c r="J50" s="643"/>
      <c r="K50" s="644">
        <v>6700</v>
      </c>
      <c r="L50" s="644">
        <v>2330</v>
      </c>
      <c r="M50" s="644"/>
      <c r="N50" s="644"/>
      <c r="O50" s="644"/>
      <c r="P50" s="644"/>
      <c r="Q50" s="644"/>
      <c r="R50" s="625">
        <f t="shared" si="0"/>
        <v>9030</v>
      </c>
      <c r="S50" s="625">
        <v>17690</v>
      </c>
      <c r="T50" s="644">
        <v>16048.6666666667</v>
      </c>
      <c r="U50" s="644">
        <f t="shared" si="1"/>
        <v>1641.3333333333</v>
      </c>
      <c r="V50" s="645"/>
    </row>
    <row r="51" ht="25.5" spans="1:22">
      <c r="A51" s="648">
        <v>77425</v>
      </c>
      <c r="B51" s="649" t="s">
        <v>3879</v>
      </c>
      <c r="C51" s="650"/>
      <c r="D51" s="651" t="s">
        <v>3880</v>
      </c>
      <c r="E51" s="652"/>
      <c r="F51" s="653"/>
      <c r="G51" s="653"/>
      <c r="H51" s="654"/>
      <c r="I51" s="655"/>
      <c r="J51" s="656"/>
      <c r="K51" s="657"/>
      <c r="L51" s="657"/>
      <c r="M51" s="657">
        <v>30000</v>
      </c>
      <c r="N51" s="657">
        <v>20000</v>
      </c>
      <c r="O51" s="657">
        <v>40000</v>
      </c>
      <c r="P51" s="657">
        <f>P6</f>
        <v>32674</v>
      </c>
      <c r="Q51" s="657"/>
      <c r="R51" s="658"/>
      <c r="S51" s="625"/>
      <c r="T51" s="657">
        <v>118248</v>
      </c>
      <c r="U51" s="657">
        <f>M51+N51+O51+P51-T51</f>
        <v>4426</v>
      </c>
      <c r="V51" s="645"/>
    </row>
    <row r="52" ht="18" customHeight="1" spans="1:22">
      <c r="A52" s="659"/>
      <c r="B52" s="615" t="s">
        <v>3875</v>
      </c>
      <c r="C52" s="616" t="s">
        <v>3881</v>
      </c>
      <c r="D52" s="616" t="s">
        <v>3881</v>
      </c>
      <c r="E52" s="639" t="s">
        <v>3802</v>
      </c>
      <c r="F52" s="640" t="s">
        <v>3856</v>
      </c>
      <c r="G52" s="640" t="s">
        <v>3805</v>
      </c>
      <c r="H52" s="641"/>
      <c r="I52" s="642"/>
      <c r="J52" s="643"/>
      <c r="K52" s="644">
        <v>6700</v>
      </c>
      <c r="L52" s="644">
        <v>2330</v>
      </c>
      <c r="M52" s="644"/>
      <c r="N52" s="644"/>
      <c r="O52" s="644"/>
      <c r="P52" s="644"/>
      <c r="Q52" s="644"/>
      <c r="R52" s="625">
        <f t="shared" ref="R52:R57" si="2">SUM(K52:Q52)</f>
        <v>9030</v>
      </c>
      <c r="S52" s="625">
        <v>19190</v>
      </c>
      <c r="T52" s="644">
        <v>16048.6666666667</v>
      </c>
      <c r="U52" s="644">
        <f t="shared" ref="U52:U57" si="3">S52-T52</f>
        <v>3141.3333333333</v>
      </c>
      <c r="V52" s="645"/>
    </row>
    <row r="53" ht="18" customHeight="1" spans="1:22">
      <c r="A53" s="659"/>
      <c r="B53" s="615" t="s">
        <v>3875</v>
      </c>
      <c r="C53" s="616" t="s">
        <v>3800</v>
      </c>
      <c r="D53" s="616" t="s">
        <v>3800</v>
      </c>
      <c r="E53" s="639" t="s">
        <v>3882</v>
      </c>
      <c r="F53" s="640" t="s">
        <v>3784</v>
      </c>
      <c r="G53" s="640" t="s">
        <v>3813</v>
      </c>
      <c r="H53" s="641"/>
      <c r="I53" s="642"/>
      <c r="J53" s="643"/>
      <c r="K53" s="644">
        <v>19900</v>
      </c>
      <c r="L53" s="644">
        <v>7190</v>
      </c>
      <c r="M53" s="644"/>
      <c r="N53" s="644"/>
      <c r="O53" s="644"/>
      <c r="P53" s="644"/>
      <c r="Q53" s="644"/>
      <c r="R53" s="625">
        <f t="shared" si="2"/>
        <v>27090</v>
      </c>
      <c r="S53" s="625">
        <v>45120</v>
      </c>
      <c r="T53" s="644">
        <v>48145.9999999999</v>
      </c>
      <c r="U53" s="644">
        <f t="shared" si="3"/>
        <v>-3025.9999999999</v>
      </c>
      <c r="V53" s="645"/>
    </row>
    <row r="54" ht="18" customHeight="1" spans="1:22">
      <c r="A54" s="659"/>
      <c r="B54" s="615" t="s">
        <v>3875</v>
      </c>
      <c r="C54" s="616" t="s">
        <v>3804</v>
      </c>
      <c r="D54" s="616" t="s">
        <v>3804</v>
      </c>
      <c r="E54" s="639" t="s">
        <v>3883</v>
      </c>
      <c r="F54" s="640" t="s">
        <v>3799</v>
      </c>
      <c r="G54" s="640" t="s">
        <v>3862</v>
      </c>
      <c r="H54" s="641"/>
      <c r="I54" s="642"/>
      <c r="J54" s="643"/>
      <c r="K54" s="644">
        <v>19900</v>
      </c>
      <c r="L54" s="644">
        <v>7190</v>
      </c>
      <c r="M54" s="644"/>
      <c r="N54" s="644"/>
      <c r="O54" s="644"/>
      <c r="P54" s="644"/>
      <c r="Q54" s="644"/>
      <c r="R54" s="625">
        <f t="shared" si="2"/>
        <v>27090</v>
      </c>
      <c r="S54" s="625">
        <v>45120</v>
      </c>
      <c r="T54" s="644">
        <v>48145.9999999999</v>
      </c>
      <c r="U54" s="644">
        <f t="shared" si="3"/>
        <v>-3025.9999999999</v>
      </c>
      <c r="V54" s="645"/>
    </row>
    <row r="55" ht="18" customHeight="1" spans="1:22">
      <c r="A55" s="660"/>
      <c r="B55" s="615" t="s">
        <v>3875</v>
      </c>
      <c r="C55" s="616" t="s">
        <v>3815</v>
      </c>
      <c r="D55" s="616" t="s">
        <v>3815</v>
      </c>
      <c r="E55" s="639" t="s">
        <v>3884</v>
      </c>
      <c r="F55" s="640" t="s">
        <v>3812</v>
      </c>
      <c r="G55" s="640" t="s">
        <v>3808</v>
      </c>
      <c r="H55" s="641"/>
      <c r="I55" s="642"/>
      <c r="J55" s="643"/>
      <c r="K55" s="644">
        <v>19900</v>
      </c>
      <c r="L55" s="644">
        <v>7190</v>
      </c>
      <c r="M55" s="644"/>
      <c r="N55" s="644"/>
      <c r="O55" s="644"/>
      <c r="P55" s="644"/>
      <c r="Q55" s="644"/>
      <c r="R55" s="625">
        <f t="shared" si="2"/>
        <v>27090</v>
      </c>
      <c r="S55" s="625">
        <v>45120</v>
      </c>
      <c r="T55" s="644">
        <v>48145.9999999999</v>
      </c>
      <c r="U55" s="644">
        <f t="shared" si="3"/>
        <v>-3025.9999999999</v>
      </c>
      <c r="V55" s="645"/>
    </row>
    <row r="56" ht="18" customHeight="1" spans="1:22">
      <c r="A56" s="661" t="s">
        <v>3885</v>
      </c>
      <c r="B56" s="615" t="s">
        <v>3886</v>
      </c>
      <c r="C56" s="616" t="s">
        <v>3819</v>
      </c>
      <c r="D56" s="616" t="s">
        <v>3819</v>
      </c>
      <c r="E56" s="639">
        <v>0</v>
      </c>
      <c r="F56" s="640">
        <v>0</v>
      </c>
      <c r="G56" s="640">
        <v>0</v>
      </c>
      <c r="H56" s="641"/>
      <c r="I56" s="642"/>
      <c r="J56" s="643"/>
      <c r="K56" s="644">
        <v>5000</v>
      </c>
      <c r="L56" s="644">
        <v>11000</v>
      </c>
      <c r="M56" s="644"/>
      <c r="N56" s="644"/>
      <c r="O56" s="644"/>
      <c r="P56" s="644"/>
      <c r="Q56" s="644"/>
      <c r="R56" s="625">
        <f t="shared" si="2"/>
        <v>16000</v>
      </c>
      <c r="S56" s="625">
        <v>89663</v>
      </c>
      <c r="T56" s="644">
        <v>99726.6666666667</v>
      </c>
      <c r="U56" s="644">
        <f t="shared" si="3"/>
        <v>-10063.6666666667</v>
      </c>
      <c r="V56" s="662"/>
    </row>
    <row r="57" ht="18" customHeight="1" spans="1:22">
      <c r="A57" s="663" t="s">
        <v>3683</v>
      </c>
      <c r="B57" s="642" t="s">
        <v>3886</v>
      </c>
      <c r="C57" s="642" t="s">
        <v>3819</v>
      </c>
      <c r="D57" s="642" t="s">
        <v>3819</v>
      </c>
      <c r="E57" s="639" t="s">
        <v>3782</v>
      </c>
      <c r="F57" s="640" t="s">
        <v>3776</v>
      </c>
      <c r="G57" s="640" t="s">
        <v>3777</v>
      </c>
      <c r="H57" s="641" t="s">
        <v>3843</v>
      </c>
      <c r="I57" s="642"/>
      <c r="J57" s="643"/>
      <c r="K57" s="644">
        <v>5000</v>
      </c>
      <c r="L57" s="644">
        <v>1000</v>
      </c>
      <c r="M57" s="644"/>
      <c r="N57" s="644"/>
      <c r="O57" s="644"/>
      <c r="P57" s="644"/>
      <c r="Q57" s="644"/>
      <c r="R57" s="625">
        <f t="shared" si="2"/>
        <v>6000</v>
      </c>
      <c r="S57" s="625">
        <v>6000</v>
      </c>
      <c r="T57" s="644">
        <v>6765</v>
      </c>
      <c r="U57" s="644">
        <f t="shared" si="3"/>
        <v>-765</v>
      </c>
      <c r="V57" s="662"/>
    </row>
    <row r="58" ht="17.25" spans="1:22">
      <c r="A58" s="643"/>
      <c r="B58" s="643"/>
      <c r="C58" s="643"/>
      <c r="D58" s="643"/>
      <c r="E58" s="643"/>
      <c r="F58" s="643"/>
      <c r="G58" s="643"/>
      <c r="H58" s="643"/>
      <c r="I58" s="643"/>
      <c r="J58" s="643"/>
      <c r="K58" s="664">
        <f t="shared" ref="K58:O58" si="4">SUM(K7:K55)</f>
        <v>953400</v>
      </c>
      <c r="L58" s="664">
        <f t="shared" si="4"/>
        <v>346920</v>
      </c>
      <c r="M58" s="664">
        <f t="shared" si="4"/>
        <v>30000</v>
      </c>
      <c r="N58" s="664">
        <f t="shared" si="4"/>
        <v>20000</v>
      </c>
      <c r="O58" s="664">
        <f t="shared" si="4"/>
        <v>40000</v>
      </c>
      <c r="P58" s="664"/>
      <c r="Q58" s="664">
        <f>SUM(Q7:Q55)</f>
        <v>0</v>
      </c>
      <c r="R58" s="664">
        <f>SUM(R7:R55)</f>
        <v>1300320</v>
      </c>
      <c r="S58" s="664">
        <f>SUM(S7:S55)</f>
        <v>2265420</v>
      </c>
      <c r="T58" s="664">
        <f>SUM(T7:T55)</f>
        <v>2429256</v>
      </c>
      <c r="U58" s="664">
        <f>SUM(U7:U55)</f>
        <v>-41162.0000000012</v>
      </c>
    </row>
    <row r="59" ht="60" customHeight="1" spans="1:22">
      <c r="A59" s="665" t="s">
        <v>3887</v>
      </c>
      <c r="B59" s="666"/>
      <c r="C59" s="666"/>
      <c r="D59" s="667"/>
      <c r="E59" s="667"/>
      <c r="F59" s="667"/>
      <c r="G59" s="667"/>
      <c r="H59" s="667"/>
      <c r="I59" s="667"/>
      <c r="J59" s="666"/>
      <c r="K59" s="666"/>
      <c r="L59" s="666"/>
      <c r="M59" s="666"/>
      <c r="N59" s="666"/>
      <c r="O59" s="666"/>
      <c r="P59" s="666"/>
      <c r="Q59" s="666"/>
      <c r="R59" s="666"/>
      <c r="S59" s="666"/>
      <c r="T59" s="666"/>
      <c r="U59" s="668"/>
    </row>
  </sheetData>
  <sheetProtection formatCells="0" formatColumns="0" formatRows="0" insertRows="0" insertColumns="0" insertHyperlinks="0" deleteColumns="0" deleteRows="0" sort="0" autoFilter="0" pivotTables="0"/>
  <mergeCells count="61">
    <mergeCell ref="A1:I1"/>
    <mergeCell ref="A2:I2"/>
    <mergeCell ref="A3:I3"/>
    <mergeCell ref="B4:C4"/>
    <mergeCell ref="E4:F4"/>
    <mergeCell ref="B5:C5"/>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A59:U59"/>
    <mergeCell ref="A6:A50"/>
    <mergeCell ref="A52:A55"/>
    <mergeCell ref="R1:U2"/>
  </mergeCells>
  <conditionalFormatting sqref="U3">
    <cfRule type="cellIs" dxfId="0" priority="2" operator="lessThan">
      <formula>0</formula>
    </cfRule>
  </conditionalFormatting>
  <conditionalFormatting sqref="U5:U6">
    <cfRule type="cellIs" dxfId="0" priority="1" operator="lessThan">
      <formula>0</formula>
    </cfRule>
  </conditionalFormatting>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1"/>
  <sheetViews>
    <sheetView workbookViewId="0">
      <pane xSplit="2" ySplit="4" topLeftCell="E210" activePane="bottomRight" state="frozen"/>
      <selection/>
      <selection pane="topRight"/>
      <selection pane="bottomLeft"/>
      <selection pane="bottomRight" activeCell="H213" sqref="H213"/>
    </sheetView>
  </sheetViews>
  <sheetFormatPr defaultColWidth="9" defaultRowHeight="30" customHeight="1"/>
  <cols>
    <col min="1" max="1" width="19.175" style="404" customWidth="1"/>
    <col min="2" max="2" width="15.45" style="404" customWidth="1"/>
    <col min="3" max="3" width="11.8916666666667" style="404" customWidth="1"/>
    <col min="4" max="4" width="19.65" style="404" customWidth="1"/>
    <col min="5" max="5" width="14.2666666666667" style="404" customWidth="1"/>
    <col min="6" max="6" width="10.8916666666667" style="406" customWidth="1"/>
    <col min="7" max="7" width="11.45" style="406" customWidth="1"/>
    <col min="8" max="8" width="11.0916666666667" style="406" customWidth="1"/>
    <col min="9" max="9" width="10.0916666666667" style="406" customWidth="1"/>
    <col min="10" max="10" width="11" style="406" customWidth="1"/>
    <col min="11" max="11" width="13.35" style="406" customWidth="1"/>
    <col min="12" max="12" width="20" style="406" customWidth="1"/>
    <col min="13" max="13" width="17.45" style="407" customWidth="1"/>
    <col min="14" max="14" width="12.8166666666667" style="407" customWidth="1"/>
    <col min="15" max="17" width="12" style="407" customWidth="1" outlineLevel="1"/>
    <col min="18" max="18" width="6.13333333333333" style="407" customWidth="1" outlineLevel="1"/>
    <col min="19" max="21" width="14" style="407" customWidth="1" outlineLevel="1"/>
    <col min="22" max="22" width="13.35" style="408" customWidth="1"/>
    <col min="23" max="23" width="11.8916666666667" style="406" customWidth="1"/>
    <col min="24" max="24" width="11.175" style="406" customWidth="1"/>
    <col min="25" max="25" width="13.0916666666667" style="406" customWidth="1"/>
    <col min="26" max="26" width="13.45" style="406" customWidth="1"/>
    <col min="27" max="27" width="11.65" style="406" customWidth="1"/>
    <col min="28" max="28" width="11.175" style="406" customWidth="1"/>
    <col min="29" max="30" width="11.8916666666667" style="409" customWidth="1"/>
    <col min="31" max="32" width="10.45" style="406" customWidth="1"/>
    <col min="33" max="33" width="13.8916666666667" style="409" customWidth="1"/>
    <col min="34" max="34" width="12.65" style="404" hidden="1" customWidth="1"/>
    <col min="35" max="35" width="9.81666666666667" style="404" hidden="1" customWidth="1"/>
    <col min="36" max="16384" width="9" style="404"/>
  </cols>
  <sheetData>
    <row r="1" s="404" customFormat="1" ht="17.75" customHeight="1" spans="1:35">
      <c r="F1" s="406"/>
      <c r="G1" s="406"/>
      <c r="H1" s="406"/>
      <c r="I1" s="406"/>
      <c r="J1" s="406"/>
      <c r="K1" s="406"/>
      <c r="L1" s="406"/>
      <c r="M1" s="410" t="s">
        <v>3478</v>
      </c>
      <c r="N1" s="411">
        <v>45770</v>
      </c>
      <c r="O1" s="412">
        <v>45870</v>
      </c>
      <c r="P1" s="412">
        <v>45923</v>
      </c>
      <c r="Q1" s="412">
        <v>46185</v>
      </c>
      <c r="R1" s="411"/>
      <c r="S1" s="411"/>
      <c r="T1" s="411"/>
      <c r="U1" s="411"/>
      <c r="V1" s="408"/>
      <c r="W1" s="406"/>
      <c r="X1" s="406"/>
      <c r="Y1" s="406"/>
      <c r="Z1" s="406"/>
      <c r="AA1" s="406"/>
      <c r="AB1" s="406"/>
      <c r="AC1" s="409"/>
      <c r="AD1" s="409"/>
      <c r="AE1" s="406"/>
      <c r="AF1" s="406"/>
      <c r="AG1" s="409"/>
    </row>
    <row r="2" s="404" customFormat="1" ht="17.75" customHeight="1" spans="1:35">
      <c r="F2" s="406"/>
      <c r="G2" s="406"/>
      <c r="H2" s="406"/>
      <c r="I2" s="406"/>
      <c r="J2" s="406"/>
      <c r="K2" s="406"/>
      <c r="L2" s="406"/>
      <c r="M2" s="413" t="s">
        <v>3481</v>
      </c>
      <c r="N2" s="414">
        <f>N1+35</f>
        <v>45805</v>
      </c>
      <c r="O2" s="415">
        <v>45935</v>
      </c>
      <c r="P2" s="415">
        <v>45991</v>
      </c>
      <c r="Q2" s="415">
        <v>46227</v>
      </c>
      <c r="R2" s="414"/>
      <c r="S2" s="414"/>
      <c r="T2" s="414"/>
      <c r="U2" s="414"/>
      <c r="V2" s="408"/>
      <c r="W2" s="406"/>
      <c r="X2" s="406"/>
      <c r="Y2" s="406"/>
      <c r="Z2" s="406"/>
      <c r="AA2" s="406"/>
      <c r="AB2" s="406"/>
      <c r="AC2" s="409"/>
      <c r="AD2" s="409"/>
      <c r="AE2" s="406"/>
      <c r="AF2" s="406"/>
      <c r="AG2" s="409"/>
    </row>
    <row r="3" s="404" customFormat="1" ht="27.75" spans="1:35">
      <c r="A3" s="416"/>
      <c r="B3" s="417"/>
      <c r="C3" s="410"/>
      <c r="D3" s="418"/>
      <c r="E3" s="413"/>
      <c r="F3" s="419"/>
      <c r="G3" s="419"/>
      <c r="H3" s="419"/>
      <c r="I3" s="420"/>
      <c r="J3" s="421" t="s">
        <v>3888</v>
      </c>
      <c r="K3" s="422">
        <v>834387</v>
      </c>
      <c r="L3" s="423" t="s">
        <v>3889</v>
      </c>
      <c r="M3" s="424" t="s">
        <v>3483</v>
      </c>
      <c r="N3" s="424" t="s">
        <v>3890</v>
      </c>
      <c r="O3" s="424" t="s">
        <v>3891</v>
      </c>
      <c r="P3" s="424" t="s">
        <v>3892</v>
      </c>
      <c r="Q3" s="424" t="s">
        <v>3893</v>
      </c>
      <c r="R3" s="424"/>
      <c r="S3" s="425" t="s">
        <v>3337</v>
      </c>
      <c r="T3" s="425" t="s">
        <v>3894</v>
      </c>
      <c r="U3" s="425" t="s">
        <v>3895</v>
      </c>
      <c r="V3" s="408"/>
      <c r="W3" s="406"/>
      <c r="X3" s="406"/>
      <c r="Y3" s="406"/>
      <c r="Z3" s="406"/>
      <c r="AA3" s="406"/>
      <c r="AB3" s="406"/>
      <c r="AC3" s="426" t="s">
        <v>3896</v>
      </c>
      <c r="AD3" s="409">
        <f>16000+12000</f>
        <v>28000</v>
      </c>
      <c r="AE3" s="406"/>
      <c r="AF3" s="406"/>
      <c r="AG3" s="409"/>
    </row>
    <row r="4" s="405" customFormat="1" ht="47.15" customHeight="1" spans="1:35">
      <c r="A4" s="427" t="s">
        <v>3699</v>
      </c>
      <c r="B4" s="427" t="s">
        <v>6</v>
      </c>
      <c r="C4" s="428" t="s">
        <v>3897</v>
      </c>
      <c r="D4" s="428" t="s">
        <v>3898</v>
      </c>
      <c r="E4" s="428" t="s">
        <v>3499</v>
      </c>
      <c r="F4" s="429" t="s">
        <v>3500</v>
      </c>
      <c r="G4" s="429" t="s">
        <v>3501</v>
      </c>
      <c r="H4" s="429" t="s">
        <v>3502</v>
      </c>
      <c r="I4" s="430" t="s">
        <v>3503</v>
      </c>
      <c r="J4" s="428" t="s">
        <v>3504</v>
      </c>
      <c r="K4" s="428" t="s">
        <v>3899</v>
      </c>
      <c r="L4" s="428" t="s">
        <v>3507</v>
      </c>
      <c r="M4" s="431" t="s">
        <v>3508</v>
      </c>
      <c r="N4" s="431">
        <v>420000</v>
      </c>
      <c r="O4" s="431">
        <v>440000</v>
      </c>
      <c r="P4" s="431">
        <v>440000</v>
      </c>
      <c r="Q4" s="431"/>
      <c r="R4" s="431"/>
      <c r="S4" s="431">
        <f>SUM(N4:R4)</f>
        <v>1300000</v>
      </c>
      <c r="T4" s="431">
        <f>S4-'77770半成品MA'!L6</f>
        <v>-300000</v>
      </c>
      <c r="U4" s="431">
        <f>S4-'77770半成品MA'!M6</f>
        <v>80050</v>
      </c>
      <c r="V4" s="432" t="s">
        <v>3510</v>
      </c>
      <c r="W4" s="433" t="s">
        <v>3900</v>
      </c>
      <c r="X4" s="431" t="s">
        <v>3515</v>
      </c>
      <c r="Y4" s="434" t="s">
        <v>3516</v>
      </c>
      <c r="Z4" s="431" t="s">
        <v>3901</v>
      </c>
      <c r="AA4" s="434" t="s">
        <v>3902</v>
      </c>
      <c r="AB4" s="435" t="s">
        <v>3903</v>
      </c>
      <c r="AC4" s="436">
        <f>420000+440000</f>
        <v>860000</v>
      </c>
      <c r="AD4" s="436" t="s">
        <v>3904</v>
      </c>
      <c r="AE4" s="437" t="s">
        <v>3905</v>
      </c>
      <c r="AF4" s="437" t="s">
        <v>3906</v>
      </c>
      <c r="AG4" s="438" t="s">
        <v>3525</v>
      </c>
    </row>
    <row r="5" s="404" customFormat="1" customHeight="1" spans="1:35">
      <c r="A5" s="439"/>
      <c r="B5" s="440" t="s">
        <v>3907</v>
      </c>
      <c r="C5" s="441">
        <v>0.0452479338842975</v>
      </c>
      <c r="D5" s="442" t="s">
        <v>3908</v>
      </c>
      <c r="E5" s="443" t="s">
        <v>3909</v>
      </c>
      <c r="F5" s="444">
        <v>2000</v>
      </c>
      <c r="G5" s="445">
        <v>0.00477430555555556</v>
      </c>
      <c r="H5" s="446">
        <f t="shared" ref="H5:H9" si="0">F5/G5</f>
        <v>418909.09090909</v>
      </c>
      <c r="I5" s="447">
        <f t="shared" ref="I5:I9" si="1">32.3</f>
        <v>32.3</v>
      </c>
      <c r="J5" s="448" t="s">
        <v>3910</v>
      </c>
      <c r="K5" s="449">
        <f t="shared" ref="K5:K9" si="2">F5/C5/G5</f>
        <v>9258082.19178082</v>
      </c>
      <c r="L5" s="450"/>
      <c r="M5" s="451">
        <f>C5*$K$3*G5</f>
        <v>180.250506036932</v>
      </c>
      <c r="N5" s="452">
        <v>91</v>
      </c>
      <c r="O5" s="452">
        <v>95</v>
      </c>
      <c r="P5" s="452">
        <v>100</v>
      </c>
      <c r="Q5" s="452">
        <v>125</v>
      </c>
      <c r="R5" s="452"/>
      <c r="S5" s="453"/>
      <c r="T5" s="453"/>
      <c r="U5" s="453"/>
      <c r="V5" s="454">
        <f t="shared" ref="V5:V68" si="3">SUM(N5:T5)*I5</f>
        <v>13275.3</v>
      </c>
      <c r="W5" s="455">
        <f>AA5/SUM(AA5:AA7)</f>
        <v>0.573696145124793</v>
      </c>
      <c r="X5" s="456">
        <f>SUM(N5:T5)</f>
        <v>411</v>
      </c>
      <c r="Y5" s="457">
        <f t="shared" ref="Y5:Y9" si="4">X5/G5</f>
        <v>86085.8181818181</v>
      </c>
      <c r="Z5" s="449">
        <f t="shared" ref="Z5:Z28" si="5">ROUNDUP($AC$4*C5,0)+AD5+AE5+AF5</f>
        <v>38914</v>
      </c>
      <c r="AA5" s="458">
        <f t="shared" ref="AA5:AA28" si="6">Z5*G5</f>
        <v>185.787326388889</v>
      </c>
      <c r="AB5" s="459">
        <f t="shared" ref="AB5:AB68" si="7">X5-AA5</f>
        <v>225.212673611111</v>
      </c>
      <c r="AC5" s="460">
        <f>$AC$4*C5</f>
        <v>38913.2231404959</v>
      </c>
      <c r="AD5" s="460"/>
      <c r="AE5" s="461"/>
      <c r="AF5" s="461"/>
      <c r="AG5" s="460">
        <f t="shared" ref="AG5:AG9" si="8">AB5/G5/C5</f>
        <v>1042518.72146119</v>
      </c>
      <c r="AH5" s="462"/>
      <c r="AI5" s="463">
        <f t="shared" ref="AI5:AI9" si="9">V5*1.5</f>
        <v>19912.95</v>
      </c>
    </row>
    <row r="6" s="404" customFormat="1" customHeight="1" spans="1:35">
      <c r="A6" s="464"/>
      <c r="B6" s="465"/>
      <c r="C6" s="466">
        <v>0.0452479338842975</v>
      </c>
      <c r="D6" s="467" t="s">
        <v>3908</v>
      </c>
      <c r="E6" s="468" t="s">
        <v>3911</v>
      </c>
      <c r="F6" s="469">
        <v>2000</v>
      </c>
      <c r="G6" s="470">
        <v>0.00181159420289855</v>
      </c>
      <c r="H6" s="471">
        <f t="shared" si="0"/>
        <v>1104000</v>
      </c>
      <c r="I6" s="472">
        <f t="shared" si="1"/>
        <v>32.3</v>
      </c>
      <c r="J6" s="473" t="s">
        <v>3910</v>
      </c>
      <c r="K6" s="474">
        <f t="shared" si="2"/>
        <v>24398904.1095891</v>
      </c>
      <c r="L6" s="475"/>
      <c r="M6" s="476">
        <f t="shared" ref="M5:M28" si="10">C6*$K$3*G6</f>
        <v>68.3954489310097</v>
      </c>
      <c r="N6" s="453">
        <v>35</v>
      </c>
      <c r="O6" s="453">
        <v>36</v>
      </c>
      <c r="P6" s="453">
        <v>40</v>
      </c>
      <c r="Q6" s="453">
        <v>45</v>
      </c>
      <c r="R6" s="453"/>
      <c r="S6" s="453"/>
      <c r="T6" s="453"/>
      <c r="U6" s="453"/>
      <c r="V6" s="454">
        <f t="shared" si="3"/>
        <v>5038.8</v>
      </c>
      <c r="W6" s="477">
        <f>AA6/SUM(AA5:AA7)</f>
        <v>0.217687074829961</v>
      </c>
      <c r="X6" s="478">
        <f t="shared" ref="X5:X68" si="11">SUM(N6:T6)</f>
        <v>156</v>
      </c>
      <c r="Y6" s="479">
        <f t="shared" si="4"/>
        <v>86112</v>
      </c>
      <c r="Z6" s="474">
        <f t="shared" si="5"/>
        <v>38914</v>
      </c>
      <c r="AA6" s="480">
        <f t="shared" si="6"/>
        <v>70.4963768115942</v>
      </c>
      <c r="AB6" s="481">
        <f t="shared" si="7"/>
        <v>85.5036231884058</v>
      </c>
      <c r="AC6" s="482"/>
      <c r="AD6" s="482"/>
      <c r="AE6" s="483"/>
      <c r="AF6" s="483"/>
      <c r="AG6" s="482">
        <f t="shared" si="8"/>
        <v>1043097.35159817</v>
      </c>
      <c r="AH6" s="484"/>
      <c r="AI6" s="463">
        <f t="shared" si="9"/>
        <v>7558.2</v>
      </c>
    </row>
    <row r="7" s="404" customFormat="1" customHeight="1" spans="1:35">
      <c r="A7" s="464"/>
      <c r="B7" s="465"/>
      <c r="C7" s="466">
        <v>0.0452479338842975</v>
      </c>
      <c r="D7" s="485" t="s">
        <v>3908</v>
      </c>
      <c r="E7" s="468" t="s">
        <v>3912</v>
      </c>
      <c r="F7" s="486">
        <v>2000</v>
      </c>
      <c r="G7" s="470">
        <v>0.00173611111111</v>
      </c>
      <c r="H7" s="471">
        <f t="shared" si="0"/>
        <v>1152000.00000074</v>
      </c>
      <c r="I7" s="472">
        <f t="shared" si="1"/>
        <v>32.3</v>
      </c>
      <c r="J7" s="473" t="s">
        <v>3910</v>
      </c>
      <c r="K7" s="474">
        <f t="shared" si="2"/>
        <v>25459726.0274136</v>
      </c>
      <c r="L7" s="475"/>
      <c r="M7" s="476">
        <f t="shared" si="10"/>
        <v>65.5456385588423</v>
      </c>
      <c r="N7" s="453">
        <v>33</v>
      </c>
      <c r="O7" s="453">
        <v>35</v>
      </c>
      <c r="P7" s="453">
        <v>35</v>
      </c>
      <c r="Q7" s="453">
        <v>47</v>
      </c>
      <c r="R7" s="453"/>
      <c r="S7" s="453"/>
      <c r="T7" s="453"/>
      <c r="U7" s="453"/>
      <c r="V7" s="454">
        <f t="shared" si="3"/>
        <v>4845</v>
      </c>
      <c r="W7" s="477">
        <f>AA7/SUM(AA5:AA7)</f>
        <v>0.208616780045246</v>
      </c>
      <c r="X7" s="478">
        <f t="shared" si="11"/>
        <v>150</v>
      </c>
      <c r="Y7" s="479">
        <f t="shared" si="4"/>
        <v>86400.0000000553</v>
      </c>
      <c r="Z7" s="474">
        <f t="shared" si="5"/>
        <v>38914</v>
      </c>
      <c r="AA7" s="480">
        <f t="shared" si="6"/>
        <v>67.5590277777345</v>
      </c>
      <c r="AB7" s="481">
        <f t="shared" si="7"/>
        <v>82.4409722222655</v>
      </c>
      <c r="AC7" s="482"/>
      <c r="AD7" s="482"/>
      <c r="AE7" s="483"/>
      <c r="AF7" s="483"/>
      <c r="AG7" s="482">
        <f t="shared" si="8"/>
        <v>1049462.28310625</v>
      </c>
      <c r="AH7" s="484"/>
      <c r="AI7" s="463">
        <f t="shared" si="9"/>
        <v>7267.5</v>
      </c>
    </row>
    <row r="8" s="404" customFormat="1" customHeight="1" spans="1:35">
      <c r="A8" s="464"/>
      <c r="B8" s="465"/>
      <c r="C8" s="466">
        <v>0.0452479338842975</v>
      </c>
      <c r="D8" s="485" t="s">
        <v>3913</v>
      </c>
      <c r="E8" s="468" t="s">
        <v>3914</v>
      </c>
      <c r="F8" s="469">
        <v>2000</v>
      </c>
      <c r="G8" s="470">
        <v>0.00303819444444444</v>
      </c>
      <c r="H8" s="471">
        <f t="shared" si="0"/>
        <v>658285.714285715</v>
      </c>
      <c r="I8" s="472">
        <f t="shared" si="1"/>
        <v>32.3</v>
      </c>
      <c r="J8" s="473" t="s">
        <v>3910</v>
      </c>
      <c r="K8" s="474">
        <f t="shared" si="2"/>
        <v>14548414.8727985</v>
      </c>
      <c r="L8" s="475"/>
      <c r="M8" s="476">
        <f t="shared" si="10"/>
        <v>114.704867478047</v>
      </c>
      <c r="N8" s="453">
        <v>58</v>
      </c>
      <c r="O8" s="453">
        <v>61</v>
      </c>
      <c r="P8" s="453">
        <v>60</v>
      </c>
      <c r="Q8" s="453">
        <v>83</v>
      </c>
      <c r="R8" s="453"/>
      <c r="S8" s="453"/>
      <c r="T8" s="453"/>
      <c r="U8" s="453"/>
      <c r="V8" s="454">
        <f t="shared" si="3"/>
        <v>8462.6</v>
      </c>
      <c r="W8" s="477">
        <f>AA8/(AA8+AA9)</f>
        <v>0.640256959314954</v>
      </c>
      <c r="X8" s="478">
        <f t="shared" si="11"/>
        <v>262</v>
      </c>
      <c r="Y8" s="479">
        <f t="shared" si="4"/>
        <v>86235.4285714287</v>
      </c>
      <c r="Z8" s="474">
        <f t="shared" si="5"/>
        <v>38914</v>
      </c>
      <c r="AA8" s="480">
        <f t="shared" si="6"/>
        <v>118.228298611111</v>
      </c>
      <c r="AB8" s="481">
        <f t="shared" si="7"/>
        <v>143.771701388889</v>
      </c>
      <c r="AC8" s="482"/>
      <c r="AD8" s="482"/>
      <c r="AE8" s="483"/>
      <c r="AF8" s="483"/>
      <c r="AG8" s="482">
        <f t="shared" si="8"/>
        <v>1045825.17938683</v>
      </c>
      <c r="AH8" s="484"/>
      <c r="AI8" s="463">
        <f t="shared" si="9"/>
        <v>12693.9</v>
      </c>
    </row>
    <row r="9" s="404" customFormat="1" customHeight="1" spans="1:35">
      <c r="A9" s="464"/>
      <c r="B9" s="465"/>
      <c r="C9" s="466">
        <v>0.0452479338842975</v>
      </c>
      <c r="D9" s="485" t="s">
        <v>3913</v>
      </c>
      <c r="E9" s="468" t="s">
        <v>3915</v>
      </c>
      <c r="F9" s="486">
        <v>2000</v>
      </c>
      <c r="G9" s="470">
        <v>0.00170707915273</v>
      </c>
      <c r="H9" s="471">
        <f t="shared" si="0"/>
        <v>1171591.8367356</v>
      </c>
      <c r="I9" s="472">
        <f t="shared" si="1"/>
        <v>32.3</v>
      </c>
      <c r="J9" s="473" t="s">
        <v>3910</v>
      </c>
      <c r="K9" s="474">
        <f t="shared" si="2"/>
        <v>25892714.5652983</v>
      </c>
      <c r="L9" s="475"/>
      <c r="M9" s="476">
        <f t="shared" si="10"/>
        <v>64.4495576464783</v>
      </c>
      <c r="N9" s="453">
        <v>33</v>
      </c>
      <c r="O9" s="453">
        <v>34</v>
      </c>
      <c r="P9" s="453">
        <v>34</v>
      </c>
      <c r="Q9" s="453">
        <v>46</v>
      </c>
      <c r="R9" s="453"/>
      <c r="S9" s="453"/>
      <c r="T9" s="453"/>
      <c r="U9" s="453"/>
      <c r="V9" s="454">
        <f t="shared" si="3"/>
        <v>4748.1</v>
      </c>
      <c r="W9" s="477">
        <f>AA9/(AA8+AA9)</f>
        <v>0.359743040685046</v>
      </c>
      <c r="X9" s="478">
        <f t="shared" si="11"/>
        <v>147</v>
      </c>
      <c r="Y9" s="479">
        <f t="shared" si="4"/>
        <v>86112.0000000669</v>
      </c>
      <c r="Z9" s="474">
        <f t="shared" si="5"/>
        <v>38914</v>
      </c>
      <c r="AA9" s="480">
        <f t="shared" si="6"/>
        <v>66.4292781493352</v>
      </c>
      <c r="AB9" s="481">
        <f t="shared" si="7"/>
        <v>80.5707218506648</v>
      </c>
      <c r="AC9" s="482"/>
      <c r="AD9" s="482"/>
      <c r="AE9" s="483"/>
      <c r="AF9" s="483"/>
      <c r="AG9" s="482">
        <f t="shared" si="8"/>
        <v>1043097.35159965</v>
      </c>
      <c r="AH9" s="484"/>
      <c r="AI9" s="463">
        <f t="shared" si="9"/>
        <v>7122.15</v>
      </c>
    </row>
    <row r="10" s="404" customFormat="1" customHeight="1" spans="1:35">
      <c r="A10" s="487"/>
      <c r="B10" s="488"/>
      <c r="C10" s="489">
        <v>0.0452479338842975</v>
      </c>
      <c r="D10" s="490"/>
      <c r="E10" s="491" t="s">
        <v>3665</v>
      </c>
      <c r="F10" s="492"/>
      <c r="G10" s="493">
        <v>1</v>
      </c>
      <c r="H10" s="494"/>
      <c r="I10" s="495">
        <v>1.5527353</v>
      </c>
      <c r="J10" s="496" t="s">
        <v>3910</v>
      </c>
      <c r="K10" s="497"/>
      <c r="L10" s="498"/>
      <c r="M10" s="499">
        <f t="shared" si="10"/>
        <v>37754.2878099173</v>
      </c>
      <c r="N10" s="500">
        <f>ROUNDUP($AC$4*$C10,0)</f>
        <v>38914</v>
      </c>
      <c r="O10" s="500">
        <v>19909</v>
      </c>
      <c r="P10" s="500">
        <v>19909</v>
      </c>
      <c r="Q10" s="500">
        <v>27149</v>
      </c>
      <c r="R10" s="500"/>
      <c r="S10" s="500"/>
      <c r="T10" s="500"/>
      <c r="U10" s="500"/>
      <c r="V10" s="501">
        <f t="shared" si="3"/>
        <v>164405.1662993</v>
      </c>
      <c r="W10" s="502"/>
      <c r="X10" s="503">
        <f t="shared" si="11"/>
        <v>105881</v>
      </c>
      <c r="Y10" s="504"/>
      <c r="Z10" s="497">
        <f t="shared" si="5"/>
        <v>38914</v>
      </c>
      <c r="AA10" s="505">
        <f t="shared" si="6"/>
        <v>38914</v>
      </c>
      <c r="AB10" s="506">
        <f t="shared" si="7"/>
        <v>66967</v>
      </c>
      <c r="AC10" s="507"/>
      <c r="AD10" s="507"/>
      <c r="AE10" s="508"/>
      <c r="AF10" s="508"/>
      <c r="AG10" s="507"/>
    </row>
    <row r="11" s="404" customFormat="1" customHeight="1" spans="1:35">
      <c r="A11" s="439"/>
      <c r="B11" s="440" t="s">
        <v>3916</v>
      </c>
      <c r="C11" s="441">
        <v>0.0452479338842975</v>
      </c>
      <c r="D11" s="442" t="s">
        <v>3917</v>
      </c>
      <c r="E11" s="443" t="s">
        <v>3918</v>
      </c>
      <c r="F11" s="444">
        <v>500</v>
      </c>
      <c r="G11" s="445">
        <v>0.00937425807217</v>
      </c>
      <c r="H11" s="446">
        <f t="shared" ref="H11:H14" si="12">F11/G11</f>
        <v>53337.5544123736</v>
      </c>
      <c r="I11" s="447">
        <v>27</v>
      </c>
      <c r="J11" s="448" t="s">
        <v>3919</v>
      </c>
      <c r="K11" s="449">
        <f t="shared" ref="K11:K14" si="13">F11/C11/G11</f>
        <v>1178784.30756113</v>
      </c>
      <c r="L11" s="440" t="s">
        <v>3920</v>
      </c>
      <c r="M11" s="451">
        <f t="shared" si="10"/>
        <v>353.918437261147</v>
      </c>
      <c r="N11" s="452">
        <v>329</v>
      </c>
      <c r="O11" s="452">
        <v>299</v>
      </c>
      <c r="P11" s="452">
        <v>318</v>
      </c>
      <c r="Q11" s="452">
        <v>301</v>
      </c>
      <c r="R11" s="452"/>
      <c r="S11" s="452"/>
      <c r="T11" s="452"/>
      <c r="U11" s="452"/>
      <c r="V11" s="454">
        <f t="shared" si="3"/>
        <v>33669</v>
      </c>
      <c r="W11" s="455"/>
      <c r="X11" s="456">
        <f t="shared" si="11"/>
        <v>1247</v>
      </c>
      <c r="Y11" s="457">
        <f t="shared" ref="Y11:Y14" si="14">X11/G11</f>
        <v>133023.86070446</v>
      </c>
      <c r="Z11" s="449">
        <f t="shared" si="5"/>
        <v>66914</v>
      </c>
      <c r="AA11" s="458">
        <f t="shared" si="6"/>
        <v>627.269104641183</v>
      </c>
      <c r="AB11" s="459">
        <f t="shared" si="7"/>
        <v>619.730895358817</v>
      </c>
      <c r="AC11" s="460">
        <f>$AC$4*C11</f>
        <v>38913.2231404959</v>
      </c>
      <c r="AD11" s="460">
        <f t="shared" ref="AD11:AD15" si="15">$AD$3</f>
        <v>28000</v>
      </c>
      <c r="AE11" s="461"/>
      <c r="AF11" s="461"/>
      <c r="AG11" s="460">
        <f t="shared" ref="AG11:AG14" si="16">AB11/G11/C11</f>
        <v>1461058.10871957</v>
      </c>
    </row>
    <row r="12" s="404" customFormat="1" customHeight="1" spans="1:35">
      <c r="A12" s="464"/>
      <c r="B12" s="509"/>
      <c r="C12" s="466">
        <v>0.0452479338842975</v>
      </c>
      <c r="D12" s="485" t="s">
        <v>3921</v>
      </c>
      <c r="E12" s="468" t="s">
        <v>3922</v>
      </c>
      <c r="F12" s="469">
        <v>500</v>
      </c>
      <c r="G12" s="470">
        <v>0.000402576489533011</v>
      </c>
      <c r="H12" s="471">
        <f t="shared" si="12"/>
        <v>1242000</v>
      </c>
      <c r="I12" s="472">
        <f t="shared" ref="I12:I18" si="17">32.3</f>
        <v>32.3</v>
      </c>
      <c r="J12" s="473" t="s">
        <v>3919</v>
      </c>
      <c r="K12" s="474">
        <f t="shared" si="13"/>
        <v>27448767.1232877</v>
      </c>
      <c r="L12" s="475"/>
      <c r="M12" s="476">
        <f t="shared" si="10"/>
        <v>15.1989886513355</v>
      </c>
      <c r="N12" s="453">
        <v>15</v>
      </c>
      <c r="O12" s="453">
        <v>12</v>
      </c>
      <c r="P12" s="453">
        <v>14</v>
      </c>
      <c r="Q12" s="453">
        <v>13</v>
      </c>
      <c r="R12" s="453"/>
      <c r="S12" s="453"/>
      <c r="T12" s="453"/>
      <c r="U12" s="453"/>
      <c r="V12" s="454">
        <f t="shared" si="3"/>
        <v>1744.2</v>
      </c>
      <c r="W12" s="510">
        <f>AA12/(AA12+AA13)</f>
        <v>0.286698828394734</v>
      </c>
      <c r="X12" s="478">
        <f t="shared" si="11"/>
        <v>54</v>
      </c>
      <c r="Y12" s="479">
        <f t="shared" si="14"/>
        <v>134136</v>
      </c>
      <c r="Z12" s="474">
        <f t="shared" si="5"/>
        <v>66914</v>
      </c>
      <c r="AA12" s="480">
        <f t="shared" si="6"/>
        <v>26.9380032206119</v>
      </c>
      <c r="AB12" s="481">
        <f t="shared" si="7"/>
        <v>27.0619967793881</v>
      </c>
      <c r="AC12" s="482"/>
      <c r="AD12" s="482">
        <f t="shared" si="15"/>
        <v>28000</v>
      </c>
      <c r="AE12" s="483"/>
      <c r="AF12" s="483"/>
      <c r="AG12" s="482">
        <f t="shared" si="16"/>
        <v>1485636.89497717</v>
      </c>
      <c r="AH12" s="484"/>
      <c r="AI12" s="463">
        <f t="shared" ref="AI12:AI18" si="18">V12*1.5</f>
        <v>2616.3</v>
      </c>
    </row>
    <row r="13" s="404" customFormat="1" customHeight="1" spans="1:35">
      <c r="A13" s="464"/>
      <c r="B13" s="509"/>
      <c r="C13" s="466">
        <v>0.0452479338842975</v>
      </c>
      <c r="D13" s="485" t="s">
        <v>3921</v>
      </c>
      <c r="E13" s="485" t="s">
        <v>3923</v>
      </c>
      <c r="F13" s="469">
        <v>500</v>
      </c>
      <c r="G13" s="470">
        <v>0.0010016025641</v>
      </c>
      <c r="H13" s="471">
        <f t="shared" si="12"/>
        <v>499200.000001278</v>
      </c>
      <c r="I13" s="472">
        <f t="shared" si="17"/>
        <v>32.3</v>
      </c>
      <c r="J13" s="473" t="s">
        <v>3919</v>
      </c>
      <c r="K13" s="474">
        <f t="shared" si="13"/>
        <v>11032547.9452337</v>
      </c>
      <c r="L13" s="475"/>
      <c r="M13" s="476">
        <f t="shared" si="10"/>
        <v>37.8147914761826</v>
      </c>
      <c r="N13" s="453">
        <v>36</v>
      </c>
      <c r="O13" s="453">
        <v>32</v>
      </c>
      <c r="P13" s="453">
        <v>33</v>
      </c>
      <c r="Q13" s="453">
        <v>33</v>
      </c>
      <c r="R13" s="453"/>
      <c r="S13" s="453"/>
      <c r="T13" s="453"/>
      <c r="U13" s="453"/>
      <c r="V13" s="454">
        <f t="shared" si="3"/>
        <v>4328.2</v>
      </c>
      <c r="W13" s="510">
        <f>AA13/(AA13+AA12)</f>
        <v>0.713301171605266</v>
      </c>
      <c r="X13" s="478">
        <f t="shared" si="11"/>
        <v>134</v>
      </c>
      <c r="Y13" s="479">
        <f t="shared" si="14"/>
        <v>133785.600000342</v>
      </c>
      <c r="Z13" s="474">
        <f t="shared" si="5"/>
        <v>66914</v>
      </c>
      <c r="AA13" s="480">
        <f t="shared" si="6"/>
        <v>67.0212339741874</v>
      </c>
      <c r="AB13" s="481">
        <f t="shared" si="7"/>
        <v>66.9787660258126</v>
      </c>
      <c r="AC13" s="482"/>
      <c r="AD13" s="482">
        <f t="shared" si="15"/>
        <v>28000</v>
      </c>
      <c r="AE13" s="483"/>
      <c r="AF13" s="483"/>
      <c r="AG13" s="482">
        <f t="shared" si="16"/>
        <v>1477892.89498474</v>
      </c>
      <c r="AH13" s="484"/>
      <c r="AI13" s="463">
        <f t="shared" si="18"/>
        <v>6492.3</v>
      </c>
    </row>
    <row r="14" s="404" customFormat="1" customHeight="1" spans="1:35">
      <c r="A14" s="464"/>
      <c r="B14" s="509"/>
      <c r="C14" s="466">
        <v>0.0452479338842975</v>
      </c>
      <c r="D14" s="485" t="s">
        <v>3924</v>
      </c>
      <c r="E14" s="468" t="s">
        <v>3925</v>
      </c>
      <c r="F14" s="469">
        <v>2000</v>
      </c>
      <c r="G14" s="470">
        <v>0.00202546296296296</v>
      </c>
      <c r="H14" s="471">
        <f t="shared" si="12"/>
        <v>987428.571428573</v>
      </c>
      <c r="I14" s="472">
        <v>13.56</v>
      </c>
      <c r="J14" s="473" t="s">
        <v>3919</v>
      </c>
      <c r="K14" s="474">
        <f t="shared" si="13"/>
        <v>21822622.3091977</v>
      </c>
      <c r="L14" s="509" t="s">
        <v>3926</v>
      </c>
      <c r="M14" s="476">
        <f t="shared" si="10"/>
        <v>76.4699116520315</v>
      </c>
      <c r="N14" s="453">
        <f>1200*W14</f>
        <v>313.734549592651</v>
      </c>
      <c r="O14" s="453"/>
      <c r="P14" s="453">
        <v>-11</v>
      </c>
      <c r="Q14" s="453">
        <v>-6</v>
      </c>
      <c r="R14" s="453"/>
      <c r="S14" s="453"/>
      <c r="T14" s="453"/>
      <c r="U14" s="453"/>
      <c r="V14" s="454">
        <f t="shared" si="3"/>
        <v>4023.72049247635</v>
      </c>
      <c r="W14" s="477">
        <f>AA14/(AA14+AA31+AA48+AA53+AA60+AA65+AA72+AA75)</f>
        <v>0.261445457993876</v>
      </c>
      <c r="X14" s="478">
        <f t="shared" si="11"/>
        <v>296.734549592651</v>
      </c>
      <c r="Y14" s="479">
        <f t="shared" si="14"/>
        <v>146502.086198886</v>
      </c>
      <c r="Z14" s="474">
        <f t="shared" si="5"/>
        <v>66914</v>
      </c>
      <c r="AA14" s="480">
        <f t="shared" si="6"/>
        <v>135.531828703703</v>
      </c>
      <c r="AB14" s="481">
        <f t="shared" si="7"/>
        <v>161.202720888948</v>
      </c>
      <c r="AC14" s="482"/>
      <c r="AD14" s="482">
        <f t="shared" si="15"/>
        <v>28000</v>
      </c>
      <c r="AE14" s="483"/>
      <c r="AF14" s="483"/>
      <c r="AG14" s="482">
        <f t="shared" si="16"/>
        <v>1758933.04658726</v>
      </c>
      <c r="AH14" s="511"/>
    </row>
    <row r="15" s="404" customFormat="1" customHeight="1" spans="1:35">
      <c r="A15" s="487"/>
      <c r="B15" s="498"/>
      <c r="C15" s="466">
        <v>0.0452479338842975</v>
      </c>
      <c r="D15" s="490"/>
      <c r="E15" s="491" t="s">
        <v>3665</v>
      </c>
      <c r="F15" s="512"/>
      <c r="G15" s="493">
        <v>1</v>
      </c>
      <c r="H15" s="494"/>
      <c r="I15" s="495">
        <v>0.310339</v>
      </c>
      <c r="J15" s="496" t="s">
        <v>3919</v>
      </c>
      <c r="K15" s="497"/>
      <c r="L15" s="498"/>
      <c r="M15" s="499">
        <f t="shared" si="10"/>
        <v>37754.2878099173</v>
      </c>
      <c r="N15" s="500">
        <f>ROUNDUP($AC$4*$C15,0)+16000</f>
        <v>54914</v>
      </c>
      <c r="O15" s="500">
        <v>31909</v>
      </c>
      <c r="P15" s="500">
        <v>33909</v>
      </c>
      <c r="Q15" s="500">
        <v>32149</v>
      </c>
      <c r="R15" s="500"/>
      <c r="S15" s="500"/>
      <c r="T15" s="500"/>
      <c r="U15" s="500"/>
      <c r="V15" s="501">
        <f t="shared" si="3"/>
        <v>47444.936659</v>
      </c>
      <c r="W15" s="502"/>
      <c r="X15" s="478">
        <f t="shared" si="11"/>
        <v>152881</v>
      </c>
      <c r="Y15" s="504"/>
      <c r="Z15" s="497">
        <f t="shared" si="5"/>
        <v>66914</v>
      </c>
      <c r="AA15" s="505">
        <f t="shared" si="6"/>
        <v>66914</v>
      </c>
      <c r="AB15" s="506">
        <f t="shared" si="7"/>
        <v>85967</v>
      </c>
      <c r="AC15" s="507"/>
      <c r="AD15" s="507">
        <f t="shared" si="15"/>
        <v>28000</v>
      </c>
      <c r="AE15" s="508"/>
      <c r="AF15" s="508"/>
      <c r="AG15" s="507"/>
    </row>
    <row r="16" s="404" customFormat="1" customHeight="1" spans="1:35">
      <c r="A16" s="439"/>
      <c r="B16" s="440" t="s">
        <v>3927</v>
      </c>
      <c r="C16" s="441">
        <v>0.0452479338842975</v>
      </c>
      <c r="D16" s="442" t="s">
        <v>3928</v>
      </c>
      <c r="E16" s="443" t="s">
        <v>3929</v>
      </c>
      <c r="F16" s="444">
        <v>500</v>
      </c>
      <c r="G16" s="445">
        <v>0.000754830917874396</v>
      </c>
      <c r="H16" s="446">
        <f t="shared" ref="H16:H18" si="19">F16/G16</f>
        <v>662400</v>
      </c>
      <c r="I16" s="447">
        <f t="shared" si="17"/>
        <v>32.3</v>
      </c>
      <c r="J16" s="448" t="s">
        <v>3919</v>
      </c>
      <c r="K16" s="449">
        <f t="shared" ref="K16:K18" si="20">F16/C16/G16</f>
        <v>14639342.4657534</v>
      </c>
      <c r="L16" s="450"/>
      <c r="M16" s="451">
        <f t="shared" si="10"/>
        <v>28.498103721254</v>
      </c>
      <c r="N16" s="452">
        <v>15</v>
      </c>
      <c r="O16" s="452">
        <v>15</v>
      </c>
      <c r="P16" s="452">
        <v>15</v>
      </c>
      <c r="Q16" s="452">
        <v>20</v>
      </c>
      <c r="R16" s="452"/>
      <c r="S16" s="452"/>
      <c r="T16" s="452"/>
      <c r="U16" s="452"/>
      <c r="V16" s="454">
        <f t="shared" si="3"/>
        <v>2099.5</v>
      </c>
      <c r="W16" s="455">
        <f>15/116</f>
        <v>0.129310344827586</v>
      </c>
      <c r="X16" s="456">
        <f t="shared" si="11"/>
        <v>65</v>
      </c>
      <c r="Y16" s="457">
        <f t="shared" ref="Y16:Y18" si="21">X16/G16</f>
        <v>86112</v>
      </c>
      <c r="Z16" s="449">
        <f t="shared" si="5"/>
        <v>38914</v>
      </c>
      <c r="AA16" s="458">
        <f t="shared" si="6"/>
        <v>29.3734903381642</v>
      </c>
      <c r="AB16" s="459">
        <f t="shared" si="7"/>
        <v>35.6265096618358</v>
      </c>
      <c r="AC16" s="460">
        <f t="shared" ref="AC16:AC23" si="22">$AC$4*C16</f>
        <v>38913.2231404959</v>
      </c>
      <c r="AD16" s="460"/>
      <c r="AE16" s="461"/>
      <c r="AF16" s="461"/>
      <c r="AG16" s="460">
        <f t="shared" ref="AG16:AG18" si="23">AB16/G16/C16</f>
        <v>1043097.35159818</v>
      </c>
      <c r="AH16" s="484"/>
      <c r="AI16" s="463">
        <f t="shared" si="18"/>
        <v>3149.25</v>
      </c>
    </row>
    <row r="17" s="404" customFormat="1" customHeight="1" spans="1:35">
      <c r="A17" s="464"/>
      <c r="B17" s="475"/>
      <c r="C17" s="466">
        <v>0.0452479338842975</v>
      </c>
      <c r="D17" s="485" t="s">
        <v>3928</v>
      </c>
      <c r="E17" s="468" t="s">
        <v>3930</v>
      </c>
      <c r="F17" s="469">
        <v>500</v>
      </c>
      <c r="G17" s="470">
        <v>0.00194783197831978</v>
      </c>
      <c r="H17" s="471">
        <f t="shared" si="19"/>
        <v>256695.652173913</v>
      </c>
      <c r="I17" s="472">
        <f t="shared" si="17"/>
        <v>32.3</v>
      </c>
      <c r="J17" s="473" t="s">
        <v>3919</v>
      </c>
      <c r="K17" s="474">
        <f t="shared" si="20"/>
        <v>5673091.12567005</v>
      </c>
      <c r="L17" s="475"/>
      <c r="M17" s="476">
        <f t="shared" si="10"/>
        <v>73.5390091148456</v>
      </c>
      <c r="N17" s="453">
        <v>38</v>
      </c>
      <c r="O17" s="453">
        <v>38</v>
      </c>
      <c r="P17" s="453">
        <v>39</v>
      </c>
      <c r="Q17" s="453">
        <v>53</v>
      </c>
      <c r="R17" s="453"/>
      <c r="S17" s="453"/>
      <c r="T17" s="453"/>
      <c r="U17" s="453"/>
      <c r="V17" s="454">
        <f t="shared" si="3"/>
        <v>5426.4</v>
      </c>
      <c r="W17" s="477">
        <f>39/116</f>
        <v>0.336206896551724</v>
      </c>
      <c r="X17" s="478">
        <f t="shared" si="11"/>
        <v>168</v>
      </c>
      <c r="Y17" s="479">
        <f t="shared" si="21"/>
        <v>86249.7391304349</v>
      </c>
      <c r="Z17" s="474">
        <f t="shared" si="5"/>
        <v>38914</v>
      </c>
      <c r="AA17" s="480">
        <f t="shared" si="6"/>
        <v>75.7979336043359</v>
      </c>
      <c r="AB17" s="481">
        <f t="shared" si="7"/>
        <v>92.2020663956641</v>
      </c>
      <c r="AC17" s="482"/>
      <c r="AD17" s="482"/>
      <c r="AE17" s="483"/>
      <c r="AF17" s="483"/>
      <c r="AG17" s="482">
        <f t="shared" si="23"/>
        <v>1046141.44927537</v>
      </c>
      <c r="AH17" s="484"/>
      <c r="AI17" s="463">
        <f t="shared" si="18"/>
        <v>8139.6</v>
      </c>
    </row>
    <row r="18" s="404" customFormat="1" customHeight="1" spans="1:35">
      <c r="A18" s="464"/>
      <c r="B18" s="475"/>
      <c r="C18" s="466">
        <v>0.0452479338842975</v>
      </c>
      <c r="D18" s="485" t="s">
        <v>3928</v>
      </c>
      <c r="E18" s="468" t="s">
        <v>3931</v>
      </c>
      <c r="F18" s="486">
        <v>500</v>
      </c>
      <c r="G18" s="470">
        <v>0.0030715811965812</v>
      </c>
      <c r="H18" s="471">
        <f t="shared" si="19"/>
        <v>162782.608695652</v>
      </c>
      <c r="I18" s="472">
        <f t="shared" si="17"/>
        <v>32.3</v>
      </c>
      <c r="J18" s="473" t="s">
        <v>3919</v>
      </c>
      <c r="K18" s="474">
        <f t="shared" si="20"/>
        <v>3597569.98213222</v>
      </c>
      <c r="L18" s="475"/>
      <c r="M18" s="476">
        <f t="shared" si="10"/>
        <v>115.965360527257</v>
      </c>
      <c r="N18" s="453">
        <v>59</v>
      </c>
      <c r="O18" s="453">
        <v>61</v>
      </c>
      <c r="P18" s="453">
        <v>61</v>
      </c>
      <c r="Q18" s="453">
        <v>84</v>
      </c>
      <c r="R18" s="453"/>
      <c r="S18" s="453"/>
      <c r="T18" s="453"/>
      <c r="U18" s="453"/>
      <c r="V18" s="454">
        <f t="shared" si="3"/>
        <v>8559.5</v>
      </c>
      <c r="W18" s="477">
        <f>62/116</f>
        <v>0.53448275862069</v>
      </c>
      <c r="X18" s="478">
        <f t="shared" si="11"/>
        <v>265</v>
      </c>
      <c r="Y18" s="479">
        <f t="shared" si="21"/>
        <v>86274.7826086956</v>
      </c>
      <c r="Z18" s="474">
        <f t="shared" si="5"/>
        <v>38914</v>
      </c>
      <c r="AA18" s="480">
        <f t="shared" si="6"/>
        <v>119.527510683761</v>
      </c>
      <c r="AB18" s="481">
        <f t="shared" si="7"/>
        <v>145.472489316239</v>
      </c>
      <c r="AC18" s="482"/>
      <c r="AD18" s="482"/>
      <c r="AE18" s="483"/>
      <c r="AF18" s="483"/>
      <c r="AG18" s="482">
        <f t="shared" si="23"/>
        <v>1046694.9215803</v>
      </c>
      <c r="AH18" s="484"/>
      <c r="AI18" s="463">
        <f t="shared" si="18"/>
        <v>12839.25</v>
      </c>
    </row>
    <row r="19" s="404" customFormat="1" customHeight="1" spans="1:35">
      <c r="A19" s="487"/>
      <c r="B19" s="498"/>
      <c r="C19" s="489">
        <v>0.0452479338842975</v>
      </c>
      <c r="D19" s="490"/>
      <c r="E19" s="491" t="s">
        <v>3665</v>
      </c>
      <c r="F19" s="512"/>
      <c r="G19" s="493">
        <v>1</v>
      </c>
      <c r="H19" s="494"/>
      <c r="I19" s="495">
        <v>0.53972</v>
      </c>
      <c r="J19" s="496" t="s">
        <v>3919</v>
      </c>
      <c r="K19" s="497"/>
      <c r="L19" s="498"/>
      <c r="M19" s="499">
        <f t="shared" si="10"/>
        <v>37754.2878099173</v>
      </c>
      <c r="N19" s="500">
        <f>ROUNDUP($AC$4*$C19,0)</f>
        <v>38914</v>
      </c>
      <c r="O19" s="500">
        <v>19909</v>
      </c>
      <c r="P19" s="500">
        <v>19909</v>
      </c>
      <c r="Q19" s="500">
        <v>27149</v>
      </c>
      <c r="R19" s="500"/>
      <c r="S19" s="500"/>
      <c r="T19" s="500"/>
      <c r="U19" s="500"/>
      <c r="V19" s="501">
        <f t="shared" si="3"/>
        <v>57146.09332</v>
      </c>
      <c r="W19" s="502"/>
      <c r="X19" s="503">
        <f t="shared" si="11"/>
        <v>105881</v>
      </c>
      <c r="Y19" s="504"/>
      <c r="Z19" s="497">
        <f t="shared" si="5"/>
        <v>38914</v>
      </c>
      <c r="AA19" s="505">
        <f t="shared" si="6"/>
        <v>38914</v>
      </c>
      <c r="AB19" s="506">
        <f t="shared" si="7"/>
        <v>66967</v>
      </c>
      <c r="AC19" s="507"/>
      <c r="AD19" s="507"/>
      <c r="AE19" s="508"/>
      <c r="AF19" s="508"/>
      <c r="AG19" s="507"/>
    </row>
    <row r="20" s="404" customFormat="1" customHeight="1" spans="1:35">
      <c r="A20" s="439"/>
      <c r="B20" s="440" t="s">
        <v>3932</v>
      </c>
      <c r="C20" s="441">
        <v>0.0452479338842975</v>
      </c>
      <c r="D20" s="513" t="s">
        <v>3917</v>
      </c>
      <c r="E20" s="443" t="s">
        <v>3933</v>
      </c>
      <c r="F20" s="444">
        <v>500</v>
      </c>
      <c r="G20" s="514">
        <v>0.00385802469136</v>
      </c>
      <c r="H20" s="446">
        <f t="shared" ref="H20:H23" si="24">F20/G20</f>
        <v>129599.999999934</v>
      </c>
      <c r="I20" s="447">
        <v>27</v>
      </c>
      <c r="J20" s="448" t="s">
        <v>3919</v>
      </c>
      <c r="K20" s="449">
        <f t="shared" ref="K20:K23" si="25">F20/C20/G20</f>
        <v>2864219.17808073</v>
      </c>
      <c r="L20" s="515" t="s">
        <v>3920</v>
      </c>
      <c r="M20" s="451">
        <f t="shared" si="10"/>
        <v>145.656974575373</v>
      </c>
      <c r="N20" s="452">
        <v>74</v>
      </c>
      <c r="O20" s="452">
        <v>77</v>
      </c>
      <c r="P20" s="452">
        <v>76</v>
      </c>
      <c r="Q20" s="452">
        <v>105</v>
      </c>
      <c r="R20" s="452"/>
      <c r="S20" s="452"/>
      <c r="T20" s="452"/>
      <c r="U20" s="452"/>
      <c r="V20" s="454">
        <f t="shared" si="3"/>
        <v>8964</v>
      </c>
      <c r="W20" s="516"/>
      <c r="X20" s="456">
        <f t="shared" si="11"/>
        <v>332</v>
      </c>
      <c r="Y20" s="457">
        <f t="shared" ref="Y20:Y23" si="26">X20/G20</f>
        <v>86054.3999999559</v>
      </c>
      <c r="Z20" s="449">
        <f t="shared" si="5"/>
        <v>38914</v>
      </c>
      <c r="AA20" s="458">
        <f t="shared" si="6"/>
        <v>150.131172839583</v>
      </c>
      <c r="AB20" s="459">
        <f t="shared" si="7"/>
        <v>181.868827160417</v>
      </c>
      <c r="AC20" s="460">
        <f t="shared" si="22"/>
        <v>38913.2231404959</v>
      </c>
      <c r="AD20" s="460"/>
      <c r="AE20" s="461"/>
      <c r="AF20" s="461"/>
      <c r="AG20" s="460">
        <f t="shared" ref="AG20:AG23" si="27">AB20/G20/C20</f>
        <v>1041824.36529583</v>
      </c>
    </row>
    <row r="21" s="404" customFormat="1" customHeight="1" spans="1:35">
      <c r="A21" s="464"/>
      <c r="B21" s="475"/>
      <c r="C21" s="466">
        <v>0.0452479338842975</v>
      </c>
      <c r="D21" s="485" t="s">
        <v>3917</v>
      </c>
      <c r="E21" s="468" t="s">
        <v>3934</v>
      </c>
      <c r="F21" s="469">
        <v>500</v>
      </c>
      <c r="G21" s="470">
        <v>0.00254065040650406</v>
      </c>
      <c r="H21" s="471">
        <f t="shared" si="24"/>
        <v>196800</v>
      </c>
      <c r="I21" s="472">
        <v>27</v>
      </c>
      <c r="J21" s="473" t="s">
        <v>3919</v>
      </c>
      <c r="K21" s="474">
        <f t="shared" si="25"/>
        <v>4349369.86301371</v>
      </c>
      <c r="L21" s="475"/>
      <c r="M21" s="476">
        <f t="shared" si="10"/>
        <v>95.9204466715378</v>
      </c>
      <c r="N21" s="453">
        <v>49</v>
      </c>
      <c r="O21" s="453">
        <v>50</v>
      </c>
      <c r="P21" s="453">
        <v>51</v>
      </c>
      <c r="Q21" s="453">
        <v>69</v>
      </c>
      <c r="R21" s="453"/>
      <c r="S21" s="453"/>
      <c r="T21" s="453"/>
      <c r="U21" s="453"/>
      <c r="V21" s="454">
        <f t="shared" si="3"/>
        <v>5913</v>
      </c>
      <c r="W21" s="477"/>
      <c r="X21" s="478">
        <f t="shared" si="11"/>
        <v>219</v>
      </c>
      <c r="Y21" s="479">
        <f t="shared" si="26"/>
        <v>86198.4000000002</v>
      </c>
      <c r="Z21" s="474">
        <f t="shared" si="5"/>
        <v>38914</v>
      </c>
      <c r="AA21" s="480">
        <f t="shared" si="6"/>
        <v>98.866869918699</v>
      </c>
      <c r="AB21" s="481">
        <f t="shared" si="7"/>
        <v>120.133130081301</v>
      </c>
      <c r="AC21" s="482">
        <f t="shared" si="22"/>
        <v>38913.2231404959</v>
      </c>
      <c r="AD21" s="482"/>
      <c r="AE21" s="483"/>
      <c r="AF21" s="483"/>
      <c r="AG21" s="482">
        <f t="shared" si="27"/>
        <v>1045006.83105023</v>
      </c>
    </row>
    <row r="22" s="404" customFormat="1" customHeight="1" spans="1:35">
      <c r="A22" s="464"/>
      <c r="B22" s="475"/>
      <c r="C22" s="466">
        <v>0.0452479338842975</v>
      </c>
      <c r="D22" s="485" t="s">
        <v>3917</v>
      </c>
      <c r="E22" s="468" t="s">
        <v>3935</v>
      </c>
      <c r="F22" s="469">
        <v>500</v>
      </c>
      <c r="G22" s="470">
        <v>0.00130837359098229</v>
      </c>
      <c r="H22" s="471">
        <f t="shared" si="24"/>
        <v>382153.846153845</v>
      </c>
      <c r="I22" s="472">
        <v>27</v>
      </c>
      <c r="J22" s="473" t="s">
        <v>3919</v>
      </c>
      <c r="K22" s="474">
        <f t="shared" si="25"/>
        <v>8445774.49947311</v>
      </c>
      <c r="L22" s="475"/>
      <c r="M22" s="476">
        <f t="shared" si="10"/>
        <v>49.3967131168405</v>
      </c>
      <c r="N22" s="453">
        <v>25</v>
      </c>
      <c r="O22" s="453">
        <v>26</v>
      </c>
      <c r="P22" s="453">
        <v>26</v>
      </c>
      <c r="Q22" s="453">
        <v>36</v>
      </c>
      <c r="R22" s="453"/>
      <c r="S22" s="453"/>
      <c r="T22" s="453"/>
      <c r="U22" s="453"/>
      <c r="V22" s="454">
        <f t="shared" si="3"/>
        <v>3051</v>
      </c>
      <c r="W22" s="477"/>
      <c r="X22" s="478">
        <f t="shared" si="11"/>
        <v>113</v>
      </c>
      <c r="Y22" s="479">
        <f t="shared" si="26"/>
        <v>86366.769230769</v>
      </c>
      <c r="Z22" s="474">
        <f t="shared" si="5"/>
        <v>38914</v>
      </c>
      <c r="AA22" s="480">
        <f t="shared" si="6"/>
        <v>50.9140499194848</v>
      </c>
      <c r="AB22" s="481">
        <f t="shared" si="7"/>
        <v>62.0859500805152</v>
      </c>
      <c r="AC22" s="482">
        <f t="shared" si="22"/>
        <v>38913.2231404959</v>
      </c>
      <c r="AD22" s="482"/>
      <c r="AE22" s="483"/>
      <c r="AF22" s="483"/>
      <c r="AG22" s="482">
        <f t="shared" si="27"/>
        <v>1048727.86793115</v>
      </c>
    </row>
    <row r="23" s="404" customFormat="1" customHeight="1" spans="1:35">
      <c r="A23" s="464"/>
      <c r="B23" s="475"/>
      <c r="C23" s="466">
        <v>0.0452479338842975</v>
      </c>
      <c r="D23" s="485" t="s">
        <v>3917</v>
      </c>
      <c r="E23" s="468" t="s">
        <v>3936</v>
      </c>
      <c r="F23" s="469">
        <v>500</v>
      </c>
      <c r="G23" s="470">
        <v>0.000956119162640902</v>
      </c>
      <c r="H23" s="471">
        <f t="shared" si="24"/>
        <v>522947.368421053</v>
      </c>
      <c r="I23" s="472">
        <v>27</v>
      </c>
      <c r="J23" s="473" t="s">
        <v>3919</v>
      </c>
      <c r="K23" s="474">
        <f t="shared" si="25"/>
        <v>11557375.630858</v>
      </c>
      <c r="L23" s="475"/>
      <c r="M23" s="476">
        <f t="shared" si="10"/>
        <v>36.0975980469218</v>
      </c>
      <c r="N23" s="453">
        <v>19</v>
      </c>
      <c r="O23" s="453">
        <v>19</v>
      </c>
      <c r="P23" s="453">
        <v>19</v>
      </c>
      <c r="Q23" s="453">
        <v>26</v>
      </c>
      <c r="R23" s="453"/>
      <c r="S23" s="453"/>
      <c r="T23" s="453"/>
      <c r="U23" s="453"/>
      <c r="V23" s="454">
        <f t="shared" si="3"/>
        <v>2241</v>
      </c>
      <c r="W23" s="477"/>
      <c r="X23" s="478">
        <f t="shared" si="11"/>
        <v>83</v>
      </c>
      <c r="Y23" s="479">
        <f t="shared" si="26"/>
        <v>86809.2631578947</v>
      </c>
      <c r="Z23" s="474">
        <f t="shared" si="5"/>
        <v>38914</v>
      </c>
      <c r="AA23" s="480">
        <f t="shared" si="6"/>
        <v>37.2064210950081</v>
      </c>
      <c r="AB23" s="481">
        <f t="shared" si="7"/>
        <v>45.7935789049919</v>
      </c>
      <c r="AC23" s="482">
        <f t="shared" si="22"/>
        <v>38913.2231404959</v>
      </c>
      <c r="AD23" s="482"/>
      <c r="AE23" s="483"/>
      <c r="AF23" s="483"/>
      <c r="AG23" s="482">
        <f t="shared" si="27"/>
        <v>1058507.18577265</v>
      </c>
    </row>
    <row r="24" s="404" customFormat="1" customHeight="1" spans="1:35">
      <c r="A24" s="487"/>
      <c r="B24" s="498"/>
      <c r="C24" s="489">
        <v>0.0452479338842975</v>
      </c>
      <c r="D24" s="490"/>
      <c r="E24" s="491" t="s">
        <v>3665</v>
      </c>
      <c r="F24" s="492"/>
      <c r="G24" s="493">
        <v>1</v>
      </c>
      <c r="H24" s="494"/>
      <c r="I24" s="495">
        <v>1.093448</v>
      </c>
      <c r="J24" s="496" t="s">
        <v>3919</v>
      </c>
      <c r="K24" s="497"/>
      <c r="L24" s="498"/>
      <c r="M24" s="499">
        <f t="shared" si="10"/>
        <v>37754.2878099173</v>
      </c>
      <c r="N24" s="500">
        <f>ROUNDUP($AC$4*$C24,0)</f>
        <v>38914</v>
      </c>
      <c r="O24" s="500">
        <v>19909</v>
      </c>
      <c r="P24" s="500">
        <v>19909</v>
      </c>
      <c r="Q24" s="500">
        <v>27149</v>
      </c>
      <c r="R24" s="500"/>
      <c r="S24" s="500"/>
      <c r="T24" s="500"/>
      <c r="U24" s="500"/>
      <c r="V24" s="501">
        <f t="shared" si="3"/>
        <v>115775.367688</v>
      </c>
      <c r="W24" s="502"/>
      <c r="X24" s="503">
        <f t="shared" si="11"/>
        <v>105881</v>
      </c>
      <c r="Y24" s="504"/>
      <c r="Z24" s="497">
        <f t="shared" si="5"/>
        <v>38914</v>
      </c>
      <c r="AA24" s="505">
        <f t="shared" si="6"/>
        <v>38914</v>
      </c>
      <c r="AB24" s="506">
        <f t="shared" si="7"/>
        <v>66967</v>
      </c>
      <c r="AC24" s="507"/>
      <c r="AD24" s="507"/>
      <c r="AE24" s="508"/>
      <c r="AF24" s="508"/>
      <c r="AG24" s="507"/>
    </row>
    <row r="25" s="404" customFormat="1" customHeight="1" spans="1:35">
      <c r="A25" s="439"/>
      <c r="B25" s="440" t="s">
        <v>3937</v>
      </c>
      <c r="C25" s="441">
        <v>0.0452479338842975</v>
      </c>
      <c r="D25" s="442" t="s">
        <v>3938</v>
      </c>
      <c r="E25" s="440" t="s">
        <v>3939</v>
      </c>
      <c r="F25" s="444">
        <v>500</v>
      </c>
      <c r="G25" s="514">
        <v>0.00351037851038</v>
      </c>
      <c r="H25" s="446">
        <f t="shared" ref="H25:H27" si="28">F25/G25</f>
        <v>142434.782608635</v>
      </c>
      <c r="I25" s="447">
        <f>32.3</f>
        <v>32.3</v>
      </c>
      <c r="J25" s="448" t="s">
        <v>3919</v>
      </c>
      <c r="K25" s="449">
        <f t="shared" ref="K25:K27" si="29">F25/C25/G25</f>
        <v>3147873.73436436</v>
      </c>
      <c r="L25" s="450"/>
      <c r="M25" s="451">
        <f t="shared" si="10"/>
        <v>132.531840602635</v>
      </c>
      <c r="N25" s="452">
        <v>67</v>
      </c>
      <c r="O25" s="452">
        <v>70</v>
      </c>
      <c r="P25" s="452">
        <v>70</v>
      </c>
      <c r="Q25" s="452">
        <v>95</v>
      </c>
      <c r="R25" s="452"/>
      <c r="S25" s="452"/>
      <c r="T25" s="452"/>
      <c r="U25" s="452"/>
      <c r="V25" s="454">
        <f t="shared" si="3"/>
        <v>9754.6</v>
      </c>
      <c r="W25" s="455">
        <f>70/196</f>
        <v>0.357142857142857</v>
      </c>
      <c r="X25" s="456">
        <f t="shared" si="11"/>
        <v>302</v>
      </c>
      <c r="Y25" s="457">
        <f t="shared" ref="Y25:Y27" si="30">X25/G25</f>
        <v>86030.6086956157</v>
      </c>
      <c r="Z25" s="449">
        <f t="shared" si="5"/>
        <v>38914</v>
      </c>
      <c r="AA25" s="458">
        <f t="shared" si="6"/>
        <v>136.602869352927</v>
      </c>
      <c r="AB25" s="459">
        <f t="shared" si="7"/>
        <v>165.397130647073</v>
      </c>
      <c r="AC25" s="460">
        <f t="shared" ref="AC25:AC30" si="31">$AC$4*C25</f>
        <v>38913.2231404959</v>
      </c>
      <c r="AD25" s="460"/>
      <c r="AE25" s="461"/>
      <c r="AF25" s="461"/>
      <c r="AG25" s="460">
        <f t="shared" ref="AG25:AG27" si="32">AB25/G25/C25</f>
        <v>1041298.5666063</v>
      </c>
      <c r="AH25" s="484"/>
      <c r="AI25" s="463">
        <f>V25*1.5</f>
        <v>14631.9</v>
      </c>
    </row>
    <row r="26" s="404" customFormat="1" customHeight="1" spans="1:35">
      <c r="A26" s="464"/>
      <c r="B26" s="475"/>
      <c r="C26" s="466">
        <v>0.0452479338842975</v>
      </c>
      <c r="D26" s="485" t="s">
        <v>3938</v>
      </c>
      <c r="E26" s="509" t="s">
        <v>3940</v>
      </c>
      <c r="F26" s="469">
        <v>500</v>
      </c>
      <c r="G26" s="517">
        <v>0.00627903600465</v>
      </c>
      <c r="H26" s="471">
        <f t="shared" si="28"/>
        <v>79630.0578034144</v>
      </c>
      <c r="I26" s="472">
        <v>17.3</v>
      </c>
      <c r="J26" s="473" t="s">
        <v>3919</v>
      </c>
      <c r="K26" s="474">
        <f t="shared" si="29"/>
        <v>1759860.63821245</v>
      </c>
      <c r="L26" s="475"/>
      <c r="M26" s="476">
        <f t="shared" si="10"/>
        <v>237.06053248839</v>
      </c>
      <c r="N26" s="453">
        <v>120</v>
      </c>
      <c r="O26" s="453">
        <v>125</v>
      </c>
      <c r="P26" s="453">
        <v>125</v>
      </c>
      <c r="Q26" s="453">
        <v>170</v>
      </c>
      <c r="R26" s="453"/>
      <c r="S26" s="453"/>
      <c r="T26" s="453"/>
      <c r="U26" s="453"/>
      <c r="V26" s="454">
        <f t="shared" si="3"/>
        <v>9342</v>
      </c>
      <c r="W26" s="477">
        <f>126/196</f>
        <v>0.642857142857143</v>
      </c>
      <c r="X26" s="478">
        <f t="shared" si="11"/>
        <v>540</v>
      </c>
      <c r="Y26" s="479">
        <f t="shared" si="30"/>
        <v>86000.4624276876</v>
      </c>
      <c r="Z26" s="474">
        <f t="shared" si="5"/>
        <v>38914</v>
      </c>
      <c r="AA26" s="480">
        <f t="shared" si="6"/>
        <v>244.34240708495</v>
      </c>
      <c r="AB26" s="481">
        <f t="shared" si="7"/>
        <v>295.65759291505</v>
      </c>
      <c r="AC26" s="482"/>
      <c r="AD26" s="482"/>
      <c r="AE26" s="483"/>
      <c r="AF26" s="483"/>
      <c r="AG26" s="482">
        <f t="shared" si="32"/>
        <v>1040632.32031967</v>
      </c>
      <c r="AH26" s="484"/>
      <c r="AI26" s="463">
        <f>V26*1.5</f>
        <v>14013</v>
      </c>
    </row>
    <row r="27" s="404" customFormat="1" customHeight="1" spans="1:35">
      <c r="A27" s="464"/>
      <c r="B27" s="475"/>
      <c r="C27" s="466">
        <v>0.0452479338842975</v>
      </c>
      <c r="D27" s="485" t="s">
        <v>3941</v>
      </c>
      <c r="E27" s="509" t="s">
        <v>3939</v>
      </c>
      <c r="F27" s="469">
        <v>3000</v>
      </c>
      <c r="G27" s="517">
        <v>0.00271739130434783</v>
      </c>
      <c r="H27" s="471">
        <f t="shared" si="28"/>
        <v>1104000</v>
      </c>
      <c r="I27" s="472">
        <v>14.3</v>
      </c>
      <c r="J27" s="473" t="s">
        <v>3919</v>
      </c>
      <c r="K27" s="474">
        <f t="shared" si="29"/>
        <v>24398904.109589</v>
      </c>
      <c r="L27" s="475"/>
      <c r="M27" s="476">
        <f t="shared" si="10"/>
        <v>102.593173396515</v>
      </c>
      <c r="N27" s="453">
        <v>240</v>
      </c>
      <c r="O27" s="453"/>
      <c r="P27" s="453"/>
      <c r="Q27" s="453"/>
      <c r="R27" s="453"/>
      <c r="S27" s="453"/>
      <c r="T27" s="453"/>
      <c r="U27" s="453"/>
      <c r="V27" s="518">
        <f t="shared" si="3"/>
        <v>3432</v>
      </c>
      <c r="W27" s="477"/>
      <c r="X27" s="478">
        <f t="shared" si="11"/>
        <v>240</v>
      </c>
      <c r="Y27" s="479">
        <f t="shared" si="30"/>
        <v>88319.9999999999</v>
      </c>
      <c r="Z27" s="474">
        <f t="shared" si="5"/>
        <v>38914</v>
      </c>
      <c r="AA27" s="480">
        <f t="shared" si="6"/>
        <v>105.744565217391</v>
      </c>
      <c r="AB27" s="481">
        <f t="shared" si="7"/>
        <v>134.255434782609</v>
      </c>
      <c r="AC27" s="482"/>
      <c r="AD27" s="482"/>
      <c r="AE27" s="483"/>
      <c r="AF27" s="483"/>
      <c r="AG27" s="482">
        <f t="shared" si="32"/>
        <v>1091895.15981735</v>
      </c>
      <c r="AH27" s="519"/>
      <c r="AI27" s="463">
        <f t="shared" ref="AI27:AI32" si="33">1500</f>
        <v>1500</v>
      </c>
    </row>
    <row r="28" s="404" customFormat="1" customHeight="1" spans="1:35">
      <c r="A28" s="487"/>
      <c r="B28" s="498"/>
      <c r="C28" s="489">
        <v>0.0452479338842975</v>
      </c>
      <c r="D28" s="490"/>
      <c r="E28" s="520" t="s">
        <v>3665</v>
      </c>
      <c r="F28" s="492"/>
      <c r="G28" s="493">
        <v>1</v>
      </c>
      <c r="H28" s="494"/>
      <c r="I28" s="495">
        <v>1.0382915</v>
      </c>
      <c r="J28" s="496" t="s">
        <v>3919</v>
      </c>
      <c r="K28" s="497"/>
      <c r="L28" s="498"/>
      <c r="M28" s="499">
        <f t="shared" si="10"/>
        <v>37754.2878099173</v>
      </c>
      <c r="N28" s="500">
        <f>ROUNDUP($AC$4*$C28,0)</f>
        <v>38914</v>
      </c>
      <c r="O28" s="500">
        <v>19909</v>
      </c>
      <c r="P28" s="500">
        <v>19909</v>
      </c>
      <c r="Q28" s="500">
        <v>27149</v>
      </c>
      <c r="R28" s="500"/>
      <c r="S28" s="500"/>
      <c r="T28" s="500"/>
      <c r="U28" s="500"/>
      <c r="V28" s="501">
        <f t="shared" si="3"/>
        <v>109935.3423115</v>
      </c>
      <c r="W28" s="502"/>
      <c r="X28" s="503">
        <f t="shared" si="11"/>
        <v>105881</v>
      </c>
      <c r="Y28" s="504"/>
      <c r="Z28" s="497">
        <f t="shared" si="5"/>
        <v>38914</v>
      </c>
      <c r="AA28" s="505">
        <f t="shared" si="6"/>
        <v>38914</v>
      </c>
      <c r="AB28" s="506">
        <f t="shared" si="7"/>
        <v>66967</v>
      </c>
      <c r="AC28" s="507"/>
      <c r="AD28" s="507"/>
      <c r="AE28" s="508"/>
      <c r="AF28" s="508"/>
      <c r="AG28" s="507"/>
    </row>
    <row r="29" s="404" customFormat="1" ht="97.5" customHeight="1" spans="1:35">
      <c r="A29" s="521"/>
      <c r="B29" s="522" t="s">
        <v>3942</v>
      </c>
      <c r="C29" s="523">
        <v>0.0452479338842975</v>
      </c>
      <c r="D29" s="524" t="s">
        <v>3943</v>
      </c>
      <c r="E29" s="522"/>
      <c r="F29" s="525"/>
      <c r="G29" s="526"/>
      <c r="H29" s="527"/>
      <c r="I29" s="528"/>
      <c r="J29" s="529"/>
      <c r="K29" s="530"/>
      <c r="L29" s="525"/>
      <c r="M29" s="531"/>
      <c r="N29" s="532"/>
      <c r="O29" s="532"/>
      <c r="P29" s="532"/>
      <c r="Q29" s="532"/>
      <c r="R29" s="532"/>
      <c r="S29" s="532"/>
      <c r="T29" s="532"/>
      <c r="U29" s="532"/>
      <c r="V29" s="533">
        <f t="shared" si="3"/>
        <v>0</v>
      </c>
      <c r="W29" s="534"/>
      <c r="X29" s="503">
        <f t="shared" si="11"/>
        <v>0</v>
      </c>
      <c r="Y29" s="535"/>
      <c r="Z29" s="497" t="s">
        <v>3291</v>
      </c>
      <c r="AA29" s="536"/>
      <c r="AB29" s="537">
        <f t="shared" si="7"/>
        <v>0</v>
      </c>
      <c r="AC29" s="538">
        <f t="shared" si="31"/>
        <v>38913.2231404959</v>
      </c>
      <c r="AD29" s="538"/>
      <c r="AE29" s="539"/>
      <c r="AF29" s="539"/>
      <c r="AG29" s="538"/>
    </row>
    <row r="30" s="404" customFormat="1" customHeight="1" spans="1:35">
      <c r="A30" s="439"/>
      <c r="B30" s="540" t="s">
        <v>3944</v>
      </c>
      <c r="C30" s="441">
        <v>0.00454545454545455</v>
      </c>
      <c r="D30" s="513" t="s">
        <v>3945</v>
      </c>
      <c r="E30" s="443" t="s">
        <v>3909</v>
      </c>
      <c r="F30" s="444">
        <v>3000</v>
      </c>
      <c r="G30" s="541">
        <v>0.00625</v>
      </c>
      <c r="H30" s="446">
        <f t="shared" ref="H30:H32" si="34">F30/G30</f>
        <v>480000</v>
      </c>
      <c r="I30" s="447">
        <v>14.3</v>
      </c>
      <c r="J30" s="448" t="s">
        <v>3919</v>
      </c>
      <c r="K30" s="449">
        <f t="shared" ref="K30:K32" si="35">F30/C30/G30</f>
        <v>105600000</v>
      </c>
      <c r="L30" s="450"/>
      <c r="M30" s="451">
        <f t="shared" ref="M30:M37" si="36">C30*$K$3*G30</f>
        <v>23.7041761363637</v>
      </c>
      <c r="N30" s="452">
        <v>112</v>
      </c>
      <c r="O30" s="452">
        <v>88</v>
      </c>
      <c r="P30" s="452">
        <v>100</v>
      </c>
      <c r="Q30" s="452">
        <v>48</v>
      </c>
      <c r="R30" s="452"/>
      <c r="S30" s="452"/>
      <c r="T30" s="452"/>
      <c r="U30" s="452"/>
      <c r="V30" s="518">
        <f t="shared" si="3"/>
        <v>4976.4</v>
      </c>
      <c r="W30" s="516">
        <f>AA30/(AA30+AA32)</f>
        <v>0.219512195121951</v>
      </c>
      <c r="X30" s="456">
        <f t="shared" si="11"/>
        <v>348</v>
      </c>
      <c r="Y30" s="457">
        <f t="shared" ref="Y30:Y32" si="37">X30/G30</f>
        <v>55680</v>
      </c>
      <c r="Z30" s="449">
        <f t="shared" ref="Z30:Z93" si="38">ROUNDUP($AC$4*C30,0)+AD30+AE30+AF30</f>
        <v>31910</v>
      </c>
      <c r="AA30" s="458">
        <f t="shared" ref="AA30:AA37" si="39">Z30*G30</f>
        <v>199.4375</v>
      </c>
      <c r="AB30" s="459">
        <f t="shared" si="7"/>
        <v>148.5625</v>
      </c>
      <c r="AC30" s="460">
        <f t="shared" si="31"/>
        <v>3909.09090909091</v>
      </c>
      <c r="AD30" s="460">
        <f t="shared" ref="AD30:AD33" si="40">$AD$3</f>
        <v>28000</v>
      </c>
      <c r="AE30" s="461"/>
      <c r="AF30" s="461"/>
      <c r="AG30" s="460">
        <f t="shared" ref="AG30:AG32" si="41">AB30/G30/C30</f>
        <v>5229400</v>
      </c>
      <c r="AH30" s="519"/>
      <c r="AI30" s="463">
        <f t="shared" si="33"/>
        <v>1500</v>
      </c>
    </row>
    <row r="31" s="404" customFormat="1" customHeight="1" spans="1:35">
      <c r="A31" s="464"/>
      <c r="B31" s="509"/>
      <c r="C31" s="466">
        <v>0.00454545454545455</v>
      </c>
      <c r="D31" s="485" t="s">
        <v>3924</v>
      </c>
      <c r="E31" s="468" t="s">
        <v>3946</v>
      </c>
      <c r="F31" s="486">
        <v>2000</v>
      </c>
      <c r="G31" s="470">
        <v>0.000744047619047619</v>
      </c>
      <c r="H31" s="471">
        <f t="shared" si="34"/>
        <v>2688000</v>
      </c>
      <c r="I31" s="472">
        <v>13.56</v>
      </c>
      <c r="J31" s="473" t="s">
        <v>3919</v>
      </c>
      <c r="K31" s="474">
        <f t="shared" si="35"/>
        <v>591360000</v>
      </c>
      <c r="L31" s="509" t="s">
        <v>3926</v>
      </c>
      <c r="M31" s="476">
        <f t="shared" si="36"/>
        <v>2.82192573051948</v>
      </c>
      <c r="N31" s="453">
        <v>20</v>
      </c>
      <c r="O31" s="453">
        <v>4</v>
      </c>
      <c r="P31" s="453">
        <v>12</v>
      </c>
      <c r="Q31" s="453">
        <v>6</v>
      </c>
      <c r="R31" s="453"/>
      <c r="S31" s="453"/>
      <c r="T31" s="453"/>
      <c r="U31" s="453"/>
      <c r="V31" s="454">
        <f t="shared" si="3"/>
        <v>569.52</v>
      </c>
      <c r="W31" s="477">
        <f>AA31/(AA14+AA31+AA48+AA53+AA60+AA65+AA72+AA75)</f>
        <v>0.0458001962197357</v>
      </c>
      <c r="X31" s="478">
        <f t="shared" si="11"/>
        <v>42</v>
      </c>
      <c r="Y31" s="479">
        <f t="shared" si="37"/>
        <v>56448</v>
      </c>
      <c r="Z31" s="474">
        <f t="shared" si="38"/>
        <v>31910</v>
      </c>
      <c r="AA31" s="480">
        <f t="shared" si="39"/>
        <v>23.7425595238095</v>
      </c>
      <c r="AB31" s="481">
        <f t="shared" si="7"/>
        <v>18.2574404761905</v>
      </c>
      <c r="AC31" s="482"/>
      <c r="AD31" s="482">
        <f t="shared" si="40"/>
        <v>28000</v>
      </c>
      <c r="AE31" s="483"/>
      <c r="AF31" s="483"/>
      <c r="AG31" s="482">
        <f t="shared" si="41"/>
        <v>5398360</v>
      </c>
      <c r="AH31" s="511"/>
    </row>
    <row r="32" s="404" customFormat="1" customHeight="1" spans="1:35">
      <c r="A32" s="464"/>
      <c r="B32" s="509"/>
      <c r="C32" s="466">
        <v>0.00454545454545455</v>
      </c>
      <c r="D32" s="485" t="s">
        <v>3945</v>
      </c>
      <c r="E32" s="468" t="s">
        <v>3947</v>
      </c>
      <c r="F32" s="469">
        <v>3000</v>
      </c>
      <c r="G32" s="470">
        <v>0.0222222222222222</v>
      </c>
      <c r="H32" s="471">
        <f t="shared" si="34"/>
        <v>135000</v>
      </c>
      <c r="I32" s="472">
        <v>14.3</v>
      </c>
      <c r="J32" s="473" t="s">
        <v>3919</v>
      </c>
      <c r="K32" s="474">
        <f t="shared" si="35"/>
        <v>29700000</v>
      </c>
      <c r="L32" s="475"/>
      <c r="M32" s="476">
        <f t="shared" si="36"/>
        <v>84.2815151515151</v>
      </c>
      <c r="N32" s="453">
        <v>398</v>
      </c>
      <c r="O32" s="453">
        <v>312</v>
      </c>
      <c r="P32" s="453">
        <v>355</v>
      </c>
      <c r="Q32" s="453">
        <v>172</v>
      </c>
      <c r="R32" s="453"/>
      <c r="S32" s="453"/>
      <c r="T32" s="453"/>
      <c r="U32" s="453"/>
      <c r="V32" s="518">
        <f t="shared" si="3"/>
        <v>17689.1</v>
      </c>
      <c r="W32" s="477">
        <f>AA32/(AA30+AA32)</f>
        <v>0.780487804878049</v>
      </c>
      <c r="X32" s="478">
        <f t="shared" si="11"/>
        <v>1237</v>
      </c>
      <c r="Y32" s="479">
        <f t="shared" si="37"/>
        <v>55665.0000000001</v>
      </c>
      <c r="Z32" s="474">
        <f t="shared" si="38"/>
        <v>31910</v>
      </c>
      <c r="AA32" s="480">
        <f t="shared" si="39"/>
        <v>709.11111111111</v>
      </c>
      <c r="AB32" s="481">
        <f t="shared" si="7"/>
        <v>527.88888888889</v>
      </c>
      <c r="AC32" s="482"/>
      <c r="AD32" s="482">
        <f t="shared" si="40"/>
        <v>28000</v>
      </c>
      <c r="AE32" s="483"/>
      <c r="AF32" s="483"/>
      <c r="AG32" s="482">
        <f t="shared" si="41"/>
        <v>5226100.00000001</v>
      </c>
      <c r="AH32" s="519"/>
      <c r="AI32" s="463">
        <f t="shared" si="33"/>
        <v>1500</v>
      </c>
    </row>
    <row r="33" s="404" customFormat="1" customHeight="1" spans="1:35">
      <c r="A33" s="487"/>
      <c r="B33" s="520"/>
      <c r="C33" s="489">
        <v>0.00454545454545455</v>
      </c>
      <c r="D33" s="490"/>
      <c r="E33" s="491" t="s">
        <v>3665</v>
      </c>
      <c r="F33" s="492"/>
      <c r="G33" s="493">
        <v>1</v>
      </c>
      <c r="H33" s="542"/>
      <c r="I33" s="495">
        <v>2.07451476</v>
      </c>
      <c r="J33" s="496" t="s">
        <v>3919</v>
      </c>
      <c r="K33" s="497"/>
      <c r="L33" s="498"/>
      <c r="M33" s="499">
        <f t="shared" si="36"/>
        <v>3792.66818181819</v>
      </c>
      <c r="N33" s="500">
        <f>ROUNDUP($AC$4*$C33,0)+16000</f>
        <v>19910</v>
      </c>
      <c r="O33" s="500">
        <v>14000</v>
      </c>
      <c r="P33" s="500">
        <v>16000</v>
      </c>
      <c r="Q33" s="500">
        <v>7727</v>
      </c>
      <c r="R33" s="500"/>
      <c r="S33" s="500"/>
      <c r="T33" s="500"/>
      <c r="U33" s="500"/>
      <c r="V33" s="501">
        <f t="shared" si="3"/>
        <v>119568.80722212</v>
      </c>
      <c r="W33" s="502"/>
      <c r="X33" s="503">
        <f t="shared" si="11"/>
        <v>57637</v>
      </c>
      <c r="Y33" s="504"/>
      <c r="Z33" s="497">
        <f t="shared" si="38"/>
        <v>31910</v>
      </c>
      <c r="AA33" s="505">
        <f t="shared" si="39"/>
        <v>31910</v>
      </c>
      <c r="AB33" s="506">
        <f t="shared" si="7"/>
        <v>25727</v>
      </c>
      <c r="AC33" s="507"/>
      <c r="AD33" s="507">
        <f t="shared" si="40"/>
        <v>28000</v>
      </c>
      <c r="AE33" s="508"/>
      <c r="AF33" s="508"/>
      <c r="AG33" s="507"/>
    </row>
    <row r="34" s="404" customFormat="1" customHeight="1" spans="1:35">
      <c r="A34" s="439"/>
      <c r="B34" s="440" t="s">
        <v>3948</v>
      </c>
      <c r="C34" s="441">
        <v>0.0452479338842975</v>
      </c>
      <c r="D34" s="442" t="s">
        <v>3949</v>
      </c>
      <c r="E34" s="443" t="s">
        <v>3950</v>
      </c>
      <c r="F34" s="444">
        <v>2000</v>
      </c>
      <c r="G34" s="445">
        <v>0.00558574879227</v>
      </c>
      <c r="H34" s="446">
        <f t="shared" ref="H34:H36" si="42">F34/G34</f>
        <v>358054.054054088</v>
      </c>
      <c r="I34" s="447">
        <f t="shared" ref="I34:I36" si="43">32.3</f>
        <v>32.3</v>
      </c>
      <c r="J34" s="448" t="s">
        <v>3919</v>
      </c>
      <c r="K34" s="449">
        <f t="shared" ref="K34:K36" si="44">F34/C34/G34</f>
        <v>7913158.0895972</v>
      </c>
      <c r="L34" s="450"/>
      <c r="M34" s="451">
        <f t="shared" si="36"/>
        <v>210.88596753726</v>
      </c>
      <c r="N34" s="452">
        <v>107</v>
      </c>
      <c r="O34" s="452">
        <v>111</v>
      </c>
      <c r="P34" s="452">
        <v>111</v>
      </c>
      <c r="Q34" s="452">
        <v>152</v>
      </c>
      <c r="R34" s="452"/>
      <c r="S34" s="452"/>
      <c r="T34" s="452"/>
      <c r="U34" s="452"/>
      <c r="V34" s="454">
        <f t="shared" si="3"/>
        <v>15536.3</v>
      </c>
      <c r="W34" s="455"/>
      <c r="X34" s="456">
        <f t="shared" si="11"/>
        <v>481</v>
      </c>
      <c r="Y34" s="457">
        <f t="shared" ref="Y34:Y36" si="45">X34/G34</f>
        <v>86112.0000000082</v>
      </c>
      <c r="Z34" s="449">
        <f t="shared" si="38"/>
        <v>38914</v>
      </c>
      <c r="AA34" s="458">
        <f t="shared" si="39"/>
        <v>217.363828502395</v>
      </c>
      <c r="AB34" s="459">
        <f t="shared" si="7"/>
        <v>263.636171497605</v>
      </c>
      <c r="AC34" s="460">
        <f t="shared" ref="AC34:AC40" si="46">$AC$4*C34</f>
        <v>38913.2231404959</v>
      </c>
      <c r="AD34" s="460"/>
      <c r="AE34" s="461"/>
      <c r="AF34" s="461"/>
      <c r="AG34" s="460">
        <f t="shared" ref="AG34:AG36" si="47">AB34/G34/C34</f>
        <v>1043097.35159835</v>
      </c>
      <c r="AH34" s="484"/>
      <c r="AI34" s="463">
        <f t="shared" ref="AI34:AI36" si="48">V34*1.5</f>
        <v>23304.45</v>
      </c>
    </row>
    <row r="35" s="404" customFormat="1" customHeight="1" spans="1:35">
      <c r="A35" s="464"/>
      <c r="B35" s="509"/>
      <c r="C35" s="466">
        <v>0.0452479338842975</v>
      </c>
      <c r="D35" s="485" t="s">
        <v>3949</v>
      </c>
      <c r="E35" s="468" t="s">
        <v>3951</v>
      </c>
      <c r="F35" s="486">
        <v>2000</v>
      </c>
      <c r="G35" s="470">
        <v>0.00248015873015873</v>
      </c>
      <c r="H35" s="471">
        <f t="shared" si="42"/>
        <v>806400</v>
      </c>
      <c r="I35" s="472">
        <f t="shared" si="43"/>
        <v>32.3</v>
      </c>
      <c r="J35" s="473" t="s">
        <v>3919</v>
      </c>
      <c r="K35" s="474">
        <f t="shared" si="44"/>
        <v>17821808.2191781</v>
      </c>
      <c r="L35" s="475"/>
      <c r="M35" s="476">
        <f t="shared" si="36"/>
        <v>93.6366265126918</v>
      </c>
      <c r="N35" s="453">
        <v>48</v>
      </c>
      <c r="O35" s="453">
        <v>49</v>
      </c>
      <c r="P35" s="453">
        <v>49</v>
      </c>
      <c r="Q35" s="453">
        <v>68</v>
      </c>
      <c r="R35" s="453"/>
      <c r="S35" s="453"/>
      <c r="T35" s="453"/>
      <c r="U35" s="453"/>
      <c r="V35" s="454">
        <f t="shared" si="3"/>
        <v>6912.2</v>
      </c>
      <c r="W35" s="477"/>
      <c r="X35" s="478">
        <f t="shared" si="11"/>
        <v>214</v>
      </c>
      <c r="Y35" s="479">
        <f t="shared" si="45"/>
        <v>86284.8</v>
      </c>
      <c r="Z35" s="474">
        <f t="shared" si="38"/>
        <v>38914</v>
      </c>
      <c r="AA35" s="480">
        <f t="shared" si="39"/>
        <v>96.5128968253968</v>
      </c>
      <c r="AB35" s="481">
        <f t="shared" si="7"/>
        <v>117.487103174603</v>
      </c>
      <c r="AC35" s="482"/>
      <c r="AD35" s="482"/>
      <c r="AE35" s="483"/>
      <c r="AF35" s="483"/>
      <c r="AG35" s="482">
        <f t="shared" si="47"/>
        <v>1046916.31050228</v>
      </c>
      <c r="AH35" s="484"/>
      <c r="AI35" s="463">
        <f t="shared" si="48"/>
        <v>10368.3</v>
      </c>
    </row>
    <row r="36" s="404" customFormat="1" customHeight="1" spans="1:35">
      <c r="A36" s="464"/>
      <c r="B36" s="509"/>
      <c r="C36" s="466">
        <v>0.0452479338842975</v>
      </c>
      <c r="D36" s="485" t="s">
        <v>3949</v>
      </c>
      <c r="E36" s="468" t="s">
        <v>3952</v>
      </c>
      <c r="F36" s="469">
        <v>2000</v>
      </c>
      <c r="G36" s="543">
        <v>0.00189393939393939</v>
      </c>
      <c r="H36" s="471">
        <f t="shared" si="42"/>
        <v>1056000</v>
      </c>
      <c r="I36" s="472">
        <f t="shared" si="43"/>
        <v>32.3</v>
      </c>
      <c r="J36" s="473" t="s">
        <v>3919</v>
      </c>
      <c r="K36" s="474">
        <f t="shared" si="44"/>
        <v>23338082.1917809</v>
      </c>
      <c r="L36" s="475"/>
      <c r="M36" s="476">
        <f t="shared" si="36"/>
        <v>71.5043329733281</v>
      </c>
      <c r="N36" s="453">
        <v>36</v>
      </c>
      <c r="O36" s="453">
        <v>38</v>
      </c>
      <c r="P36" s="453">
        <v>38</v>
      </c>
      <c r="Q36" s="453">
        <v>51</v>
      </c>
      <c r="R36" s="453"/>
      <c r="S36" s="453"/>
      <c r="T36" s="453"/>
      <c r="U36" s="453"/>
      <c r="V36" s="454">
        <f t="shared" si="3"/>
        <v>5264.9</v>
      </c>
      <c r="W36" s="477"/>
      <c r="X36" s="478">
        <f t="shared" si="11"/>
        <v>163</v>
      </c>
      <c r="Y36" s="479">
        <f t="shared" si="45"/>
        <v>86064.0000000002</v>
      </c>
      <c r="Z36" s="474">
        <f t="shared" si="38"/>
        <v>38914</v>
      </c>
      <c r="AA36" s="480">
        <f t="shared" si="39"/>
        <v>73.7007575757574</v>
      </c>
      <c r="AB36" s="481">
        <f t="shared" si="7"/>
        <v>89.2992424242426</v>
      </c>
      <c r="AC36" s="482"/>
      <c r="AD36" s="482"/>
      <c r="AE36" s="483"/>
      <c r="AF36" s="483"/>
      <c r="AG36" s="482">
        <f t="shared" si="47"/>
        <v>1042036.52968037</v>
      </c>
      <c r="AH36" s="484"/>
      <c r="AI36" s="463">
        <f t="shared" si="48"/>
        <v>7897.35</v>
      </c>
    </row>
    <row r="37" s="404" customFormat="1" customHeight="1" spans="1:35">
      <c r="A37" s="487"/>
      <c r="B37" s="520"/>
      <c r="C37" s="489">
        <v>0.0452479338842975</v>
      </c>
      <c r="D37" s="544"/>
      <c r="E37" s="491" t="s">
        <v>3665</v>
      </c>
      <c r="F37" s="492"/>
      <c r="G37" s="493">
        <v>1</v>
      </c>
      <c r="H37" s="494"/>
      <c r="I37" s="495">
        <v>0.8624087</v>
      </c>
      <c r="J37" s="496" t="s">
        <v>3919</v>
      </c>
      <c r="K37" s="497"/>
      <c r="L37" s="498"/>
      <c r="M37" s="499">
        <f t="shared" si="36"/>
        <v>37754.2878099173</v>
      </c>
      <c r="N37" s="500">
        <f t="shared" ref="N37:N39" si="49">ROUNDUP($AC$4*$C37,0)</f>
        <v>38914</v>
      </c>
      <c r="O37" s="500">
        <v>19909</v>
      </c>
      <c r="P37" s="500">
        <v>19909</v>
      </c>
      <c r="Q37" s="500">
        <v>27149</v>
      </c>
      <c r="R37" s="500"/>
      <c r="S37" s="500"/>
      <c r="T37" s="500"/>
      <c r="U37" s="500"/>
      <c r="V37" s="501">
        <f t="shared" si="3"/>
        <v>91312.6955647</v>
      </c>
      <c r="W37" s="502"/>
      <c r="X37" s="503">
        <f t="shared" si="11"/>
        <v>105881</v>
      </c>
      <c r="Y37" s="504"/>
      <c r="Z37" s="497">
        <f t="shared" si="38"/>
        <v>38914</v>
      </c>
      <c r="AA37" s="505">
        <f t="shared" si="39"/>
        <v>38914</v>
      </c>
      <c r="AB37" s="506">
        <f t="shared" si="7"/>
        <v>66967</v>
      </c>
      <c r="AC37" s="507"/>
      <c r="AD37" s="507"/>
      <c r="AE37" s="508"/>
      <c r="AF37" s="508"/>
      <c r="AG37" s="507"/>
    </row>
    <row r="38" s="404" customFormat="1" ht="97.5" customHeight="1" spans="1:35">
      <c r="A38" s="521"/>
      <c r="B38" s="522" t="s">
        <v>3953</v>
      </c>
      <c r="C38" s="523">
        <v>0.0452479338842975</v>
      </c>
      <c r="D38" s="524"/>
      <c r="E38" s="491" t="s">
        <v>3665</v>
      </c>
      <c r="F38" s="525"/>
      <c r="G38" s="526">
        <v>1</v>
      </c>
      <c r="H38" s="527"/>
      <c r="I38" s="528">
        <v>0.2393514</v>
      </c>
      <c r="J38" s="529" t="s">
        <v>3919</v>
      </c>
      <c r="K38" s="530"/>
      <c r="L38" s="525"/>
      <c r="M38" s="531"/>
      <c r="N38" s="500">
        <f t="shared" si="49"/>
        <v>38914</v>
      </c>
      <c r="O38" s="532"/>
      <c r="P38" s="532">
        <v>19909</v>
      </c>
      <c r="Q38" s="532">
        <v>27149</v>
      </c>
      <c r="R38" s="532"/>
      <c r="S38" s="532"/>
      <c r="T38" s="532"/>
      <c r="U38" s="532"/>
      <c r="V38" s="533">
        <f t="shared" si="3"/>
        <v>20577.5185608</v>
      </c>
      <c r="W38" s="534"/>
      <c r="X38" s="503">
        <f t="shared" si="11"/>
        <v>85972</v>
      </c>
      <c r="Y38" s="535"/>
      <c r="Z38" s="497">
        <f t="shared" si="38"/>
        <v>38914</v>
      </c>
      <c r="AA38" s="536"/>
      <c r="AB38" s="537">
        <f t="shared" si="7"/>
        <v>85972</v>
      </c>
      <c r="AC38" s="538">
        <f t="shared" si="46"/>
        <v>38913.2231404959</v>
      </c>
      <c r="AD38" s="538"/>
      <c r="AE38" s="539"/>
      <c r="AF38" s="539"/>
      <c r="AG38" s="538"/>
    </row>
    <row r="39" s="404" customFormat="1" ht="97.5" customHeight="1" spans="1:35">
      <c r="A39" s="521"/>
      <c r="B39" s="522" t="s">
        <v>3954</v>
      </c>
      <c r="C39" s="523">
        <v>0.0452479338842975</v>
      </c>
      <c r="D39" s="524"/>
      <c r="E39" s="491" t="s">
        <v>3665</v>
      </c>
      <c r="F39" s="525"/>
      <c r="G39" s="526">
        <v>1</v>
      </c>
      <c r="H39" s="527"/>
      <c r="I39" s="528">
        <v>0.4390066</v>
      </c>
      <c r="J39" s="529" t="s">
        <v>3919</v>
      </c>
      <c r="K39" s="530"/>
      <c r="L39" s="525"/>
      <c r="M39" s="531"/>
      <c r="N39" s="500">
        <f t="shared" si="49"/>
        <v>38914</v>
      </c>
      <c r="O39" s="532"/>
      <c r="P39" s="532">
        <v>19909</v>
      </c>
      <c r="Q39" s="532">
        <v>27149</v>
      </c>
      <c r="R39" s="532"/>
      <c r="S39" s="532"/>
      <c r="T39" s="532"/>
      <c r="U39" s="532"/>
      <c r="V39" s="533">
        <f t="shared" si="3"/>
        <v>37742.2754152</v>
      </c>
      <c r="W39" s="534"/>
      <c r="X39" s="503">
        <f t="shared" si="11"/>
        <v>85972</v>
      </c>
      <c r="Y39" s="535"/>
      <c r="Z39" s="497">
        <f t="shared" si="38"/>
        <v>38914</v>
      </c>
      <c r="AA39" s="536"/>
      <c r="AB39" s="537">
        <f t="shared" si="7"/>
        <v>85972</v>
      </c>
      <c r="AC39" s="538">
        <f t="shared" si="46"/>
        <v>38913.2231404959</v>
      </c>
      <c r="AD39" s="538"/>
      <c r="AE39" s="539"/>
      <c r="AF39" s="539"/>
      <c r="AG39" s="538"/>
    </row>
    <row r="40" s="404" customFormat="1" customHeight="1" spans="1:35">
      <c r="A40" s="439"/>
      <c r="B40" s="440" t="s">
        <v>3955</v>
      </c>
      <c r="C40" s="441">
        <v>0.0452479338842975</v>
      </c>
      <c r="D40" s="442" t="s">
        <v>3956</v>
      </c>
      <c r="E40" s="443" t="s">
        <v>3957</v>
      </c>
      <c r="F40" s="444">
        <v>500</v>
      </c>
      <c r="G40" s="514">
        <v>0.00771604938271605</v>
      </c>
      <c r="H40" s="446">
        <f t="shared" ref="H40:H43" si="50">F40/G40</f>
        <v>64800</v>
      </c>
      <c r="I40" s="447">
        <v>27</v>
      </c>
      <c r="J40" s="448" t="s">
        <v>3919</v>
      </c>
      <c r="K40" s="449">
        <f t="shared" ref="K40:K43" si="51">F40/C40/G40</f>
        <v>1432109.5890411</v>
      </c>
      <c r="L40" s="440" t="s">
        <v>3958</v>
      </c>
      <c r="M40" s="451">
        <f t="shared" ref="M40:M66" si="52">C40*$K$3*G40</f>
        <v>291.313949150597</v>
      </c>
      <c r="N40" s="452">
        <v>271</v>
      </c>
      <c r="O40" s="452">
        <v>246</v>
      </c>
      <c r="P40" s="452">
        <v>261</v>
      </c>
      <c r="Q40" s="452">
        <v>249</v>
      </c>
      <c r="R40" s="452"/>
      <c r="S40" s="452"/>
      <c r="T40" s="452"/>
      <c r="U40" s="452"/>
      <c r="V40" s="454">
        <f t="shared" si="3"/>
        <v>27729</v>
      </c>
      <c r="W40" s="455">
        <f>155/443</f>
        <v>0.349887133182844</v>
      </c>
      <c r="X40" s="456">
        <f t="shared" si="11"/>
        <v>1027</v>
      </c>
      <c r="Y40" s="457">
        <f t="shared" ref="Y40:Y43" si="53">X40/G40</f>
        <v>133099.2</v>
      </c>
      <c r="Z40" s="449">
        <f t="shared" si="38"/>
        <v>66914</v>
      </c>
      <c r="AA40" s="458">
        <f t="shared" ref="AA40:AA66" si="54">Z40*G40</f>
        <v>516.311728395062</v>
      </c>
      <c r="AB40" s="459">
        <f t="shared" si="7"/>
        <v>510.688271604938</v>
      </c>
      <c r="AC40" s="460">
        <f t="shared" si="46"/>
        <v>38913.2231404959</v>
      </c>
      <c r="AD40" s="460">
        <f t="shared" ref="AD40:AD42" si="55">$AD$3</f>
        <v>28000</v>
      </c>
      <c r="AE40" s="461"/>
      <c r="AF40" s="461"/>
      <c r="AG40" s="460">
        <f t="shared" ref="AG40:AG43" si="56">AB40/G40/C40</f>
        <v>1462723.14155251</v>
      </c>
    </row>
    <row r="41" s="404" customFormat="1" customHeight="1" spans="1:35">
      <c r="A41" s="464"/>
      <c r="B41" s="509"/>
      <c r="C41" s="466">
        <v>0.0452479338842975</v>
      </c>
      <c r="D41" s="485" t="s">
        <v>3956</v>
      </c>
      <c r="E41" s="468" t="s">
        <v>3951</v>
      </c>
      <c r="F41" s="469">
        <v>500</v>
      </c>
      <c r="G41" s="517">
        <v>0.00629340277777778</v>
      </c>
      <c r="H41" s="471">
        <f t="shared" si="50"/>
        <v>79448.2758620689</v>
      </c>
      <c r="I41" s="472">
        <v>27</v>
      </c>
      <c r="J41" s="473" t="s">
        <v>3919</v>
      </c>
      <c r="K41" s="474">
        <f t="shared" si="51"/>
        <v>1755843.17430326</v>
      </c>
      <c r="L41" s="545"/>
      <c r="M41" s="476">
        <f t="shared" si="52"/>
        <v>237.602939775956</v>
      </c>
      <c r="N41" s="453">
        <v>221</v>
      </c>
      <c r="O41" s="453">
        <v>201</v>
      </c>
      <c r="P41" s="453">
        <v>213</v>
      </c>
      <c r="Q41" s="453">
        <v>202</v>
      </c>
      <c r="R41" s="453"/>
      <c r="S41" s="453"/>
      <c r="T41" s="453"/>
      <c r="U41" s="453"/>
      <c r="V41" s="454">
        <f t="shared" si="3"/>
        <v>22599</v>
      </c>
      <c r="W41" s="477">
        <f>126/443</f>
        <v>0.284424379232506</v>
      </c>
      <c r="X41" s="478">
        <f t="shared" si="11"/>
        <v>837</v>
      </c>
      <c r="Y41" s="479">
        <f t="shared" si="53"/>
        <v>132996.413793103</v>
      </c>
      <c r="Z41" s="474">
        <f t="shared" si="38"/>
        <v>66914</v>
      </c>
      <c r="AA41" s="480">
        <f t="shared" si="54"/>
        <v>421.116753472222</v>
      </c>
      <c r="AB41" s="481">
        <f t="shared" si="7"/>
        <v>415.883246527778</v>
      </c>
      <c r="AC41" s="482"/>
      <c r="AD41" s="482">
        <f t="shared" si="55"/>
        <v>28000</v>
      </c>
      <c r="AE41" s="483"/>
      <c r="AF41" s="483"/>
      <c r="AG41" s="482">
        <f t="shared" si="56"/>
        <v>1460451.51944576</v>
      </c>
    </row>
    <row r="42" s="404" customFormat="1" customHeight="1" spans="1:35">
      <c r="A42" s="487"/>
      <c r="B42" s="520"/>
      <c r="C42" s="489">
        <v>0.0452479338842975</v>
      </c>
      <c r="D42" s="490"/>
      <c r="E42" s="491" t="s">
        <v>3665</v>
      </c>
      <c r="F42" s="492"/>
      <c r="G42" s="493">
        <v>1</v>
      </c>
      <c r="H42" s="494"/>
      <c r="I42" s="495">
        <v>0.72969938</v>
      </c>
      <c r="J42" s="496" t="s">
        <v>3919</v>
      </c>
      <c r="K42" s="497"/>
      <c r="L42" s="498"/>
      <c r="M42" s="499">
        <f t="shared" si="52"/>
        <v>37754.2878099173</v>
      </c>
      <c r="N42" s="500">
        <f>ROUNDUP($AC$4*$C42,0)+16000</f>
        <v>54914</v>
      </c>
      <c r="O42" s="500">
        <v>31909</v>
      </c>
      <c r="P42" s="500">
        <v>33909</v>
      </c>
      <c r="Q42" s="500">
        <v>32149</v>
      </c>
      <c r="R42" s="500"/>
      <c r="S42" s="500"/>
      <c r="T42" s="500"/>
      <c r="U42" s="500"/>
      <c r="V42" s="501">
        <f t="shared" si="3"/>
        <v>111557.17091378</v>
      </c>
      <c r="W42" s="502"/>
      <c r="X42" s="503">
        <f t="shared" si="11"/>
        <v>152881</v>
      </c>
      <c r="Y42" s="504"/>
      <c r="Z42" s="497">
        <f t="shared" si="38"/>
        <v>66914</v>
      </c>
      <c r="AA42" s="505">
        <f t="shared" si="54"/>
        <v>66914</v>
      </c>
      <c r="AB42" s="506">
        <f t="shared" si="7"/>
        <v>85967</v>
      </c>
      <c r="AC42" s="507"/>
      <c r="AD42" s="507">
        <f t="shared" si="55"/>
        <v>28000</v>
      </c>
      <c r="AE42" s="508"/>
      <c r="AF42" s="508"/>
      <c r="AG42" s="507"/>
    </row>
    <row r="43" s="404" customFormat="1" ht="40" customHeight="1" spans="1:35">
      <c r="A43" s="439"/>
      <c r="B43" s="440" t="s">
        <v>3959</v>
      </c>
      <c r="C43" s="441">
        <v>0.0452479338842975</v>
      </c>
      <c r="D43" s="443" t="s">
        <v>3960</v>
      </c>
      <c r="E43" s="443" t="s">
        <v>3961</v>
      </c>
      <c r="F43" s="444">
        <v>500</v>
      </c>
      <c r="G43" s="445">
        <v>0.00962631429383</v>
      </c>
      <c r="H43" s="446">
        <f t="shared" si="50"/>
        <v>51940.9594096128</v>
      </c>
      <c r="I43" s="447">
        <v>27</v>
      </c>
      <c r="J43" s="448" t="s">
        <v>3919</v>
      </c>
      <c r="K43" s="449">
        <f t="shared" si="51"/>
        <v>1147918.92028551</v>
      </c>
      <c r="L43" s="450"/>
      <c r="M43" s="451">
        <f t="shared" si="52"/>
        <v>363.434640397979</v>
      </c>
      <c r="N43" s="452">
        <v>500</v>
      </c>
      <c r="O43" s="452"/>
      <c r="P43" s="452">
        <v>500</v>
      </c>
      <c r="Q43" s="452"/>
      <c r="R43" s="452"/>
      <c r="S43" s="452"/>
      <c r="T43" s="452"/>
      <c r="U43" s="452"/>
      <c r="V43" s="454">
        <f t="shared" si="3"/>
        <v>27000</v>
      </c>
      <c r="W43" s="516"/>
      <c r="X43" s="456">
        <f t="shared" si="11"/>
        <v>1000</v>
      </c>
      <c r="Y43" s="457">
        <f t="shared" si="53"/>
        <v>103881.918819226</v>
      </c>
      <c r="Z43" s="449">
        <f t="shared" si="38"/>
        <v>38914</v>
      </c>
      <c r="AA43" s="458">
        <f t="shared" si="54"/>
        <v>374.598394430101</v>
      </c>
      <c r="AB43" s="459">
        <f t="shared" si="7"/>
        <v>625.401605569899</v>
      </c>
      <c r="AC43" s="460">
        <f>$AC$4*C43</f>
        <v>38913.2231404959</v>
      </c>
      <c r="AD43" s="460"/>
      <c r="AE43" s="461"/>
      <c r="AF43" s="461"/>
      <c r="AG43" s="460">
        <f t="shared" si="56"/>
        <v>1435820.67162124</v>
      </c>
    </row>
    <row r="44" s="404" customFormat="1" ht="40" customHeight="1" spans="1:35">
      <c r="A44" s="487"/>
      <c r="B44" s="520"/>
      <c r="C44" s="489">
        <v>0.0452479338842975</v>
      </c>
      <c r="D44" s="491"/>
      <c r="E44" s="491" t="s">
        <v>3665</v>
      </c>
      <c r="F44" s="492"/>
      <c r="G44" s="493">
        <v>1</v>
      </c>
      <c r="H44" s="494"/>
      <c r="I44" s="495">
        <v>0.80198272</v>
      </c>
      <c r="J44" s="496" t="s">
        <v>3919</v>
      </c>
      <c r="K44" s="497"/>
      <c r="L44" s="498"/>
      <c r="M44" s="499">
        <f t="shared" si="52"/>
        <v>37754.2878099173</v>
      </c>
      <c r="N44" s="500">
        <f>ROUNDUP($AC$4*$C44,0)</f>
        <v>38914</v>
      </c>
      <c r="O44" s="500">
        <v>19909</v>
      </c>
      <c r="P44" s="500">
        <v>19909</v>
      </c>
      <c r="Q44" s="500">
        <v>27149</v>
      </c>
      <c r="R44" s="500"/>
      <c r="S44" s="500"/>
      <c r="T44" s="500"/>
      <c r="U44" s="500"/>
      <c r="V44" s="501">
        <f t="shared" si="3"/>
        <v>84914.73237632</v>
      </c>
      <c r="W44" s="502"/>
      <c r="X44" s="503">
        <f t="shared" si="11"/>
        <v>105881</v>
      </c>
      <c r="Y44" s="504"/>
      <c r="Z44" s="497">
        <f t="shared" si="38"/>
        <v>38914</v>
      </c>
      <c r="AA44" s="505">
        <f t="shared" si="54"/>
        <v>38914</v>
      </c>
      <c r="AB44" s="506">
        <f t="shared" si="7"/>
        <v>66967</v>
      </c>
      <c r="AC44" s="507"/>
      <c r="AD44" s="507"/>
      <c r="AE44" s="508"/>
      <c r="AF44" s="508"/>
      <c r="AG44" s="507"/>
    </row>
    <row r="45" s="404" customFormat="1" customHeight="1" spans="1:35">
      <c r="A45" s="439"/>
      <c r="B45" s="440" t="s">
        <v>3962</v>
      </c>
      <c r="C45" s="441">
        <v>0.0452479338842975</v>
      </c>
      <c r="D45" s="546" t="s">
        <v>3917</v>
      </c>
      <c r="E45" s="443" t="s">
        <v>3909</v>
      </c>
      <c r="F45" s="444">
        <v>500</v>
      </c>
      <c r="G45" s="445">
        <v>0.00555555555555556</v>
      </c>
      <c r="H45" s="446">
        <f t="shared" ref="H45:H48" si="57">F45/G45</f>
        <v>89999.9999999999</v>
      </c>
      <c r="I45" s="447">
        <v>27</v>
      </c>
      <c r="J45" s="448" t="s">
        <v>3919</v>
      </c>
      <c r="K45" s="449">
        <f t="shared" ref="K45:K48" si="58">F45/C45/G45</f>
        <v>1989041.09589041</v>
      </c>
      <c r="L45" s="515" t="s">
        <v>3920</v>
      </c>
      <c r="M45" s="451">
        <f t="shared" si="52"/>
        <v>209.74604338843</v>
      </c>
      <c r="N45" s="452">
        <v>112</v>
      </c>
      <c r="O45" s="452">
        <v>110</v>
      </c>
      <c r="P45" s="452">
        <v>111</v>
      </c>
      <c r="Q45" s="452">
        <v>156</v>
      </c>
      <c r="R45" s="452"/>
      <c r="S45" s="452"/>
      <c r="T45" s="452"/>
      <c r="U45" s="452"/>
      <c r="V45" s="454">
        <f t="shared" si="3"/>
        <v>13203</v>
      </c>
      <c r="W45" s="455"/>
      <c r="X45" s="456">
        <f t="shared" si="11"/>
        <v>489</v>
      </c>
      <c r="Y45" s="457">
        <f t="shared" ref="Y45:Y48" si="59">X45/G45</f>
        <v>88019.9999999999</v>
      </c>
      <c r="Z45" s="449">
        <f t="shared" si="38"/>
        <v>39914</v>
      </c>
      <c r="AA45" s="458">
        <f t="shared" si="54"/>
        <v>221.744444444445</v>
      </c>
      <c r="AB45" s="459">
        <f t="shared" si="7"/>
        <v>267.255555555555</v>
      </c>
      <c r="AC45" s="460">
        <f>$AC$4*C45</f>
        <v>38913.2231404959</v>
      </c>
      <c r="AD45" s="460"/>
      <c r="AE45" s="461"/>
      <c r="AF45" s="461">
        <v>1000</v>
      </c>
      <c r="AG45" s="460">
        <f t="shared" ref="AG45:AG48" si="60">AB45/G45/C45</f>
        <v>1063164.56621004</v>
      </c>
    </row>
    <row r="46" s="404" customFormat="1" customHeight="1" spans="1:35">
      <c r="A46" s="464"/>
      <c r="B46" s="509"/>
      <c r="C46" s="466">
        <v>0.0452479338842975</v>
      </c>
      <c r="D46" s="485" t="s">
        <v>3917</v>
      </c>
      <c r="E46" s="468" t="s">
        <v>3951</v>
      </c>
      <c r="F46" s="469">
        <v>500</v>
      </c>
      <c r="G46" s="470">
        <v>0.00254065040650406</v>
      </c>
      <c r="H46" s="471">
        <f t="shared" si="57"/>
        <v>196800</v>
      </c>
      <c r="I46" s="472">
        <v>27</v>
      </c>
      <c r="J46" s="473" t="s">
        <v>3919</v>
      </c>
      <c r="K46" s="474">
        <f t="shared" si="58"/>
        <v>4349369.86301371</v>
      </c>
      <c r="L46" s="475"/>
      <c r="M46" s="476">
        <f t="shared" si="52"/>
        <v>95.9204466715378</v>
      </c>
      <c r="N46" s="453">
        <v>56</v>
      </c>
      <c r="O46" s="453">
        <v>46</v>
      </c>
      <c r="P46" s="453">
        <v>50</v>
      </c>
      <c r="Q46" s="453">
        <v>72</v>
      </c>
      <c r="R46" s="453"/>
      <c r="S46" s="453"/>
      <c r="T46" s="453"/>
      <c r="U46" s="453"/>
      <c r="V46" s="454">
        <f t="shared" si="3"/>
        <v>6048</v>
      </c>
      <c r="W46" s="477"/>
      <c r="X46" s="478">
        <f t="shared" si="11"/>
        <v>224</v>
      </c>
      <c r="Y46" s="479">
        <f t="shared" si="59"/>
        <v>88166.4000000002</v>
      </c>
      <c r="Z46" s="474">
        <f t="shared" si="38"/>
        <v>39914</v>
      </c>
      <c r="AA46" s="480">
        <f t="shared" si="54"/>
        <v>101.407520325203</v>
      </c>
      <c r="AB46" s="481">
        <f t="shared" si="7"/>
        <v>122.592479674797</v>
      </c>
      <c r="AC46" s="482"/>
      <c r="AD46" s="482"/>
      <c r="AE46" s="483"/>
      <c r="AF46" s="483">
        <v>1000</v>
      </c>
      <c r="AG46" s="482">
        <f t="shared" si="60"/>
        <v>1066400.07305937</v>
      </c>
    </row>
    <row r="47" s="404" customFormat="1" customHeight="1" spans="1:35">
      <c r="A47" s="464"/>
      <c r="B47" s="509"/>
      <c r="C47" s="466">
        <v>0.0452479338842975</v>
      </c>
      <c r="D47" s="485" t="s">
        <v>3917</v>
      </c>
      <c r="E47" s="468" t="s">
        <v>3963</v>
      </c>
      <c r="F47" s="469">
        <v>500</v>
      </c>
      <c r="G47" s="470">
        <v>0.00376647834274953</v>
      </c>
      <c r="H47" s="471">
        <f t="shared" si="57"/>
        <v>132750</v>
      </c>
      <c r="I47" s="472">
        <v>27</v>
      </c>
      <c r="J47" s="473" t="s">
        <v>3919</v>
      </c>
      <c r="K47" s="474">
        <f t="shared" si="58"/>
        <v>2933835.61643836</v>
      </c>
      <c r="L47" s="475"/>
      <c r="M47" s="476">
        <f t="shared" si="52"/>
        <v>142.200707381986</v>
      </c>
      <c r="N47" s="453">
        <v>76</v>
      </c>
      <c r="O47" s="453">
        <v>75</v>
      </c>
      <c r="P47" s="453">
        <v>75</v>
      </c>
      <c r="Q47" s="453">
        <v>106</v>
      </c>
      <c r="R47" s="453"/>
      <c r="S47" s="453"/>
      <c r="T47" s="453"/>
      <c r="U47" s="453"/>
      <c r="V47" s="454">
        <f t="shared" si="3"/>
        <v>8964</v>
      </c>
      <c r="W47" s="477"/>
      <c r="X47" s="478">
        <f t="shared" si="11"/>
        <v>332</v>
      </c>
      <c r="Y47" s="479">
        <f t="shared" si="59"/>
        <v>88146</v>
      </c>
      <c r="Z47" s="474">
        <f t="shared" si="38"/>
        <v>39914</v>
      </c>
      <c r="AA47" s="480">
        <f t="shared" si="54"/>
        <v>150.335216572505</v>
      </c>
      <c r="AB47" s="481">
        <f t="shared" si="7"/>
        <v>181.664783427495</v>
      </c>
      <c r="AC47" s="482"/>
      <c r="AD47" s="482"/>
      <c r="AE47" s="483"/>
      <c r="AF47" s="483">
        <v>1000</v>
      </c>
      <c r="AG47" s="482">
        <f t="shared" si="60"/>
        <v>1065949.22374429</v>
      </c>
    </row>
    <row r="48" s="404" customFormat="1" customHeight="1" spans="1:35">
      <c r="A48" s="464"/>
      <c r="B48" s="509"/>
      <c r="C48" s="466">
        <v>0.0452479338842975</v>
      </c>
      <c r="D48" s="485" t="s">
        <v>3924</v>
      </c>
      <c r="E48" s="468" t="s">
        <v>3964</v>
      </c>
      <c r="F48" s="469">
        <v>2000</v>
      </c>
      <c r="G48" s="470">
        <v>0.00185185185185185</v>
      </c>
      <c r="H48" s="471">
        <f t="shared" si="57"/>
        <v>1080000</v>
      </c>
      <c r="I48" s="472">
        <v>13.56</v>
      </c>
      <c r="J48" s="473" t="s">
        <v>3919</v>
      </c>
      <c r="K48" s="474">
        <f t="shared" si="58"/>
        <v>23868493.150685</v>
      </c>
      <c r="L48" s="509" t="s">
        <v>3926</v>
      </c>
      <c r="M48" s="476">
        <f t="shared" si="52"/>
        <v>69.9153477961432</v>
      </c>
      <c r="N48" s="453">
        <f>1200*W48+6</f>
        <v>177.100997868528</v>
      </c>
      <c r="O48" s="453"/>
      <c r="P48" s="453"/>
      <c r="Q48" s="453"/>
      <c r="R48" s="453"/>
      <c r="S48" s="453"/>
      <c r="T48" s="453"/>
      <c r="U48" s="453"/>
      <c r="V48" s="454">
        <f t="shared" si="3"/>
        <v>2401.48953109724</v>
      </c>
      <c r="W48" s="477">
        <f>AA48/(AA14+AA31+AA48+AA53+AA60+AA65+AA72+AA75)</f>
        <v>0.14258416489044</v>
      </c>
      <c r="X48" s="478">
        <f t="shared" si="11"/>
        <v>177.100997868528</v>
      </c>
      <c r="Y48" s="479">
        <f t="shared" si="59"/>
        <v>95634.5388490052</v>
      </c>
      <c r="Z48" s="474">
        <f t="shared" si="38"/>
        <v>39914</v>
      </c>
      <c r="AA48" s="480">
        <f t="shared" si="54"/>
        <v>73.9148148148147</v>
      </c>
      <c r="AB48" s="481">
        <f t="shared" si="7"/>
        <v>103.186183053713</v>
      </c>
      <c r="AC48" s="482"/>
      <c r="AD48" s="482"/>
      <c r="AE48" s="483"/>
      <c r="AF48" s="483">
        <v>1000</v>
      </c>
      <c r="AG48" s="482">
        <f t="shared" si="60"/>
        <v>1231449.35173144</v>
      </c>
      <c r="AH48" s="511"/>
    </row>
    <row r="49" s="404" customFormat="1" customHeight="1" spans="1:35">
      <c r="A49" s="487"/>
      <c r="B49" s="520"/>
      <c r="C49" s="489">
        <v>0.0452479338842975</v>
      </c>
      <c r="D49" s="490"/>
      <c r="E49" s="491" t="s">
        <v>3665</v>
      </c>
      <c r="F49" s="492"/>
      <c r="G49" s="493">
        <v>1</v>
      </c>
      <c r="H49" s="494"/>
      <c r="I49" s="495">
        <v>0.0618</v>
      </c>
      <c r="J49" s="496" t="s">
        <v>3919</v>
      </c>
      <c r="K49" s="497"/>
      <c r="L49" s="498"/>
      <c r="M49" s="499">
        <f t="shared" si="52"/>
        <v>37754.2878099173</v>
      </c>
      <c r="N49" s="500">
        <f>ROUNDUP($AC$4*$C49,0)+1000</f>
        <v>39914</v>
      </c>
      <c r="O49" s="500">
        <v>19909</v>
      </c>
      <c r="P49" s="500">
        <v>19909</v>
      </c>
      <c r="Q49" s="500">
        <v>28149</v>
      </c>
      <c r="R49" s="500"/>
      <c r="S49" s="500"/>
      <c r="T49" s="500"/>
      <c r="U49" s="500"/>
      <c r="V49" s="501">
        <f t="shared" si="3"/>
        <v>6667.0458</v>
      </c>
      <c r="W49" s="502"/>
      <c r="X49" s="503">
        <f t="shared" si="11"/>
        <v>107881</v>
      </c>
      <c r="Y49" s="504"/>
      <c r="Z49" s="497">
        <f t="shared" si="38"/>
        <v>39914</v>
      </c>
      <c r="AA49" s="505">
        <f t="shared" si="54"/>
        <v>39914</v>
      </c>
      <c r="AB49" s="506">
        <f t="shared" si="7"/>
        <v>67967</v>
      </c>
      <c r="AC49" s="507"/>
      <c r="AD49" s="507"/>
      <c r="AE49" s="508"/>
      <c r="AF49" s="508">
        <v>1000</v>
      </c>
      <c r="AG49" s="507"/>
    </row>
    <row r="50" s="404" customFormat="1" ht="40" customHeight="1" spans="1:35">
      <c r="A50" s="439"/>
      <c r="B50" s="440" t="s">
        <v>3965</v>
      </c>
      <c r="C50" s="441">
        <v>0.0452479338842975</v>
      </c>
      <c r="D50" s="442" t="s">
        <v>3966</v>
      </c>
      <c r="E50" s="443" t="s">
        <v>3967</v>
      </c>
      <c r="F50" s="444">
        <v>500</v>
      </c>
      <c r="G50" s="445">
        <v>0.000534188034188034</v>
      </c>
      <c r="H50" s="446">
        <f t="shared" ref="H50:H53" si="61">F50/G50</f>
        <v>936000</v>
      </c>
      <c r="I50" s="447">
        <f>67.5/2.5</f>
        <v>27</v>
      </c>
      <c r="J50" s="448" t="s">
        <v>3919</v>
      </c>
      <c r="K50" s="449">
        <f t="shared" ref="K50:K53" si="62">F50/C50/G50</f>
        <v>20686027.3972603</v>
      </c>
      <c r="L50" s="450"/>
      <c r="M50" s="451">
        <f t="shared" si="52"/>
        <v>20.167888787349</v>
      </c>
      <c r="N50" s="452">
        <v>11</v>
      </c>
      <c r="O50" s="452">
        <v>10</v>
      </c>
      <c r="P50" s="452">
        <v>11</v>
      </c>
      <c r="Q50" s="452">
        <v>15</v>
      </c>
      <c r="R50" s="452"/>
      <c r="S50" s="452"/>
      <c r="T50" s="452"/>
      <c r="U50" s="452"/>
      <c r="V50" s="454">
        <f t="shared" si="3"/>
        <v>1269</v>
      </c>
      <c r="W50" s="455"/>
      <c r="X50" s="456">
        <f t="shared" si="11"/>
        <v>47</v>
      </c>
      <c r="Y50" s="457">
        <f t="shared" ref="Y50:Y53" si="63">X50/G50</f>
        <v>87984</v>
      </c>
      <c r="Z50" s="449">
        <f t="shared" si="38"/>
        <v>38914</v>
      </c>
      <c r="AA50" s="458">
        <f t="shared" si="54"/>
        <v>20.7873931623932</v>
      </c>
      <c r="AB50" s="459">
        <f t="shared" si="7"/>
        <v>26.2126068376068</v>
      </c>
      <c r="AC50" s="460">
        <f t="shared" ref="AC50:AC55" si="64">$AC$4*C50</f>
        <v>38913.2231404959</v>
      </c>
      <c r="AD50" s="460"/>
      <c r="AE50" s="461"/>
      <c r="AF50" s="461"/>
      <c r="AG50" s="460">
        <f t="shared" ref="AG50:AG53" si="65">AB50/G50/C50</f>
        <v>1084469.40639269</v>
      </c>
      <c r="AH50" s="484"/>
      <c r="AI50" s="463">
        <f>V50*1.5</f>
        <v>1903.5</v>
      </c>
    </row>
    <row r="51" s="404" customFormat="1" ht="40" customHeight="1" spans="1:35">
      <c r="A51" s="487"/>
      <c r="B51" s="520"/>
      <c r="C51" s="489">
        <v>0.0452479338842975</v>
      </c>
      <c r="D51" s="490"/>
      <c r="E51" s="491" t="s">
        <v>3665</v>
      </c>
      <c r="F51" s="492"/>
      <c r="G51" s="493">
        <v>1</v>
      </c>
      <c r="H51" s="494"/>
      <c r="I51" s="495">
        <v>0.8070771</v>
      </c>
      <c r="J51" s="496" t="s">
        <v>3919</v>
      </c>
      <c r="K51" s="497"/>
      <c r="L51" s="498"/>
      <c r="M51" s="499">
        <f t="shared" si="52"/>
        <v>37754.2878099173</v>
      </c>
      <c r="N51" s="500">
        <f>ROUNDUP($AC$4*$C51,0)</f>
        <v>38914</v>
      </c>
      <c r="O51" s="500">
        <v>19909</v>
      </c>
      <c r="P51" s="500">
        <v>19909</v>
      </c>
      <c r="Q51" s="500">
        <v>27149</v>
      </c>
      <c r="R51" s="500"/>
      <c r="S51" s="500"/>
      <c r="T51" s="500"/>
      <c r="U51" s="500"/>
      <c r="V51" s="501">
        <f t="shared" si="3"/>
        <v>85454.1304251</v>
      </c>
      <c r="W51" s="502"/>
      <c r="X51" s="503">
        <f t="shared" si="11"/>
        <v>105881</v>
      </c>
      <c r="Y51" s="504"/>
      <c r="Z51" s="497">
        <f t="shared" si="38"/>
        <v>38914</v>
      </c>
      <c r="AA51" s="505">
        <f t="shared" si="54"/>
        <v>38914</v>
      </c>
      <c r="AB51" s="506">
        <f t="shared" si="7"/>
        <v>66967</v>
      </c>
      <c r="AC51" s="507"/>
      <c r="AD51" s="507"/>
      <c r="AE51" s="508"/>
      <c r="AF51" s="508"/>
      <c r="AG51" s="507"/>
    </row>
    <row r="52" s="404" customFormat="1" customHeight="1" spans="1:35">
      <c r="A52" s="439"/>
      <c r="B52" s="440" t="s">
        <v>3968</v>
      </c>
      <c r="C52" s="441">
        <v>0.0452479338842975</v>
      </c>
      <c r="D52" s="443" t="s">
        <v>3969</v>
      </c>
      <c r="E52" s="443" t="s">
        <v>3970</v>
      </c>
      <c r="F52" s="444">
        <v>500</v>
      </c>
      <c r="G52" s="445">
        <v>0.00815029537456</v>
      </c>
      <c r="H52" s="446">
        <f t="shared" si="61"/>
        <v>61347.4698795187</v>
      </c>
      <c r="I52" s="447">
        <v>21</v>
      </c>
      <c r="J52" s="448" t="s">
        <v>3919</v>
      </c>
      <c r="K52" s="449">
        <f t="shared" si="62"/>
        <v>1355807.09688069</v>
      </c>
      <c r="L52" s="450"/>
      <c r="M52" s="451">
        <f t="shared" si="52"/>
        <v>307.708597306976</v>
      </c>
      <c r="N52" s="452">
        <v>500</v>
      </c>
      <c r="O52" s="452"/>
      <c r="P52" s="452"/>
      <c r="Q52" s="452">
        <v>201</v>
      </c>
      <c r="R52" s="452"/>
      <c r="S52" s="452"/>
      <c r="T52" s="452"/>
      <c r="U52" s="452"/>
      <c r="V52" s="454">
        <f t="shared" si="3"/>
        <v>14721</v>
      </c>
      <c r="W52" s="455"/>
      <c r="X52" s="456">
        <f t="shared" si="11"/>
        <v>701</v>
      </c>
      <c r="Y52" s="457">
        <f t="shared" si="63"/>
        <v>86009.1527710852</v>
      </c>
      <c r="Z52" s="449">
        <f t="shared" si="38"/>
        <v>38914</v>
      </c>
      <c r="AA52" s="458">
        <f t="shared" si="54"/>
        <v>317.160594205628</v>
      </c>
      <c r="AB52" s="459">
        <f t="shared" si="7"/>
        <v>383.839405794372</v>
      </c>
      <c r="AC52" s="460">
        <f t="shared" si="64"/>
        <v>38913.2231404959</v>
      </c>
      <c r="AD52" s="460"/>
      <c r="AE52" s="461"/>
      <c r="AF52" s="461"/>
      <c r="AG52" s="460">
        <f t="shared" si="65"/>
        <v>1040824.38087695</v>
      </c>
    </row>
    <row r="53" s="404" customFormat="1" customHeight="1" spans="1:35">
      <c r="A53" s="464"/>
      <c r="B53" s="509"/>
      <c r="C53" s="466">
        <v>0.0452479338842975</v>
      </c>
      <c r="D53" s="509" t="s">
        <v>3924</v>
      </c>
      <c r="E53" s="468" t="s">
        <v>3971</v>
      </c>
      <c r="F53" s="469">
        <v>2000</v>
      </c>
      <c r="G53" s="470">
        <v>0.00121527777777778</v>
      </c>
      <c r="H53" s="471">
        <f t="shared" si="61"/>
        <v>1645714.28571428</v>
      </c>
      <c r="I53" s="472">
        <v>13.56</v>
      </c>
      <c r="J53" s="473" t="s">
        <v>3919</v>
      </c>
      <c r="K53" s="474">
        <f t="shared" si="62"/>
        <v>36371037.181996</v>
      </c>
      <c r="L53" s="509" t="s">
        <v>3926</v>
      </c>
      <c r="M53" s="476">
        <f t="shared" si="52"/>
        <v>45.8819469912191</v>
      </c>
      <c r="N53" s="453">
        <f>1200*W53+7</f>
        <v>116.47185578069</v>
      </c>
      <c r="O53" s="453"/>
      <c r="P53" s="453"/>
      <c r="Q53" s="453"/>
      <c r="R53" s="453"/>
      <c r="S53" s="453"/>
      <c r="T53" s="453"/>
      <c r="U53" s="453"/>
      <c r="V53" s="454">
        <f t="shared" si="3"/>
        <v>1579.35836438616</v>
      </c>
      <c r="W53" s="477">
        <f>AA53/(AA14+AA31+AA48+AA53+AA60+AA65+AA72+AA75)</f>
        <v>0.0912265464839081</v>
      </c>
      <c r="X53" s="478">
        <f t="shared" si="11"/>
        <v>116.47185578069</v>
      </c>
      <c r="Y53" s="479">
        <f t="shared" si="63"/>
        <v>95839.6984709676</v>
      </c>
      <c r="Z53" s="474">
        <f t="shared" si="38"/>
        <v>38914</v>
      </c>
      <c r="AA53" s="480">
        <f t="shared" si="54"/>
        <v>47.2913194444445</v>
      </c>
      <c r="AB53" s="481">
        <f t="shared" si="7"/>
        <v>69.1805363362455</v>
      </c>
      <c r="AC53" s="482"/>
      <c r="AD53" s="482"/>
      <c r="AE53" s="483"/>
      <c r="AF53" s="483"/>
      <c r="AG53" s="482">
        <f t="shared" si="65"/>
        <v>1258083.92967801</v>
      </c>
      <c r="AH53" s="511"/>
    </row>
    <row r="54" s="404" customFormat="1" customHeight="1" spans="1:35">
      <c r="A54" s="487"/>
      <c r="B54" s="520"/>
      <c r="C54" s="489">
        <v>0.0452479338842975</v>
      </c>
      <c r="D54" s="490"/>
      <c r="E54" s="491" t="s">
        <v>3665</v>
      </c>
      <c r="F54" s="492"/>
      <c r="G54" s="493">
        <v>1</v>
      </c>
      <c r="H54" s="542"/>
      <c r="I54" s="495">
        <v>0.5392874</v>
      </c>
      <c r="J54" s="496" t="s">
        <v>3919</v>
      </c>
      <c r="K54" s="497"/>
      <c r="L54" s="498"/>
      <c r="M54" s="499">
        <f t="shared" si="52"/>
        <v>37754.2878099173</v>
      </c>
      <c r="N54" s="500">
        <f>ROUNDUP($AC$4*$C54,0)</f>
        <v>38914</v>
      </c>
      <c r="O54" s="500">
        <v>19909</v>
      </c>
      <c r="P54" s="500">
        <v>19909</v>
      </c>
      <c r="Q54" s="500">
        <v>27149</v>
      </c>
      <c r="R54" s="500"/>
      <c r="S54" s="500"/>
      <c r="T54" s="500"/>
      <c r="U54" s="500"/>
      <c r="V54" s="501">
        <f t="shared" si="3"/>
        <v>57100.2891994</v>
      </c>
      <c r="W54" s="502"/>
      <c r="X54" s="503">
        <f t="shared" si="11"/>
        <v>105881</v>
      </c>
      <c r="Y54" s="504"/>
      <c r="Z54" s="497">
        <f t="shared" si="38"/>
        <v>38914</v>
      </c>
      <c r="AA54" s="505">
        <f t="shared" si="54"/>
        <v>38914</v>
      </c>
      <c r="AB54" s="506">
        <f t="shared" si="7"/>
        <v>66967</v>
      </c>
      <c r="AC54" s="507"/>
      <c r="AD54" s="507"/>
      <c r="AE54" s="508"/>
      <c r="AF54" s="508"/>
      <c r="AG54" s="507"/>
    </row>
    <row r="55" s="404" customFormat="1" customHeight="1" spans="1:35">
      <c r="A55" s="439"/>
      <c r="B55" s="440" t="s">
        <v>3972</v>
      </c>
      <c r="C55" s="441">
        <v>0.0452479338842975</v>
      </c>
      <c r="D55" s="442" t="s">
        <v>3973</v>
      </c>
      <c r="E55" s="443" t="s">
        <v>3909</v>
      </c>
      <c r="F55" s="444">
        <v>3000</v>
      </c>
      <c r="G55" s="445">
        <v>0.00954861111111111</v>
      </c>
      <c r="H55" s="446">
        <f t="shared" ref="H55:H57" si="66">F55/G55</f>
        <v>314181.818181818</v>
      </c>
      <c r="I55" s="447">
        <f>30/2.5</f>
        <v>12</v>
      </c>
      <c r="J55" s="448" t="s">
        <v>3919</v>
      </c>
      <c r="K55" s="449">
        <f t="shared" ref="K55:K57" si="67">F55/C55/G55</f>
        <v>6943561.64383562</v>
      </c>
      <c r="L55" s="450"/>
      <c r="M55" s="451">
        <f t="shared" si="52"/>
        <v>360.501012073863</v>
      </c>
      <c r="N55" s="452">
        <f>ROUNDUP(2000*W55,0)+2</f>
        <v>925</v>
      </c>
      <c r="O55" s="452"/>
      <c r="P55" s="452"/>
      <c r="Q55" s="452"/>
      <c r="R55" s="452"/>
      <c r="S55" s="452"/>
      <c r="T55" s="452"/>
      <c r="U55" s="452"/>
      <c r="V55" s="454">
        <f t="shared" si="3"/>
        <v>11100</v>
      </c>
      <c r="W55" s="547">
        <f>191/414</f>
        <v>0.461352657004831</v>
      </c>
      <c r="X55" s="456">
        <f t="shared" si="11"/>
        <v>925</v>
      </c>
      <c r="Y55" s="457">
        <f t="shared" ref="Y55:Y57" si="68">X55/G55</f>
        <v>96872.7272727273</v>
      </c>
      <c r="Z55" s="449">
        <f t="shared" si="38"/>
        <v>38914</v>
      </c>
      <c r="AA55" s="458">
        <f t="shared" si="54"/>
        <v>371.574652777778</v>
      </c>
      <c r="AB55" s="459">
        <f t="shared" si="7"/>
        <v>553.425347222222</v>
      </c>
      <c r="AC55" s="460">
        <f t="shared" si="64"/>
        <v>38913.2231404959</v>
      </c>
      <c r="AD55" s="460"/>
      <c r="AE55" s="461"/>
      <c r="AF55" s="461"/>
      <c r="AG55" s="460">
        <f t="shared" ref="AG55:AG57" si="69">AB55/G55/C55</f>
        <v>1280914.33789954</v>
      </c>
      <c r="AH55" s="511"/>
    </row>
    <row r="56" s="404" customFormat="1" customHeight="1" spans="1:35">
      <c r="A56" s="464"/>
      <c r="B56" s="509"/>
      <c r="C56" s="466">
        <v>0.0452479338842975</v>
      </c>
      <c r="D56" s="485" t="s">
        <v>3973</v>
      </c>
      <c r="E56" s="468" t="s">
        <v>3974</v>
      </c>
      <c r="F56" s="469">
        <v>3000</v>
      </c>
      <c r="G56" s="470">
        <v>0.00954861111111111</v>
      </c>
      <c r="H56" s="471">
        <f t="shared" si="66"/>
        <v>314181.818181818</v>
      </c>
      <c r="I56" s="472">
        <v>12</v>
      </c>
      <c r="J56" s="473" t="s">
        <v>3919</v>
      </c>
      <c r="K56" s="474">
        <f t="shared" si="67"/>
        <v>6943561.64383562</v>
      </c>
      <c r="L56" s="475"/>
      <c r="M56" s="476">
        <f t="shared" si="52"/>
        <v>360.501012073863</v>
      </c>
      <c r="N56" s="453">
        <f>ROUNDUP(2000*W56,0)+2</f>
        <v>925</v>
      </c>
      <c r="O56" s="453"/>
      <c r="P56" s="453"/>
      <c r="Q56" s="453"/>
      <c r="R56" s="453"/>
      <c r="S56" s="453"/>
      <c r="T56" s="453"/>
      <c r="U56" s="453"/>
      <c r="V56" s="454">
        <f t="shared" si="3"/>
        <v>11100</v>
      </c>
      <c r="W56" s="548">
        <f>191/414</f>
        <v>0.461352657004831</v>
      </c>
      <c r="X56" s="478">
        <f t="shared" si="11"/>
        <v>925</v>
      </c>
      <c r="Y56" s="479">
        <f t="shared" si="68"/>
        <v>96872.7272727273</v>
      </c>
      <c r="Z56" s="474">
        <f t="shared" si="38"/>
        <v>38914</v>
      </c>
      <c r="AA56" s="480">
        <f t="shared" si="54"/>
        <v>371.574652777778</v>
      </c>
      <c r="AB56" s="481">
        <f t="shared" si="7"/>
        <v>553.425347222222</v>
      </c>
      <c r="AC56" s="482"/>
      <c r="AD56" s="482"/>
      <c r="AE56" s="483"/>
      <c r="AF56" s="483"/>
      <c r="AG56" s="482">
        <f t="shared" si="69"/>
        <v>1280914.33789954</v>
      </c>
      <c r="AH56" s="511"/>
    </row>
    <row r="57" s="404" customFormat="1" customHeight="1" spans="1:35">
      <c r="A57" s="464"/>
      <c r="B57" s="509"/>
      <c r="C57" s="466">
        <v>0.0452479338842975</v>
      </c>
      <c r="D57" s="485" t="s">
        <v>3973</v>
      </c>
      <c r="E57" s="468" t="s">
        <v>3971</v>
      </c>
      <c r="F57" s="469">
        <v>3000</v>
      </c>
      <c r="G57" s="470">
        <v>0.00153186274509804</v>
      </c>
      <c r="H57" s="471">
        <f t="shared" si="66"/>
        <v>1958400</v>
      </c>
      <c r="I57" s="472">
        <v>12</v>
      </c>
      <c r="J57" s="473" t="s">
        <v>3919</v>
      </c>
      <c r="K57" s="474">
        <f t="shared" si="67"/>
        <v>43281534.2465753</v>
      </c>
      <c r="L57" s="475"/>
      <c r="M57" s="476">
        <f t="shared" si="52"/>
        <v>57.8343869637214</v>
      </c>
      <c r="N57" s="453">
        <f>ROUNDUP(2000*W57,0)</f>
        <v>150</v>
      </c>
      <c r="O57" s="453"/>
      <c r="P57" s="453"/>
      <c r="Q57" s="453"/>
      <c r="R57" s="453"/>
      <c r="S57" s="453"/>
      <c r="T57" s="453"/>
      <c r="U57" s="453"/>
      <c r="V57" s="454">
        <f t="shared" si="3"/>
        <v>1800</v>
      </c>
      <c r="W57" s="510">
        <f>31/414</f>
        <v>0.0748792270531401</v>
      </c>
      <c r="X57" s="478">
        <f t="shared" si="11"/>
        <v>150</v>
      </c>
      <c r="Y57" s="479">
        <f t="shared" si="68"/>
        <v>97919.9999999999</v>
      </c>
      <c r="Z57" s="474">
        <f t="shared" si="38"/>
        <v>38914</v>
      </c>
      <c r="AA57" s="480">
        <f t="shared" si="54"/>
        <v>59.6109068627451</v>
      </c>
      <c r="AB57" s="481">
        <f t="shared" si="7"/>
        <v>90.3890931372549</v>
      </c>
      <c r="AC57" s="482"/>
      <c r="AD57" s="482"/>
      <c r="AE57" s="483"/>
      <c r="AF57" s="483"/>
      <c r="AG57" s="482">
        <f t="shared" si="69"/>
        <v>1304059.543379</v>
      </c>
      <c r="AH57" s="511"/>
    </row>
    <row r="58" s="404" customFormat="1" customHeight="1" spans="1:35">
      <c r="A58" s="487"/>
      <c r="B58" s="520"/>
      <c r="C58" s="489">
        <v>0.0452479338842975</v>
      </c>
      <c r="D58" s="490"/>
      <c r="E58" s="491" t="s">
        <v>3665</v>
      </c>
      <c r="F58" s="549"/>
      <c r="G58" s="493">
        <v>1</v>
      </c>
      <c r="H58" s="542"/>
      <c r="I58" s="495">
        <v>1.145772</v>
      </c>
      <c r="J58" s="496" t="s">
        <v>3919</v>
      </c>
      <c r="K58" s="497"/>
      <c r="L58" s="550"/>
      <c r="M58" s="499">
        <f t="shared" si="52"/>
        <v>37754.2878099173</v>
      </c>
      <c r="N58" s="500">
        <f>ROUNDUP($AC$4*$C58,0)</f>
        <v>38914</v>
      </c>
      <c r="O58" s="500">
        <v>19909</v>
      </c>
      <c r="P58" s="500">
        <v>19909</v>
      </c>
      <c r="Q58" s="500">
        <v>27149</v>
      </c>
      <c r="R58" s="500"/>
      <c r="S58" s="500"/>
      <c r="T58" s="500"/>
      <c r="U58" s="500"/>
      <c r="V58" s="501">
        <f t="shared" si="3"/>
        <v>121315.485132</v>
      </c>
      <c r="W58" s="502"/>
      <c r="X58" s="503">
        <f t="shared" si="11"/>
        <v>105881</v>
      </c>
      <c r="Y58" s="504"/>
      <c r="Z58" s="497">
        <f t="shared" si="38"/>
        <v>38914</v>
      </c>
      <c r="AA58" s="505">
        <f t="shared" si="54"/>
        <v>38914</v>
      </c>
      <c r="AB58" s="506">
        <f t="shared" si="7"/>
        <v>66967</v>
      </c>
      <c r="AC58" s="507"/>
      <c r="AD58" s="507"/>
      <c r="AE58" s="508"/>
      <c r="AF58" s="508"/>
      <c r="AG58" s="507"/>
    </row>
    <row r="59" s="404" customFormat="1" customHeight="1" spans="1:35">
      <c r="A59" s="439"/>
      <c r="B59" s="440" t="s">
        <v>3975</v>
      </c>
      <c r="C59" s="441">
        <v>0.0452479338842975</v>
      </c>
      <c r="D59" s="442" t="s">
        <v>3956</v>
      </c>
      <c r="E59" s="443" t="s">
        <v>3909</v>
      </c>
      <c r="F59" s="444">
        <v>500</v>
      </c>
      <c r="G59" s="445">
        <v>0.00810185185185185</v>
      </c>
      <c r="H59" s="446">
        <f t="shared" ref="H59:H65" si="70">F59/G59</f>
        <v>61714.2857142857</v>
      </c>
      <c r="I59" s="447">
        <v>43</v>
      </c>
      <c r="J59" s="448" t="s">
        <v>3919</v>
      </c>
      <c r="K59" s="449">
        <f t="shared" ref="K59:K65" si="71">F59/C59/G59</f>
        <v>1363913.89432485</v>
      </c>
      <c r="L59" s="440" t="s">
        <v>3958</v>
      </c>
      <c r="M59" s="451">
        <f t="shared" si="52"/>
        <v>305.879646608127</v>
      </c>
      <c r="N59" s="452">
        <v>154</v>
      </c>
      <c r="O59" s="452">
        <v>162</v>
      </c>
      <c r="P59" s="452">
        <v>161</v>
      </c>
      <c r="Q59" s="452">
        <v>220</v>
      </c>
      <c r="R59" s="452"/>
      <c r="S59" s="452"/>
      <c r="T59" s="452"/>
      <c r="U59" s="452"/>
      <c r="V59" s="454">
        <f t="shared" si="3"/>
        <v>29971</v>
      </c>
      <c r="W59" s="455">
        <f>162/443</f>
        <v>0.36568848758465</v>
      </c>
      <c r="X59" s="456">
        <f t="shared" si="11"/>
        <v>697</v>
      </c>
      <c r="Y59" s="457">
        <f t="shared" ref="Y59:Y65" si="72">X59/G59</f>
        <v>86029.7142857143</v>
      </c>
      <c r="Z59" s="449">
        <f t="shared" si="38"/>
        <v>38914</v>
      </c>
      <c r="AA59" s="458">
        <f t="shared" si="54"/>
        <v>315.275462962963</v>
      </c>
      <c r="AB59" s="459">
        <f t="shared" si="7"/>
        <v>381.724537037037</v>
      </c>
      <c r="AC59" s="460">
        <f>$AC$4*C59</f>
        <v>38913.2231404959</v>
      </c>
      <c r="AD59" s="460"/>
      <c r="AE59" s="461"/>
      <c r="AF59" s="461"/>
      <c r="AG59" s="460">
        <f t="shared" ref="AG59:AG65" si="73">AB59/G59/C59</f>
        <v>1041278.79973907</v>
      </c>
    </row>
    <row r="60" s="404" customFormat="1" customHeight="1" spans="1:35">
      <c r="A60" s="464"/>
      <c r="B60" s="509"/>
      <c r="C60" s="466">
        <v>0.0452479338842975</v>
      </c>
      <c r="D60" s="509" t="s">
        <v>3924</v>
      </c>
      <c r="E60" s="468" t="s">
        <v>3971</v>
      </c>
      <c r="F60" s="469">
        <v>2000</v>
      </c>
      <c r="G60" s="470">
        <v>0.0014297385620915</v>
      </c>
      <c r="H60" s="471">
        <f t="shared" si="70"/>
        <v>1398857.14285715</v>
      </c>
      <c r="I60" s="472">
        <v>13.56</v>
      </c>
      <c r="J60" s="473" t="s">
        <v>3919</v>
      </c>
      <c r="K60" s="474">
        <f t="shared" si="71"/>
        <v>30915381.6046968</v>
      </c>
      <c r="L60" s="509" t="s">
        <v>3926</v>
      </c>
      <c r="M60" s="476">
        <f t="shared" si="52"/>
        <v>53.9787611661399</v>
      </c>
      <c r="N60" s="453">
        <f>1200*W60+7</f>
        <v>135.790418565517</v>
      </c>
      <c r="O60" s="453"/>
      <c r="P60" s="453"/>
      <c r="Q60" s="453"/>
      <c r="R60" s="453"/>
      <c r="S60" s="453"/>
      <c r="T60" s="453"/>
      <c r="U60" s="453"/>
      <c r="V60" s="454">
        <f t="shared" si="3"/>
        <v>1841.31807574841</v>
      </c>
      <c r="W60" s="477">
        <f>AA60/(AA14+AA31+AA48+AA53+AA60+AA65+AA72+AA75)</f>
        <v>0.107325348804597</v>
      </c>
      <c r="X60" s="478">
        <f t="shared" si="11"/>
        <v>135.790418565517</v>
      </c>
      <c r="Y60" s="479">
        <f t="shared" si="72"/>
        <v>94975.6984709675</v>
      </c>
      <c r="Z60" s="474">
        <f t="shared" si="38"/>
        <v>38914</v>
      </c>
      <c r="AA60" s="480">
        <f t="shared" si="54"/>
        <v>55.6368464052286</v>
      </c>
      <c r="AB60" s="481">
        <f t="shared" si="7"/>
        <v>80.1535721602884</v>
      </c>
      <c r="AC60" s="482"/>
      <c r="AD60" s="482"/>
      <c r="AE60" s="483"/>
      <c r="AF60" s="483"/>
      <c r="AG60" s="482">
        <f t="shared" si="73"/>
        <v>1238989.13515746</v>
      </c>
      <c r="AH60" s="511"/>
    </row>
    <row r="61" s="404" customFormat="1" customHeight="1" spans="1:35">
      <c r="A61" s="487"/>
      <c r="B61" s="520"/>
      <c r="C61" s="489">
        <v>0.0452479338842975</v>
      </c>
      <c r="D61" s="490"/>
      <c r="E61" s="520" t="s">
        <v>3665</v>
      </c>
      <c r="F61" s="492"/>
      <c r="G61" s="493">
        <v>1</v>
      </c>
      <c r="H61" s="542"/>
      <c r="I61" s="495">
        <v>0.78058344</v>
      </c>
      <c r="J61" s="496" t="s">
        <v>3919</v>
      </c>
      <c r="K61" s="497"/>
      <c r="L61" s="550"/>
      <c r="M61" s="499">
        <f t="shared" si="52"/>
        <v>37754.2878099173</v>
      </c>
      <c r="N61" s="500">
        <f>ROUNDUP($AC$4*$C61,0)</f>
        <v>38914</v>
      </c>
      <c r="O61" s="500">
        <v>19909</v>
      </c>
      <c r="P61" s="500">
        <v>19909</v>
      </c>
      <c r="Q61" s="500">
        <v>27149</v>
      </c>
      <c r="R61" s="500"/>
      <c r="S61" s="500"/>
      <c r="T61" s="500"/>
      <c r="U61" s="500"/>
      <c r="V61" s="501">
        <f t="shared" si="3"/>
        <v>82648.95521064</v>
      </c>
      <c r="W61" s="502"/>
      <c r="X61" s="503">
        <f t="shared" si="11"/>
        <v>105881</v>
      </c>
      <c r="Y61" s="504"/>
      <c r="Z61" s="497">
        <f t="shared" si="38"/>
        <v>38914</v>
      </c>
      <c r="AA61" s="505">
        <f t="shared" si="54"/>
        <v>38914</v>
      </c>
      <c r="AB61" s="506">
        <f t="shared" si="7"/>
        <v>66967</v>
      </c>
      <c r="AC61" s="507"/>
      <c r="AD61" s="507"/>
      <c r="AE61" s="508"/>
      <c r="AF61" s="508"/>
      <c r="AG61" s="507"/>
    </row>
    <row r="62" s="404" customFormat="1" customHeight="1" spans="1:35">
      <c r="A62" s="439"/>
      <c r="B62" s="440" t="s">
        <v>3976</v>
      </c>
      <c r="C62" s="441">
        <v>0.0452479338842975</v>
      </c>
      <c r="D62" s="442" t="s">
        <v>3977</v>
      </c>
      <c r="E62" s="443" t="s">
        <v>3909</v>
      </c>
      <c r="F62" s="444">
        <v>2000</v>
      </c>
      <c r="G62" s="445">
        <v>0.00440705128205128</v>
      </c>
      <c r="H62" s="446">
        <f t="shared" si="70"/>
        <v>453818.181818182</v>
      </c>
      <c r="I62" s="447">
        <f t="shared" ref="I62:I64" si="74">32.3</f>
        <v>32.3</v>
      </c>
      <c r="J62" s="448" t="s">
        <v>3919</v>
      </c>
      <c r="K62" s="449">
        <f t="shared" si="71"/>
        <v>10029589.0410959</v>
      </c>
      <c r="L62" s="551"/>
      <c r="M62" s="451">
        <f t="shared" si="52"/>
        <v>166.385082495629</v>
      </c>
      <c r="N62" s="452">
        <f t="shared" ref="N62:N64" si="75">1200*W62</f>
        <v>435.042861480587</v>
      </c>
      <c r="O62" s="452"/>
      <c r="P62" s="452"/>
      <c r="Q62" s="452"/>
      <c r="R62" s="452"/>
      <c r="S62" s="452"/>
      <c r="T62" s="452"/>
      <c r="U62" s="452"/>
      <c r="V62" s="454">
        <f t="shared" si="3"/>
        <v>14051.884425823</v>
      </c>
      <c r="W62" s="455">
        <f>AA62/SUM(AA62:AA64)</f>
        <v>0.362535717900489</v>
      </c>
      <c r="X62" s="456">
        <f t="shared" si="11"/>
        <v>435.042861480587</v>
      </c>
      <c r="Y62" s="457">
        <f t="shared" si="72"/>
        <v>98715.1802050496</v>
      </c>
      <c r="Z62" s="449">
        <f t="shared" si="38"/>
        <v>38914</v>
      </c>
      <c r="AA62" s="458">
        <f t="shared" si="54"/>
        <v>171.495993589744</v>
      </c>
      <c r="AB62" s="459">
        <f t="shared" si="7"/>
        <v>263.546867890843</v>
      </c>
      <c r="AC62" s="460">
        <f>$AC$4*C62</f>
        <v>38913.2231404959</v>
      </c>
      <c r="AD62" s="460"/>
      <c r="AE62" s="461"/>
      <c r="AF62" s="461"/>
      <c r="AG62" s="460">
        <f t="shared" si="73"/>
        <v>1321633.38900657</v>
      </c>
      <c r="AH62" s="511"/>
    </row>
    <row r="63" s="404" customFormat="1" customHeight="1" spans="1:35">
      <c r="A63" s="464"/>
      <c r="B63" s="509"/>
      <c r="C63" s="466">
        <v>0.0452479338842975</v>
      </c>
      <c r="D63" s="485" t="s">
        <v>3977</v>
      </c>
      <c r="E63" s="468" t="s">
        <v>3951</v>
      </c>
      <c r="F63" s="469">
        <v>2000</v>
      </c>
      <c r="G63" s="470">
        <v>0.00306372549019608</v>
      </c>
      <c r="H63" s="471">
        <f t="shared" si="70"/>
        <v>652800</v>
      </c>
      <c r="I63" s="472">
        <f t="shared" si="74"/>
        <v>32.3</v>
      </c>
      <c r="J63" s="473" t="s">
        <v>3919</v>
      </c>
      <c r="K63" s="474">
        <f t="shared" si="71"/>
        <v>14427178.0821918</v>
      </c>
      <c r="L63" s="475"/>
      <c r="M63" s="476">
        <f t="shared" si="52"/>
        <v>115.668773927443</v>
      </c>
      <c r="N63" s="453">
        <f t="shared" si="75"/>
        <v>302.43621386351</v>
      </c>
      <c r="O63" s="453"/>
      <c r="P63" s="453"/>
      <c r="Q63" s="453"/>
      <c r="R63" s="453"/>
      <c r="S63" s="453"/>
      <c r="T63" s="453"/>
      <c r="U63" s="453"/>
      <c r="V63" s="454">
        <f t="shared" si="3"/>
        <v>9768.68970779137</v>
      </c>
      <c r="W63" s="477">
        <f>AA63/SUM(AA62:AA64)</f>
        <v>0.252030178219592</v>
      </c>
      <c r="X63" s="478">
        <f t="shared" si="11"/>
        <v>302.43621386351</v>
      </c>
      <c r="Y63" s="479">
        <f t="shared" si="72"/>
        <v>98715.1802050496</v>
      </c>
      <c r="Z63" s="474">
        <f t="shared" si="38"/>
        <v>38914</v>
      </c>
      <c r="AA63" s="480">
        <f t="shared" si="54"/>
        <v>119.22181372549</v>
      </c>
      <c r="AB63" s="481">
        <f t="shared" si="7"/>
        <v>183.21440013802</v>
      </c>
      <c r="AC63" s="482"/>
      <c r="AD63" s="482"/>
      <c r="AE63" s="483"/>
      <c r="AF63" s="483"/>
      <c r="AG63" s="482">
        <f t="shared" si="73"/>
        <v>1321633.38900658</v>
      </c>
      <c r="AH63" s="511"/>
    </row>
    <row r="64" s="404" customFormat="1" customHeight="1" spans="1:35">
      <c r="A64" s="464"/>
      <c r="B64" s="509"/>
      <c r="C64" s="466">
        <v>0.0452479338842975</v>
      </c>
      <c r="D64" s="485" t="s">
        <v>3977</v>
      </c>
      <c r="E64" s="468" t="s">
        <v>3978</v>
      </c>
      <c r="F64" s="486">
        <v>2000</v>
      </c>
      <c r="G64" s="470">
        <v>0.00468540829987</v>
      </c>
      <c r="H64" s="471">
        <f t="shared" si="70"/>
        <v>426857.14285679</v>
      </c>
      <c r="I64" s="472">
        <f t="shared" si="74"/>
        <v>32.3</v>
      </c>
      <c r="J64" s="473" t="s">
        <v>3919</v>
      </c>
      <c r="K64" s="474">
        <f t="shared" si="71"/>
        <v>9433737.76907245</v>
      </c>
      <c r="L64" s="545"/>
      <c r="M64" s="476">
        <f t="shared" si="52"/>
        <v>176.894253460267</v>
      </c>
      <c r="N64" s="453">
        <f t="shared" si="75"/>
        <v>462.520924655902</v>
      </c>
      <c r="O64" s="453"/>
      <c r="P64" s="453"/>
      <c r="Q64" s="453"/>
      <c r="R64" s="453"/>
      <c r="S64" s="453"/>
      <c r="T64" s="453"/>
      <c r="U64" s="453"/>
      <c r="V64" s="454">
        <f t="shared" si="3"/>
        <v>14939.4258663856</v>
      </c>
      <c r="W64" s="477">
        <f>AA64/SUM(AA62:AA64)</f>
        <v>0.385434103879919</v>
      </c>
      <c r="X64" s="478">
        <f t="shared" si="11"/>
        <v>462.520924655902</v>
      </c>
      <c r="Y64" s="479">
        <f t="shared" si="72"/>
        <v>98715.1802050496</v>
      </c>
      <c r="Z64" s="474">
        <f t="shared" si="38"/>
        <v>38914</v>
      </c>
      <c r="AA64" s="480">
        <f t="shared" si="54"/>
        <v>182.327978581141</v>
      </c>
      <c r="AB64" s="481">
        <f t="shared" si="7"/>
        <v>280.192946074761</v>
      </c>
      <c r="AC64" s="482"/>
      <c r="AD64" s="482"/>
      <c r="AE64" s="483"/>
      <c r="AF64" s="483"/>
      <c r="AG64" s="482">
        <f t="shared" si="73"/>
        <v>1321633.38900658</v>
      </c>
      <c r="AH64" s="511"/>
    </row>
    <row r="65" s="404" customFormat="1" customHeight="1" spans="1:35">
      <c r="A65" s="464"/>
      <c r="B65" s="509"/>
      <c r="C65" s="466">
        <v>0.0452479338842975</v>
      </c>
      <c r="D65" s="485" t="s">
        <v>3924</v>
      </c>
      <c r="E65" s="468" t="s">
        <v>3971</v>
      </c>
      <c r="F65" s="486">
        <v>2000</v>
      </c>
      <c r="G65" s="470">
        <v>0.00162037037037037</v>
      </c>
      <c r="H65" s="471">
        <f t="shared" si="70"/>
        <v>1234285.71428571</v>
      </c>
      <c r="I65" s="472">
        <v>13.56</v>
      </c>
      <c r="J65" s="473" t="s">
        <v>3919</v>
      </c>
      <c r="K65" s="474">
        <f t="shared" si="71"/>
        <v>27278277.8864971</v>
      </c>
      <c r="L65" s="509" t="s">
        <v>3926</v>
      </c>
      <c r="M65" s="476">
        <f t="shared" si="52"/>
        <v>61.1759293216253</v>
      </c>
      <c r="N65" s="453">
        <f>1200*W65+7</f>
        <v>152.962474374253</v>
      </c>
      <c r="O65" s="453"/>
      <c r="P65" s="453"/>
      <c r="Q65" s="453"/>
      <c r="R65" s="453"/>
      <c r="S65" s="453"/>
      <c r="T65" s="453"/>
      <c r="U65" s="453"/>
      <c r="V65" s="454">
        <f t="shared" si="3"/>
        <v>2074.17115251487</v>
      </c>
      <c r="W65" s="477">
        <f>AA65/(AA14+AA31+AA48+AA53+AA60+AA65+AA72+AA75)</f>
        <v>0.121635395311877</v>
      </c>
      <c r="X65" s="478">
        <f t="shared" si="11"/>
        <v>152.962474374253</v>
      </c>
      <c r="Y65" s="479">
        <f t="shared" si="72"/>
        <v>94399.6984709676</v>
      </c>
      <c r="Z65" s="474">
        <f t="shared" si="38"/>
        <v>38914</v>
      </c>
      <c r="AA65" s="480">
        <f t="shared" si="54"/>
        <v>63.0550925925926</v>
      </c>
      <c r="AB65" s="481">
        <f t="shared" si="7"/>
        <v>89.9073817816604</v>
      </c>
      <c r="AC65" s="482"/>
      <c r="AD65" s="482"/>
      <c r="AE65" s="483"/>
      <c r="AF65" s="483"/>
      <c r="AG65" s="482">
        <f t="shared" si="73"/>
        <v>1226259.27214376</v>
      </c>
      <c r="AH65" s="511"/>
    </row>
    <row r="66" s="404" customFormat="1" customHeight="1" spans="1:35">
      <c r="A66" s="487"/>
      <c r="B66" s="520"/>
      <c r="C66" s="489">
        <v>0.0452479338842975</v>
      </c>
      <c r="D66" s="490"/>
      <c r="E66" s="520" t="s">
        <v>3665</v>
      </c>
      <c r="F66" s="492"/>
      <c r="G66" s="493">
        <v>1</v>
      </c>
      <c r="H66" s="542"/>
      <c r="I66" s="495">
        <v>0.854282</v>
      </c>
      <c r="J66" s="496" t="s">
        <v>3919</v>
      </c>
      <c r="K66" s="497"/>
      <c r="L66" s="550"/>
      <c r="M66" s="499">
        <f t="shared" si="52"/>
        <v>37754.2878099173</v>
      </c>
      <c r="N66" s="500">
        <f t="shared" ref="N66:N69" si="76">ROUNDUP($AC$4*$C66,0)</f>
        <v>38914</v>
      </c>
      <c r="O66" s="500">
        <v>19909</v>
      </c>
      <c r="P66" s="500">
        <v>19909</v>
      </c>
      <c r="Q66" s="500">
        <v>27149</v>
      </c>
      <c r="R66" s="500"/>
      <c r="S66" s="500"/>
      <c r="T66" s="500"/>
      <c r="U66" s="500"/>
      <c r="V66" s="501">
        <f t="shared" si="3"/>
        <v>90452.232442</v>
      </c>
      <c r="W66" s="502"/>
      <c r="X66" s="503">
        <f t="shared" si="11"/>
        <v>105881</v>
      </c>
      <c r="Y66" s="504"/>
      <c r="Z66" s="497">
        <f t="shared" si="38"/>
        <v>38914</v>
      </c>
      <c r="AA66" s="505">
        <f t="shared" si="54"/>
        <v>38914</v>
      </c>
      <c r="AB66" s="506">
        <f t="shared" si="7"/>
        <v>66967</v>
      </c>
      <c r="AC66" s="507"/>
      <c r="AD66" s="507"/>
      <c r="AE66" s="508"/>
      <c r="AF66" s="508"/>
      <c r="AG66" s="507"/>
    </row>
    <row r="67" s="404" customFormat="1" ht="97.5" customHeight="1" spans="1:35">
      <c r="A67" s="521"/>
      <c r="B67" s="522" t="s">
        <v>3979</v>
      </c>
      <c r="C67" s="523">
        <v>0.0452479338842975</v>
      </c>
      <c r="D67" s="524"/>
      <c r="E67" s="522" t="s">
        <v>3665</v>
      </c>
      <c r="F67" s="525"/>
      <c r="G67" s="552">
        <v>1</v>
      </c>
      <c r="H67" s="553">
        <v>0</v>
      </c>
      <c r="I67" s="528">
        <v>0.225260176</v>
      </c>
      <c r="J67" s="529" t="s">
        <v>3919</v>
      </c>
      <c r="K67" s="530"/>
      <c r="L67" s="525"/>
      <c r="M67" s="531"/>
      <c r="N67" s="500">
        <f t="shared" si="76"/>
        <v>38914</v>
      </c>
      <c r="O67" s="532">
        <v>19909</v>
      </c>
      <c r="P67" s="532">
        <v>19909</v>
      </c>
      <c r="Q67" s="532">
        <v>27149</v>
      </c>
      <c r="R67" s="532"/>
      <c r="S67" s="532"/>
      <c r="T67" s="532"/>
      <c r="U67" s="532"/>
      <c r="V67" s="533">
        <f t="shared" si="3"/>
        <v>23850.772695056</v>
      </c>
      <c r="W67" s="534"/>
      <c r="X67" s="503">
        <f t="shared" si="11"/>
        <v>105881</v>
      </c>
      <c r="Y67" s="535"/>
      <c r="Z67" s="497">
        <f t="shared" si="38"/>
        <v>38914</v>
      </c>
      <c r="AA67" s="536"/>
      <c r="AB67" s="537">
        <f t="shared" si="7"/>
        <v>105881</v>
      </c>
      <c r="AC67" s="538">
        <f t="shared" ref="AC67:AC70" si="77">$AC$4*C67</f>
        <v>38913.2231404959</v>
      </c>
      <c r="AD67" s="538"/>
      <c r="AE67" s="539"/>
      <c r="AF67" s="539"/>
      <c r="AG67" s="538"/>
    </row>
    <row r="68" s="404" customFormat="1" ht="40" customHeight="1" spans="1:35">
      <c r="A68" s="439"/>
      <c r="B68" s="440" t="s">
        <v>3980</v>
      </c>
      <c r="C68" s="441">
        <v>0.0452479338842975</v>
      </c>
      <c r="D68" s="442" t="s">
        <v>3981</v>
      </c>
      <c r="E68" s="443" t="s">
        <v>3909</v>
      </c>
      <c r="F68" s="554">
        <v>2000</v>
      </c>
      <c r="G68" s="445">
        <v>0.00551470588235294</v>
      </c>
      <c r="H68" s="446">
        <f t="shared" ref="H68:H72" si="78">F68/G68</f>
        <v>362666.666666667</v>
      </c>
      <c r="I68" s="447">
        <v>32.3</v>
      </c>
      <c r="J68" s="448" t="s">
        <v>3919</v>
      </c>
      <c r="K68" s="449">
        <f t="shared" ref="K68:K72" si="79">F68/C68/G68</f>
        <v>8015098.934551</v>
      </c>
      <c r="L68" s="450"/>
      <c r="M68" s="451">
        <f t="shared" ref="M68:M115" si="80">C68*$K$3*G68</f>
        <v>208.203793069397</v>
      </c>
      <c r="N68" s="452">
        <v>105</v>
      </c>
      <c r="O68" s="452">
        <v>110</v>
      </c>
      <c r="P68" s="452">
        <v>110</v>
      </c>
      <c r="Q68" s="452">
        <v>150</v>
      </c>
      <c r="R68" s="452"/>
      <c r="S68" s="452"/>
      <c r="T68" s="452"/>
      <c r="U68" s="452"/>
      <c r="V68" s="454">
        <f t="shared" si="3"/>
        <v>15342.5</v>
      </c>
      <c r="W68" s="455"/>
      <c r="X68" s="456">
        <f t="shared" si="11"/>
        <v>475</v>
      </c>
      <c r="Y68" s="457">
        <f t="shared" ref="Y68:Y72" si="81">X68/G68</f>
        <v>86133.3333333334</v>
      </c>
      <c r="Z68" s="449">
        <f t="shared" si="38"/>
        <v>38914</v>
      </c>
      <c r="AA68" s="458">
        <f t="shared" ref="AA68:AA115" si="82">Z68*G68</f>
        <v>214.599264705882</v>
      </c>
      <c r="AB68" s="459">
        <f t="shared" si="7"/>
        <v>260.400735294118</v>
      </c>
      <c r="AC68" s="460">
        <f t="shared" si="77"/>
        <v>38913.2231404959</v>
      </c>
      <c r="AD68" s="460"/>
      <c r="AE68" s="461"/>
      <c r="AF68" s="461"/>
      <c r="AG68" s="460">
        <f t="shared" ref="AG68:AG72" si="83">AB68/G68/C68</f>
        <v>1043568.82800609</v>
      </c>
      <c r="AH68" s="484"/>
      <c r="AI68" s="463">
        <f t="shared" ref="AI68:AI71" si="84">V68*1.5</f>
        <v>23013.75</v>
      </c>
    </row>
    <row r="69" s="404" customFormat="1" ht="40" customHeight="1" spans="1:35">
      <c r="A69" s="487"/>
      <c r="B69" s="520"/>
      <c r="C69" s="489">
        <v>0.0452479338842975</v>
      </c>
      <c r="D69" s="490"/>
      <c r="E69" s="491" t="s">
        <v>3665</v>
      </c>
      <c r="F69" s="549"/>
      <c r="G69" s="493">
        <v>1</v>
      </c>
      <c r="H69" s="542"/>
      <c r="I69" s="495">
        <v>0.81164</v>
      </c>
      <c r="J69" s="496" t="s">
        <v>3919</v>
      </c>
      <c r="K69" s="497"/>
      <c r="L69" s="498"/>
      <c r="M69" s="499">
        <f t="shared" si="80"/>
        <v>37754.2878099173</v>
      </c>
      <c r="N69" s="500">
        <f t="shared" si="76"/>
        <v>38914</v>
      </c>
      <c r="O69" s="500">
        <v>19909</v>
      </c>
      <c r="P69" s="500">
        <v>19909</v>
      </c>
      <c r="Q69" s="500">
        <v>27149</v>
      </c>
      <c r="R69" s="500"/>
      <c r="S69" s="500"/>
      <c r="T69" s="500"/>
      <c r="U69" s="500"/>
      <c r="V69" s="501">
        <f t="shared" ref="V69:V115" si="85">SUM(N69:T69)*I69</f>
        <v>85937.25484</v>
      </c>
      <c r="W69" s="502"/>
      <c r="X69" s="503">
        <f t="shared" ref="X69:X115" si="86">SUM(N69:T69)</f>
        <v>105881</v>
      </c>
      <c r="Y69" s="504"/>
      <c r="Z69" s="497">
        <f t="shared" si="38"/>
        <v>38914</v>
      </c>
      <c r="AA69" s="505">
        <f t="shared" si="82"/>
        <v>38914</v>
      </c>
      <c r="AB69" s="506">
        <f t="shared" ref="AB69:AB115" si="87">X69-AA69</f>
        <v>66967</v>
      </c>
      <c r="AC69" s="507"/>
      <c r="AD69" s="507"/>
      <c r="AE69" s="508"/>
      <c r="AF69" s="508"/>
      <c r="AG69" s="507"/>
    </row>
    <row r="70" s="404" customFormat="1" customHeight="1" spans="1:35">
      <c r="A70" s="439"/>
      <c r="B70" s="440" t="s">
        <v>3982</v>
      </c>
      <c r="C70" s="441">
        <v>0.0452479338842975</v>
      </c>
      <c r="D70" s="442" t="s">
        <v>3983</v>
      </c>
      <c r="E70" s="443" t="s">
        <v>3909</v>
      </c>
      <c r="F70" s="444">
        <v>2000</v>
      </c>
      <c r="G70" s="445">
        <v>0.0046741452991453</v>
      </c>
      <c r="H70" s="446">
        <f t="shared" si="78"/>
        <v>427885.714285714</v>
      </c>
      <c r="I70" s="447">
        <v>32.3</v>
      </c>
      <c r="J70" s="448" t="s">
        <v>3919</v>
      </c>
      <c r="K70" s="449">
        <f t="shared" si="79"/>
        <v>9456469.66731899</v>
      </c>
      <c r="L70" s="450"/>
      <c r="M70" s="451">
        <f t="shared" si="80"/>
        <v>176.469026889304</v>
      </c>
      <c r="N70" s="452">
        <v>89</v>
      </c>
      <c r="O70" s="452">
        <v>93</v>
      </c>
      <c r="P70" s="452">
        <v>93</v>
      </c>
      <c r="Q70" s="452">
        <v>127</v>
      </c>
      <c r="R70" s="452"/>
      <c r="S70" s="452"/>
      <c r="T70" s="452"/>
      <c r="U70" s="452"/>
      <c r="V70" s="454">
        <f t="shared" si="85"/>
        <v>12984.6</v>
      </c>
      <c r="W70" s="455">
        <f>AA70/(AA70+AA71)</f>
        <v>0.720680393912265</v>
      </c>
      <c r="X70" s="456">
        <f t="shared" si="86"/>
        <v>402</v>
      </c>
      <c r="Y70" s="457">
        <f t="shared" si="81"/>
        <v>86005.0285714286</v>
      </c>
      <c r="Z70" s="449">
        <f t="shared" si="38"/>
        <v>38914</v>
      </c>
      <c r="AA70" s="458">
        <f t="shared" si="82"/>
        <v>181.88969017094</v>
      </c>
      <c r="AB70" s="459">
        <f t="shared" si="87"/>
        <v>220.11030982906</v>
      </c>
      <c r="AC70" s="460">
        <f t="shared" si="77"/>
        <v>38913.2231404959</v>
      </c>
      <c r="AD70" s="460"/>
      <c r="AE70" s="461"/>
      <c r="AF70" s="461"/>
      <c r="AG70" s="460">
        <f t="shared" si="83"/>
        <v>1040733.23418134</v>
      </c>
      <c r="AH70" s="484"/>
      <c r="AI70" s="463">
        <f t="shared" si="84"/>
        <v>19476.9</v>
      </c>
    </row>
    <row r="71" s="404" customFormat="1" customHeight="1" spans="1:35">
      <c r="A71" s="464"/>
      <c r="B71" s="509"/>
      <c r="C71" s="466">
        <v>0.0452479338842975</v>
      </c>
      <c r="D71" s="485" t="s">
        <v>3983</v>
      </c>
      <c r="E71" s="468" t="s">
        <v>3951</v>
      </c>
      <c r="F71" s="469">
        <v>2000</v>
      </c>
      <c r="G71" s="470">
        <v>0.00181159420289855</v>
      </c>
      <c r="H71" s="471">
        <f t="shared" si="78"/>
        <v>1104000</v>
      </c>
      <c r="I71" s="472">
        <v>32.3</v>
      </c>
      <c r="J71" s="473" t="s">
        <v>3919</v>
      </c>
      <c r="K71" s="474">
        <f t="shared" si="79"/>
        <v>24398904.1095891</v>
      </c>
      <c r="L71" s="475"/>
      <c r="M71" s="476">
        <f t="shared" si="80"/>
        <v>68.3954489310097</v>
      </c>
      <c r="N71" s="453">
        <v>35</v>
      </c>
      <c r="O71" s="453">
        <v>36</v>
      </c>
      <c r="P71" s="453">
        <v>36</v>
      </c>
      <c r="Q71" s="453">
        <v>49</v>
      </c>
      <c r="R71" s="453"/>
      <c r="S71" s="453"/>
      <c r="T71" s="453"/>
      <c r="U71" s="453"/>
      <c r="V71" s="454">
        <f t="shared" si="85"/>
        <v>5038.8</v>
      </c>
      <c r="W71" s="555">
        <f>AA71/(AA70+AA71)</f>
        <v>0.279319606087735</v>
      </c>
      <c r="X71" s="478">
        <f t="shared" si="86"/>
        <v>156</v>
      </c>
      <c r="Y71" s="479">
        <f t="shared" si="81"/>
        <v>86112</v>
      </c>
      <c r="Z71" s="474">
        <f t="shared" si="38"/>
        <v>38914</v>
      </c>
      <c r="AA71" s="480">
        <f t="shared" si="82"/>
        <v>70.4963768115942</v>
      </c>
      <c r="AB71" s="481">
        <f t="shared" si="87"/>
        <v>85.5036231884058</v>
      </c>
      <c r="AC71" s="482"/>
      <c r="AD71" s="482"/>
      <c r="AE71" s="483"/>
      <c r="AF71" s="483"/>
      <c r="AG71" s="482">
        <f t="shared" si="83"/>
        <v>1043097.35159817</v>
      </c>
      <c r="AH71" s="484"/>
      <c r="AI71" s="463">
        <f t="shared" si="84"/>
        <v>7558.2</v>
      </c>
    </row>
    <row r="72" s="404" customFormat="1" customHeight="1" spans="1:35">
      <c r="A72" s="464"/>
      <c r="B72" s="509"/>
      <c r="C72" s="466">
        <v>0.0452479338842975</v>
      </c>
      <c r="D72" s="485" t="s">
        <v>3924</v>
      </c>
      <c r="E72" s="468" t="s">
        <v>3971</v>
      </c>
      <c r="F72" s="469">
        <v>2000</v>
      </c>
      <c r="G72" s="470">
        <v>0.00153186274509804</v>
      </c>
      <c r="H72" s="471">
        <f t="shared" si="78"/>
        <v>1305600</v>
      </c>
      <c r="I72" s="472">
        <v>13.56</v>
      </c>
      <c r="J72" s="473" t="s">
        <v>3919</v>
      </c>
      <c r="K72" s="474">
        <f t="shared" si="79"/>
        <v>28854356.1643836</v>
      </c>
      <c r="L72" s="509" t="s">
        <v>3926</v>
      </c>
      <c r="M72" s="476">
        <f t="shared" si="80"/>
        <v>57.8343869637214</v>
      </c>
      <c r="N72" s="453">
        <f>1200*W72+7</f>
        <v>144.98973417734</v>
      </c>
      <c r="O72" s="453"/>
      <c r="P72" s="453"/>
      <c r="Q72" s="453"/>
      <c r="R72" s="453"/>
      <c r="S72" s="453"/>
      <c r="T72" s="453"/>
      <c r="U72" s="453"/>
      <c r="V72" s="454">
        <f t="shared" si="85"/>
        <v>1966.06079544473</v>
      </c>
      <c r="W72" s="477">
        <f>AA72/(AA14+AA31+AA48+AA53+AA60+AA65+AA72+AA75)</f>
        <v>0.114991445147783</v>
      </c>
      <c r="X72" s="478">
        <f t="shared" si="86"/>
        <v>144.98973417734</v>
      </c>
      <c r="Y72" s="479">
        <f t="shared" si="81"/>
        <v>94649.2984709675</v>
      </c>
      <c r="Z72" s="474">
        <f t="shared" si="38"/>
        <v>38914</v>
      </c>
      <c r="AA72" s="480">
        <f t="shared" si="82"/>
        <v>59.6109068627451</v>
      </c>
      <c r="AB72" s="481">
        <f t="shared" si="87"/>
        <v>85.3788273145949</v>
      </c>
      <c r="AC72" s="482"/>
      <c r="AD72" s="482"/>
      <c r="AE72" s="483"/>
      <c r="AF72" s="483"/>
      <c r="AG72" s="482">
        <f t="shared" si="83"/>
        <v>1231775.54611636</v>
      </c>
      <c r="AH72" s="511"/>
    </row>
    <row r="73" s="404" customFormat="1" customHeight="1" spans="1:35">
      <c r="A73" s="487"/>
      <c r="B73" s="520"/>
      <c r="C73" s="489">
        <v>0.0452479338842975</v>
      </c>
      <c r="D73" s="490"/>
      <c r="E73" s="491" t="s">
        <v>3665</v>
      </c>
      <c r="F73" s="549"/>
      <c r="G73" s="493">
        <v>1</v>
      </c>
      <c r="H73" s="542"/>
      <c r="I73" s="495">
        <v>1.21341416</v>
      </c>
      <c r="J73" s="496" t="s">
        <v>3919</v>
      </c>
      <c r="K73" s="497"/>
      <c r="L73" s="550"/>
      <c r="M73" s="499">
        <f t="shared" si="80"/>
        <v>37754.2878099173</v>
      </c>
      <c r="N73" s="500">
        <f>ROUNDUP($AC$4*$C73,0)</f>
        <v>38914</v>
      </c>
      <c r="O73" s="500">
        <v>19909</v>
      </c>
      <c r="P73" s="500">
        <v>19909</v>
      </c>
      <c r="Q73" s="500">
        <v>27149</v>
      </c>
      <c r="R73" s="500"/>
      <c r="S73" s="500"/>
      <c r="T73" s="500"/>
      <c r="U73" s="500"/>
      <c r="V73" s="501">
        <f t="shared" si="85"/>
        <v>128477.50467496</v>
      </c>
      <c r="W73" s="502"/>
      <c r="X73" s="503">
        <f t="shared" si="86"/>
        <v>105881</v>
      </c>
      <c r="Y73" s="504"/>
      <c r="Z73" s="497">
        <f t="shared" si="38"/>
        <v>38914</v>
      </c>
      <c r="AA73" s="505">
        <f t="shared" si="82"/>
        <v>38914</v>
      </c>
      <c r="AB73" s="506">
        <f t="shared" si="87"/>
        <v>66967</v>
      </c>
      <c r="AC73" s="507"/>
      <c r="AD73" s="507"/>
      <c r="AE73" s="508"/>
      <c r="AF73" s="508"/>
      <c r="AG73" s="507"/>
    </row>
    <row r="74" s="404" customFormat="1" customHeight="1" spans="1:35">
      <c r="A74" s="439"/>
      <c r="B74" s="440" t="s">
        <v>3984</v>
      </c>
      <c r="C74" s="441">
        <v>0.0452479338842975</v>
      </c>
      <c r="D74" s="443" t="s">
        <v>3917</v>
      </c>
      <c r="E74" s="440" t="s">
        <v>3985</v>
      </c>
      <c r="F74" s="444">
        <v>500</v>
      </c>
      <c r="G74" s="445">
        <v>0.01289992239115</v>
      </c>
      <c r="H74" s="446">
        <f t="shared" ref="H74:H81" si="88">F74/G74</f>
        <v>38759.9231095394</v>
      </c>
      <c r="I74" s="447">
        <v>17.3</v>
      </c>
      <c r="J74" s="448" t="s">
        <v>3919</v>
      </c>
      <c r="K74" s="449">
        <f t="shared" ref="K74:K81" si="89">F74/C74/G74</f>
        <v>856611.999315849</v>
      </c>
      <c r="L74" s="440" t="s">
        <v>3920</v>
      </c>
      <c r="M74" s="451">
        <f t="shared" si="80"/>
        <v>487.027382681074</v>
      </c>
      <c r="N74" s="452">
        <v>246</v>
      </c>
      <c r="O74" s="452">
        <v>256</v>
      </c>
      <c r="P74" s="452">
        <v>257</v>
      </c>
      <c r="Q74" s="452">
        <v>351</v>
      </c>
      <c r="R74" s="452"/>
      <c r="S74" s="452"/>
      <c r="T74" s="452"/>
      <c r="U74" s="452"/>
      <c r="V74" s="454">
        <f t="shared" si="85"/>
        <v>19203</v>
      </c>
      <c r="W74" s="455"/>
      <c r="X74" s="456">
        <f t="shared" si="86"/>
        <v>1110</v>
      </c>
      <c r="Y74" s="457">
        <f t="shared" ref="Y74:Y81" si="90">X74/G74</f>
        <v>86047.0293031775</v>
      </c>
      <c r="Z74" s="449">
        <f t="shared" si="38"/>
        <v>38914</v>
      </c>
      <c r="AA74" s="458">
        <f t="shared" si="82"/>
        <v>501.987579929211</v>
      </c>
      <c r="AB74" s="459">
        <f t="shared" si="87"/>
        <v>608.012420070789</v>
      </c>
      <c r="AC74" s="460">
        <f>$AC$4*C74</f>
        <v>38913.2231404959</v>
      </c>
      <c r="AD74" s="460"/>
      <c r="AE74" s="461"/>
      <c r="AF74" s="461"/>
      <c r="AG74" s="460">
        <f t="shared" ref="AG74:AG81" si="91">AB74/G74/C74</f>
        <v>1041661.46953141</v>
      </c>
    </row>
    <row r="75" s="404" customFormat="1" customHeight="1" spans="1:35">
      <c r="A75" s="464"/>
      <c r="B75" s="509"/>
      <c r="C75" s="466">
        <v>0.0452479338842975</v>
      </c>
      <c r="D75" s="485" t="s">
        <v>3924</v>
      </c>
      <c r="E75" s="509" t="s">
        <v>3971</v>
      </c>
      <c r="F75" s="469">
        <v>2000</v>
      </c>
      <c r="G75" s="470">
        <v>0.00153186274509804</v>
      </c>
      <c r="H75" s="471">
        <f t="shared" si="88"/>
        <v>1305600</v>
      </c>
      <c r="I75" s="472">
        <v>13.56</v>
      </c>
      <c r="J75" s="473" t="s">
        <v>3919</v>
      </c>
      <c r="K75" s="474">
        <f t="shared" si="89"/>
        <v>28854356.1643836</v>
      </c>
      <c r="L75" s="509" t="s">
        <v>3926</v>
      </c>
      <c r="M75" s="476">
        <f t="shared" si="80"/>
        <v>57.8343869637214</v>
      </c>
      <c r="N75" s="453">
        <f>1200*W75+7</f>
        <v>144.98973417734</v>
      </c>
      <c r="O75" s="453"/>
      <c r="P75" s="453"/>
      <c r="Q75" s="453"/>
      <c r="R75" s="453"/>
      <c r="S75" s="453"/>
      <c r="T75" s="453"/>
      <c r="U75" s="453"/>
      <c r="V75" s="454">
        <f t="shared" si="85"/>
        <v>1966.06079544473</v>
      </c>
      <c r="W75" s="477">
        <f>AA75/(AA14+AA31+AA48+AA53+AA60+AA65+AA72+AA75)</f>
        <v>0.114991445147783</v>
      </c>
      <c r="X75" s="478">
        <f t="shared" si="86"/>
        <v>144.98973417734</v>
      </c>
      <c r="Y75" s="479">
        <f t="shared" si="90"/>
        <v>94649.2984709675</v>
      </c>
      <c r="Z75" s="474">
        <f t="shared" si="38"/>
        <v>38914</v>
      </c>
      <c r="AA75" s="480">
        <f t="shared" si="82"/>
        <v>59.6109068627451</v>
      </c>
      <c r="AB75" s="481">
        <f t="shared" si="87"/>
        <v>85.3788273145949</v>
      </c>
      <c r="AC75" s="482"/>
      <c r="AD75" s="482"/>
      <c r="AE75" s="483"/>
      <c r="AF75" s="483"/>
      <c r="AG75" s="482">
        <f t="shared" si="91"/>
        <v>1231775.54611636</v>
      </c>
      <c r="AH75" s="511"/>
    </row>
    <row r="76" s="404" customFormat="1" customHeight="1" spans="1:35">
      <c r="A76" s="487"/>
      <c r="B76" s="520"/>
      <c r="C76" s="489">
        <v>0.0452479338842975</v>
      </c>
      <c r="D76" s="490"/>
      <c r="E76" s="520" t="s">
        <v>3665</v>
      </c>
      <c r="F76" s="492"/>
      <c r="G76" s="493">
        <v>1</v>
      </c>
      <c r="H76" s="542"/>
      <c r="I76" s="495">
        <v>0.2805823</v>
      </c>
      <c r="J76" s="496" t="s">
        <v>3919</v>
      </c>
      <c r="K76" s="497"/>
      <c r="L76" s="498"/>
      <c r="M76" s="499">
        <f t="shared" si="80"/>
        <v>37754.2878099173</v>
      </c>
      <c r="N76" s="500">
        <f>ROUNDUP($AC$4*$C76,0)</f>
        <v>38914</v>
      </c>
      <c r="O76" s="500">
        <v>19909</v>
      </c>
      <c r="P76" s="500">
        <v>19909</v>
      </c>
      <c r="Q76" s="500">
        <v>27149</v>
      </c>
      <c r="R76" s="500"/>
      <c r="S76" s="500"/>
      <c r="T76" s="500"/>
      <c r="U76" s="500"/>
      <c r="V76" s="501">
        <f t="shared" si="85"/>
        <v>29708.3345063</v>
      </c>
      <c r="W76" s="502"/>
      <c r="X76" s="503">
        <f t="shared" si="86"/>
        <v>105881</v>
      </c>
      <c r="Y76" s="504"/>
      <c r="Z76" s="497">
        <f t="shared" si="38"/>
        <v>38914</v>
      </c>
      <c r="AA76" s="505">
        <f t="shared" si="82"/>
        <v>38914</v>
      </c>
      <c r="AB76" s="506">
        <f t="shared" si="87"/>
        <v>66967</v>
      </c>
      <c r="AC76" s="507"/>
      <c r="AD76" s="507"/>
      <c r="AE76" s="508"/>
      <c r="AF76" s="508"/>
      <c r="AG76" s="507"/>
    </row>
    <row r="77" s="404" customFormat="1" customHeight="1" spans="1:35">
      <c r="A77" s="439"/>
      <c r="B77" s="440" t="s">
        <v>3986</v>
      </c>
      <c r="C77" s="441">
        <v>0.0452479338842975</v>
      </c>
      <c r="D77" s="442" t="s">
        <v>3987</v>
      </c>
      <c r="E77" s="443" t="s">
        <v>3988</v>
      </c>
      <c r="F77" s="444">
        <v>500</v>
      </c>
      <c r="G77" s="445">
        <v>0.00549768518519</v>
      </c>
      <c r="H77" s="446">
        <f t="shared" si="88"/>
        <v>90947.368420973</v>
      </c>
      <c r="I77" s="447">
        <v>17.3</v>
      </c>
      <c r="J77" s="448" t="s">
        <v>3919</v>
      </c>
      <c r="K77" s="449">
        <f t="shared" si="89"/>
        <v>2009978.37058224</v>
      </c>
      <c r="L77" s="450"/>
      <c r="M77" s="451">
        <f t="shared" si="80"/>
        <v>207.561188769982</v>
      </c>
      <c r="N77" s="452">
        <f>500*W77</f>
        <v>330.667920978461</v>
      </c>
      <c r="O77" s="452"/>
      <c r="P77" s="452"/>
      <c r="Q77" s="452">
        <v>331</v>
      </c>
      <c r="R77" s="452"/>
      <c r="S77" s="452"/>
      <c r="T77" s="453"/>
      <c r="U77" s="453"/>
      <c r="V77" s="454">
        <f t="shared" si="85"/>
        <v>11446.8550329274</v>
      </c>
      <c r="W77" s="455">
        <f>AA77/(AA77+AA78)</f>
        <v>0.661335841956922</v>
      </c>
      <c r="X77" s="456">
        <f t="shared" si="86"/>
        <v>661.667920978461</v>
      </c>
      <c r="Y77" s="457">
        <f t="shared" si="90"/>
        <v>120353.912363135</v>
      </c>
      <c r="Z77" s="449">
        <f t="shared" si="38"/>
        <v>38914</v>
      </c>
      <c r="AA77" s="458">
        <f t="shared" si="82"/>
        <v>213.936921296484</v>
      </c>
      <c r="AB77" s="459">
        <f t="shared" si="87"/>
        <v>447.730999681977</v>
      </c>
      <c r="AC77" s="460">
        <f>$AC$4*C77</f>
        <v>38913.2231404959</v>
      </c>
      <c r="AD77" s="460"/>
      <c r="AE77" s="461"/>
      <c r="AF77" s="461"/>
      <c r="AG77" s="460">
        <f t="shared" si="91"/>
        <v>1799859.25039987</v>
      </c>
    </row>
    <row r="78" s="404" customFormat="1" customHeight="1" spans="1:35">
      <c r="A78" s="464"/>
      <c r="B78" s="465"/>
      <c r="C78" s="466">
        <v>0.0452479338842975</v>
      </c>
      <c r="D78" s="467" t="s">
        <v>3987</v>
      </c>
      <c r="E78" s="468" t="s">
        <v>3989</v>
      </c>
      <c r="F78" s="469">
        <v>500</v>
      </c>
      <c r="G78" s="470">
        <v>0.00281531531531532</v>
      </c>
      <c r="H78" s="471">
        <f t="shared" si="88"/>
        <v>177600</v>
      </c>
      <c r="I78" s="472">
        <v>17.3</v>
      </c>
      <c r="J78" s="473" t="s">
        <v>3919</v>
      </c>
      <c r="K78" s="474">
        <f t="shared" si="89"/>
        <v>3925041.09589041</v>
      </c>
      <c r="L78" s="475"/>
      <c r="M78" s="476">
        <f t="shared" si="80"/>
        <v>106.290224690083</v>
      </c>
      <c r="N78" s="453">
        <f>500*W78</f>
        <v>169.332079021539</v>
      </c>
      <c r="O78" s="453"/>
      <c r="P78" s="453"/>
      <c r="Q78" s="453">
        <v>169</v>
      </c>
      <c r="R78" s="453"/>
      <c r="S78" s="453"/>
      <c r="T78" s="453"/>
      <c r="U78" s="453"/>
      <c r="V78" s="454">
        <f t="shared" si="85"/>
        <v>5853.14496707263</v>
      </c>
      <c r="W78" s="477">
        <f>AA78/(AA77+AA78)</f>
        <v>0.338664158043078</v>
      </c>
      <c r="X78" s="478">
        <f t="shared" si="86"/>
        <v>338.332079021539</v>
      </c>
      <c r="Y78" s="479">
        <f t="shared" si="90"/>
        <v>120175.55446845</v>
      </c>
      <c r="Z78" s="474">
        <f t="shared" si="38"/>
        <v>38914</v>
      </c>
      <c r="AA78" s="480">
        <f t="shared" si="82"/>
        <v>109.55518018018</v>
      </c>
      <c r="AB78" s="481">
        <f t="shared" si="87"/>
        <v>228.776898841359</v>
      </c>
      <c r="AC78" s="482"/>
      <c r="AD78" s="482"/>
      <c r="AE78" s="483"/>
      <c r="AF78" s="483"/>
      <c r="AG78" s="482">
        <f t="shared" si="91"/>
        <v>1795917.45948539</v>
      </c>
    </row>
    <row r="79" s="404" customFormat="1" customHeight="1" spans="1:35">
      <c r="A79" s="464"/>
      <c r="B79" s="465"/>
      <c r="C79" s="466">
        <v>0.0452479338842975</v>
      </c>
      <c r="D79" s="485" t="s">
        <v>3990</v>
      </c>
      <c r="E79" s="468" t="s">
        <v>3991</v>
      </c>
      <c r="F79" s="486">
        <v>2000</v>
      </c>
      <c r="G79" s="470">
        <v>0.0044849537037</v>
      </c>
      <c r="H79" s="471">
        <f t="shared" si="88"/>
        <v>445935.483871336</v>
      </c>
      <c r="I79" s="472">
        <v>32.3</v>
      </c>
      <c r="J79" s="473" t="s">
        <v>3919</v>
      </c>
      <c r="K79" s="474">
        <f t="shared" si="89"/>
        <v>9855377.81706515</v>
      </c>
      <c r="L79" s="475"/>
      <c r="M79" s="476">
        <f t="shared" si="80"/>
        <v>169.326232943645</v>
      </c>
      <c r="N79" s="453">
        <v>86</v>
      </c>
      <c r="O79" s="453">
        <v>89</v>
      </c>
      <c r="P79" s="453">
        <v>89</v>
      </c>
      <c r="Q79" s="453">
        <v>122</v>
      </c>
      <c r="R79" s="453"/>
      <c r="S79" s="453"/>
      <c r="T79" s="453"/>
      <c r="U79" s="453"/>
      <c r="V79" s="454">
        <f t="shared" si="85"/>
        <v>12467.8</v>
      </c>
      <c r="W79" s="477">
        <f>AA79/SUM(AA79:AA81)</f>
        <v>0.484711917458602</v>
      </c>
      <c r="X79" s="478">
        <f t="shared" si="86"/>
        <v>386</v>
      </c>
      <c r="Y79" s="479">
        <f t="shared" si="90"/>
        <v>86065.5483871678</v>
      </c>
      <c r="Z79" s="474">
        <f t="shared" si="38"/>
        <v>38914</v>
      </c>
      <c r="AA79" s="480">
        <f t="shared" si="82"/>
        <v>174.527488425782</v>
      </c>
      <c r="AB79" s="481">
        <f t="shared" si="87"/>
        <v>211.472511574218</v>
      </c>
      <c r="AC79" s="482"/>
      <c r="AD79" s="482"/>
      <c r="AE79" s="483"/>
      <c r="AF79" s="483"/>
      <c r="AG79" s="482">
        <f t="shared" si="91"/>
        <v>1042070.7497438</v>
      </c>
      <c r="AH79" s="484"/>
      <c r="AI79" s="463">
        <f t="shared" ref="AI79:AI81" si="92">V79*1.5</f>
        <v>18701.7</v>
      </c>
    </row>
    <row r="80" s="404" customFormat="1" customHeight="1" spans="1:35">
      <c r="A80" s="464"/>
      <c r="B80" s="465"/>
      <c r="C80" s="466">
        <v>0.0452479338842975</v>
      </c>
      <c r="D80" s="485" t="s">
        <v>3990</v>
      </c>
      <c r="E80" s="468" t="s">
        <v>3992</v>
      </c>
      <c r="F80" s="469">
        <v>2000</v>
      </c>
      <c r="G80" s="470">
        <v>0.00306514519617</v>
      </c>
      <c r="H80" s="471">
        <f t="shared" si="88"/>
        <v>652497.637795125</v>
      </c>
      <c r="I80" s="472">
        <v>32.3</v>
      </c>
      <c r="J80" s="473" t="s">
        <v>3919</v>
      </c>
      <c r="K80" s="474">
        <f t="shared" si="89"/>
        <v>14420495.7393991</v>
      </c>
      <c r="L80" s="475"/>
      <c r="M80" s="476">
        <f t="shared" si="80"/>
        <v>115.722373915388</v>
      </c>
      <c r="N80" s="453">
        <v>59</v>
      </c>
      <c r="O80" s="453">
        <v>61</v>
      </c>
      <c r="P80" s="453">
        <v>61</v>
      </c>
      <c r="Q80" s="453">
        <v>83</v>
      </c>
      <c r="R80" s="453"/>
      <c r="S80" s="453"/>
      <c r="T80" s="453"/>
      <c r="U80" s="453"/>
      <c r="V80" s="454">
        <f t="shared" si="85"/>
        <v>8527.2</v>
      </c>
      <c r="W80" s="477">
        <f>AA80/SUM(AA79:AA81)</f>
        <v>0.331265940181032</v>
      </c>
      <c r="X80" s="478">
        <f t="shared" si="86"/>
        <v>264</v>
      </c>
      <c r="Y80" s="479">
        <f t="shared" si="90"/>
        <v>86129.6881889565</v>
      </c>
      <c r="Z80" s="474">
        <f t="shared" si="38"/>
        <v>38914</v>
      </c>
      <c r="AA80" s="480">
        <f t="shared" si="82"/>
        <v>119.277060163759</v>
      </c>
      <c r="AB80" s="481">
        <f t="shared" si="87"/>
        <v>144.722939836241</v>
      </c>
      <c r="AC80" s="482"/>
      <c r="AD80" s="482"/>
      <c r="AE80" s="483"/>
      <c r="AF80" s="483"/>
      <c r="AG80" s="482">
        <f t="shared" si="91"/>
        <v>1043488.26865091</v>
      </c>
      <c r="AH80" s="484"/>
      <c r="AI80" s="463">
        <f t="shared" si="92"/>
        <v>12790.8</v>
      </c>
    </row>
    <row r="81" s="404" customFormat="1" customHeight="1" spans="1:35">
      <c r="A81" s="464"/>
      <c r="B81" s="465"/>
      <c r="C81" s="466">
        <v>0.0452479338842975</v>
      </c>
      <c r="D81" s="485" t="s">
        <v>3990</v>
      </c>
      <c r="E81" s="468" t="s">
        <v>3993</v>
      </c>
      <c r="F81" s="486">
        <v>2000</v>
      </c>
      <c r="G81" s="470">
        <v>0.00170272435897436</v>
      </c>
      <c r="H81" s="471">
        <f t="shared" si="88"/>
        <v>1174588.23529412</v>
      </c>
      <c r="I81" s="472">
        <v>32.3</v>
      </c>
      <c r="J81" s="473" t="s">
        <v>3919</v>
      </c>
      <c r="K81" s="474">
        <f t="shared" si="89"/>
        <v>25958936.3416599</v>
      </c>
      <c r="L81" s="475"/>
      <c r="M81" s="476">
        <f t="shared" si="80"/>
        <v>64.285145509675</v>
      </c>
      <c r="N81" s="453">
        <v>33</v>
      </c>
      <c r="O81" s="453">
        <v>34</v>
      </c>
      <c r="P81" s="453">
        <v>34</v>
      </c>
      <c r="Q81" s="453">
        <v>46</v>
      </c>
      <c r="R81" s="453"/>
      <c r="S81" s="453"/>
      <c r="T81" s="453"/>
      <c r="U81" s="453"/>
      <c r="V81" s="454">
        <f t="shared" si="85"/>
        <v>4748.1</v>
      </c>
      <c r="W81" s="477">
        <f>AA81/SUM(AA79:AA81)</f>
        <v>0.184022142360366</v>
      </c>
      <c r="X81" s="478">
        <f t="shared" si="86"/>
        <v>147</v>
      </c>
      <c r="Y81" s="479">
        <f t="shared" si="90"/>
        <v>86332.2352941176</v>
      </c>
      <c r="Z81" s="474">
        <f t="shared" si="38"/>
        <v>38914</v>
      </c>
      <c r="AA81" s="480">
        <f t="shared" si="82"/>
        <v>66.2598157051282</v>
      </c>
      <c r="AB81" s="481">
        <f t="shared" si="87"/>
        <v>80.7401842948718</v>
      </c>
      <c r="AC81" s="482"/>
      <c r="AD81" s="482"/>
      <c r="AE81" s="483"/>
      <c r="AF81" s="483"/>
      <c r="AG81" s="482">
        <f t="shared" si="91"/>
        <v>1047964.65216223</v>
      </c>
      <c r="AH81" s="484"/>
      <c r="AI81" s="463">
        <f t="shared" si="92"/>
        <v>7122.15</v>
      </c>
    </row>
    <row r="82" s="404" customFormat="1" customHeight="1" spans="1:35">
      <c r="A82" s="487"/>
      <c r="B82" s="488"/>
      <c r="C82" s="489">
        <v>0.0452479338842975</v>
      </c>
      <c r="D82" s="490"/>
      <c r="E82" s="491" t="s">
        <v>3665</v>
      </c>
      <c r="F82" s="492"/>
      <c r="G82" s="493">
        <v>1</v>
      </c>
      <c r="H82" s="494"/>
      <c r="I82" s="495">
        <v>1.35754</v>
      </c>
      <c r="J82" s="496" t="s">
        <v>3919</v>
      </c>
      <c r="K82" s="497"/>
      <c r="L82" s="498"/>
      <c r="M82" s="499">
        <f t="shared" si="80"/>
        <v>37754.2878099173</v>
      </c>
      <c r="N82" s="500">
        <f t="shared" ref="N82:N87" si="93">ROUNDUP($AC$4*$C82,0)</f>
        <v>38914</v>
      </c>
      <c r="O82" s="500">
        <v>19909</v>
      </c>
      <c r="P82" s="500">
        <v>19909</v>
      </c>
      <c r="Q82" s="500">
        <v>27149</v>
      </c>
      <c r="R82" s="500"/>
      <c r="S82" s="500"/>
      <c r="T82" s="500"/>
      <c r="U82" s="500"/>
      <c r="V82" s="501">
        <f t="shared" si="85"/>
        <v>143737.69274</v>
      </c>
      <c r="W82" s="502"/>
      <c r="X82" s="503">
        <f t="shared" si="86"/>
        <v>105881</v>
      </c>
      <c r="Y82" s="504"/>
      <c r="Z82" s="497">
        <f t="shared" si="38"/>
        <v>38914</v>
      </c>
      <c r="AA82" s="505">
        <f t="shared" si="82"/>
        <v>38914</v>
      </c>
      <c r="AB82" s="506">
        <f t="shared" si="87"/>
        <v>66967</v>
      </c>
      <c r="AC82" s="507"/>
      <c r="AD82" s="507"/>
      <c r="AE82" s="508"/>
      <c r="AF82" s="508"/>
      <c r="AG82" s="507"/>
    </row>
    <row r="83" s="404" customFormat="1" customHeight="1" spans="1:35">
      <c r="A83" s="439"/>
      <c r="B83" s="540" t="s">
        <v>3994</v>
      </c>
      <c r="C83" s="441">
        <v>0.00454545454545455</v>
      </c>
      <c r="D83" s="442" t="s">
        <v>3995</v>
      </c>
      <c r="E83" s="443" t="s">
        <v>3996</v>
      </c>
      <c r="F83" s="554">
        <v>1000</v>
      </c>
      <c r="G83" s="445">
        <v>0.00468285016602</v>
      </c>
      <c r="H83" s="446">
        <f t="shared" ref="H83:H86" si="94">F83/G83</f>
        <v>213545.162571347</v>
      </c>
      <c r="I83" s="447">
        <v>13.56</v>
      </c>
      <c r="J83" s="448" t="s">
        <v>3641</v>
      </c>
      <c r="K83" s="449">
        <f t="shared" ref="K83:K86" si="95">F83/C83/G83</f>
        <v>46979935.7656963</v>
      </c>
      <c r="L83" s="450"/>
      <c r="M83" s="451">
        <f t="shared" si="80"/>
        <v>17.7604968248861</v>
      </c>
      <c r="N83" s="452">
        <v>50</v>
      </c>
      <c r="O83" s="452"/>
      <c r="P83" s="452"/>
      <c r="Q83" s="452"/>
      <c r="R83" s="452"/>
      <c r="S83" s="452"/>
      <c r="T83" s="452"/>
      <c r="U83" s="452"/>
      <c r="V83" s="518">
        <f t="shared" si="85"/>
        <v>678</v>
      </c>
      <c r="W83" s="455"/>
      <c r="X83" s="456">
        <f t="shared" si="86"/>
        <v>50</v>
      </c>
      <c r="Y83" s="457">
        <f t="shared" ref="Y83:Y86" si="96">X83/G83</f>
        <v>10677.2581285673</v>
      </c>
      <c r="Z83" s="449">
        <f t="shared" si="38"/>
        <v>3910</v>
      </c>
      <c r="AA83" s="458">
        <f t="shared" si="82"/>
        <v>18.3099441491382</v>
      </c>
      <c r="AB83" s="459">
        <f t="shared" si="87"/>
        <v>31.6900558508618</v>
      </c>
      <c r="AC83" s="460"/>
      <c r="AD83" s="460"/>
      <c r="AE83" s="461"/>
      <c r="AF83" s="461"/>
      <c r="AG83" s="460">
        <f t="shared" ref="AG83:AG86" si="97">AB83/G83/C83</f>
        <v>1488796.78828482</v>
      </c>
      <c r="AH83" s="519"/>
      <c r="AI83" s="463">
        <f>1500</f>
        <v>1500</v>
      </c>
    </row>
    <row r="84" s="404" customFormat="1" customHeight="1" spans="1:35">
      <c r="A84" s="464"/>
      <c r="B84" s="509"/>
      <c r="C84" s="466">
        <v>0.00454545454545455</v>
      </c>
      <c r="D84" s="468" t="s">
        <v>3997</v>
      </c>
      <c r="E84" s="509" t="s">
        <v>3998</v>
      </c>
      <c r="F84" s="469">
        <v>3000</v>
      </c>
      <c r="G84" s="470">
        <v>0.00141059027777778</v>
      </c>
      <c r="H84" s="471">
        <f t="shared" si="94"/>
        <v>2126769.23076923</v>
      </c>
      <c r="I84" s="472">
        <v>3.42</v>
      </c>
      <c r="J84" s="473" t="s">
        <v>3641</v>
      </c>
      <c r="K84" s="474">
        <f t="shared" si="95"/>
        <v>467889230.76923</v>
      </c>
      <c r="L84" s="475"/>
      <c r="M84" s="476">
        <f t="shared" si="80"/>
        <v>5.34990086410986</v>
      </c>
      <c r="N84" s="453">
        <v>15</v>
      </c>
      <c r="O84" s="453"/>
      <c r="P84" s="453"/>
      <c r="Q84" s="453"/>
      <c r="R84" s="453"/>
      <c r="S84" s="453"/>
      <c r="T84" s="453"/>
      <c r="U84" s="453"/>
      <c r="V84" s="518">
        <f t="shared" si="85"/>
        <v>51.3</v>
      </c>
      <c r="W84" s="477"/>
      <c r="X84" s="478">
        <f t="shared" si="86"/>
        <v>15</v>
      </c>
      <c r="Y84" s="479">
        <f t="shared" si="96"/>
        <v>10633.8461538461</v>
      </c>
      <c r="Z84" s="474">
        <f t="shared" si="38"/>
        <v>3910</v>
      </c>
      <c r="AA84" s="480">
        <f t="shared" si="82"/>
        <v>5.51540798611112</v>
      </c>
      <c r="AB84" s="481">
        <f t="shared" si="87"/>
        <v>9.48459201388888</v>
      </c>
      <c r="AC84" s="482"/>
      <c r="AD84" s="482"/>
      <c r="AE84" s="483"/>
      <c r="AF84" s="483"/>
      <c r="AG84" s="482">
        <f t="shared" si="97"/>
        <v>1479246.15384615</v>
      </c>
      <c r="AH84" s="519"/>
      <c r="AI84" s="463">
        <f>1500</f>
        <v>1500</v>
      </c>
    </row>
    <row r="85" s="404" customFormat="1" customHeight="1" spans="1:35">
      <c r="A85" s="487"/>
      <c r="B85" s="520"/>
      <c r="C85" s="489">
        <v>0.00454545454545455</v>
      </c>
      <c r="D85" s="490"/>
      <c r="E85" s="520" t="s">
        <v>3665</v>
      </c>
      <c r="F85" s="492"/>
      <c r="G85" s="493">
        <v>1</v>
      </c>
      <c r="H85" s="494"/>
      <c r="I85" s="495">
        <v>0.725</v>
      </c>
      <c r="J85" s="496" t="s">
        <v>3641</v>
      </c>
      <c r="K85" s="497"/>
      <c r="L85" s="498"/>
      <c r="M85" s="499">
        <f t="shared" si="80"/>
        <v>3792.66818181819</v>
      </c>
      <c r="N85" s="500">
        <f t="shared" si="93"/>
        <v>3910</v>
      </c>
      <c r="O85" s="500">
        <v>2000</v>
      </c>
      <c r="P85" s="500">
        <v>2000</v>
      </c>
      <c r="Q85" s="500">
        <v>1363</v>
      </c>
      <c r="R85" s="500"/>
      <c r="S85" s="500"/>
      <c r="T85" s="500"/>
      <c r="U85" s="500"/>
      <c r="V85" s="501">
        <f t="shared" si="85"/>
        <v>6722.925</v>
      </c>
      <c r="W85" s="502"/>
      <c r="X85" s="503">
        <f t="shared" si="86"/>
        <v>9273</v>
      </c>
      <c r="Y85" s="504"/>
      <c r="Z85" s="497">
        <f t="shared" si="38"/>
        <v>3910</v>
      </c>
      <c r="AA85" s="505">
        <f t="shared" si="82"/>
        <v>3910</v>
      </c>
      <c r="AB85" s="506">
        <f t="shared" si="87"/>
        <v>5363</v>
      </c>
      <c r="AC85" s="507"/>
      <c r="AD85" s="507"/>
      <c r="AE85" s="508"/>
      <c r="AF85" s="508"/>
      <c r="AG85" s="507"/>
    </row>
    <row r="86" s="404" customFormat="1" ht="40" customHeight="1" spans="1:35">
      <c r="A86" s="439"/>
      <c r="B86" s="440" t="s">
        <v>3999</v>
      </c>
      <c r="C86" s="441">
        <v>0.0452479338842975</v>
      </c>
      <c r="D86" s="442" t="s">
        <v>4000</v>
      </c>
      <c r="E86" s="443" t="s">
        <v>4001</v>
      </c>
      <c r="F86" s="554">
        <v>500</v>
      </c>
      <c r="G86" s="445">
        <v>0.0057775073377</v>
      </c>
      <c r="H86" s="446">
        <f t="shared" si="94"/>
        <v>86542.512328344</v>
      </c>
      <c r="I86" s="447">
        <f>27</f>
        <v>27</v>
      </c>
      <c r="J86" s="448" t="s">
        <v>3919</v>
      </c>
      <c r="K86" s="449">
        <f t="shared" si="95"/>
        <v>1912629.03958532</v>
      </c>
      <c r="L86" s="450"/>
      <c r="M86" s="451">
        <f t="shared" si="80"/>
        <v>218.125674851435</v>
      </c>
      <c r="N86" s="452">
        <v>500</v>
      </c>
      <c r="O86" s="452"/>
      <c r="P86" s="452">
        <v>0</v>
      </c>
      <c r="Q86" s="452"/>
      <c r="R86" s="452"/>
      <c r="S86" s="452"/>
      <c r="T86" s="452"/>
      <c r="U86" s="452"/>
      <c r="V86" s="454">
        <f t="shared" si="85"/>
        <v>13500</v>
      </c>
      <c r="W86" s="455"/>
      <c r="X86" s="456">
        <f t="shared" si="86"/>
        <v>500</v>
      </c>
      <c r="Y86" s="457">
        <f t="shared" si="96"/>
        <v>86542.512328344</v>
      </c>
      <c r="Z86" s="449">
        <f t="shared" si="38"/>
        <v>38914</v>
      </c>
      <c r="AA86" s="458">
        <f t="shared" si="82"/>
        <v>224.825920539258</v>
      </c>
      <c r="AB86" s="459">
        <f t="shared" si="87"/>
        <v>275.174079460742</v>
      </c>
      <c r="AC86" s="460"/>
      <c r="AD86" s="460"/>
      <c r="AE86" s="461"/>
      <c r="AF86" s="461"/>
      <c r="AG86" s="460">
        <f t="shared" si="97"/>
        <v>1052611.87063555</v>
      </c>
    </row>
    <row r="87" s="404" customFormat="1" ht="40" customHeight="1" spans="1:35">
      <c r="A87" s="487"/>
      <c r="B87" s="520"/>
      <c r="C87" s="489">
        <v>0.0452479338842975</v>
      </c>
      <c r="D87" s="490"/>
      <c r="E87" s="520" t="s">
        <v>3665</v>
      </c>
      <c r="F87" s="492"/>
      <c r="G87" s="493">
        <v>1</v>
      </c>
      <c r="H87" s="494"/>
      <c r="I87" s="495">
        <v>0.315798</v>
      </c>
      <c r="J87" s="496" t="s">
        <v>3919</v>
      </c>
      <c r="K87" s="497"/>
      <c r="L87" s="498"/>
      <c r="M87" s="499">
        <f t="shared" si="80"/>
        <v>37754.2878099173</v>
      </c>
      <c r="N87" s="500">
        <f t="shared" si="93"/>
        <v>38914</v>
      </c>
      <c r="O87" s="500">
        <v>19909</v>
      </c>
      <c r="P87" s="500">
        <v>19909</v>
      </c>
      <c r="Q87" s="500">
        <v>13574</v>
      </c>
      <c r="R87" s="500"/>
      <c r="S87" s="500"/>
      <c r="T87" s="500"/>
      <c r="U87" s="500"/>
      <c r="V87" s="501">
        <f t="shared" si="85"/>
        <v>29150.050188</v>
      </c>
      <c r="W87" s="502"/>
      <c r="X87" s="503">
        <f t="shared" si="86"/>
        <v>92306</v>
      </c>
      <c r="Y87" s="504"/>
      <c r="Z87" s="497">
        <f t="shared" si="38"/>
        <v>38914</v>
      </c>
      <c r="AA87" s="505">
        <f t="shared" si="82"/>
        <v>38914</v>
      </c>
      <c r="AB87" s="506">
        <f t="shared" si="87"/>
        <v>53392</v>
      </c>
      <c r="AC87" s="507"/>
      <c r="AD87" s="507"/>
      <c r="AE87" s="508"/>
      <c r="AF87" s="508"/>
      <c r="AG87" s="507"/>
    </row>
    <row r="88" s="404" customFormat="1" customHeight="1" spans="1:35">
      <c r="A88" s="439"/>
      <c r="B88" s="556" t="s">
        <v>4002</v>
      </c>
      <c r="C88" s="441">
        <v>0.0452479338842975</v>
      </c>
      <c r="D88" s="442" t="s">
        <v>4003</v>
      </c>
      <c r="E88" s="443" t="s">
        <v>4004</v>
      </c>
      <c r="F88" s="554">
        <v>2000</v>
      </c>
      <c r="G88" s="445">
        <v>0.00424737551096</v>
      </c>
      <c r="H88" s="446">
        <f t="shared" ref="H88:H91" si="98">F88/G88</f>
        <v>470879.015721395</v>
      </c>
      <c r="I88" s="447">
        <f>25.3</f>
        <v>25.3</v>
      </c>
      <c r="J88" s="448" t="s">
        <v>3919</v>
      </c>
      <c r="K88" s="449">
        <f t="shared" ref="K88:K91" si="99">F88/C88/G88</f>
        <v>10406641.260692</v>
      </c>
      <c r="L88" s="450"/>
      <c r="M88" s="451">
        <f t="shared" si="80"/>
        <v>160.356637477579</v>
      </c>
      <c r="N88" s="452">
        <v>81</v>
      </c>
      <c r="O88" s="452">
        <v>85</v>
      </c>
      <c r="P88" s="452">
        <v>84</v>
      </c>
      <c r="Q88" s="452">
        <v>58</v>
      </c>
      <c r="R88" s="452"/>
      <c r="S88" s="452"/>
      <c r="T88" s="452"/>
      <c r="U88" s="452"/>
      <c r="V88" s="454">
        <f t="shared" si="85"/>
        <v>7792.4</v>
      </c>
      <c r="W88" s="455"/>
      <c r="X88" s="456">
        <f t="shared" si="86"/>
        <v>308</v>
      </c>
      <c r="Y88" s="457">
        <f t="shared" ref="Y88:Y91" si="100">X88/G88</f>
        <v>72515.3684210948</v>
      </c>
      <c r="Z88" s="449">
        <f t="shared" si="38"/>
        <v>38914</v>
      </c>
      <c r="AA88" s="458">
        <f t="shared" si="82"/>
        <v>165.282370633497</v>
      </c>
      <c r="AB88" s="459">
        <f t="shared" si="87"/>
        <v>142.717629366503</v>
      </c>
      <c r="AC88" s="460"/>
      <c r="AD88" s="460"/>
      <c r="AE88" s="461"/>
      <c r="AF88" s="461"/>
      <c r="AG88" s="460">
        <f t="shared" ref="AG88:AG91" si="101">AB88/G88/C88</f>
        <v>742605.5851968</v>
      </c>
      <c r="AH88" s="484"/>
      <c r="AI88" s="463">
        <f>V88*1.5</f>
        <v>11688.6</v>
      </c>
    </row>
    <row r="89" s="404" customFormat="1" customHeight="1" spans="1:35">
      <c r="A89" s="464"/>
      <c r="B89" s="557"/>
      <c r="C89" s="466">
        <v>0.0452479338842975</v>
      </c>
      <c r="D89" s="468" t="s">
        <v>4005</v>
      </c>
      <c r="E89" s="509" t="s">
        <v>3998</v>
      </c>
      <c r="F89" s="469">
        <v>3000</v>
      </c>
      <c r="G89" s="470">
        <v>0.00141059027777778</v>
      </c>
      <c r="H89" s="471">
        <f t="shared" si="98"/>
        <v>2126769.23076923</v>
      </c>
      <c r="I89" s="472">
        <v>25.94</v>
      </c>
      <c r="J89" s="473" t="s">
        <v>3919</v>
      </c>
      <c r="K89" s="474">
        <f t="shared" si="99"/>
        <v>47002571.1275026</v>
      </c>
      <c r="L89" s="475"/>
      <c r="M89" s="476">
        <f t="shared" si="80"/>
        <v>53.2558313290936</v>
      </c>
      <c r="N89" s="453">
        <v>125</v>
      </c>
      <c r="O89" s="453"/>
      <c r="P89" s="453"/>
      <c r="Q89" s="453"/>
      <c r="R89" s="453"/>
      <c r="S89" s="453"/>
      <c r="T89" s="453"/>
      <c r="U89" s="453"/>
      <c r="V89" s="518">
        <f t="shared" si="85"/>
        <v>3242.5</v>
      </c>
      <c r="W89" s="477"/>
      <c r="X89" s="478">
        <f t="shared" si="86"/>
        <v>125</v>
      </c>
      <c r="Y89" s="479">
        <f t="shared" si="100"/>
        <v>88615.3846153845</v>
      </c>
      <c r="Z89" s="474">
        <f t="shared" si="38"/>
        <v>38914</v>
      </c>
      <c r="AA89" s="480">
        <f t="shared" si="82"/>
        <v>54.8917100694445</v>
      </c>
      <c r="AB89" s="481">
        <f t="shared" si="87"/>
        <v>70.1082899305555</v>
      </c>
      <c r="AC89" s="482"/>
      <c r="AD89" s="482"/>
      <c r="AE89" s="483"/>
      <c r="AF89" s="483"/>
      <c r="AG89" s="482">
        <f t="shared" si="101"/>
        <v>1098423.29469617</v>
      </c>
      <c r="AH89" s="519"/>
      <c r="AI89" s="463">
        <f>1500</f>
        <v>1500</v>
      </c>
    </row>
    <row r="90" s="404" customFormat="1" customHeight="1" spans="1:35">
      <c r="A90" s="487"/>
      <c r="B90" s="558"/>
      <c r="C90" s="489">
        <v>0.0452479338842975</v>
      </c>
      <c r="D90" s="490"/>
      <c r="E90" s="520" t="s">
        <v>3665</v>
      </c>
      <c r="F90" s="492"/>
      <c r="G90" s="493">
        <v>1</v>
      </c>
      <c r="H90" s="494"/>
      <c r="I90" s="495">
        <v>0.312708</v>
      </c>
      <c r="J90" s="496" t="s">
        <v>3919</v>
      </c>
      <c r="K90" s="497"/>
      <c r="L90" s="498"/>
      <c r="M90" s="499">
        <f t="shared" si="80"/>
        <v>37754.2878099173</v>
      </c>
      <c r="N90" s="500">
        <f t="shared" ref="N90:N94" si="102">ROUNDUP($AC$4*$C90,0)</f>
        <v>38914</v>
      </c>
      <c r="O90" s="500">
        <v>19909</v>
      </c>
      <c r="P90" s="500">
        <v>19909</v>
      </c>
      <c r="Q90" s="500">
        <v>13574</v>
      </c>
      <c r="R90" s="500"/>
      <c r="S90" s="500"/>
      <c r="T90" s="500"/>
      <c r="U90" s="500"/>
      <c r="V90" s="501">
        <f t="shared" si="85"/>
        <v>28864.824648</v>
      </c>
      <c r="W90" s="502"/>
      <c r="X90" s="503">
        <f t="shared" si="86"/>
        <v>92306</v>
      </c>
      <c r="Y90" s="504"/>
      <c r="Z90" s="497">
        <f t="shared" si="38"/>
        <v>38914</v>
      </c>
      <c r="AA90" s="505">
        <f t="shared" si="82"/>
        <v>38914</v>
      </c>
      <c r="AB90" s="506">
        <f t="shared" si="87"/>
        <v>53392</v>
      </c>
      <c r="AC90" s="507"/>
      <c r="AD90" s="507"/>
      <c r="AE90" s="508"/>
      <c r="AF90" s="508"/>
      <c r="AG90" s="507"/>
    </row>
    <row r="91" s="404" customFormat="1" ht="40" customHeight="1" spans="1:35">
      <c r="A91" s="559"/>
      <c r="B91" s="440" t="s">
        <v>4006</v>
      </c>
      <c r="C91" s="441">
        <v>0.0452479338842975</v>
      </c>
      <c r="D91" s="442" t="s">
        <v>4007</v>
      </c>
      <c r="E91" s="443" t="s">
        <v>4008</v>
      </c>
      <c r="F91" s="554">
        <v>500</v>
      </c>
      <c r="G91" s="445">
        <v>0.02039930555556</v>
      </c>
      <c r="H91" s="446">
        <f t="shared" si="98"/>
        <v>24510.638297867</v>
      </c>
      <c r="I91" s="447">
        <v>17.7</v>
      </c>
      <c r="J91" s="448" t="s">
        <v>3919</v>
      </c>
      <c r="K91" s="449">
        <f t="shared" si="99"/>
        <v>541696.298455143</v>
      </c>
      <c r="L91" s="450"/>
      <c r="M91" s="451">
        <f t="shared" si="80"/>
        <v>770.161253067058</v>
      </c>
      <c r="N91" s="452">
        <v>500</v>
      </c>
      <c r="O91" s="452">
        <v>500</v>
      </c>
      <c r="P91" s="452">
        <v>500</v>
      </c>
      <c r="Q91" s="452"/>
      <c r="R91" s="452"/>
      <c r="S91" s="452"/>
      <c r="T91" s="452"/>
      <c r="U91" s="452"/>
      <c r="V91" s="454">
        <f t="shared" si="85"/>
        <v>26550</v>
      </c>
      <c r="W91" s="455"/>
      <c r="X91" s="456">
        <f t="shared" si="86"/>
        <v>1500</v>
      </c>
      <c r="Y91" s="457">
        <f t="shared" si="100"/>
        <v>73531.914893601</v>
      </c>
      <c r="Z91" s="449">
        <f t="shared" si="38"/>
        <v>38914</v>
      </c>
      <c r="AA91" s="458">
        <f t="shared" si="82"/>
        <v>793.818576389062</v>
      </c>
      <c r="AB91" s="459">
        <f t="shared" si="87"/>
        <v>706.181423610938</v>
      </c>
      <c r="AC91" s="460"/>
      <c r="AD91" s="460"/>
      <c r="AE91" s="461"/>
      <c r="AF91" s="461"/>
      <c r="AG91" s="460">
        <f t="shared" si="101"/>
        <v>765071.726415657</v>
      </c>
    </row>
    <row r="92" s="404" customFormat="1" ht="40" customHeight="1" spans="1:35">
      <c r="A92" s="487"/>
      <c r="B92" s="520"/>
      <c r="C92" s="489">
        <v>0.0452479338842975</v>
      </c>
      <c r="D92" s="490"/>
      <c r="E92" s="520" t="s">
        <v>3665</v>
      </c>
      <c r="F92" s="492"/>
      <c r="G92" s="493">
        <v>1</v>
      </c>
      <c r="H92" s="494"/>
      <c r="I92" s="495">
        <v>0.22145</v>
      </c>
      <c r="J92" s="496" t="s">
        <v>3919</v>
      </c>
      <c r="K92" s="497"/>
      <c r="L92" s="498"/>
      <c r="M92" s="499">
        <f t="shared" si="80"/>
        <v>37754.2878099173</v>
      </c>
      <c r="N92" s="500">
        <f t="shared" si="102"/>
        <v>38914</v>
      </c>
      <c r="O92" s="500">
        <v>19909</v>
      </c>
      <c r="P92" s="500">
        <v>19909</v>
      </c>
      <c r="Q92" s="500">
        <v>13574</v>
      </c>
      <c r="R92" s="500"/>
      <c r="S92" s="500"/>
      <c r="T92" s="500"/>
      <c r="U92" s="500"/>
      <c r="V92" s="501">
        <f t="shared" si="85"/>
        <v>20441.1637</v>
      </c>
      <c r="W92" s="502"/>
      <c r="X92" s="503">
        <f t="shared" si="86"/>
        <v>92306</v>
      </c>
      <c r="Y92" s="504"/>
      <c r="Z92" s="497">
        <f t="shared" si="38"/>
        <v>38914</v>
      </c>
      <c r="AA92" s="505">
        <f t="shared" si="82"/>
        <v>38914</v>
      </c>
      <c r="AB92" s="506">
        <f t="shared" si="87"/>
        <v>53392</v>
      </c>
      <c r="AC92" s="507"/>
      <c r="AD92" s="507"/>
      <c r="AE92" s="508"/>
      <c r="AF92" s="508"/>
      <c r="AG92" s="507"/>
    </row>
    <row r="93" s="404" customFormat="1" ht="40" customHeight="1" spans="1:35">
      <c r="A93" s="439"/>
      <c r="B93" s="440" t="s">
        <v>4009</v>
      </c>
      <c r="C93" s="441">
        <v>0.0452479338842975</v>
      </c>
      <c r="D93" s="442" t="s">
        <v>4010</v>
      </c>
      <c r="E93" s="443" t="s">
        <v>4011</v>
      </c>
      <c r="F93" s="554">
        <v>500</v>
      </c>
      <c r="G93" s="445">
        <v>0.01878720238095</v>
      </c>
      <c r="H93" s="446">
        <f t="shared" ref="H93:H97" si="103">F93/G93</f>
        <v>26613.861386142</v>
      </c>
      <c r="I93" s="447">
        <v>17.7</v>
      </c>
      <c r="J93" s="448" t="s">
        <v>3919</v>
      </c>
      <c r="K93" s="449">
        <f t="shared" ref="K93:K97" si="104">F93/C93/G93</f>
        <v>588178.48908186</v>
      </c>
      <c r="L93" s="450"/>
      <c r="M93" s="451">
        <f t="shared" si="80"/>
        <v>709.297445833551</v>
      </c>
      <c r="N93" s="452">
        <v>500</v>
      </c>
      <c r="O93" s="452">
        <v>500</v>
      </c>
      <c r="P93" s="452">
        <v>500</v>
      </c>
      <c r="Q93" s="452"/>
      <c r="R93" s="452"/>
      <c r="S93" s="452"/>
      <c r="T93" s="452"/>
      <c r="U93" s="452"/>
      <c r="V93" s="454">
        <f t="shared" si="85"/>
        <v>26550</v>
      </c>
      <c r="W93" s="455"/>
      <c r="X93" s="456">
        <f t="shared" si="86"/>
        <v>1500</v>
      </c>
      <c r="Y93" s="457">
        <f t="shared" ref="Y93:Y97" si="105">X93/G93</f>
        <v>79841.584158426</v>
      </c>
      <c r="Z93" s="449">
        <f t="shared" si="38"/>
        <v>38914</v>
      </c>
      <c r="AA93" s="458">
        <f t="shared" si="82"/>
        <v>731.085193452288</v>
      </c>
      <c r="AB93" s="459">
        <f t="shared" si="87"/>
        <v>768.914806547712</v>
      </c>
      <c r="AC93" s="460"/>
      <c r="AD93" s="460"/>
      <c r="AE93" s="461"/>
      <c r="AF93" s="461"/>
      <c r="AG93" s="460">
        <f t="shared" ref="AG93:AG97" si="106">AB93/G93/C93</f>
        <v>904518.298295807</v>
      </c>
    </row>
    <row r="94" s="404" customFormat="1" ht="40" customHeight="1" spans="1:35">
      <c r="A94" s="487"/>
      <c r="B94" s="520"/>
      <c r="C94" s="489">
        <v>0.0452479338842975</v>
      </c>
      <c r="D94" s="490"/>
      <c r="E94" s="520" t="s">
        <v>3665</v>
      </c>
      <c r="F94" s="492"/>
      <c r="G94" s="493">
        <v>1</v>
      </c>
      <c r="H94" s="494"/>
      <c r="I94" s="495">
        <v>0.23072</v>
      </c>
      <c r="J94" s="496" t="s">
        <v>3919</v>
      </c>
      <c r="K94" s="497"/>
      <c r="L94" s="498"/>
      <c r="M94" s="499">
        <f t="shared" si="80"/>
        <v>37754.2878099173</v>
      </c>
      <c r="N94" s="500">
        <f t="shared" si="102"/>
        <v>38914</v>
      </c>
      <c r="O94" s="500">
        <v>19909</v>
      </c>
      <c r="P94" s="500">
        <v>19909</v>
      </c>
      <c r="Q94" s="500">
        <v>13574</v>
      </c>
      <c r="R94" s="500"/>
      <c r="S94" s="500"/>
      <c r="T94" s="500"/>
      <c r="U94" s="500"/>
      <c r="V94" s="501">
        <f t="shared" si="85"/>
        <v>21296.84032</v>
      </c>
      <c r="W94" s="502"/>
      <c r="X94" s="503">
        <f t="shared" si="86"/>
        <v>92306</v>
      </c>
      <c r="Y94" s="504"/>
      <c r="Z94" s="497">
        <f t="shared" ref="Z94:Z115" si="107">ROUNDUP($AC$4*C94,0)+AD94+AE94+AF94</f>
        <v>38914</v>
      </c>
      <c r="AA94" s="505">
        <f t="shared" si="82"/>
        <v>38914</v>
      </c>
      <c r="AB94" s="506">
        <f t="shared" si="87"/>
        <v>53392</v>
      </c>
      <c r="AC94" s="507"/>
      <c r="AD94" s="507"/>
      <c r="AE94" s="508"/>
      <c r="AF94" s="508"/>
      <c r="AG94" s="507"/>
    </row>
    <row r="95" s="404" customFormat="1" customHeight="1" spans="1:35">
      <c r="A95" s="559"/>
      <c r="B95" s="440" t="s">
        <v>4012</v>
      </c>
      <c r="C95" s="441">
        <v>0.0452479338842975</v>
      </c>
      <c r="D95" s="443" t="s">
        <v>4013</v>
      </c>
      <c r="E95" s="443" t="s">
        <v>4014</v>
      </c>
      <c r="F95" s="554">
        <v>1600</v>
      </c>
      <c r="G95" s="445">
        <v>0.0021043771043771</v>
      </c>
      <c r="H95" s="446">
        <f t="shared" si="103"/>
        <v>760320.000000002</v>
      </c>
      <c r="I95" s="447">
        <f>11.6</f>
        <v>11.6</v>
      </c>
      <c r="J95" s="448" t="s">
        <v>3919</v>
      </c>
      <c r="K95" s="449">
        <f t="shared" si="104"/>
        <v>16803419.1780822</v>
      </c>
      <c r="L95" s="450"/>
      <c r="M95" s="451">
        <f t="shared" si="80"/>
        <v>79.4492588592535</v>
      </c>
      <c r="N95" s="452">
        <v>77</v>
      </c>
      <c r="O95" s="452">
        <v>66</v>
      </c>
      <c r="P95" s="452">
        <v>72</v>
      </c>
      <c r="Q95" s="452">
        <v>41</v>
      </c>
      <c r="R95" s="452"/>
      <c r="S95" s="452"/>
      <c r="T95" s="452"/>
      <c r="U95" s="452"/>
      <c r="V95" s="454">
        <f t="shared" si="85"/>
        <v>2969.6</v>
      </c>
      <c r="W95" s="455"/>
      <c r="X95" s="456">
        <f t="shared" si="86"/>
        <v>256</v>
      </c>
      <c r="Y95" s="457">
        <f t="shared" si="105"/>
        <v>121651.2</v>
      </c>
      <c r="Z95" s="449">
        <f t="shared" si="107"/>
        <v>67914</v>
      </c>
      <c r="AA95" s="458">
        <f t="shared" si="82"/>
        <v>142.916666666666</v>
      </c>
      <c r="AB95" s="459">
        <f t="shared" si="87"/>
        <v>113.083333333334</v>
      </c>
      <c r="AC95" s="460"/>
      <c r="AD95" s="460">
        <f t="shared" ref="AD95:AD98" si="108">$AD$3</f>
        <v>28000</v>
      </c>
      <c r="AE95" s="461"/>
      <c r="AF95" s="461">
        <v>1000</v>
      </c>
      <c r="AG95" s="460">
        <f t="shared" si="106"/>
        <v>1187616.65753426</v>
      </c>
      <c r="AH95" s="484"/>
      <c r="AI95" s="463">
        <f>V95*1.5</f>
        <v>4454.4</v>
      </c>
    </row>
    <row r="96" s="404" customFormat="1" customHeight="1" spans="1:35">
      <c r="A96" s="464"/>
      <c r="B96" s="509"/>
      <c r="C96" s="466">
        <v>0.0452479338842975</v>
      </c>
      <c r="D96" s="468" t="s">
        <v>4015</v>
      </c>
      <c r="E96" s="509" t="s">
        <v>4016</v>
      </c>
      <c r="F96" s="469">
        <v>500</v>
      </c>
      <c r="G96" s="470">
        <v>0.000736531986531987</v>
      </c>
      <c r="H96" s="471">
        <f t="shared" si="103"/>
        <v>678857.142857142</v>
      </c>
      <c r="I96" s="472">
        <v>12.1</v>
      </c>
      <c r="J96" s="473" t="s">
        <v>3919</v>
      </c>
      <c r="K96" s="474">
        <f t="shared" si="104"/>
        <v>15003052.8375734</v>
      </c>
      <c r="L96" s="475"/>
      <c r="M96" s="476">
        <f t="shared" si="80"/>
        <v>27.8072406007388</v>
      </c>
      <c r="N96" s="453">
        <v>80</v>
      </c>
      <c r="O96" s="453"/>
      <c r="P96" s="453"/>
      <c r="Q96" s="453">
        <v>10</v>
      </c>
      <c r="R96" s="453"/>
      <c r="S96" s="453"/>
      <c r="T96" s="453"/>
      <c r="U96" s="453"/>
      <c r="V96" s="518">
        <f t="shared" si="85"/>
        <v>1089</v>
      </c>
      <c r="W96" s="477"/>
      <c r="X96" s="478">
        <f t="shared" si="86"/>
        <v>90</v>
      </c>
      <c r="Y96" s="479">
        <f t="shared" si="105"/>
        <v>122194.285714286</v>
      </c>
      <c r="Z96" s="474">
        <f t="shared" si="107"/>
        <v>67914</v>
      </c>
      <c r="AA96" s="480">
        <f t="shared" si="82"/>
        <v>50.0208333333334</v>
      </c>
      <c r="AB96" s="481">
        <f t="shared" si="87"/>
        <v>39.9791666666666</v>
      </c>
      <c r="AC96" s="482"/>
      <c r="AD96" s="482">
        <f t="shared" si="108"/>
        <v>28000</v>
      </c>
      <c r="AE96" s="483"/>
      <c r="AF96" s="483">
        <v>1000</v>
      </c>
      <c r="AG96" s="482">
        <f t="shared" si="106"/>
        <v>1199619.0998043</v>
      </c>
      <c r="AH96" s="519"/>
      <c r="AI96" s="463">
        <f>1500</f>
        <v>1500</v>
      </c>
    </row>
    <row r="97" s="404" customFormat="1" customHeight="1" spans="1:35">
      <c r="A97" s="464"/>
      <c r="B97" s="509"/>
      <c r="C97" s="466">
        <v>0.0452479338842975</v>
      </c>
      <c r="D97" s="468" t="s">
        <v>4017</v>
      </c>
      <c r="E97" s="509" t="s">
        <v>3998</v>
      </c>
      <c r="F97" s="469">
        <v>3000</v>
      </c>
      <c r="G97" s="470">
        <v>0.00141059027777778</v>
      </c>
      <c r="H97" s="471">
        <f t="shared" si="103"/>
        <v>2126769.23076923</v>
      </c>
      <c r="I97" s="472">
        <v>14.3</v>
      </c>
      <c r="J97" s="473" t="s">
        <v>3919</v>
      </c>
      <c r="K97" s="474">
        <f t="shared" si="104"/>
        <v>47002571.1275026</v>
      </c>
      <c r="L97" s="475"/>
      <c r="M97" s="476">
        <f t="shared" si="80"/>
        <v>53.2558313290936</v>
      </c>
      <c r="N97" s="453">
        <v>153</v>
      </c>
      <c r="O97" s="453"/>
      <c r="P97" s="453"/>
      <c r="Q97" s="453">
        <v>19</v>
      </c>
      <c r="R97" s="453"/>
      <c r="S97" s="453"/>
      <c r="T97" s="453"/>
      <c r="U97" s="453"/>
      <c r="V97" s="518">
        <f t="shared" si="85"/>
        <v>2459.6</v>
      </c>
      <c r="W97" s="477"/>
      <c r="X97" s="478">
        <f t="shared" si="86"/>
        <v>172</v>
      </c>
      <c r="Y97" s="479">
        <f t="shared" si="105"/>
        <v>121934.769230769</v>
      </c>
      <c r="Z97" s="474">
        <f t="shared" si="107"/>
        <v>67914</v>
      </c>
      <c r="AA97" s="480">
        <f t="shared" si="82"/>
        <v>95.7988281250001</v>
      </c>
      <c r="AB97" s="481">
        <f t="shared" si="87"/>
        <v>76.2011718749999</v>
      </c>
      <c r="AC97" s="482"/>
      <c r="AD97" s="482">
        <f t="shared" si="108"/>
        <v>28000</v>
      </c>
      <c r="AE97" s="483"/>
      <c r="AF97" s="483">
        <v>1000</v>
      </c>
      <c r="AG97" s="482">
        <f t="shared" si="106"/>
        <v>1193883.66701791</v>
      </c>
      <c r="AH97" s="519"/>
      <c r="AI97" s="463">
        <f>1500</f>
        <v>1500</v>
      </c>
    </row>
    <row r="98" s="404" customFormat="1" customHeight="1" spans="1:35">
      <c r="A98" s="487"/>
      <c r="B98" s="520"/>
      <c r="C98" s="489">
        <v>0.0452479338842975</v>
      </c>
      <c r="D98" s="490"/>
      <c r="E98" s="520" t="s">
        <v>3665</v>
      </c>
      <c r="F98" s="492"/>
      <c r="G98" s="493">
        <v>1</v>
      </c>
      <c r="H98" s="494"/>
      <c r="I98" s="495">
        <v>0.21218</v>
      </c>
      <c r="J98" s="496" t="s">
        <v>3919</v>
      </c>
      <c r="K98" s="497"/>
      <c r="L98" s="498"/>
      <c r="M98" s="499">
        <f t="shared" si="80"/>
        <v>37754.2878099173</v>
      </c>
      <c r="N98" s="500">
        <f>ROUNDUP($AC$4*$C98,0)+17000</f>
        <v>55914</v>
      </c>
      <c r="O98" s="500">
        <v>31909</v>
      </c>
      <c r="P98" s="500">
        <v>33909</v>
      </c>
      <c r="Q98" s="500">
        <v>19574</v>
      </c>
      <c r="R98" s="500"/>
      <c r="S98" s="500"/>
      <c r="T98" s="500"/>
      <c r="U98" s="500"/>
      <c r="V98" s="501">
        <f t="shared" si="85"/>
        <v>29982.30708</v>
      </c>
      <c r="W98" s="502"/>
      <c r="X98" s="503">
        <f t="shared" si="86"/>
        <v>141306</v>
      </c>
      <c r="Y98" s="504"/>
      <c r="Z98" s="497">
        <f t="shared" si="107"/>
        <v>67914</v>
      </c>
      <c r="AA98" s="505">
        <f t="shared" si="82"/>
        <v>67914</v>
      </c>
      <c r="AB98" s="506">
        <f t="shared" si="87"/>
        <v>73392</v>
      </c>
      <c r="AC98" s="507"/>
      <c r="AD98" s="507">
        <f t="shared" si="108"/>
        <v>28000</v>
      </c>
      <c r="AE98" s="508"/>
      <c r="AF98" s="508">
        <v>1000</v>
      </c>
      <c r="AG98" s="507"/>
    </row>
    <row r="99" s="404" customFormat="1" customHeight="1" spans="1:35">
      <c r="A99" s="439"/>
      <c r="B99" s="556" t="s">
        <v>4018</v>
      </c>
      <c r="C99" s="441">
        <v>0.0452479338842975</v>
      </c>
      <c r="D99" s="442" t="s">
        <v>3917</v>
      </c>
      <c r="E99" s="443" t="s">
        <v>4019</v>
      </c>
      <c r="F99" s="554">
        <v>500</v>
      </c>
      <c r="G99" s="445">
        <v>0.0409901614967</v>
      </c>
      <c r="H99" s="446">
        <f t="shared" ref="H99:H102" si="109">F99/G99</f>
        <v>12198.0490377003</v>
      </c>
      <c r="I99" s="447">
        <v>17.3</v>
      </c>
      <c r="J99" s="448" t="s">
        <v>3919</v>
      </c>
      <c r="K99" s="449">
        <f t="shared" ref="K99:K102" si="110">F99/C99/G99</f>
        <v>269582.453618581</v>
      </c>
      <c r="L99" s="515" t="s">
        <v>4020</v>
      </c>
      <c r="M99" s="451">
        <f t="shared" si="80"/>
        <v>1547.5543545214</v>
      </c>
      <c r="N99" s="452">
        <v>780</v>
      </c>
      <c r="O99" s="452">
        <v>816</v>
      </c>
      <c r="P99" s="452">
        <v>816</v>
      </c>
      <c r="Q99" s="452">
        <v>556</v>
      </c>
      <c r="R99" s="452"/>
      <c r="S99" s="452"/>
      <c r="T99" s="452"/>
      <c r="U99" s="452"/>
      <c r="V99" s="454">
        <f t="shared" si="85"/>
        <v>51346.4</v>
      </c>
      <c r="W99" s="455"/>
      <c r="X99" s="456">
        <f t="shared" si="86"/>
        <v>2968</v>
      </c>
      <c r="Y99" s="457">
        <f t="shared" ref="Y99:Y102" si="111">X99/G99</f>
        <v>72407.6190877888</v>
      </c>
      <c r="Z99" s="449">
        <f t="shared" si="107"/>
        <v>38914</v>
      </c>
      <c r="AA99" s="458">
        <f t="shared" si="82"/>
        <v>1595.09114448258</v>
      </c>
      <c r="AB99" s="459">
        <f t="shared" si="87"/>
        <v>1372.90885551742</v>
      </c>
      <c r="AC99" s="460"/>
      <c r="AD99" s="460"/>
      <c r="AE99" s="461"/>
      <c r="AF99" s="461"/>
      <c r="AG99" s="460">
        <f t="shared" ref="AG99:AG102" si="112">AB99/G99/C99</f>
        <v>740224.275730129</v>
      </c>
    </row>
    <row r="100" s="404" customFormat="1" customHeight="1" spans="1:35">
      <c r="A100" s="464"/>
      <c r="B100" s="557"/>
      <c r="C100" s="466">
        <v>0.0452479338842975</v>
      </c>
      <c r="D100" s="468" t="s">
        <v>4021</v>
      </c>
      <c r="E100" s="509" t="s">
        <v>3664</v>
      </c>
      <c r="F100" s="469"/>
      <c r="G100" s="470">
        <v>0.0138888888888889</v>
      </c>
      <c r="H100" s="471">
        <f t="shared" si="109"/>
        <v>0</v>
      </c>
      <c r="I100" s="472">
        <v>2.5</v>
      </c>
      <c r="J100" s="473" t="s">
        <v>3919</v>
      </c>
      <c r="K100" s="474">
        <f t="shared" si="110"/>
        <v>0</v>
      </c>
      <c r="L100" s="560"/>
      <c r="M100" s="476">
        <f t="shared" si="80"/>
        <v>524.365108471075</v>
      </c>
      <c r="N100" s="453">
        <v>264</v>
      </c>
      <c r="O100" s="453">
        <v>277</v>
      </c>
      <c r="P100" s="453">
        <v>276</v>
      </c>
      <c r="Q100" s="453">
        <v>189</v>
      </c>
      <c r="R100" s="453"/>
      <c r="S100" s="453"/>
      <c r="T100" s="453"/>
      <c r="U100" s="453"/>
      <c r="V100" s="454">
        <f t="shared" si="85"/>
        <v>2515</v>
      </c>
      <c r="W100" s="477"/>
      <c r="X100" s="478">
        <f t="shared" si="86"/>
        <v>1006</v>
      </c>
      <c r="Y100" s="479">
        <f t="shared" si="111"/>
        <v>72431.9999999999</v>
      </c>
      <c r="Z100" s="474">
        <f t="shared" si="107"/>
        <v>38914</v>
      </c>
      <c r="AA100" s="480">
        <f t="shared" si="82"/>
        <v>540.472222222223</v>
      </c>
      <c r="AB100" s="481">
        <f t="shared" si="87"/>
        <v>465.527777777777</v>
      </c>
      <c r="AC100" s="482"/>
      <c r="AD100" s="482"/>
      <c r="AE100" s="483"/>
      <c r="AF100" s="483"/>
      <c r="AG100" s="482">
        <f t="shared" si="112"/>
        <v>740763.10502283</v>
      </c>
    </row>
    <row r="101" s="404" customFormat="1" customHeight="1" spans="1:35">
      <c r="A101" s="487"/>
      <c r="B101" s="558"/>
      <c r="C101" s="489">
        <v>0.0452479338842975</v>
      </c>
      <c r="D101" s="490"/>
      <c r="E101" s="520" t="s">
        <v>3665</v>
      </c>
      <c r="F101" s="492"/>
      <c r="G101" s="493">
        <v>1</v>
      </c>
      <c r="H101" s="494"/>
      <c r="I101" s="495">
        <v>1.29574</v>
      </c>
      <c r="J101" s="496" t="s">
        <v>3919</v>
      </c>
      <c r="K101" s="497"/>
      <c r="L101" s="498"/>
      <c r="M101" s="499">
        <f t="shared" si="80"/>
        <v>37754.2878099173</v>
      </c>
      <c r="N101" s="500">
        <f t="shared" ref="N101:N104" si="113">ROUNDUP($AC$4*$C101,0)</f>
        <v>38914</v>
      </c>
      <c r="O101" s="500">
        <v>19909</v>
      </c>
      <c r="P101" s="500">
        <v>19909</v>
      </c>
      <c r="Q101" s="500">
        <v>13574</v>
      </c>
      <c r="R101" s="500"/>
      <c r="S101" s="500"/>
      <c r="T101" s="500"/>
      <c r="U101" s="500"/>
      <c r="V101" s="501">
        <f t="shared" si="85"/>
        <v>119604.57644</v>
      </c>
      <c r="W101" s="502"/>
      <c r="X101" s="503">
        <f t="shared" si="86"/>
        <v>92306</v>
      </c>
      <c r="Y101" s="504"/>
      <c r="Z101" s="497">
        <f t="shared" si="107"/>
        <v>38914</v>
      </c>
      <c r="AA101" s="505">
        <f t="shared" si="82"/>
        <v>38914</v>
      </c>
      <c r="AB101" s="506">
        <f t="shared" si="87"/>
        <v>53392</v>
      </c>
      <c r="AC101" s="507"/>
      <c r="AD101" s="507"/>
      <c r="AE101" s="508"/>
      <c r="AF101" s="508"/>
      <c r="AG101" s="507"/>
    </row>
    <row r="102" s="404" customFormat="1" ht="40" customHeight="1" spans="1:35">
      <c r="A102" s="559"/>
      <c r="B102" s="440" t="s">
        <v>4022</v>
      </c>
      <c r="C102" s="441">
        <v>0.0452479338842975</v>
      </c>
      <c r="D102" s="442" t="s">
        <v>4023</v>
      </c>
      <c r="E102" s="443" t="s">
        <v>4024</v>
      </c>
      <c r="F102" s="554">
        <v>500</v>
      </c>
      <c r="G102" s="445">
        <v>0.01302127656316</v>
      </c>
      <c r="H102" s="446">
        <f t="shared" si="109"/>
        <v>38398.6929065471</v>
      </c>
      <c r="I102" s="447">
        <v>19</v>
      </c>
      <c r="J102" s="448" t="s">
        <v>3919</v>
      </c>
      <c r="K102" s="449">
        <f t="shared" si="110"/>
        <v>848628.646884421</v>
      </c>
      <c r="L102" s="450"/>
      <c r="M102" s="451">
        <f t="shared" si="80"/>
        <v>491.609023018074</v>
      </c>
      <c r="N102" s="452">
        <v>500</v>
      </c>
      <c r="O102" s="452">
        <v>500</v>
      </c>
      <c r="P102" s="452"/>
      <c r="Q102" s="452"/>
      <c r="R102" s="452"/>
      <c r="S102" s="452"/>
      <c r="T102" s="452"/>
      <c r="U102" s="452"/>
      <c r="V102" s="454">
        <f t="shared" si="85"/>
        <v>19000</v>
      </c>
      <c r="W102" s="455"/>
      <c r="X102" s="456">
        <f t="shared" si="86"/>
        <v>1000</v>
      </c>
      <c r="Y102" s="457">
        <f t="shared" si="111"/>
        <v>76797.3858130942</v>
      </c>
      <c r="Z102" s="449">
        <f t="shared" si="107"/>
        <v>38914</v>
      </c>
      <c r="AA102" s="458">
        <f t="shared" si="82"/>
        <v>506.709956178808</v>
      </c>
      <c r="AB102" s="459">
        <f t="shared" si="87"/>
        <v>493.290043821192</v>
      </c>
      <c r="AC102" s="460"/>
      <c r="AD102" s="460"/>
      <c r="AE102" s="461"/>
      <c r="AF102" s="461"/>
      <c r="AG102" s="460">
        <f t="shared" si="112"/>
        <v>837240.124819069</v>
      </c>
    </row>
    <row r="103" s="404" customFormat="1" ht="40" customHeight="1" spans="1:35">
      <c r="A103" s="487"/>
      <c r="B103" s="520"/>
      <c r="C103" s="489">
        <v>0.0452479338842975</v>
      </c>
      <c r="D103" s="490"/>
      <c r="E103" s="520" t="s">
        <v>3665</v>
      </c>
      <c r="F103" s="492"/>
      <c r="G103" s="493">
        <v>1</v>
      </c>
      <c r="H103" s="494"/>
      <c r="I103" s="495">
        <v>0.87590376</v>
      </c>
      <c r="J103" s="496" t="s">
        <v>3919</v>
      </c>
      <c r="K103" s="497"/>
      <c r="L103" s="498"/>
      <c r="M103" s="499">
        <f t="shared" si="80"/>
        <v>37754.2878099173</v>
      </c>
      <c r="N103" s="500">
        <f t="shared" si="113"/>
        <v>38914</v>
      </c>
      <c r="O103" s="500">
        <v>19909</v>
      </c>
      <c r="P103" s="500">
        <v>19909</v>
      </c>
      <c r="Q103" s="500">
        <v>13574</v>
      </c>
      <c r="R103" s="500"/>
      <c r="S103" s="500"/>
      <c r="T103" s="500"/>
      <c r="U103" s="500"/>
      <c r="V103" s="501">
        <f t="shared" si="85"/>
        <v>80851.17247056</v>
      </c>
      <c r="W103" s="502"/>
      <c r="X103" s="503">
        <f t="shared" si="86"/>
        <v>92306</v>
      </c>
      <c r="Y103" s="504"/>
      <c r="Z103" s="497">
        <f t="shared" si="107"/>
        <v>38914</v>
      </c>
      <c r="AA103" s="505">
        <f t="shared" si="82"/>
        <v>38914</v>
      </c>
      <c r="AB103" s="506">
        <f t="shared" si="87"/>
        <v>53392</v>
      </c>
      <c r="AC103" s="507"/>
      <c r="AD103" s="507"/>
      <c r="AE103" s="508"/>
      <c r="AF103" s="508"/>
      <c r="AG103" s="507"/>
    </row>
    <row r="104" s="404" customFormat="1" ht="80" customHeight="1" spans="1:35">
      <c r="A104" s="521"/>
      <c r="B104" s="522" t="s">
        <v>4025</v>
      </c>
      <c r="C104" s="523">
        <v>0.0452479338842975</v>
      </c>
      <c r="D104" s="490"/>
      <c r="E104" s="522" t="s">
        <v>3665</v>
      </c>
      <c r="F104" s="554"/>
      <c r="G104" s="493">
        <v>1</v>
      </c>
      <c r="H104" s="446">
        <f t="shared" ref="H104:H107" si="114">F104/G104</f>
        <v>0</v>
      </c>
      <c r="I104" s="528">
        <v>0.134621</v>
      </c>
      <c r="J104" s="529" t="s">
        <v>3919</v>
      </c>
      <c r="K104" s="530"/>
      <c r="L104" s="561"/>
      <c r="M104" s="531">
        <f t="shared" si="80"/>
        <v>37754.2878099173</v>
      </c>
      <c r="N104" s="500">
        <f t="shared" si="113"/>
        <v>38914</v>
      </c>
      <c r="O104" s="532">
        <v>19909</v>
      </c>
      <c r="P104" s="532">
        <v>19909</v>
      </c>
      <c r="Q104" s="532">
        <v>13574</v>
      </c>
      <c r="R104" s="532"/>
      <c r="S104" s="500"/>
      <c r="T104" s="500"/>
      <c r="U104" s="500"/>
      <c r="V104" s="501">
        <f t="shared" si="85"/>
        <v>12426.326026</v>
      </c>
      <c r="W104" s="534"/>
      <c r="X104" s="562">
        <f t="shared" si="86"/>
        <v>92306</v>
      </c>
      <c r="Y104" s="535"/>
      <c r="Z104" s="474">
        <f t="shared" si="107"/>
        <v>38914</v>
      </c>
      <c r="AA104" s="536">
        <f t="shared" si="82"/>
        <v>38914</v>
      </c>
      <c r="AB104" s="537">
        <f t="shared" si="87"/>
        <v>53392</v>
      </c>
      <c r="AC104" s="538"/>
      <c r="AD104" s="538"/>
      <c r="AE104" s="539"/>
      <c r="AF104" s="539"/>
      <c r="AG104" s="538"/>
    </row>
    <row r="105" s="404" customFormat="1" customHeight="1" spans="1:35">
      <c r="A105" s="559"/>
      <c r="B105" s="440" t="s">
        <v>4026</v>
      </c>
      <c r="C105" s="441">
        <v>0.0452479338842975</v>
      </c>
      <c r="D105" s="443" t="s">
        <v>4027</v>
      </c>
      <c r="E105" s="443" t="s">
        <v>3661</v>
      </c>
      <c r="F105" s="554">
        <v>500</v>
      </c>
      <c r="G105" s="445">
        <v>0.01175411522634</v>
      </c>
      <c r="H105" s="446">
        <f t="shared" si="114"/>
        <v>42538.293216621</v>
      </c>
      <c r="I105" s="447">
        <v>28</v>
      </c>
      <c r="J105" s="448" t="s">
        <v>3919</v>
      </c>
      <c r="K105" s="449">
        <f t="shared" ref="K105:K107" si="115">F105/C105/G105</f>
        <v>940115.703965505</v>
      </c>
      <c r="L105" s="450"/>
      <c r="M105" s="451">
        <f t="shared" si="80"/>
        <v>443.768249206172</v>
      </c>
      <c r="N105" s="452">
        <v>500</v>
      </c>
      <c r="O105" s="452"/>
      <c r="P105" s="452">
        <v>500</v>
      </c>
      <c r="Q105" s="452"/>
      <c r="R105" s="452"/>
      <c r="S105" s="452"/>
      <c r="T105" s="452"/>
      <c r="U105" s="452"/>
      <c r="V105" s="454">
        <f t="shared" si="85"/>
        <v>28000</v>
      </c>
      <c r="W105" s="455"/>
      <c r="X105" s="456">
        <f t="shared" si="86"/>
        <v>1000</v>
      </c>
      <c r="Y105" s="457">
        <f t="shared" ref="Y105:Y107" si="116">X105/G105</f>
        <v>85076.5864332419</v>
      </c>
      <c r="Z105" s="449">
        <f t="shared" si="107"/>
        <v>38914</v>
      </c>
      <c r="AA105" s="458">
        <f t="shared" si="82"/>
        <v>457.399639917795</v>
      </c>
      <c r="AB105" s="459">
        <f t="shared" si="87"/>
        <v>542.600360082205</v>
      </c>
      <c r="AC105" s="460"/>
      <c r="AD105" s="460"/>
      <c r="AE105" s="461"/>
      <c r="AF105" s="461"/>
      <c r="AG105" s="460">
        <f t="shared" ref="AG105:AG109" si="117">AB105/G105/C105</f>
        <v>1020214.23898124</v>
      </c>
    </row>
    <row r="106" s="404" customFormat="1" customHeight="1" spans="1:35">
      <c r="A106" s="464"/>
      <c r="B106" s="509"/>
      <c r="C106" s="466">
        <v>0.0452479338842975</v>
      </c>
      <c r="D106" s="468" t="s">
        <v>4028</v>
      </c>
      <c r="E106" s="509" t="s">
        <v>3664</v>
      </c>
      <c r="F106" s="469">
        <v>1800</v>
      </c>
      <c r="G106" s="470">
        <v>0.00277777777777778</v>
      </c>
      <c r="H106" s="471">
        <f t="shared" si="114"/>
        <v>647999.999999999</v>
      </c>
      <c r="I106" s="472">
        <v>13</v>
      </c>
      <c r="J106" s="473" t="s">
        <v>3919</v>
      </c>
      <c r="K106" s="474">
        <f t="shared" si="115"/>
        <v>14321095.890411</v>
      </c>
      <c r="L106" s="475"/>
      <c r="M106" s="476">
        <f t="shared" si="80"/>
        <v>104.873021694215</v>
      </c>
      <c r="N106" s="453">
        <v>250</v>
      </c>
      <c r="O106" s="453"/>
      <c r="P106" s="453"/>
      <c r="Q106" s="453"/>
      <c r="R106" s="453"/>
      <c r="S106" s="453"/>
      <c r="T106" s="453"/>
      <c r="U106" s="453"/>
      <c r="V106" s="518">
        <f t="shared" si="85"/>
        <v>3250</v>
      </c>
      <c r="W106" s="477"/>
      <c r="X106" s="478">
        <f t="shared" si="86"/>
        <v>250</v>
      </c>
      <c r="Y106" s="479">
        <f t="shared" si="116"/>
        <v>89999.9999999999</v>
      </c>
      <c r="Z106" s="474">
        <f t="shared" si="107"/>
        <v>38914</v>
      </c>
      <c r="AA106" s="480">
        <f t="shared" si="82"/>
        <v>108.094444444445</v>
      </c>
      <c r="AB106" s="481">
        <f t="shared" si="87"/>
        <v>141.905555555555</v>
      </c>
      <c r="AC106" s="482"/>
      <c r="AD106" s="482"/>
      <c r="AE106" s="483"/>
      <c r="AF106" s="483"/>
      <c r="AG106" s="482">
        <f t="shared" si="117"/>
        <v>1129023.92694063</v>
      </c>
      <c r="AH106" s="519"/>
      <c r="AI106" s="463">
        <f>1500</f>
        <v>1500</v>
      </c>
    </row>
    <row r="107" s="404" customFormat="1" customHeight="1" spans="1:35">
      <c r="A107" s="464"/>
      <c r="B107" s="509"/>
      <c r="C107" s="466">
        <v>0.0452479338842975</v>
      </c>
      <c r="D107" s="468" t="s">
        <v>4029</v>
      </c>
      <c r="E107" s="509" t="s">
        <v>4030</v>
      </c>
      <c r="F107" s="469"/>
      <c r="G107" s="470">
        <v>0.00205761316872428</v>
      </c>
      <c r="H107" s="471">
        <f t="shared" si="114"/>
        <v>0</v>
      </c>
      <c r="I107" s="472">
        <v>5</v>
      </c>
      <c r="J107" s="473" t="s">
        <v>3919</v>
      </c>
      <c r="K107" s="474">
        <f t="shared" si="115"/>
        <v>0</v>
      </c>
      <c r="L107" s="475"/>
      <c r="M107" s="476">
        <f t="shared" si="80"/>
        <v>77.6837197734925</v>
      </c>
      <c r="N107" s="453">
        <v>40</v>
      </c>
      <c r="O107" s="453">
        <v>41</v>
      </c>
      <c r="P107" s="453">
        <v>41</v>
      </c>
      <c r="Q107" s="453">
        <v>27</v>
      </c>
      <c r="R107" s="453"/>
      <c r="S107" s="453"/>
      <c r="T107" s="453"/>
      <c r="U107" s="453"/>
      <c r="V107" s="518">
        <f t="shared" si="85"/>
        <v>745</v>
      </c>
      <c r="W107" s="477"/>
      <c r="X107" s="478">
        <f t="shared" si="86"/>
        <v>149</v>
      </c>
      <c r="Y107" s="479">
        <f t="shared" si="116"/>
        <v>72414</v>
      </c>
      <c r="Z107" s="474">
        <f t="shared" si="107"/>
        <v>38914</v>
      </c>
      <c r="AA107" s="480">
        <f t="shared" si="82"/>
        <v>80.0699588477366</v>
      </c>
      <c r="AB107" s="481">
        <f t="shared" si="87"/>
        <v>68.9300411522634</v>
      </c>
      <c r="AC107" s="482"/>
      <c r="AD107" s="482"/>
      <c r="AE107" s="483"/>
      <c r="AF107" s="483"/>
      <c r="AG107" s="482"/>
    </row>
    <row r="108" s="404" customFormat="1" customHeight="1" spans="1:35">
      <c r="A108" s="487"/>
      <c r="B108" s="520"/>
      <c r="C108" s="489">
        <v>0.0452479338842975</v>
      </c>
      <c r="D108" s="490"/>
      <c r="E108" s="520" t="s">
        <v>3665</v>
      </c>
      <c r="F108" s="492"/>
      <c r="G108" s="493">
        <v>1</v>
      </c>
      <c r="H108" s="494"/>
      <c r="I108" s="495">
        <v>0.5864305</v>
      </c>
      <c r="J108" s="496" t="s">
        <v>3919</v>
      </c>
      <c r="K108" s="497"/>
      <c r="L108" s="498"/>
      <c r="M108" s="499">
        <f t="shared" si="80"/>
        <v>37754.2878099173</v>
      </c>
      <c r="N108" s="500">
        <f>ROUNDUP($AC$4*$C108,0)</f>
        <v>38914</v>
      </c>
      <c r="O108" s="500">
        <v>19909</v>
      </c>
      <c r="P108" s="500">
        <v>19909</v>
      </c>
      <c r="Q108" s="500">
        <v>13574</v>
      </c>
      <c r="R108" s="500"/>
      <c r="S108" s="500"/>
      <c r="T108" s="500"/>
      <c r="U108" s="500"/>
      <c r="V108" s="501">
        <f t="shared" si="85"/>
        <v>54131.053733</v>
      </c>
      <c r="W108" s="502"/>
      <c r="X108" s="503">
        <f t="shared" si="86"/>
        <v>92306</v>
      </c>
      <c r="Y108" s="504"/>
      <c r="Z108" s="497">
        <f t="shared" si="107"/>
        <v>38914</v>
      </c>
      <c r="AA108" s="505">
        <f t="shared" si="82"/>
        <v>38914</v>
      </c>
      <c r="AB108" s="506">
        <f t="shared" si="87"/>
        <v>53392</v>
      </c>
      <c r="AC108" s="507"/>
      <c r="AD108" s="507"/>
      <c r="AE108" s="508"/>
      <c r="AF108" s="508"/>
      <c r="AG108" s="507"/>
    </row>
    <row r="109" s="404" customFormat="1" ht="40" customHeight="1" spans="1:35">
      <c r="A109" s="439"/>
      <c r="B109" s="440" t="s">
        <v>4031</v>
      </c>
      <c r="C109" s="441">
        <v>0.0452479338842975</v>
      </c>
      <c r="D109" s="442" t="s">
        <v>4032</v>
      </c>
      <c r="E109" s="443" t="s">
        <v>4033</v>
      </c>
      <c r="F109" s="554"/>
      <c r="G109" s="445">
        <v>0.0165</v>
      </c>
      <c r="H109" s="446">
        <f t="shared" ref="H109:H114" si="118">F109/G109</f>
        <v>0</v>
      </c>
      <c r="I109" s="447">
        <v>12.9</v>
      </c>
      <c r="J109" s="448" t="s">
        <v>3919</v>
      </c>
      <c r="K109" s="449">
        <f t="shared" ref="K109:K114" si="119">F109/C109/G109</f>
        <v>0</v>
      </c>
      <c r="L109" s="450"/>
      <c r="M109" s="451">
        <f t="shared" si="80"/>
        <v>622.945748863636</v>
      </c>
      <c r="N109" s="452">
        <v>331</v>
      </c>
      <c r="O109" s="452">
        <v>328</v>
      </c>
      <c r="P109" s="452">
        <v>329</v>
      </c>
      <c r="Q109" s="452">
        <v>240</v>
      </c>
      <c r="R109" s="452"/>
      <c r="S109" s="452"/>
      <c r="T109" s="452"/>
      <c r="U109" s="452"/>
      <c r="V109" s="454">
        <f t="shared" si="85"/>
        <v>15841.2</v>
      </c>
      <c r="W109" s="455"/>
      <c r="X109" s="456">
        <f t="shared" si="86"/>
        <v>1228</v>
      </c>
      <c r="Y109" s="457">
        <f t="shared" ref="Y109:Y114" si="120">X109/G109</f>
        <v>74424.2424242424</v>
      </c>
      <c r="Z109" s="449">
        <f t="shared" si="107"/>
        <v>39914</v>
      </c>
      <c r="AA109" s="458">
        <f t="shared" si="82"/>
        <v>658.581</v>
      </c>
      <c r="AB109" s="459">
        <f t="shared" si="87"/>
        <v>569.419</v>
      </c>
      <c r="AC109" s="460"/>
      <c r="AD109" s="460"/>
      <c r="AE109" s="461"/>
      <c r="AF109" s="461">
        <v>1000</v>
      </c>
      <c r="AG109" s="460">
        <f t="shared" si="117"/>
        <v>762692.115677321</v>
      </c>
    </row>
    <row r="110" s="404" customFormat="1" ht="40" customHeight="1" spans="1:35">
      <c r="A110" s="487"/>
      <c r="B110" s="520"/>
      <c r="C110" s="489">
        <v>0.0452479338842975</v>
      </c>
      <c r="D110" s="490"/>
      <c r="E110" s="520" t="s">
        <v>3665</v>
      </c>
      <c r="F110" s="492"/>
      <c r="G110" s="493">
        <v>1</v>
      </c>
      <c r="H110" s="494"/>
      <c r="I110" s="495">
        <v>0.00955670103092784</v>
      </c>
      <c r="J110" s="496" t="s">
        <v>3919</v>
      </c>
      <c r="K110" s="497"/>
      <c r="L110" s="498"/>
      <c r="M110" s="499">
        <f t="shared" si="80"/>
        <v>37754.2878099173</v>
      </c>
      <c r="N110" s="500">
        <f>ROUNDUP($AC$4*$C110,0)+1000</f>
        <v>39914</v>
      </c>
      <c r="O110" s="500">
        <v>19909</v>
      </c>
      <c r="P110" s="500">
        <v>19909</v>
      </c>
      <c r="Q110" s="500">
        <v>14574</v>
      </c>
      <c r="R110" s="500"/>
      <c r="S110" s="500"/>
      <c r="T110" s="500"/>
      <c r="U110" s="500"/>
      <c r="V110" s="501">
        <f t="shared" si="85"/>
        <v>901.254247422681</v>
      </c>
      <c r="W110" s="502"/>
      <c r="X110" s="503">
        <f t="shared" si="86"/>
        <v>94306</v>
      </c>
      <c r="Y110" s="504"/>
      <c r="Z110" s="497">
        <f t="shared" si="107"/>
        <v>39914</v>
      </c>
      <c r="AA110" s="505">
        <f t="shared" si="82"/>
        <v>39914</v>
      </c>
      <c r="AB110" s="506">
        <f t="shared" si="87"/>
        <v>54392</v>
      </c>
      <c r="AC110" s="507"/>
      <c r="AD110" s="507"/>
      <c r="AE110" s="508"/>
      <c r="AF110" s="508">
        <v>1000</v>
      </c>
      <c r="AG110" s="507"/>
    </row>
    <row r="111" s="404" customFormat="1" ht="40" customHeight="1" spans="1:35">
      <c r="A111" s="439"/>
      <c r="B111" s="440" t="s">
        <v>4034</v>
      </c>
      <c r="C111" s="441">
        <v>0.0452479338842975</v>
      </c>
      <c r="D111" s="442" t="s">
        <v>4032</v>
      </c>
      <c r="E111" s="443" t="s">
        <v>4033</v>
      </c>
      <c r="F111" s="554"/>
      <c r="G111" s="445">
        <v>0.0165</v>
      </c>
      <c r="H111" s="446">
        <f t="shared" si="118"/>
        <v>0</v>
      </c>
      <c r="I111" s="447">
        <v>12.9</v>
      </c>
      <c r="J111" s="448" t="s">
        <v>3919</v>
      </c>
      <c r="K111" s="449">
        <f t="shared" si="119"/>
        <v>0</v>
      </c>
      <c r="L111" s="450"/>
      <c r="M111" s="451">
        <f t="shared" si="80"/>
        <v>622.945748863636</v>
      </c>
      <c r="N111" s="452">
        <v>314</v>
      </c>
      <c r="O111" s="452">
        <v>329</v>
      </c>
      <c r="P111" s="452">
        <v>328</v>
      </c>
      <c r="Q111" s="452">
        <v>224</v>
      </c>
      <c r="R111" s="452"/>
      <c r="S111" s="452"/>
      <c r="T111" s="452"/>
      <c r="U111" s="452"/>
      <c r="V111" s="454">
        <f t="shared" si="85"/>
        <v>15415.5</v>
      </c>
      <c r="W111" s="455"/>
      <c r="X111" s="456">
        <f t="shared" si="86"/>
        <v>1195</v>
      </c>
      <c r="Y111" s="457">
        <f t="shared" si="120"/>
        <v>72424.2424242424</v>
      </c>
      <c r="Z111" s="449">
        <f t="shared" si="107"/>
        <v>38914</v>
      </c>
      <c r="AA111" s="458">
        <f t="shared" si="82"/>
        <v>642.081</v>
      </c>
      <c r="AB111" s="459">
        <f t="shared" si="87"/>
        <v>552.919</v>
      </c>
      <c r="AC111" s="460"/>
      <c r="AD111" s="460"/>
      <c r="AE111" s="461"/>
      <c r="AF111" s="461"/>
      <c r="AG111" s="460">
        <f t="shared" ref="AG111:AG114" si="121">AB111/G111/C111</f>
        <v>740591.659056317</v>
      </c>
    </row>
    <row r="112" s="404" customFormat="1" ht="40" customHeight="1" spans="1:35">
      <c r="A112" s="487"/>
      <c r="B112" s="520"/>
      <c r="C112" s="489">
        <v>0.0452479338842975</v>
      </c>
      <c r="D112" s="490"/>
      <c r="E112" s="520" t="s">
        <v>3665</v>
      </c>
      <c r="F112" s="492"/>
      <c r="G112" s="493">
        <v>1</v>
      </c>
      <c r="H112" s="494"/>
      <c r="I112" s="495">
        <v>0.00955670103092784</v>
      </c>
      <c r="J112" s="496" t="s">
        <v>3919</v>
      </c>
      <c r="K112" s="497"/>
      <c r="L112" s="498"/>
      <c r="M112" s="499">
        <f t="shared" si="80"/>
        <v>37754.2878099173</v>
      </c>
      <c r="N112" s="500">
        <f>ROUNDUP($AC$4*$C112,0)</f>
        <v>38914</v>
      </c>
      <c r="O112" s="500">
        <v>19909</v>
      </c>
      <c r="P112" s="500">
        <v>19909</v>
      </c>
      <c r="Q112" s="500">
        <v>13574</v>
      </c>
      <c r="R112" s="500"/>
      <c r="S112" s="500"/>
      <c r="T112" s="500"/>
      <c r="U112" s="500"/>
      <c r="V112" s="501">
        <f t="shared" si="85"/>
        <v>882.140845360825</v>
      </c>
      <c r="W112" s="502"/>
      <c r="X112" s="503">
        <f t="shared" si="86"/>
        <v>92306</v>
      </c>
      <c r="Y112" s="504"/>
      <c r="Z112" s="497">
        <f t="shared" si="107"/>
        <v>38914</v>
      </c>
      <c r="AA112" s="505">
        <f t="shared" si="82"/>
        <v>38914</v>
      </c>
      <c r="AB112" s="506">
        <f t="shared" si="87"/>
        <v>53392</v>
      </c>
      <c r="AC112" s="507"/>
      <c r="AD112" s="507"/>
      <c r="AE112" s="508"/>
      <c r="AF112" s="508"/>
      <c r="AG112" s="507"/>
    </row>
    <row r="113" s="404" customFormat="1" customHeight="1" spans="1:34">
      <c r="A113" s="439"/>
      <c r="B113" s="440" t="s">
        <v>4035</v>
      </c>
      <c r="C113" s="441">
        <v>0.0452479338842975</v>
      </c>
      <c r="D113" s="443" t="s">
        <v>4036</v>
      </c>
      <c r="E113" s="440" t="s">
        <v>4037</v>
      </c>
      <c r="F113" s="444">
        <v>1800</v>
      </c>
      <c r="G113" s="445">
        <v>0.0071</v>
      </c>
      <c r="H113" s="446">
        <f t="shared" si="118"/>
        <v>253521.126760563</v>
      </c>
      <c r="I113" s="447">
        <v>26</v>
      </c>
      <c r="J113" s="448" t="s">
        <v>3919</v>
      </c>
      <c r="K113" s="449">
        <f t="shared" si="119"/>
        <v>5602932.66448003</v>
      </c>
      <c r="L113" s="450"/>
      <c r="M113" s="451">
        <f t="shared" si="80"/>
        <v>268.055443450413</v>
      </c>
      <c r="N113" s="452">
        <v>650</v>
      </c>
      <c r="O113" s="452"/>
      <c r="P113" s="452"/>
      <c r="Q113" s="452"/>
      <c r="R113" s="452"/>
      <c r="S113" s="452"/>
      <c r="T113" s="452"/>
      <c r="U113" s="452"/>
      <c r="V113" s="518">
        <f t="shared" si="85"/>
        <v>16900</v>
      </c>
      <c r="W113" s="455"/>
      <c r="X113" s="456">
        <f t="shared" si="86"/>
        <v>650</v>
      </c>
      <c r="Y113" s="457">
        <f t="shared" si="120"/>
        <v>91549.2957746479</v>
      </c>
      <c r="Z113" s="449">
        <f t="shared" si="107"/>
        <v>39914</v>
      </c>
      <c r="AA113" s="458">
        <f t="shared" si="82"/>
        <v>283.3894</v>
      </c>
      <c r="AB113" s="459">
        <f t="shared" si="87"/>
        <v>366.6106</v>
      </c>
      <c r="AC113" s="460">
        <f>$AC$4*C113</f>
        <v>38913.2231404959</v>
      </c>
      <c r="AD113" s="460"/>
      <c r="AE113" s="461"/>
      <c r="AF113" s="461">
        <v>1000</v>
      </c>
      <c r="AG113" s="460">
        <f t="shared" si="121"/>
        <v>1141163.61438035</v>
      </c>
      <c r="AH113" s="511"/>
    </row>
    <row r="114" s="404" customFormat="1" customHeight="1" spans="1:34">
      <c r="A114" s="464"/>
      <c r="B114" s="509"/>
      <c r="C114" s="466">
        <v>0.0452479338842975</v>
      </c>
      <c r="D114" s="485" t="s">
        <v>4036</v>
      </c>
      <c r="E114" s="509" t="s">
        <v>4038</v>
      </c>
      <c r="F114" s="469">
        <v>1800</v>
      </c>
      <c r="G114" s="470">
        <v>0.0071</v>
      </c>
      <c r="H114" s="471">
        <f t="shared" si="118"/>
        <v>253521.126760563</v>
      </c>
      <c r="I114" s="472">
        <v>26</v>
      </c>
      <c r="J114" s="473" t="s">
        <v>3919</v>
      </c>
      <c r="K114" s="474">
        <f t="shared" si="119"/>
        <v>5602932.66448003</v>
      </c>
      <c r="L114" s="475"/>
      <c r="M114" s="476">
        <f t="shared" si="80"/>
        <v>268.055443450413</v>
      </c>
      <c r="N114" s="453">
        <v>650</v>
      </c>
      <c r="O114" s="453"/>
      <c r="P114" s="453"/>
      <c r="Q114" s="453"/>
      <c r="R114" s="453"/>
      <c r="S114" s="453"/>
      <c r="T114" s="453"/>
      <c r="U114" s="453"/>
      <c r="V114" s="518">
        <f t="shared" si="85"/>
        <v>16900</v>
      </c>
      <c r="W114" s="477"/>
      <c r="X114" s="478">
        <f t="shared" si="86"/>
        <v>650</v>
      </c>
      <c r="Y114" s="479">
        <f t="shared" si="120"/>
        <v>91549.2957746479</v>
      </c>
      <c r="Z114" s="474">
        <f t="shared" si="107"/>
        <v>39914</v>
      </c>
      <c r="AA114" s="480">
        <f t="shared" si="82"/>
        <v>283.3894</v>
      </c>
      <c r="AB114" s="481">
        <f t="shared" si="87"/>
        <v>366.6106</v>
      </c>
      <c r="AC114" s="482"/>
      <c r="AD114" s="482"/>
      <c r="AE114" s="483"/>
      <c r="AF114" s="483">
        <v>1000</v>
      </c>
      <c r="AG114" s="482">
        <f t="shared" si="121"/>
        <v>1141163.61438035</v>
      </c>
      <c r="AH114" s="511"/>
    </row>
    <row r="115" s="404" customFormat="1" customHeight="1" spans="1:34">
      <c r="A115" s="487"/>
      <c r="B115" s="520"/>
      <c r="C115" s="489">
        <v>0.0452479338842975</v>
      </c>
      <c r="D115" s="490"/>
      <c r="E115" s="520" t="s">
        <v>3665</v>
      </c>
      <c r="F115" s="492"/>
      <c r="G115" s="493">
        <v>1</v>
      </c>
      <c r="H115" s="542"/>
      <c r="I115" s="495">
        <v>0.2822715</v>
      </c>
      <c r="J115" s="496" t="s">
        <v>3919</v>
      </c>
      <c r="K115" s="497"/>
      <c r="L115" s="498"/>
      <c r="M115" s="499">
        <f t="shared" si="80"/>
        <v>37754.2878099173</v>
      </c>
      <c r="N115" s="500">
        <f>ROUNDUP($AC$4*$C115,0)+1000</f>
        <v>39914</v>
      </c>
      <c r="O115" s="500">
        <v>19909</v>
      </c>
      <c r="P115" s="500">
        <v>19909</v>
      </c>
      <c r="Q115" s="500">
        <v>14574</v>
      </c>
      <c r="R115" s="500"/>
      <c r="S115" s="500"/>
      <c r="T115" s="500"/>
      <c r="U115" s="500"/>
      <c r="V115" s="501">
        <f t="shared" si="85"/>
        <v>26619.896079</v>
      </c>
      <c r="W115" s="502"/>
      <c r="X115" s="503">
        <f t="shared" si="86"/>
        <v>94306</v>
      </c>
      <c r="Y115" s="504"/>
      <c r="Z115" s="497">
        <f t="shared" si="107"/>
        <v>39914</v>
      </c>
      <c r="AA115" s="505">
        <f t="shared" si="82"/>
        <v>39914</v>
      </c>
      <c r="AB115" s="506">
        <f t="shared" si="87"/>
        <v>54392</v>
      </c>
      <c r="AC115" s="507"/>
      <c r="AD115" s="507"/>
      <c r="AE115" s="508"/>
      <c r="AF115" s="508">
        <v>1000</v>
      </c>
      <c r="AG115" s="507"/>
    </row>
    <row r="116" s="404" customFormat="1" customHeight="1" spans="1:34">
      <c r="F116" s="406"/>
      <c r="G116" s="406"/>
      <c r="H116" s="406"/>
      <c r="I116" s="406"/>
      <c r="J116" s="406"/>
      <c r="K116" s="406"/>
      <c r="L116" s="406"/>
      <c r="M116" s="563" t="s">
        <v>3679</v>
      </c>
      <c r="N116" s="564">
        <f>SUM(N5:N115)</f>
        <v>1375839.03976454</v>
      </c>
      <c r="O116" s="564">
        <f>SUM(O5:O112)</f>
        <v>655928</v>
      </c>
      <c r="P116" s="564">
        <v>704366</v>
      </c>
      <c r="Q116" s="564">
        <v>704366</v>
      </c>
      <c r="R116" s="564"/>
      <c r="S116" s="564">
        <f>SUM(S5:S112)</f>
        <v>0</v>
      </c>
      <c r="T116" s="564">
        <f>SUM(T5:T112)</f>
        <v>0</v>
      </c>
      <c r="U116" s="564"/>
      <c r="V116" s="565">
        <f>SUM(V5:V115)</f>
        <v>3013970.63398063</v>
      </c>
      <c r="W116" s="566"/>
      <c r="X116" s="567">
        <f>SUM(X5:X115)</f>
        <v>3542913.03976454</v>
      </c>
      <c r="Y116" s="567"/>
      <c r="Z116" s="567"/>
      <c r="AA116" s="567"/>
      <c r="AB116" s="568">
        <f t="shared" ref="AB116:AF116" si="122">SUM(AB5:AB115)</f>
        <v>2234775.46695457</v>
      </c>
      <c r="AC116" s="569">
        <f t="shared" si="122"/>
        <v>1015652.89256198</v>
      </c>
      <c r="AD116" s="569">
        <f t="shared" si="122"/>
        <v>448000</v>
      </c>
      <c r="AE116" s="569">
        <f t="shared" si="122"/>
        <v>0</v>
      </c>
      <c r="AF116" s="569">
        <f t="shared" si="122"/>
        <v>14000</v>
      </c>
      <c r="AG116" s="569">
        <f>MIN(AG5:AG115)</f>
        <v>740224.275730129</v>
      </c>
    </row>
    <row r="117" s="404" customFormat="1" customHeight="1" spans="1:34">
      <c r="F117" s="406"/>
      <c r="G117" s="406"/>
      <c r="H117" s="406"/>
      <c r="I117" s="406"/>
      <c r="J117" s="406"/>
      <c r="K117" s="406"/>
      <c r="L117" s="406"/>
      <c r="M117" s="570"/>
      <c r="N117" s="571"/>
      <c r="O117" s="572">
        <f>V116-N117</f>
        <v>3013970.63398063</v>
      </c>
      <c r="P117" s="572">
        <v>614397.624923472</v>
      </c>
      <c r="Q117" s="572"/>
      <c r="R117" s="572"/>
      <c r="S117" s="572"/>
      <c r="T117" s="572"/>
      <c r="U117" s="572"/>
      <c r="V117" s="573"/>
      <c r="W117" s="574"/>
      <c r="X117" s="575"/>
      <c r="Y117" s="575"/>
      <c r="Z117" s="575"/>
      <c r="AA117" s="575"/>
      <c r="AB117" s="576"/>
      <c r="AC117" s="577"/>
      <c r="AD117" s="577"/>
      <c r="AE117" s="577"/>
      <c r="AF117" s="577"/>
      <c r="AG117" s="577"/>
    </row>
    <row r="118" s="404" customFormat="1" customHeight="1" spans="1:34">
      <c r="F118" s="406"/>
      <c r="G118" s="406"/>
      <c r="H118" s="406"/>
      <c r="I118" s="406"/>
      <c r="J118" s="406"/>
      <c r="K118" s="406"/>
      <c r="L118" s="406"/>
      <c r="M118" s="578" t="s">
        <v>3680</v>
      </c>
      <c r="N118" s="579"/>
      <c r="O118" s="580"/>
      <c r="P118" s="580"/>
      <c r="Q118" s="580"/>
      <c r="R118" s="580"/>
      <c r="S118" s="580"/>
      <c r="T118" s="580"/>
      <c r="U118" s="580"/>
      <c r="V118" s="581"/>
      <c r="W118" s="582"/>
      <c r="X118" s="582"/>
      <c r="Y118" s="582"/>
      <c r="Z118" s="582"/>
      <c r="AA118" s="582"/>
      <c r="AB118" s="583"/>
      <c r="AC118" s="584"/>
      <c r="AD118" s="584"/>
      <c r="AE118" s="582"/>
      <c r="AF118" s="582"/>
      <c r="AG118" s="584"/>
    </row>
    <row r="119" s="404" customFormat="1" customHeight="1" spans="1:34">
      <c r="F119" s="406"/>
      <c r="G119" s="406"/>
      <c r="H119" s="406"/>
      <c r="I119" s="406"/>
      <c r="J119" s="406"/>
      <c r="K119" s="406"/>
      <c r="L119" s="406"/>
      <c r="M119" s="585" t="s">
        <v>4039</v>
      </c>
      <c r="N119" s="580">
        <v>1000</v>
      </c>
      <c r="O119" s="580"/>
      <c r="P119" s="580"/>
      <c r="Q119" s="580"/>
      <c r="R119" s="580"/>
      <c r="S119" s="580"/>
      <c r="T119" s="580"/>
      <c r="U119" s="580"/>
      <c r="V119" s="581"/>
      <c r="W119" s="582"/>
      <c r="X119" s="582"/>
      <c r="Y119" s="582"/>
      <c r="Z119" s="582"/>
      <c r="AA119" s="582"/>
      <c r="AB119" s="583"/>
      <c r="AC119" s="584"/>
      <c r="AD119" s="584"/>
      <c r="AE119" s="582"/>
      <c r="AF119" s="582"/>
      <c r="AG119" s="584"/>
    </row>
    <row r="120" s="404" customFormat="1" customHeight="1" spans="1:34">
      <c r="F120" s="406"/>
      <c r="G120" s="406"/>
      <c r="H120" s="406"/>
      <c r="I120" s="406"/>
      <c r="J120" s="406"/>
      <c r="K120" s="406"/>
      <c r="L120" s="406"/>
      <c r="M120" s="586" t="s">
        <v>3683</v>
      </c>
      <c r="N120" s="587">
        <v>500</v>
      </c>
      <c r="O120" s="587"/>
      <c r="P120" s="587"/>
      <c r="Q120" s="587"/>
      <c r="R120" s="587"/>
      <c r="S120" s="587"/>
      <c r="T120" s="587"/>
      <c r="U120" s="587"/>
      <c r="V120" s="588"/>
      <c r="W120" s="589"/>
      <c r="X120" s="589"/>
      <c r="Y120" s="589"/>
      <c r="Z120" s="589"/>
      <c r="AA120" s="589"/>
      <c r="AB120" s="590"/>
      <c r="AC120" s="591"/>
      <c r="AD120" s="591"/>
      <c r="AE120" s="589"/>
      <c r="AF120" s="589"/>
      <c r="AG120" s="591"/>
    </row>
    <row r="121" s="404" customFormat="1" customHeight="1" spans="1:34">
      <c r="F121" s="406"/>
      <c r="G121" s="406"/>
      <c r="H121" s="406"/>
      <c r="I121" s="406"/>
      <c r="J121" s="406"/>
      <c r="K121" s="406"/>
      <c r="L121" s="406"/>
      <c r="M121" s="407"/>
      <c r="N121" s="407"/>
      <c r="O121" s="407"/>
      <c r="P121" s="407"/>
      <c r="Q121" s="407"/>
      <c r="R121" s="407"/>
      <c r="S121" s="407"/>
      <c r="T121" s="407"/>
      <c r="U121" s="407"/>
      <c r="V121" s="408"/>
      <c r="W121" s="406"/>
      <c r="X121" s="406"/>
      <c r="Y121" s="406"/>
      <c r="Z121" s="406"/>
      <c r="AA121" s="592"/>
      <c r="AB121" s="406"/>
      <c r="AC121" s="409"/>
      <c r="AD121" s="409"/>
      <c r="AE121" s="406"/>
      <c r="AF121" s="406"/>
      <c r="AG121" s="409"/>
    </row>
  </sheetData>
  <sheetProtection formatCells="0" formatColumns="0" formatRows="0" insertRows="0" insertColumns="0" insertHyperlinks="0" deleteColumns="0" deleteRows="0" sort="0" autoFilter="0" pivotTables="0"/>
  <conditionalFormatting sqref="D13">
    <cfRule type="duplicateValues" dxfId="0" priority="109"/>
  </conditionalFormatting>
  <conditionalFormatting sqref="E13">
    <cfRule type="duplicateValues" dxfId="0" priority="81"/>
  </conditionalFormatting>
  <conditionalFormatting sqref="D14">
    <cfRule type="duplicateValues" dxfId="0" priority="113"/>
  </conditionalFormatting>
  <conditionalFormatting sqref="D21">
    <cfRule type="duplicateValues" dxfId="0" priority="105"/>
  </conditionalFormatting>
  <conditionalFormatting sqref="D22">
    <cfRule type="duplicateValues" dxfId="0" priority="101"/>
  </conditionalFormatting>
  <conditionalFormatting sqref="D23">
    <cfRule type="duplicateValues" dxfId="0" priority="97"/>
  </conditionalFormatting>
  <conditionalFormatting sqref="D27">
    <cfRule type="duplicateValues" dxfId="0" priority="73"/>
  </conditionalFormatting>
  <conditionalFormatting sqref="D29">
    <cfRule type="duplicateValues" dxfId="0" priority="93"/>
  </conditionalFormatting>
  <conditionalFormatting sqref="D38">
    <cfRule type="duplicateValues" dxfId="0" priority="89"/>
  </conditionalFormatting>
  <conditionalFormatting sqref="D39">
    <cfRule type="duplicateValues" dxfId="0" priority="85"/>
  </conditionalFormatting>
  <conditionalFormatting sqref="D47">
    <cfRule type="duplicateValues" dxfId="0" priority="77"/>
  </conditionalFormatting>
  <conditionalFormatting sqref="D53">
    <cfRule type="duplicateValues" dxfId="0" priority="4"/>
  </conditionalFormatting>
  <conditionalFormatting sqref="D65">
    <cfRule type="duplicateValues" dxfId="0" priority="69"/>
  </conditionalFormatting>
  <conditionalFormatting sqref="D67">
    <cfRule type="duplicateValues" dxfId="0" priority="65"/>
  </conditionalFormatting>
  <conditionalFormatting sqref="D75">
    <cfRule type="duplicateValues" dxfId="0" priority="57"/>
  </conditionalFormatting>
  <conditionalFormatting sqref="D83">
    <cfRule type="duplicateValues" dxfId="0" priority="144"/>
  </conditionalFormatting>
  <conditionalFormatting sqref="D84">
    <cfRule type="duplicateValues" dxfId="0" priority="142"/>
  </conditionalFormatting>
  <conditionalFormatting sqref="D85">
    <cfRule type="duplicateValues" dxfId="0" priority="143"/>
  </conditionalFormatting>
  <conditionalFormatting sqref="D86">
    <cfRule type="duplicateValues" dxfId="0" priority="141"/>
  </conditionalFormatting>
  <conditionalFormatting sqref="D87">
    <cfRule type="duplicateValues" dxfId="0" priority="140"/>
  </conditionalFormatting>
  <conditionalFormatting sqref="D88">
    <cfRule type="duplicateValues" dxfId="0" priority="46"/>
  </conditionalFormatting>
  <conditionalFormatting sqref="D89">
    <cfRule type="duplicateValues" dxfId="0" priority="44"/>
  </conditionalFormatting>
  <conditionalFormatting sqref="D90">
    <cfRule type="duplicateValues" dxfId="0" priority="45"/>
  </conditionalFormatting>
  <conditionalFormatting sqref="D91">
    <cfRule type="duplicateValues" dxfId="0" priority="139"/>
  </conditionalFormatting>
  <conditionalFormatting sqref="D92">
    <cfRule type="duplicateValues" dxfId="0" priority="138"/>
  </conditionalFormatting>
  <conditionalFormatting sqref="D93">
    <cfRule type="duplicateValues" dxfId="0" priority="137"/>
  </conditionalFormatting>
  <conditionalFormatting sqref="D94">
    <cfRule type="duplicateValues" dxfId="0" priority="132"/>
  </conditionalFormatting>
  <conditionalFormatting sqref="D95">
    <cfRule type="duplicateValues" dxfId="0" priority="136"/>
  </conditionalFormatting>
  <conditionalFormatting sqref="D96">
    <cfRule type="duplicateValues" dxfId="0" priority="134"/>
  </conditionalFormatting>
  <conditionalFormatting sqref="D97">
    <cfRule type="duplicateValues" dxfId="0" priority="37"/>
  </conditionalFormatting>
  <conditionalFormatting sqref="D98">
    <cfRule type="duplicateValues" dxfId="0" priority="135"/>
  </conditionalFormatting>
  <conditionalFormatting sqref="D99">
    <cfRule type="duplicateValues" dxfId="0" priority="32"/>
  </conditionalFormatting>
  <conditionalFormatting sqref="D100">
    <cfRule type="duplicateValues" dxfId="0" priority="30"/>
  </conditionalFormatting>
  <conditionalFormatting sqref="D101">
    <cfRule type="duplicateValues" dxfId="0" priority="31"/>
  </conditionalFormatting>
  <conditionalFormatting sqref="D102">
    <cfRule type="duplicateValues" dxfId="0" priority="129"/>
  </conditionalFormatting>
  <conditionalFormatting sqref="D103">
    <cfRule type="duplicateValues" dxfId="0" priority="128"/>
  </conditionalFormatting>
  <conditionalFormatting sqref="D104">
    <cfRule type="duplicateValues" dxfId="0" priority="133"/>
  </conditionalFormatting>
  <conditionalFormatting sqref="D105">
    <cfRule type="duplicateValues" dxfId="0" priority="25"/>
  </conditionalFormatting>
  <conditionalFormatting sqref="D106">
    <cfRule type="duplicateValues" dxfId="0" priority="23"/>
  </conditionalFormatting>
  <conditionalFormatting sqref="D107">
    <cfRule type="duplicateValues" dxfId="0" priority="18"/>
  </conditionalFormatting>
  <conditionalFormatting sqref="D108">
    <cfRule type="duplicateValues" dxfId="0" priority="24"/>
  </conditionalFormatting>
  <conditionalFormatting sqref="D109">
    <cfRule type="duplicateValues" dxfId="0" priority="126"/>
  </conditionalFormatting>
  <conditionalFormatting sqref="D110">
    <cfRule type="duplicateValues" dxfId="0" priority="125"/>
  </conditionalFormatting>
  <conditionalFormatting sqref="D111">
    <cfRule type="duplicateValues" dxfId="0" priority="122"/>
  </conditionalFormatting>
  <conditionalFormatting sqref="D112">
    <cfRule type="duplicateValues" dxfId="0" priority="121"/>
  </conditionalFormatting>
  <conditionalFormatting sqref="D114">
    <cfRule type="duplicateValues" dxfId="0" priority="9"/>
  </conditionalFormatting>
  <conditionalFormatting sqref="D$1:D$1048576">
    <cfRule type="duplicateValues" dxfId="0" priority="5"/>
  </conditionalFormatting>
  <conditionalFormatting sqref="D8:D9">
    <cfRule type="duplicateValues" dxfId="0" priority="117"/>
  </conditionalFormatting>
  <conditionalFormatting sqref="D70:D73">
    <cfRule type="duplicateValues" dxfId="0" priority="61"/>
  </conditionalFormatting>
  <conditionalFormatting sqref="D77:D79">
    <cfRule type="duplicateValues" dxfId="0" priority="51"/>
  </conditionalFormatting>
  <conditionalFormatting sqref="D77:D82">
    <cfRule type="duplicateValues" dxfId="0" priority="47"/>
  </conditionalFormatting>
  <conditionalFormatting sqref="D80:D81">
    <cfRule type="duplicateValues" dxfId="0" priority="50"/>
  </conditionalFormatting>
  <conditionalFormatting sqref="D88:D90">
    <cfRule type="duplicateValues" dxfId="0" priority="43"/>
  </conditionalFormatting>
  <conditionalFormatting sqref="D99:D101">
    <cfRule type="duplicateValues" dxfId="0" priority="29"/>
  </conditionalFormatting>
  <conditionalFormatting sqref="D102:D103">
    <cfRule type="duplicateValues" dxfId="0" priority="127"/>
  </conditionalFormatting>
  <conditionalFormatting sqref="D105:D106">
    <cfRule type="duplicateValues" dxfId="0" priority="20"/>
  </conditionalFormatting>
  <conditionalFormatting sqref="D109:D110">
    <cfRule type="duplicateValues" dxfId="0" priority="124"/>
  </conditionalFormatting>
  <conditionalFormatting sqref="D111:D112">
    <cfRule type="duplicateValues" dxfId="0" priority="120"/>
  </conditionalFormatting>
  <conditionalFormatting sqref="D116:D1048576 D1:D7 D10:D12 D15:D20 D24:D26 D30:D37 D40:D42 D45:D46 D48:D51 D28 D54:D64 D66 D68:D69 D74 D76 D83:D87 D91:D96 D104 D98">
    <cfRule type="duplicateValues" dxfId="0" priority="131"/>
  </conditionalFormatting>
  <conditionalFormatting sqref="D91:D96 D40:D42 D24:D26 D15:D20 D1:D7 D10:D12 D30:D37 D45:D46 D48:D51 D28 D54:D64 D66 D68:D69 D74 D76 D83:D87 D98 D102:D104 D109:D112 D116:D1048576">
    <cfRule type="duplicateValues" dxfId="0" priority="118"/>
  </conditionalFormatting>
  <conditionalFormatting sqref="D91:D96 D40:D42 D24:D26 D15:D20 D1:D12 D30:D37 D45:D46 D48:D51 D28 D54:D64 D66 D68:D69 D74 D76 D83:D87 D98 D102:D104 D109:D112 D116:D1048576">
    <cfRule type="duplicateValues" dxfId="0" priority="114"/>
  </conditionalFormatting>
  <conditionalFormatting sqref="D116:D1048576 D4:D7 D10:D12 D15:D20 D24:D26 D30:D37 D40:D42 D45:D46 D48:D51 D28 D54:D64 D66 D68:D69 D74 D76">
    <cfRule type="duplicateValues" dxfId="0" priority="145"/>
  </conditionalFormatting>
  <conditionalFormatting sqref="D77:D79 D82">
    <cfRule type="duplicateValues" dxfId="0" priority="53"/>
  </conditionalFormatting>
  <conditionalFormatting sqref="D104 D94 D87 D85 D92">
    <cfRule type="duplicateValues" dxfId="0" priority="146"/>
  </conditionalFormatting>
  <conditionalFormatting sqref="D95:D96 D98">
    <cfRule type="duplicateValues" dxfId="0" priority="130"/>
  </conditionalFormatting>
  <conditionalFormatting sqref="D105:D106 D108">
    <cfRule type="duplicateValues" dxfId="0" priority="22"/>
  </conditionalFormatting>
  <conditionalFormatting sqref="D113 D115">
    <cfRule type="duplicateValues" dxfId="0" priority="13"/>
  </conditionalFormatting>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6"/>
  <sheetViews>
    <sheetView workbookViewId="0">
      <selection activeCell="A1" sqref="A1"/>
    </sheetView>
  </sheetViews>
  <sheetFormatPr defaultColWidth="11.45" defaultRowHeight="14.25"/>
  <cols>
    <col min="1" max="1" width="14.175" style="342" customWidth="1"/>
    <col min="2" max="2" width="13.45" style="342" customWidth="1"/>
    <col min="3" max="3" width="25" style="342" customWidth="1"/>
    <col min="4" max="4" width="24.725" style="343" customWidth="1"/>
    <col min="5" max="5" width="21.35" style="343" customWidth="1"/>
    <col min="6" max="6" width="23.8166666666667" style="343" customWidth="1"/>
    <col min="7" max="10" width="18.5333333333333" style="343" customWidth="1"/>
    <col min="11" max="11" width="6.04166666666667" style="343" customWidth="1"/>
    <col min="12" max="12" width="13.5" style="343" customWidth="1"/>
    <col min="13" max="14" width="18.5333333333333" style="343" customWidth="1"/>
    <col min="15" max="16382" width="11.45" style="342"/>
    <col min="16383" max="16384" width="11.45" style="344"/>
  </cols>
  <sheetData>
    <row r="1" s="338" customFormat="1" ht="23.25" customHeight="1" spans="1:18">
      <c r="A1" s="345"/>
      <c r="B1" s="345"/>
      <c r="C1" s="346"/>
      <c r="D1" s="347"/>
      <c r="E1" s="346"/>
      <c r="F1" s="348" t="s">
        <v>3331</v>
      </c>
      <c r="G1" s="349">
        <v>45820</v>
      </c>
      <c r="H1" s="349">
        <v>45898</v>
      </c>
      <c r="I1" s="349">
        <v>45950</v>
      </c>
      <c r="J1" s="350">
        <v>46185</v>
      </c>
      <c r="K1" s="349"/>
      <c r="L1" s="351"/>
      <c r="M1" s="351"/>
      <c r="N1" s="351"/>
    </row>
    <row r="2" s="338" customFormat="1" ht="23.25" customHeight="1" spans="1:18">
      <c r="A2" s="345"/>
      <c r="B2" s="345"/>
      <c r="C2" s="346"/>
      <c r="D2" s="347"/>
      <c r="E2" s="347"/>
      <c r="F2" s="352" t="s">
        <v>3332</v>
      </c>
      <c r="G2" s="352" t="s">
        <v>4040</v>
      </c>
      <c r="H2" s="352" t="s">
        <v>4041</v>
      </c>
      <c r="I2" s="352" t="s">
        <v>4042</v>
      </c>
      <c r="J2" s="353" t="s">
        <v>3333</v>
      </c>
      <c r="K2" s="352"/>
      <c r="L2" s="354"/>
      <c r="M2" s="354"/>
      <c r="N2" s="354"/>
    </row>
    <row r="3" s="338" customFormat="1" ht="23.25" customHeight="1" spans="1:18">
      <c r="A3" s="345"/>
      <c r="B3" s="345"/>
      <c r="C3" s="346"/>
      <c r="D3" s="347"/>
      <c r="E3" s="347"/>
      <c r="F3" s="348" t="s">
        <v>3334</v>
      </c>
      <c r="G3" s="349">
        <v>45894</v>
      </c>
      <c r="H3" s="349">
        <v>45943</v>
      </c>
      <c r="I3" s="349">
        <v>45995</v>
      </c>
      <c r="J3" s="355">
        <v>46227</v>
      </c>
      <c r="K3" s="356"/>
      <c r="L3" s="357"/>
      <c r="M3" s="351"/>
      <c r="N3" s="351"/>
    </row>
    <row r="4" s="339" customFormat="1" ht="22" customHeight="1" spans="1:18">
      <c r="A4" s="345"/>
      <c r="B4" s="345"/>
      <c r="C4" s="346"/>
      <c r="D4" s="347"/>
      <c r="E4" s="347"/>
      <c r="F4" s="352"/>
      <c r="G4" s="352" t="s">
        <v>3336</v>
      </c>
      <c r="H4" s="354"/>
      <c r="I4" s="354"/>
      <c r="J4" s="354"/>
      <c r="K4" s="354"/>
      <c r="L4" s="354"/>
      <c r="M4" s="354"/>
      <c r="N4" s="354"/>
    </row>
    <row r="5" s="338" customFormat="1" ht="27" customHeight="1" spans="1:18">
      <c r="A5" s="358"/>
      <c r="B5" s="359" t="s">
        <v>3335</v>
      </c>
      <c r="C5" s="360"/>
      <c r="D5" s="359" t="s">
        <v>3336</v>
      </c>
      <c r="E5" s="361"/>
      <c r="F5" s="361"/>
      <c r="G5" s="361"/>
      <c r="H5" s="361"/>
      <c r="I5" s="361"/>
      <c r="J5" s="361"/>
      <c r="K5" s="361"/>
      <c r="L5" s="361" t="s">
        <v>3337</v>
      </c>
      <c r="M5" s="361" t="s">
        <v>3338</v>
      </c>
      <c r="N5" s="361" t="s">
        <v>3339</v>
      </c>
      <c r="O5" s="362" t="s">
        <v>3340</v>
      </c>
      <c r="P5" s="362" t="s">
        <v>1520</v>
      </c>
      <c r="Q5" s="362" t="s">
        <v>3341</v>
      </c>
      <c r="R5" s="362"/>
    </row>
    <row r="6" s="339" customFormat="1" ht="23.15" customHeight="1" spans="1:18">
      <c r="A6" s="363" t="s">
        <v>3342</v>
      </c>
      <c r="B6" s="364" t="s">
        <v>3342</v>
      </c>
      <c r="C6" s="365"/>
      <c r="D6" s="366"/>
      <c r="E6" s="367" t="s">
        <v>3343</v>
      </c>
      <c r="F6" s="368"/>
      <c r="G6" s="369">
        <v>420000</v>
      </c>
      <c r="H6" s="369">
        <v>440000</v>
      </c>
      <c r="I6" s="369">
        <v>440000</v>
      </c>
      <c r="J6" s="370">
        <v>300000</v>
      </c>
      <c r="K6" s="369"/>
      <c r="L6" s="369">
        <f>SUM(G6:K6)</f>
        <v>1600000</v>
      </c>
      <c r="M6" s="369">
        <f>'77770 S4 明细'!AK399</f>
        <v>1219950</v>
      </c>
      <c r="N6" s="369">
        <f>L6-M6</f>
        <v>380050</v>
      </c>
      <c r="O6" s="371"/>
      <c r="P6" s="371"/>
      <c r="Q6" s="371"/>
      <c r="R6" s="371"/>
    </row>
    <row r="7" s="339" customFormat="1" ht="26.25" customHeight="1" spans="1:18">
      <c r="A7" s="372"/>
      <c r="B7" s="373"/>
      <c r="C7" s="374" t="s">
        <v>3344</v>
      </c>
      <c r="D7" s="375" t="s">
        <v>3345</v>
      </c>
      <c r="E7" s="375" t="s">
        <v>3346</v>
      </c>
      <c r="F7" s="375" t="s">
        <v>3347</v>
      </c>
      <c r="G7" s="376"/>
      <c r="H7" s="376"/>
      <c r="I7" s="376"/>
      <c r="J7" s="376"/>
      <c r="K7" s="376"/>
      <c r="L7" s="376"/>
      <c r="M7" s="376"/>
      <c r="N7" s="376"/>
      <c r="O7" s="371" t="s">
        <v>3348</v>
      </c>
      <c r="P7" s="371">
        <f>L32</f>
        <v>47000</v>
      </c>
      <c r="Q7" s="371">
        <f>L35</f>
        <v>2000</v>
      </c>
      <c r="R7" s="371"/>
    </row>
    <row r="8" s="339" customFormat="1" ht="16" customHeight="1" spans="1:18">
      <c r="A8" s="377" t="s">
        <v>4043</v>
      </c>
      <c r="B8" s="378" t="s">
        <v>3350</v>
      </c>
      <c r="C8" s="378" t="s">
        <v>3351</v>
      </c>
      <c r="D8" s="379" t="s">
        <v>3352</v>
      </c>
      <c r="E8" s="379" t="s">
        <v>3353</v>
      </c>
      <c r="F8" s="379" t="s">
        <v>3354</v>
      </c>
      <c r="G8" s="369">
        <v>19005</v>
      </c>
      <c r="H8" s="369">
        <v>19910</v>
      </c>
      <c r="I8" s="369">
        <v>19910</v>
      </c>
      <c r="J8" s="369">
        <v>13575</v>
      </c>
      <c r="K8" s="369"/>
      <c r="L8" s="369">
        <f>SUM(G8:K8)</f>
        <v>72400</v>
      </c>
      <c r="M8" s="369"/>
      <c r="N8" s="369"/>
      <c r="O8" s="371" t="s">
        <v>3355</v>
      </c>
      <c r="P8" s="371">
        <f>'77770 S4 明细'!AY399</f>
        <v>17899</v>
      </c>
      <c r="Q8" s="371"/>
      <c r="R8" s="371"/>
    </row>
    <row r="9" s="339" customFormat="1" ht="16.5" spans="1:18">
      <c r="A9" s="380"/>
      <c r="B9" s="381" t="s">
        <v>3356</v>
      </c>
      <c r="C9" s="381" t="s">
        <v>3357</v>
      </c>
      <c r="D9" s="379" t="s">
        <v>3358</v>
      </c>
      <c r="E9" s="379" t="s">
        <v>3359</v>
      </c>
      <c r="F9" s="379" t="s">
        <v>3360</v>
      </c>
      <c r="G9" s="369">
        <v>19005</v>
      </c>
      <c r="H9" s="369">
        <v>19910</v>
      </c>
      <c r="I9" s="369">
        <v>19910</v>
      </c>
      <c r="J9" s="369">
        <v>13575</v>
      </c>
      <c r="K9" s="369"/>
      <c r="L9" s="369">
        <f t="shared" ref="L9:L38" si="0">SUM(G9:K9)</f>
        <v>72400</v>
      </c>
      <c r="M9" s="369"/>
      <c r="N9" s="369"/>
      <c r="O9" s="371" t="s">
        <v>3361</v>
      </c>
      <c r="P9" s="371">
        <f>P7-P8</f>
        <v>29101</v>
      </c>
      <c r="Q9" s="371">
        <f>Q7-Q8</f>
        <v>2000</v>
      </c>
    </row>
    <row r="10" s="339" customFormat="1" ht="16.5" spans="1:18">
      <c r="A10" s="380"/>
      <c r="B10" s="381" t="s">
        <v>3362</v>
      </c>
      <c r="C10" s="381" t="s">
        <v>3363</v>
      </c>
      <c r="D10" s="379" t="s">
        <v>3364</v>
      </c>
      <c r="E10" s="379" t="s">
        <v>3365</v>
      </c>
      <c r="F10" s="379" t="s">
        <v>3366</v>
      </c>
      <c r="G10" s="369">
        <v>19005</v>
      </c>
      <c r="H10" s="369">
        <v>19910</v>
      </c>
      <c r="I10" s="369">
        <v>19910</v>
      </c>
      <c r="J10" s="369">
        <v>13575</v>
      </c>
      <c r="K10" s="369"/>
      <c r="L10" s="369">
        <f t="shared" si="0"/>
        <v>72400</v>
      </c>
      <c r="M10" s="369"/>
      <c r="N10" s="369"/>
      <c r="O10" s="371"/>
      <c r="P10" s="371"/>
      <c r="Q10" s="371"/>
      <c r="R10" s="371"/>
    </row>
    <row r="11" s="339" customFormat="1" ht="16.5" spans="1:18">
      <c r="A11" s="380"/>
      <c r="B11" s="381" t="s">
        <v>3367</v>
      </c>
      <c r="C11" s="381" t="s">
        <v>3368</v>
      </c>
      <c r="D11" s="379" t="s">
        <v>3369</v>
      </c>
      <c r="E11" s="379" t="s">
        <v>3370</v>
      </c>
      <c r="F11" s="379" t="s">
        <v>3371</v>
      </c>
      <c r="G11" s="369">
        <v>19005</v>
      </c>
      <c r="H11" s="369">
        <v>19910</v>
      </c>
      <c r="I11" s="369">
        <v>19910</v>
      </c>
      <c r="J11" s="369">
        <v>13575</v>
      </c>
      <c r="K11" s="369"/>
      <c r="L11" s="369">
        <f t="shared" si="0"/>
        <v>72400</v>
      </c>
      <c r="M11" s="369"/>
      <c r="N11" s="369"/>
    </row>
    <row r="12" s="339" customFormat="1" ht="16.5" spans="1:18">
      <c r="A12" s="380"/>
      <c r="B12" s="381" t="s">
        <v>3372</v>
      </c>
      <c r="C12" s="381" t="s">
        <v>3373</v>
      </c>
      <c r="D12" s="379" t="s">
        <v>3374</v>
      </c>
      <c r="E12" s="379" t="s">
        <v>3375</v>
      </c>
      <c r="F12" s="379" t="s">
        <v>3376</v>
      </c>
      <c r="G12" s="369">
        <v>19005</v>
      </c>
      <c r="H12" s="369">
        <v>19910</v>
      </c>
      <c r="I12" s="369">
        <v>19910</v>
      </c>
      <c r="J12" s="369">
        <v>13575</v>
      </c>
      <c r="K12" s="369"/>
      <c r="L12" s="369">
        <f t="shared" si="0"/>
        <v>72400</v>
      </c>
      <c r="M12" s="369"/>
      <c r="N12" s="369"/>
    </row>
    <row r="13" s="339" customFormat="1" ht="16.5" spans="1:18">
      <c r="A13" s="380"/>
      <c r="B13" s="381" t="s">
        <v>3377</v>
      </c>
      <c r="C13" s="381" t="s">
        <v>3378</v>
      </c>
      <c r="D13" s="379" t="s">
        <v>3379</v>
      </c>
      <c r="E13" s="379" t="s">
        <v>3380</v>
      </c>
      <c r="F13" s="379" t="s">
        <v>3381</v>
      </c>
      <c r="G13" s="369">
        <v>19005</v>
      </c>
      <c r="H13" s="369">
        <v>19910</v>
      </c>
      <c r="I13" s="369">
        <v>19910</v>
      </c>
      <c r="J13" s="369">
        <v>13575</v>
      </c>
      <c r="K13" s="369"/>
      <c r="L13" s="369">
        <f t="shared" si="0"/>
        <v>72400</v>
      </c>
      <c r="M13" s="369"/>
      <c r="N13" s="369"/>
    </row>
    <row r="14" s="339" customFormat="1" ht="16.5" spans="1:18">
      <c r="A14" s="380"/>
      <c r="B14" s="381" t="s">
        <v>3382</v>
      </c>
      <c r="C14" s="382" t="s">
        <v>3383</v>
      </c>
      <c r="D14" s="383" t="s">
        <v>3384</v>
      </c>
      <c r="E14" s="383" t="s">
        <v>3385</v>
      </c>
      <c r="F14" s="383" t="s">
        <v>3386</v>
      </c>
      <c r="G14" s="369">
        <v>1910</v>
      </c>
      <c r="H14" s="369">
        <v>2000</v>
      </c>
      <c r="I14" s="369">
        <v>2000</v>
      </c>
      <c r="J14" s="369">
        <v>1364</v>
      </c>
      <c r="K14" s="369"/>
      <c r="L14" s="369">
        <f t="shared" si="0"/>
        <v>7274</v>
      </c>
      <c r="M14" s="369"/>
      <c r="N14" s="369"/>
    </row>
    <row r="15" s="339" customFormat="1" ht="16.5" spans="1:18">
      <c r="A15" s="380"/>
      <c r="B15" s="381" t="s">
        <v>3387</v>
      </c>
      <c r="C15" s="381" t="s">
        <v>3388</v>
      </c>
      <c r="D15" s="379" t="s">
        <v>3389</v>
      </c>
      <c r="E15" s="379" t="s">
        <v>3390</v>
      </c>
      <c r="F15" s="379" t="s">
        <v>3391</v>
      </c>
      <c r="G15" s="369">
        <v>19005</v>
      </c>
      <c r="H15" s="369">
        <v>19910</v>
      </c>
      <c r="I15" s="369">
        <v>19910</v>
      </c>
      <c r="J15" s="369">
        <v>13575</v>
      </c>
      <c r="K15" s="369"/>
      <c r="L15" s="369">
        <f t="shared" si="0"/>
        <v>72400</v>
      </c>
      <c r="M15" s="369"/>
      <c r="N15" s="369"/>
    </row>
    <row r="16" s="339" customFormat="1" ht="16.5" spans="1:18">
      <c r="A16" s="380"/>
      <c r="B16" s="381" t="s">
        <v>3392</v>
      </c>
      <c r="C16" s="381" t="s">
        <v>3393</v>
      </c>
      <c r="D16" s="379" t="s">
        <v>3394</v>
      </c>
      <c r="E16" s="379" t="s">
        <v>3395</v>
      </c>
      <c r="F16" s="379" t="s">
        <v>3396</v>
      </c>
      <c r="G16" s="369">
        <v>19005</v>
      </c>
      <c r="H16" s="369">
        <v>19910</v>
      </c>
      <c r="I16" s="369">
        <v>19910</v>
      </c>
      <c r="J16" s="369">
        <v>13575</v>
      </c>
      <c r="K16" s="369"/>
      <c r="L16" s="369">
        <f t="shared" si="0"/>
        <v>72400</v>
      </c>
      <c r="M16" s="369"/>
      <c r="N16" s="369"/>
    </row>
    <row r="17" s="339" customFormat="1" ht="16.5" spans="1:14">
      <c r="A17" s="380"/>
      <c r="B17" s="381" t="s">
        <v>3397</v>
      </c>
      <c r="C17" s="381" t="s">
        <v>3398</v>
      </c>
      <c r="D17" s="379" t="s">
        <v>3399</v>
      </c>
      <c r="E17" s="379" t="s">
        <v>3400</v>
      </c>
      <c r="F17" s="379" t="s">
        <v>3401</v>
      </c>
      <c r="G17" s="369">
        <v>19005</v>
      </c>
      <c r="H17" s="369">
        <v>19910</v>
      </c>
      <c r="I17" s="369">
        <v>19910</v>
      </c>
      <c r="J17" s="369">
        <v>13575</v>
      </c>
      <c r="K17" s="369"/>
      <c r="L17" s="369">
        <f t="shared" si="0"/>
        <v>72400</v>
      </c>
      <c r="M17" s="369"/>
      <c r="N17" s="369"/>
    </row>
    <row r="18" s="339" customFormat="1" ht="16.5" spans="1:14">
      <c r="A18" s="380"/>
      <c r="B18" s="381" t="s">
        <v>3402</v>
      </c>
      <c r="C18" s="381" t="s">
        <v>3403</v>
      </c>
      <c r="D18" s="379" t="s">
        <v>3404</v>
      </c>
      <c r="E18" s="379" t="s">
        <v>3405</v>
      </c>
      <c r="F18" s="379" t="s">
        <v>3406</v>
      </c>
      <c r="G18" s="369">
        <v>19005</v>
      </c>
      <c r="H18" s="369">
        <v>19910</v>
      </c>
      <c r="I18" s="369">
        <v>19910</v>
      </c>
      <c r="J18" s="369">
        <v>13575</v>
      </c>
      <c r="K18" s="369"/>
      <c r="L18" s="369">
        <f t="shared" si="0"/>
        <v>72400</v>
      </c>
      <c r="M18" s="369"/>
      <c r="N18" s="369"/>
    </row>
    <row r="19" s="339" customFormat="1" ht="16.5" spans="1:14">
      <c r="A19" s="380"/>
      <c r="B19" s="381" t="s">
        <v>3407</v>
      </c>
      <c r="C19" s="381" t="s">
        <v>3408</v>
      </c>
      <c r="D19" s="379" t="s">
        <v>3409</v>
      </c>
      <c r="E19" s="379" t="s">
        <v>3410</v>
      </c>
      <c r="F19" s="379" t="s">
        <v>3411</v>
      </c>
      <c r="G19" s="369">
        <v>19005</v>
      </c>
      <c r="H19" s="369">
        <v>19910</v>
      </c>
      <c r="I19" s="369">
        <v>19910</v>
      </c>
      <c r="J19" s="369">
        <v>13575</v>
      </c>
      <c r="K19" s="369"/>
      <c r="L19" s="369">
        <f t="shared" si="0"/>
        <v>72400</v>
      </c>
      <c r="M19" s="369"/>
      <c r="N19" s="369"/>
    </row>
    <row r="20" s="339" customFormat="1" ht="16.5" spans="1:14">
      <c r="A20" s="380"/>
      <c r="B20" s="381" t="s">
        <v>3412</v>
      </c>
      <c r="C20" s="381" t="s">
        <v>3413</v>
      </c>
      <c r="D20" s="379" t="s">
        <v>3414</v>
      </c>
      <c r="E20" s="379" t="s">
        <v>3415</v>
      </c>
      <c r="F20" s="379" t="s">
        <v>3416</v>
      </c>
      <c r="G20" s="369">
        <v>19005</v>
      </c>
      <c r="H20" s="369">
        <v>19910</v>
      </c>
      <c r="I20" s="369">
        <v>19910</v>
      </c>
      <c r="J20" s="369">
        <v>13575</v>
      </c>
      <c r="K20" s="369"/>
      <c r="L20" s="369">
        <f t="shared" si="0"/>
        <v>72400</v>
      </c>
      <c r="M20" s="369"/>
      <c r="N20" s="369"/>
    </row>
    <row r="21" s="339" customFormat="1" ht="16.5" spans="1:14">
      <c r="A21" s="380"/>
      <c r="B21" s="381" t="s">
        <v>3417</v>
      </c>
      <c r="C21" s="381" t="s">
        <v>3418</v>
      </c>
      <c r="D21" s="379" t="s">
        <v>3419</v>
      </c>
      <c r="E21" s="379" t="s">
        <v>3420</v>
      </c>
      <c r="F21" s="379" t="s">
        <v>3421</v>
      </c>
      <c r="G21" s="369">
        <v>19005</v>
      </c>
      <c r="H21" s="369">
        <v>19910</v>
      </c>
      <c r="I21" s="369">
        <v>19910</v>
      </c>
      <c r="J21" s="369">
        <v>13575</v>
      </c>
      <c r="K21" s="369"/>
      <c r="L21" s="369">
        <f t="shared" si="0"/>
        <v>72400</v>
      </c>
      <c r="M21" s="369"/>
      <c r="N21" s="369"/>
    </row>
    <row r="22" s="339" customFormat="1" ht="16.5" spans="1:14">
      <c r="A22" s="380"/>
      <c r="B22" s="381" t="s">
        <v>3422</v>
      </c>
      <c r="C22" s="381" t="s">
        <v>3423</v>
      </c>
      <c r="D22" s="379" t="s">
        <v>3424</v>
      </c>
      <c r="E22" s="379" t="s">
        <v>3425</v>
      </c>
      <c r="F22" s="379" t="s">
        <v>3426</v>
      </c>
      <c r="G22" s="369">
        <v>19005</v>
      </c>
      <c r="H22" s="369">
        <v>19910</v>
      </c>
      <c r="I22" s="369">
        <v>19910</v>
      </c>
      <c r="J22" s="369">
        <v>13575</v>
      </c>
      <c r="K22" s="369"/>
      <c r="L22" s="369">
        <f t="shared" si="0"/>
        <v>72400</v>
      </c>
      <c r="M22" s="369"/>
      <c r="N22" s="369"/>
    </row>
    <row r="23" s="339" customFormat="1" ht="16.5" spans="1:14">
      <c r="A23" s="380"/>
      <c r="B23" s="381" t="s">
        <v>3427</v>
      </c>
      <c r="C23" s="381" t="s">
        <v>3428</v>
      </c>
      <c r="D23" s="379" t="s">
        <v>3404</v>
      </c>
      <c r="E23" s="379" t="s">
        <v>3406</v>
      </c>
      <c r="F23" s="379" t="s">
        <v>3429</v>
      </c>
      <c r="G23" s="369">
        <v>19005</v>
      </c>
      <c r="H23" s="369">
        <v>19910</v>
      </c>
      <c r="I23" s="369">
        <v>19910</v>
      </c>
      <c r="J23" s="369">
        <v>13575</v>
      </c>
      <c r="K23" s="369"/>
      <c r="L23" s="369">
        <f t="shared" si="0"/>
        <v>72400</v>
      </c>
      <c r="M23" s="369"/>
      <c r="N23" s="369"/>
    </row>
    <row r="24" s="339" customFormat="1" ht="16.5" spans="1:14">
      <c r="A24" s="380"/>
      <c r="B24" s="381" t="s">
        <v>3430</v>
      </c>
      <c r="C24" s="381" t="s">
        <v>3431</v>
      </c>
      <c r="D24" s="379" t="s">
        <v>3432</v>
      </c>
      <c r="E24" s="379" t="s">
        <v>3433</v>
      </c>
      <c r="F24" s="379" t="s">
        <v>3434</v>
      </c>
      <c r="G24" s="369">
        <v>19005</v>
      </c>
      <c r="H24" s="369">
        <v>19910</v>
      </c>
      <c r="I24" s="369">
        <v>19910</v>
      </c>
      <c r="J24" s="369">
        <v>13575</v>
      </c>
      <c r="K24" s="369"/>
      <c r="L24" s="369">
        <f t="shared" si="0"/>
        <v>72400</v>
      </c>
      <c r="M24" s="369"/>
      <c r="N24" s="369"/>
    </row>
    <row r="25" s="339" customFormat="1" ht="16.5" spans="1:14">
      <c r="A25" s="380"/>
      <c r="B25" s="381" t="s">
        <v>3435</v>
      </c>
      <c r="C25" s="381" t="s">
        <v>3436</v>
      </c>
      <c r="D25" s="379" t="s">
        <v>3437</v>
      </c>
      <c r="E25" s="379" t="s">
        <v>3438</v>
      </c>
      <c r="F25" s="379" t="s">
        <v>3439</v>
      </c>
      <c r="G25" s="369">
        <v>19005</v>
      </c>
      <c r="H25" s="369">
        <v>19910</v>
      </c>
      <c r="I25" s="369">
        <v>19910</v>
      </c>
      <c r="J25" s="369">
        <v>13575</v>
      </c>
      <c r="K25" s="369"/>
      <c r="L25" s="369">
        <f t="shared" si="0"/>
        <v>72400</v>
      </c>
      <c r="M25" s="369"/>
      <c r="N25" s="369"/>
    </row>
    <row r="26" s="339" customFormat="1" ht="16.5" spans="1:14">
      <c r="A26" s="380"/>
      <c r="B26" s="381" t="s">
        <v>3440</v>
      </c>
      <c r="C26" s="381" t="s">
        <v>3441</v>
      </c>
      <c r="D26" s="379" t="s">
        <v>3442</v>
      </c>
      <c r="E26" s="379" t="s">
        <v>3443</v>
      </c>
      <c r="F26" s="379" t="s">
        <v>3444</v>
      </c>
      <c r="G26" s="369">
        <v>19005</v>
      </c>
      <c r="H26" s="369">
        <v>19910</v>
      </c>
      <c r="I26" s="369">
        <v>19910</v>
      </c>
      <c r="J26" s="369">
        <v>13575</v>
      </c>
      <c r="K26" s="369"/>
      <c r="L26" s="369">
        <f t="shared" si="0"/>
        <v>72400</v>
      </c>
      <c r="M26" s="369"/>
      <c r="N26" s="369"/>
    </row>
    <row r="27" s="339" customFormat="1" ht="16.5" spans="1:14">
      <c r="A27" s="380"/>
      <c r="B27" s="381" t="s">
        <v>3445</v>
      </c>
      <c r="C27" s="381" t="s">
        <v>3446</v>
      </c>
      <c r="D27" s="379" t="s">
        <v>3447</v>
      </c>
      <c r="E27" s="379" t="s">
        <v>3448</v>
      </c>
      <c r="F27" s="379" t="s">
        <v>3449</v>
      </c>
      <c r="G27" s="369">
        <v>19005</v>
      </c>
      <c r="H27" s="369">
        <v>19910</v>
      </c>
      <c r="I27" s="369">
        <v>19910</v>
      </c>
      <c r="J27" s="369">
        <v>13575</v>
      </c>
      <c r="K27" s="369"/>
      <c r="L27" s="369">
        <f t="shared" si="0"/>
        <v>72400</v>
      </c>
      <c r="M27" s="369"/>
      <c r="N27" s="369"/>
    </row>
    <row r="28" s="339" customFormat="1" ht="16.5" spans="1:14">
      <c r="A28" s="380"/>
      <c r="B28" s="381" t="s">
        <v>3450</v>
      </c>
      <c r="C28" s="381" t="s">
        <v>3451</v>
      </c>
      <c r="D28" s="379" t="s">
        <v>3452</v>
      </c>
      <c r="E28" s="379" t="s">
        <v>3453</v>
      </c>
      <c r="F28" s="379" t="s">
        <v>3454</v>
      </c>
      <c r="G28" s="369">
        <v>19005</v>
      </c>
      <c r="H28" s="369">
        <v>19910</v>
      </c>
      <c r="I28" s="369">
        <v>19910</v>
      </c>
      <c r="J28" s="369">
        <v>13575</v>
      </c>
      <c r="K28" s="369"/>
      <c r="L28" s="369">
        <f t="shared" si="0"/>
        <v>72400</v>
      </c>
      <c r="M28" s="369"/>
      <c r="N28" s="369"/>
    </row>
    <row r="29" s="339" customFormat="1" ht="16.5" spans="1:14">
      <c r="A29" s="380"/>
      <c r="B29" s="381" t="s">
        <v>3455</v>
      </c>
      <c r="C29" s="381" t="s">
        <v>3456</v>
      </c>
      <c r="D29" s="379" t="s">
        <v>3437</v>
      </c>
      <c r="E29" s="379" t="s">
        <v>3457</v>
      </c>
      <c r="F29" s="379" t="s">
        <v>3458</v>
      </c>
      <c r="G29" s="369">
        <v>19005</v>
      </c>
      <c r="H29" s="369">
        <v>19910</v>
      </c>
      <c r="I29" s="369">
        <v>19910</v>
      </c>
      <c r="J29" s="369">
        <v>13575</v>
      </c>
      <c r="K29" s="369"/>
      <c r="L29" s="369">
        <f t="shared" si="0"/>
        <v>72400</v>
      </c>
      <c r="M29" s="369"/>
      <c r="N29" s="369"/>
    </row>
    <row r="30" s="339" customFormat="1" ht="16.5" spans="1:14">
      <c r="A30" s="384"/>
      <c r="B30" s="381" t="s">
        <v>3459</v>
      </c>
      <c r="C30" s="381" t="s">
        <v>3460</v>
      </c>
      <c r="D30" s="379" t="s">
        <v>3461</v>
      </c>
      <c r="E30" s="379" t="s">
        <v>3462</v>
      </c>
      <c r="F30" s="379" t="s">
        <v>3463</v>
      </c>
      <c r="G30" s="369">
        <v>19005</v>
      </c>
      <c r="H30" s="369">
        <v>19910</v>
      </c>
      <c r="I30" s="369">
        <v>19910</v>
      </c>
      <c r="J30" s="369">
        <v>13575</v>
      </c>
      <c r="K30" s="369"/>
      <c r="L30" s="369">
        <f t="shared" si="0"/>
        <v>72400</v>
      </c>
      <c r="M30" s="369"/>
      <c r="N30" s="369"/>
    </row>
    <row r="31" s="339" customFormat="1" ht="16" customHeight="1" spans="1:14">
      <c r="A31" s="385" t="s">
        <v>3464</v>
      </c>
      <c r="B31" s="385" t="s">
        <v>3465</v>
      </c>
      <c r="C31" s="386" t="s">
        <v>3466</v>
      </c>
      <c r="D31" s="385"/>
      <c r="E31" s="387"/>
      <c r="F31" s="387"/>
      <c r="G31" s="369">
        <v>16000</v>
      </c>
      <c r="H31" s="369">
        <v>12000</v>
      </c>
      <c r="I31" s="369">
        <v>14000</v>
      </c>
      <c r="J31" s="369">
        <v>5000</v>
      </c>
      <c r="K31" s="369"/>
      <c r="L31" s="369">
        <f t="shared" si="0"/>
        <v>47000</v>
      </c>
      <c r="M31" s="369">
        <f>'77770 S4 明细'!$BV$399</f>
        <v>36644</v>
      </c>
      <c r="N31" s="369">
        <f t="shared" ref="N31:N38" si="1">L31-M31</f>
        <v>10356</v>
      </c>
    </row>
    <row r="32" s="339" customFormat="1" ht="16" customHeight="1" spans="1:14">
      <c r="A32" s="385"/>
      <c r="B32" s="385" t="s">
        <v>3465</v>
      </c>
      <c r="C32" s="385" t="s">
        <v>3467</v>
      </c>
      <c r="D32" s="385"/>
      <c r="E32" s="387"/>
      <c r="F32" s="387"/>
      <c r="G32" s="369">
        <v>16000</v>
      </c>
      <c r="H32" s="369">
        <v>12000</v>
      </c>
      <c r="I32" s="369">
        <v>14000</v>
      </c>
      <c r="J32" s="369">
        <v>5000</v>
      </c>
      <c r="K32" s="369"/>
      <c r="L32" s="369">
        <f t="shared" si="0"/>
        <v>47000</v>
      </c>
      <c r="M32" s="369">
        <f>'77770 S4 明细'!$BV$399</f>
        <v>36644</v>
      </c>
      <c r="N32" s="369">
        <f t="shared" si="1"/>
        <v>10356</v>
      </c>
    </row>
    <row r="33" s="339" customFormat="1" ht="16" customHeight="1" spans="1:14">
      <c r="A33" s="385"/>
      <c r="B33" s="385" t="s">
        <v>3465</v>
      </c>
      <c r="C33" s="385" t="s">
        <v>3468</v>
      </c>
      <c r="D33" s="385"/>
      <c r="E33" s="387"/>
      <c r="F33" s="387"/>
      <c r="G33" s="369">
        <v>16000</v>
      </c>
      <c r="H33" s="369">
        <v>12000</v>
      </c>
      <c r="I33" s="369">
        <v>14000</v>
      </c>
      <c r="J33" s="369">
        <v>5000</v>
      </c>
      <c r="K33" s="369"/>
      <c r="L33" s="369">
        <f t="shared" si="0"/>
        <v>47000</v>
      </c>
      <c r="M33" s="369">
        <f>'77770 S4 明细'!$BV$399</f>
        <v>36644</v>
      </c>
      <c r="N33" s="369">
        <f t="shared" si="1"/>
        <v>10356</v>
      </c>
    </row>
    <row r="34" s="339" customFormat="1" ht="16.5" spans="1:14">
      <c r="A34" s="388"/>
      <c r="B34" s="385" t="s">
        <v>3465</v>
      </c>
      <c r="C34" s="385"/>
      <c r="D34" s="385" t="s">
        <v>3469</v>
      </c>
      <c r="E34" s="387"/>
      <c r="F34" s="387"/>
      <c r="G34" s="369">
        <v>16000</v>
      </c>
      <c r="H34" s="369">
        <v>12000</v>
      </c>
      <c r="I34" s="369">
        <v>14000</v>
      </c>
      <c r="J34" s="369">
        <v>5000</v>
      </c>
      <c r="K34" s="369"/>
      <c r="L34" s="369">
        <f t="shared" si="0"/>
        <v>47000</v>
      </c>
      <c r="M34" s="369">
        <f>'77770 S4 明细'!$BV$399</f>
        <v>36644</v>
      </c>
      <c r="N34" s="369">
        <f t="shared" si="1"/>
        <v>10356</v>
      </c>
    </row>
    <row r="35" s="339" customFormat="1" ht="16" customHeight="1" spans="1:14">
      <c r="A35" s="389" t="s">
        <v>3470</v>
      </c>
      <c r="B35" s="385" t="s">
        <v>3465</v>
      </c>
      <c r="C35" s="385" t="s">
        <v>3471</v>
      </c>
      <c r="D35" s="385"/>
      <c r="E35" s="387"/>
      <c r="F35" s="387"/>
      <c r="G35" s="369">
        <v>1000</v>
      </c>
      <c r="H35" s="369"/>
      <c r="I35" s="369">
        <v>0</v>
      </c>
      <c r="J35" s="369">
        <v>1000</v>
      </c>
      <c r="K35" s="369"/>
      <c r="L35" s="369">
        <f t="shared" si="0"/>
        <v>2000</v>
      </c>
      <c r="M35" s="369">
        <f>'77770 S4 明细'!$BW$399</f>
        <v>948</v>
      </c>
      <c r="N35" s="369">
        <f t="shared" si="1"/>
        <v>1052</v>
      </c>
    </row>
    <row r="36" s="339" customFormat="1" ht="16" customHeight="1" spans="1:14">
      <c r="A36" s="390"/>
      <c r="B36" s="385" t="s">
        <v>3465</v>
      </c>
      <c r="C36" s="385"/>
      <c r="D36" s="385" t="s">
        <v>3469</v>
      </c>
      <c r="E36" s="387"/>
      <c r="F36" s="387"/>
      <c r="G36" s="369">
        <v>1000</v>
      </c>
      <c r="H36" s="369"/>
      <c r="I36" s="369">
        <v>0</v>
      </c>
      <c r="J36" s="369">
        <v>1000</v>
      </c>
      <c r="K36" s="369"/>
      <c r="L36" s="369">
        <f t="shared" si="0"/>
        <v>2000</v>
      </c>
      <c r="M36" s="369">
        <f>'77770 S4 明细'!$BW$399</f>
        <v>948</v>
      </c>
      <c r="N36" s="369">
        <f t="shared" si="1"/>
        <v>1052</v>
      </c>
    </row>
    <row r="37" s="339" customFormat="1" ht="16.5" spans="1:14">
      <c r="A37" s="390"/>
      <c r="B37" s="385" t="s">
        <v>3465</v>
      </c>
      <c r="C37" s="385"/>
      <c r="D37" s="385"/>
      <c r="E37" s="385" t="s">
        <v>3472</v>
      </c>
      <c r="F37" s="387"/>
      <c r="G37" s="369">
        <v>1000</v>
      </c>
      <c r="H37" s="369"/>
      <c r="I37" s="369">
        <v>0</v>
      </c>
      <c r="J37" s="369">
        <v>1000</v>
      </c>
      <c r="K37" s="369"/>
      <c r="L37" s="369">
        <f t="shared" si="0"/>
        <v>2000</v>
      </c>
      <c r="M37" s="369">
        <f>'77770 S4 明细'!$BW$399</f>
        <v>948</v>
      </c>
      <c r="N37" s="369">
        <f t="shared" si="1"/>
        <v>1052</v>
      </c>
    </row>
    <row r="38" s="339" customFormat="1" ht="16" customHeight="1" spans="1:14">
      <c r="A38" s="391"/>
      <c r="B38" s="385" t="s">
        <v>3465</v>
      </c>
      <c r="C38" s="385"/>
      <c r="D38" s="385"/>
      <c r="E38" s="385" t="s">
        <v>3473</v>
      </c>
      <c r="F38" s="387"/>
      <c r="G38" s="369">
        <v>1000</v>
      </c>
      <c r="H38" s="369"/>
      <c r="I38" s="369">
        <v>0</v>
      </c>
      <c r="J38" s="369">
        <v>1000</v>
      </c>
      <c r="K38" s="369"/>
      <c r="L38" s="369">
        <f t="shared" si="0"/>
        <v>2000</v>
      </c>
      <c r="M38" s="369">
        <f>'77770 S4 明细'!$BW$399</f>
        <v>948</v>
      </c>
      <c r="N38" s="369">
        <f t="shared" si="1"/>
        <v>1052</v>
      </c>
    </row>
    <row r="39" s="339" customFormat="1" ht="26.25" customHeight="1" spans="1:14">
      <c r="A39" s="392"/>
      <c r="B39" s="393" t="s">
        <v>3474</v>
      </c>
      <c r="C39" s="394"/>
      <c r="D39" s="395"/>
      <c r="E39" s="396"/>
      <c r="F39" s="396"/>
      <c r="G39" s="397">
        <f>SUM(G8:G38)</f>
        <v>488020</v>
      </c>
      <c r="H39" s="397">
        <f>SUM(H8:H38)</f>
        <v>488020</v>
      </c>
      <c r="I39" s="397">
        <f>SUM(I8:I38)</f>
        <v>496020</v>
      </c>
      <c r="J39" s="397"/>
      <c r="K39" s="397"/>
      <c r="L39" s="397">
        <f>SUM(G39:H39)</f>
        <v>976040</v>
      </c>
      <c r="M39" s="397"/>
      <c r="N39" s="397"/>
    </row>
    <row r="40" s="339" customFormat="1" ht="52" customHeight="1" spans="1:14">
      <c r="A40" s="398" t="s">
        <v>12</v>
      </c>
      <c r="B40" s="398"/>
      <c r="C40" s="399" t="s">
        <v>3475</v>
      </c>
      <c r="D40" s="400"/>
      <c r="E40" s="400"/>
      <c r="F40" s="400"/>
      <c r="G40" s="400"/>
      <c r="H40" s="400"/>
      <c r="I40" s="400"/>
      <c r="J40" s="400"/>
      <c r="K40" s="400"/>
      <c r="L40" s="400"/>
      <c r="M40" s="400"/>
      <c r="N40" s="400"/>
    </row>
    <row r="41" s="340" customFormat="1" ht="21" customHeight="1" spans="1:14">
      <c r="A41" s="401"/>
      <c r="B41" s="401"/>
      <c r="C41" s="401"/>
      <c r="D41" s="401"/>
      <c r="E41" s="401"/>
      <c r="F41" s="401"/>
      <c r="G41" s="401"/>
      <c r="H41" s="401"/>
      <c r="I41" s="401"/>
      <c r="J41" s="401"/>
      <c r="K41" s="401"/>
      <c r="L41" s="401"/>
      <c r="M41" s="401"/>
      <c r="N41" s="401"/>
    </row>
    <row r="42" s="341" customFormat="1" ht="21" customHeight="1" spans="1:14">
      <c r="A42" s="341" t="s">
        <v>3476</v>
      </c>
      <c r="E42" s="402"/>
      <c r="F42" s="402"/>
    </row>
    <row r="43" s="341" customFormat="1" ht="21" customHeight="1"/>
    <row r="44" s="341" customFormat="1" ht="21" customHeight="1"/>
    <row r="45" s="341" customFormat="1" ht="21" customHeight="1"/>
    <row r="46" s="341" customFormat="1" ht="18.75" customHeight="1" spans="1:14">
      <c r="A46" s="403" t="s">
        <v>3477</v>
      </c>
      <c r="B46" s="403"/>
      <c r="C46" s="403"/>
      <c r="D46" s="403"/>
    </row>
  </sheetData>
  <sheetProtection formatCells="0" formatColumns="0" formatRows="0" insertRows="0" insertColumns="0" insertHyperlinks="0" deleteColumns="0" deleteRows="0" sort="0" autoFilter="0" pivotTables="0"/>
  <mergeCells count="8">
    <mergeCell ref="B5:C5"/>
    <mergeCell ref="D5:G5"/>
    <mergeCell ref="B6:C6"/>
    <mergeCell ref="A40:B40"/>
    <mergeCell ref="C40:G40"/>
    <mergeCell ref="A8:A30"/>
    <mergeCell ref="A31:A34"/>
    <mergeCell ref="A35:A38"/>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C251"/>
  <sheetViews>
    <sheetView workbookViewId="0">
      <pane xSplit="6" ySplit="1" topLeftCell="G2" activePane="bottomRight" state="frozen"/>
      <selection/>
      <selection pane="topRight"/>
      <selection pane="bottomLeft"/>
      <selection pane="bottomRight" activeCell="G2" sqref="G2"/>
    </sheetView>
  </sheetViews>
  <sheetFormatPr defaultColWidth="9" defaultRowHeight="13.5"/>
  <cols>
    <col min="1" max="1" width="11.8916666666667" customWidth="1"/>
    <col min="4" max="4" width="17.4416666666667" customWidth="1"/>
    <col min="5" max="5" width="13.1083333333333" customWidth="1"/>
    <col min="6" max="6" width="16.8916666666667" customWidth="1"/>
    <col min="13" max="13" width="13.7583333333333" customWidth="1"/>
    <col min="14" max="14" width="12" customWidth="1"/>
    <col min="67" max="67" width="10.025"/>
    <col min="74" max="74" width="9.38333333333333"/>
    <col min="76" max="76" width="9.375"/>
  </cols>
  <sheetData>
    <row r="1" s="14" customFormat="1" ht="38" customHeight="1" spans="1:74">
      <c r="A1" s="26" t="s">
        <v>42</v>
      </c>
      <c r="B1" s="27" t="s">
        <v>43</v>
      </c>
      <c r="C1" s="28" t="s">
        <v>46</v>
      </c>
      <c r="D1" s="27" t="s">
        <v>45</v>
      </c>
      <c r="E1" s="27" t="s">
        <v>62</v>
      </c>
      <c r="F1" s="27" t="s">
        <v>49</v>
      </c>
      <c r="G1" s="27" t="s">
        <v>47</v>
      </c>
      <c r="H1" s="27" t="s">
        <v>48</v>
      </c>
      <c r="I1" s="27" t="s">
        <v>50</v>
      </c>
      <c r="J1" s="27" t="s">
        <v>51</v>
      </c>
      <c r="K1" s="27" t="s">
        <v>52</v>
      </c>
      <c r="L1" s="27" t="s">
        <v>53</v>
      </c>
      <c r="M1" s="29" t="s">
        <v>63</v>
      </c>
      <c r="N1" s="30" t="s">
        <v>64</v>
      </c>
      <c r="O1" s="31" t="s">
        <v>4044</v>
      </c>
      <c r="P1" s="32" t="s">
        <v>56</v>
      </c>
      <c r="Q1" s="31" t="s">
        <v>4045</v>
      </c>
      <c r="R1" s="27" t="s">
        <v>58</v>
      </c>
      <c r="S1" s="33" t="s">
        <v>65</v>
      </c>
      <c r="T1" s="27" t="s">
        <v>44</v>
      </c>
      <c r="U1" s="32" t="s">
        <v>57</v>
      </c>
      <c r="V1" s="32" t="s">
        <v>69</v>
      </c>
      <c r="W1" s="34" t="s">
        <v>59</v>
      </c>
      <c r="X1" s="34" t="s">
        <v>61</v>
      </c>
      <c r="Y1" s="35" t="s">
        <v>70</v>
      </c>
      <c r="Z1" s="35" t="s">
        <v>40</v>
      </c>
      <c r="AA1" s="35" t="s">
        <v>72</v>
      </c>
      <c r="AB1" s="35" t="s">
        <v>73</v>
      </c>
      <c r="AC1" s="34" t="s">
        <v>4046</v>
      </c>
      <c r="AD1" s="36" t="s">
        <v>4047</v>
      </c>
      <c r="AE1" s="36" t="s">
        <v>4048</v>
      </c>
      <c r="AF1" s="36" t="s">
        <v>4049</v>
      </c>
      <c r="AG1" s="36" t="s">
        <v>4050</v>
      </c>
      <c r="AH1" s="36" t="s">
        <v>4051</v>
      </c>
      <c r="AI1" s="36" t="s">
        <v>4052</v>
      </c>
      <c r="AJ1" s="36" t="s">
        <v>4053</v>
      </c>
      <c r="AK1" s="36" t="s">
        <v>4054</v>
      </c>
      <c r="AL1" s="37" t="s">
        <v>4055</v>
      </c>
      <c r="AM1" s="36" t="s">
        <v>4056</v>
      </c>
      <c r="AN1" s="36" t="s">
        <v>4057</v>
      </c>
      <c r="AO1" s="36" t="s">
        <v>4058</v>
      </c>
      <c r="AP1" s="36" t="s">
        <v>4059</v>
      </c>
      <c r="AQ1" s="36" t="s">
        <v>4060</v>
      </c>
      <c r="AR1" s="36" t="s">
        <v>4061</v>
      </c>
      <c r="AS1" s="36" t="s">
        <v>4062</v>
      </c>
      <c r="AT1" s="38" t="s">
        <v>4063</v>
      </c>
      <c r="AU1" s="36" t="s">
        <v>4064</v>
      </c>
      <c r="AV1" s="36" t="s">
        <v>4065</v>
      </c>
      <c r="AW1" s="36" t="s">
        <v>4066</v>
      </c>
      <c r="AX1" s="36" t="s">
        <v>4067</v>
      </c>
      <c r="AY1" s="39" t="s">
        <v>12</v>
      </c>
    </row>
    <row r="2" s="15" customFormat="1" ht="19" customHeight="1" spans="1:74">
      <c r="A2" s="40">
        <v>44393</v>
      </c>
      <c r="B2" s="41" t="s">
        <v>4068</v>
      </c>
      <c r="D2" s="42" t="s">
        <v>4069</v>
      </c>
      <c r="E2" s="41" t="s">
        <v>4070</v>
      </c>
      <c r="F2" s="42" t="s">
        <v>4071</v>
      </c>
      <c r="G2" s="42"/>
      <c r="H2" s="42">
        <v>77198</v>
      </c>
      <c r="I2" s="42">
        <v>9648</v>
      </c>
      <c r="J2" s="42">
        <v>0</v>
      </c>
      <c r="K2" s="42">
        <v>36</v>
      </c>
      <c r="L2" s="43">
        <f t="shared" ref="L2:L49" si="0">I2/K2</f>
        <v>268</v>
      </c>
      <c r="M2" s="44">
        <v>0</v>
      </c>
      <c r="N2" s="45">
        <f t="shared" ref="N2:N13" si="1">I2*M2</f>
        <v>0</v>
      </c>
      <c r="O2" s="41" t="s">
        <v>4072</v>
      </c>
      <c r="P2" s="46"/>
      <c r="Q2" s="41" t="s">
        <v>4073</v>
      </c>
      <c r="R2" s="42"/>
      <c r="S2" s="47" t="s">
        <v>4074</v>
      </c>
      <c r="T2" s="42" t="s">
        <v>4075</v>
      </c>
      <c r="U2" s="46"/>
      <c r="V2" s="42"/>
      <c r="W2" s="48" t="s">
        <v>98</v>
      </c>
      <c r="X2" s="48" t="s">
        <v>98</v>
      </c>
      <c r="Y2" s="49"/>
      <c r="Z2" s="49"/>
      <c r="AA2" s="49"/>
      <c r="AB2" s="49"/>
      <c r="AC2" s="48"/>
      <c r="AY2" s="50" t="s">
        <v>4076</v>
      </c>
      <c r="BA2" s="15">
        <f t="shared" ref="BA2:BU2" si="2">$AD2*BA$1</f>
        <v>0</v>
      </c>
      <c r="BB2" s="15">
        <f t="shared" si="2"/>
        <v>0</v>
      </c>
      <c r="BC2" s="15">
        <f t="shared" si="2"/>
        <v>0</v>
      </c>
      <c r="BD2" s="15">
        <f t="shared" si="2"/>
        <v>0</v>
      </c>
      <c r="BE2" s="15">
        <f t="shared" si="2"/>
        <v>0</v>
      </c>
      <c r="BF2" s="15">
        <f t="shared" si="2"/>
        <v>0</v>
      </c>
      <c r="BG2" s="15">
        <f t="shared" si="2"/>
        <v>0</v>
      </c>
      <c r="BH2" s="15">
        <f t="shared" si="2"/>
        <v>0</v>
      </c>
      <c r="BI2" s="15">
        <f t="shared" si="2"/>
        <v>0</v>
      </c>
      <c r="BJ2" s="15">
        <f t="shared" si="2"/>
        <v>0</v>
      </c>
      <c r="BK2" s="15">
        <f t="shared" si="2"/>
        <v>0</v>
      </c>
      <c r="BL2" s="15">
        <f t="shared" si="2"/>
        <v>0</v>
      </c>
      <c r="BM2" s="15">
        <f t="shared" si="2"/>
        <v>0</v>
      </c>
      <c r="BN2" s="15">
        <f t="shared" si="2"/>
        <v>0</v>
      </c>
      <c r="BO2" s="15">
        <f t="shared" si="2"/>
        <v>0</v>
      </c>
      <c r="BP2" s="15">
        <f t="shared" si="2"/>
        <v>0</v>
      </c>
      <c r="BQ2" s="15">
        <f t="shared" si="2"/>
        <v>0</v>
      </c>
      <c r="BR2" s="15">
        <f t="shared" si="2"/>
        <v>0</v>
      </c>
      <c r="BS2" s="15">
        <f t="shared" si="2"/>
        <v>0</v>
      </c>
      <c r="BT2" s="15">
        <f t="shared" si="2"/>
        <v>0</v>
      </c>
      <c r="BU2" s="15">
        <f t="shared" si="2"/>
        <v>0</v>
      </c>
    </row>
    <row r="3" s="15" customFormat="1" ht="19" customHeight="1" spans="1:74">
      <c r="A3" s="40">
        <v>44393</v>
      </c>
      <c r="B3" s="41" t="s">
        <v>4068</v>
      </c>
      <c r="D3" s="42" t="s">
        <v>4077</v>
      </c>
      <c r="E3" s="41" t="s">
        <v>4070</v>
      </c>
      <c r="F3" s="42" t="s">
        <v>4071</v>
      </c>
      <c r="G3" s="42"/>
      <c r="H3" s="42">
        <v>77198</v>
      </c>
      <c r="I3" s="42">
        <v>9504</v>
      </c>
      <c r="J3" s="42">
        <v>0</v>
      </c>
      <c r="K3" s="42">
        <v>36</v>
      </c>
      <c r="L3" s="43">
        <f t="shared" si="0"/>
        <v>264</v>
      </c>
      <c r="M3" s="44">
        <v>0</v>
      </c>
      <c r="N3" s="45">
        <f t="shared" si="1"/>
        <v>0</v>
      </c>
      <c r="O3" s="41" t="s">
        <v>4072</v>
      </c>
      <c r="P3" s="46"/>
      <c r="Q3" s="41" t="s">
        <v>4073</v>
      </c>
      <c r="R3" s="42"/>
      <c r="S3" s="47" t="s">
        <v>4074</v>
      </c>
      <c r="T3" s="42" t="s">
        <v>4075</v>
      </c>
      <c r="U3" s="46"/>
      <c r="V3" s="42"/>
      <c r="W3" s="48" t="s">
        <v>98</v>
      </c>
      <c r="X3" s="48" t="s">
        <v>98</v>
      </c>
      <c r="Y3" s="49"/>
      <c r="Z3" s="49"/>
      <c r="AA3" s="49"/>
      <c r="AB3" s="49"/>
      <c r="AC3" s="48"/>
      <c r="AY3" s="50" t="s">
        <v>4078</v>
      </c>
      <c r="BA3" s="51">
        <f t="shared" ref="BA3:BU3" si="3">$AD3*BA$1</f>
        <v>0</v>
      </c>
      <c r="BB3" s="51">
        <f t="shared" si="3"/>
        <v>0</v>
      </c>
      <c r="BC3" s="51">
        <f t="shared" si="3"/>
        <v>0</v>
      </c>
      <c r="BD3" s="51">
        <f t="shared" si="3"/>
        <v>0</v>
      </c>
      <c r="BE3" s="51">
        <f t="shared" si="3"/>
        <v>0</v>
      </c>
      <c r="BF3" s="51">
        <f t="shared" si="3"/>
        <v>0</v>
      </c>
      <c r="BG3" s="51">
        <f t="shared" si="3"/>
        <v>0</v>
      </c>
      <c r="BH3" s="51">
        <f t="shared" si="3"/>
        <v>0</v>
      </c>
      <c r="BI3" s="51">
        <f t="shared" si="3"/>
        <v>0</v>
      </c>
      <c r="BJ3" s="51">
        <f t="shared" si="3"/>
        <v>0</v>
      </c>
      <c r="BK3" s="51">
        <f t="shared" si="3"/>
        <v>0</v>
      </c>
      <c r="BL3" s="15">
        <f t="shared" si="3"/>
        <v>0</v>
      </c>
      <c r="BM3" s="15">
        <f t="shared" si="3"/>
        <v>0</v>
      </c>
      <c r="BN3" s="15">
        <f t="shared" si="3"/>
        <v>0</v>
      </c>
      <c r="BO3" s="15">
        <f t="shared" si="3"/>
        <v>0</v>
      </c>
      <c r="BP3" s="15">
        <f t="shared" si="3"/>
        <v>0</v>
      </c>
      <c r="BQ3" s="15">
        <f t="shared" si="3"/>
        <v>0</v>
      </c>
      <c r="BR3" s="15">
        <f t="shared" si="3"/>
        <v>0</v>
      </c>
      <c r="BS3" s="15">
        <f t="shared" si="3"/>
        <v>0</v>
      </c>
      <c r="BT3" s="15">
        <f t="shared" si="3"/>
        <v>0</v>
      </c>
      <c r="BU3" s="15">
        <f t="shared" si="3"/>
        <v>0</v>
      </c>
    </row>
    <row r="4" s="15" customFormat="1" ht="19" customHeight="1" spans="1:74">
      <c r="A4" s="40">
        <v>44393</v>
      </c>
      <c r="B4" s="41" t="s">
        <v>4068</v>
      </c>
      <c r="D4" s="42" t="s">
        <v>4079</v>
      </c>
      <c r="E4" s="41" t="s">
        <v>4070</v>
      </c>
      <c r="F4" s="42" t="s">
        <v>4071</v>
      </c>
      <c r="G4" s="42"/>
      <c r="H4" s="42">
        <v>77198</v>
      </c>
      <c r="I4" s="42">
        <v>11700</v>
      </c>
      <c r="J4" s="42">
        <v>0</v>
      </c>
      <c r="K4" s="42">
        <v>36</v>
      </c>
      <c r="L4" s="43">
        <f t="shared" si="0"/>
        <v>325</v>
      </c>
      <c r="M4" s="44">
        <v>0</v>
      </c>
      <c r="N4" s="45">
        <f t="shared" si="1"/>
        <v>0</v>
      </c>
      <c r="O4" s="41" t="s">
        <v>4080</v>
      </c>
      <c r="P4" s="46"/>
      <c r="Q4" s="41" t="s">
        <v>4081</v>
      </c>
      <c r="R4" s="42"/>
      <c r="S4" s="47" t="s">
        <v>4074</v>
      </c>
      <c r="T4" s="42" t="s">
        <v>4075</v>
      </c>
      <c r="U4" s="46"/>
      <c r="V4" s="42"/>
      <c r="W4" s="48" t="s">
        <v>98</v>
      </c>
      <c r="X4" s="48" t="s">
        <v>98</v>
      </c>
      <c r="Y4" s="49"/>
      <c r="Z4" s="49"/>
      <c r="AA4" s="49"/>
      <c r="AB4" s="49"/>
      <c r="AC4" s="48"/>
      <c r="AY4" s="50" t="s">
        <v>4082</v>
      </c>
      <c r="BA4" s="51">
        <f t="shared" ref="BA4:BU4" si="4">$AD4*BA$1</f>
        <v>0</v>
      </c>
      <c r="BB4" s="51">
        <f t="shared" si="4"/>
        <v>0</v>
      </c>
      <c r="BC4" s="51">
        <f t="shared" si="4"/>
        <v>0</v>
      </c>
      <c r="BD4" s="51">
        <f t="shared" si="4"/>
        <v>0</v>
      </c>
      <c r="BE4" s="51">
        <f t="shared" si="4"/>
        <v>0</v>
      </c>
      <c r="BF4" s="51">
        <f t="shared" si="4"/>
        <v>0</v>
      </c>
      <c r="BG4" s="51">
        <f t="shared" si="4"/>
        <v>0</v>
      </c>
      <c r="BH4" s="51">
        <f t="shared" si="4"/>
        <v>0</v>
      </c>
      <c r="BI4" s="51">
        <f t="shared" si="4"/>
        <v>0</v>
      </c>
      <c r="BJ4" s="51">
        <f t="shared" si="4"/>
        <v>0</v>
      </c>
      <c r="BK4" s="51">
        <f t="shared" si="4"/>
        <v>0</v>
      </c>
      <c r="BL4" s="15">
        <f t="shared" si="4"/>
        <v>0</v>
      </c>
      <c r="BM4" s="15">
        <f t="shared" si="4"/>
        <v>0</v>
      </c>
      <c r="BN4" s="15">
        <f t="shared" si="4"/>
        <v>0</v>
      </c>
      <c r="BO4" s="15">
        <f t="shared" si="4"/>
        <v>0</v>
      </c>
      <c r="BP4" s="15">
        <f t="shared" si="4"/>
        <v>0</v>
      </c>
      <c r="BQ4" s="15">
        <f t="shared" si="4"/>
        <v>0</v>
      </c>
      <c r="BR4" s="15">
        <f t="shared" si="4"/>
        <v>0</v>
      </c>
      <c r="BS4" s="15">
        <f t="shared" si="4"/>
        <v>0</v>
      </c>
      <c r="BT4" s="15">
        <f t="shared" si="4"/>
        <v>0</v>
      </c>
      <c r="BU4" s="15">
        <f t="shared" si="4"/>
        <v>0</v>
      </c>
    </row>
    <row r="5" s="15" customFormat="1" ht="19" customHeight="1" spans="1:74">
      <c r="A5" s="40">
        <v>44393</v>
      </c>
      <c r="B5" s="41" t="s">
        <v>4068</v>
      </c>
      <c r="D5" s="42" t="s">
        <v>4083</v>
      </c>
      <c r="E5" s="41" t="s">
        <v>4070</v>
      </c>
      <c r="F5" s="42" t="s">
        <v>4071</v>
      </c>
      <c r="G5" s="42"/>
      <c r="H5" s="42">
        <v>77198</v>
      </c>
      <c r="I5" s="42">
        <v>15336</v>
      </c>
      <c r="J5" s="42">
        <v>0</v>
      </c>
      <c r="K5" s="42">
        <v>36</v>
      </c>
      <c r="L5" s="43">
        <f t="shared" si="0"/>
        <v>426</v>
      </c>
      <c r="M5" s="44">
        <v>0</v>
      </c>
      <c r="N5" s="45">
        <f t="shared" si="1"/>
        <v>0</v>
      </c>
      <c r="O5" s="41" t="s">
        <v>4084</v>
      </c>
      <c r="P5" s="46"/>
      <c r="Q5" s="41" t="s">
        <v>4085</v>
      </c>
      <c r="R5" s="42"/>
      <c r="S5" s="47" t="s">
        <v>4074</v>
      </c>
      <c r="T5" s="42" t="s">
        <v>4075</v>
      </c>
      <c r="U5" s="46"/>
      <c r="V5" s="42"/>
      <c r="W5" s="48" t="s">
        <v>98</v>
      </c>
      <c r="X5" s="48" t="s">
        <v>98</v>
      </c>
      <c r="Y5" s="49"/>
      <c r="Z5" s="49"/>
      <c r="AA5" s="49"/>
      <c r="AB5" s="49"/>
      <c r="AC5" s="48"/>
      <c r="AY5" s="50" t="s">
        <v>4086</v>
      </c>
      <c r="BA5" s="51">
        <f t="shared" ref="BA5:BU5" si="5">$AD5*BA$1</f>
        <v>0</v>
      </c>
      <c r="BB5" s="51">
        <f t="shared" si="5"/>
        <v>0</v>
      </c>
      <c r="BC5" s="51">
        <f t="shared" si="5"/>
        <v>0</v>
      </c>
      <c r="BD5" s="51">
        <f t="shared" si="5"/>
        <v>0</v>
      </c>
      <c r="BE5" s="51">
        <f t="shared" si="5"/>
        <v>0</v>
      </c>
      <c r="BF5" s="51">
        <f t="shared" si="5"/>
        <v>0</v>
      </c>
      <c r="BG5" s="51">
        <f t="shared" si="5"/>
        <v>0</v>
      </c>
      <c r="BH5" s="51">
        <f t="shared" si="5"/>
        <v>0</v>
      </c>
      <c r="BI5" s="51">
        <f t="shared" si="5"/>
        <v>0</v>
      </c>
      <c r="BJ5" s="51">
        <f t="shared" si="5"/>
        <v>0</v>
      </c>
      <c r="BK5" s="51">
        <f t="shared" si="5"/>
        <v>0</v>
      </c>
      <c r="BL5" s="15">
        <f t="shared" si="5"/>
        <v>0</v>
      </c>
      <c r="BM5" s="15">
        <f t="shared" si="5"/>
        <v>0</v>
      </c>
      <c r="BN5" s="15">
        <f t="shared" si="5"/>
        <v>0</v>
      </c>
      <c r="BO5" s="15">
        <f t="shared" si="5"/>
        <v>0</v>
      </c>
      <c r="BP5" s="15">
        <f t="shared" si="5"/>
        <v>0</v>
      </c>
      <c r="BQ5" s="15">
        <f t="shared" si="5"/>
        <v>0</v>
      </c>
      <c r="BR5" s="15">
        <f t="shared" si="5"/>
        <v>0</v>
      </c>
      <c r="BS5" s="15">
        <f t="shared" si="5"/>
        <v>0</v>
      </c>
      <c r="BT5" s="15">
        <f t="shared" si="5"/>
        <v>0</v>
      </c>
      <c r="BU5" s="15">
        <f t="shared" si="5"/>
        <v>0</v>
      </c>
    </row>
    <row r="6" s="15" customFormat="1" ht="19" customHeight="1" spans="1:74">
      <c r="A6" s="40">
        <v>44393</v>
      </c>
      <c r="B6" s="41" t="s">
        <v>4068</v>
      </c>
      <c r="D6" s="42" t="s">
        <v>4087</v>
      </c>
      <c r="E6" s="41" t="s">
        <v>4070</v>
      </c>
      <c r="F6" s="42" t="s">
        <v>4071</v>
      </c>
      <c r="G6" s="42"/>
      <c r="H6" s="42">
        <v>77198</v>
      </c>
      <c r="I6" s="42">
        <v>14364</v>
      </c>
      <c r="J6" s="42">
        <v>0</v>
      </c>
      <c r="K6" s="42">
        <v>36</v>
      </c>
      <c r="L6" s="43">
        <f t="shared" si="0"/>
        <v>399</v>
      </c>
      <c r="M6" s="44">
        <v>0</v>
      </c>
      <c r="N6" s="45">
        <f t="shared" si="1"/>
        <v>0</v>
      </c>
      <c r="O6" s="41" t="s">
        <v>4085</v>
      </c>
      <c r="P6" s="46"/>
      <c r="Q6" s="41" t="s">
        <v>4088</v>
      </c>
      <c r="R6" s="42"/>
      <c r="S6" s="47" t="s">
        <v>4074</v>
      </c>
      <c r="T6" s="42" t="s">
        <v>4075</v>
      </c>
      <c r="U6" s="46"/>
      <c r="V6" s="42"/>
      <c r="W6" s="48" t="s">
        <v>98</v>
      </c>
      <c r="X6" s="48" t="s">
        <v>98</v>
      </c>
      <c r="Y6" s="49"/>
      <c r="Z6" s="49"/>
      <c r="AA6" s="49"/>
      <c r="AB6" s="49"/>
      <c r="AC6" s="48"/>
      <c r="AY6" s="50" t="s">
        <v>4089</v>
      </c>
      <c r="BA6" s="51">
        <f t="shared" ref="BA6:BU6" si="6">$AD6*BA$1</f>
        <v>0</v>
      </c>
      <c r="BB6" s="51">
        <f t="shared" si="6"/>
        <v>0</v>
      </c>
      <c r="BC6" s="51">
        <f t="shared" si="6"/>
        <v>0</v>
      </c>
      <c r="BD6" s="51">
        <f t="shared" si="6"/>
        <v>0</v>
      </c>
      <c r="BE6" s="51">
        <f t="shared" si="6"/>
        <v>0</v>
      </c>
      <c r="BF6" s="51">
        <f t="shared" si="6"/>
        <v>0</v>
      </c>
      <c r="BG6" s="51">
        <f t="shared" si="6"/>
        <v>0</v>
      </c>
      <c r="BH6" s="51">
        <f t="shared" si="6"/>
        <v>0</v>
      </c>
      <c r="BI6" s="51">
        <f t="shared" si="6"/>
        <v>0</v>
      </c>
      <c r="BJ6" s="51">
        <f t="shared" si="6"/>
        <v>0</v>
      </c>
      <c r="BK6" s="51">
        <f t="shared" si="6"/>
        <v>0</v>
      </c>
      <c r="BL6" s="15">
        <f t="shared" si="6"/>
        <v>0</v>
      </c>
      <c r="BM6" s="15">
        <f t="shared" si="6"/>
        <v>0</v>
      </c>
      <c r="BN6" s="15">
        <f t="shared" si="6"/>
        <v>0</v>
      </c>
      <c r="BO6" s="15">
        <f t="shared" si="6"/>
        <v>0</v>
      </c>
      <c r="BP6" s="15">
        <f t="shared" si="6"/>
        <v>0</v>
      </c>
      <c r="BQ6" s="15">
        <f t="shared" si="6"/>
        <v>0</v>
      </c>
      <c r="BR6" s="15">
        <f t="shared" si="6"/>
        <v>0</v>
      </c>
      <c r="BS6" s="15">
        <f t="shared" si="6"/>
        <v>0</v>
      </c>
      <c r="BT6" s="15">
        <f t="shared" si="6"/>
        <v>0</v>
      </c>
      <c r="BU6" s="15">
        <f t="shared" si="6"/>
        <v>0</v>
      </c>
    </row>
    <row r="7" s="15" customFormat="1" ht="19" customHeight="1" spans="1:74">
      <c r="A7" s="40">
        <v>44393</v>
      </c>
      <c r="B7" s="41" t="s">
        <v>4068</v>
      </c>
      <c r="D7" s="42" t="s">
        <v>4090</v>
      </c>
      <c r="E7" s="41" t="s">
        <v>4070</v>
      </c>
      <c r="F7" s="42" t="s">
        <v>4071</v>
      </c>
      <c r="G7" s="42"/>
      <c r="H7" s="42">
        <v>77198</v>
      </c>
      <c r="I7" s="42">
        <v>11448</v>
      </c>
      <c r="J7" s="42">
        <v>0</v>
      </c>
      <c r="K7" s="42">
        <v>36</v>
      </c>
      <c r="L7" s="43">
        <f t="shared" si="0"/>
        <v>318</v>
      </c>
      <c r="M7" s="44">
        <v>0</v>
      </c>
      <c r="N7" s="45">
        <f t="shared" si="1"/>
        <v>0</v>
      </c>
      <c r="O7" s="41" t="s">
        <v>4085</v>
      </c>
      <c r="P7" s="46"/>
      <c r="Q7" s="41" t="s">
        <v>4088</v>
      </c>
      <c r="R7" s="42"/>
      <c r="S7" s="47" t="s">
        <v>4074</v>
      </c>
      <c r="T7" s="42" t="s">
        <v>4075</v>
      </c>
      <c r="U7" s="46"/>
      <c r="V7" s="42"/>
      <c r="W7" s="48" t="s">
        <v>98</v>
      </c>
      <c r="X7" s="48" t="s">
        <v>98</v>
      </c>
      <c r="Y7" s="49"/>
      <c r="Z7" s="49"/>
      <c r="AA7" s="49"/>
      <c r="AB7" s="49"/>
      <c r="AC7" s="48"/>
      <c r="AY7" s="50" t="s">
        <v>4091</v>
      </c>
      <c r="BA7" s="51">
        <f t="shared" ref="BA7:BU7" si="7">$AD7*BA$1</f>
        <v>0</v>
      </c>
      <c r="BB7" s="51">
        <f t="shared" si="7"/>
        <v>0</v>
      </c>
      <c r="BC7" s="51">
        <f t="shared" si="7"/>
        <v>0</v>
      </c>
      <c r="BD7" s="51">
        <f t="shared" si="7"/>
        <v>0</v>
      </c>
      <c r="BE7" s="51">
        <f t="shared" si="7"/>
        <v>0</v>
      </c>
      <c r="BF7" s="51">
        <f t="shared" si="7"/>
        <v>0</v>
      </c>
      <c r="BG7" s="51">
        <f t="shared" si="7"/>
        <v>0</v>
      </c>
      <c r="BH7" s="51">
        <f t="shared" si="7"/>
        <v>0</v>
      </c>
      <c r="BI7" s="51">
        <f t="shared" si="7"/>
        <v>0</v>
      </c>
      <c r="BJ7" s="51">
        <f t="shared" si="7"/>
        <v>0</v>
      </c>
      <c r="BK7" s="51">
        <f t="shared" si="7"/>
        <v>0</v>
      </c>
      <c r="BL7" s="15">
        <f t="shared" si="7"/>
        <v>0</v>
      </c>
      <c r="BM7" s="15">
        <f t="shared" si="7"/>
        <v>0</v>
      </c>
      <c r="BN7" s="15">
        <f t="shared" si="7"/>
        <v>0</v>
      </c>
      <c r="BO7" s="15">
        <f t="shared" si="7"/>
        <v>0</v>
      </c>
      <c r="BP7" s="15">
        <f t="shared" si="7"/>
        <v>0</v>
      </c>
      <c r="BQ7" s="15">
        <f t="shared" si="7"/>
        <v>0</v>
      </c>
      <c r="BR7" s="15">
        <f t="shared" si="7"/>
        <v>0</v>
      </c>
      <c r="BS7" s="15">
        <f t="shared" si="7"/>
        <v>0</v>
      </c>
      <c r="BT7" s="15">
        <f t="shared" si="7"/>
        <v>0</v>
      </c>
      <c r="BU7" s="15">
        <f t="shared" si="7"/>
        <v>0</v>
      </c>
    </row>
    <row r="8" s="15" customFormat="1" ht="19" customHeight="1" spans="1:74">
      <c r="A8" s="40">
        <v>44412</v>
      </c>
      <c r="B8" s="50" t="s">
        <v>240</v>
      </c>
      <c r="C8" s="42"/>
      <c r="D8" s="15">
        <v>4500058638</v>
      </c>
      <c r="E8" s="41" t="s">
        <v>4092</v>
      </c>
      <c r="F8" s="42" t="s">
        <v>4093</v>
      </c>
      <c r="G8" s="42"/>
      <c r="H8" s="41" t="s">
        <v>4094</v>
      </c>
      <c r="I8" s="42">
        <v>4288</v>
      </c>
      <c r="J8" s="42">
        <v>0</v>
      </c>
      <c r="K8" s="42">
        <v>8</v>
      </c>
      <c r="L8" s="43">
        <f t="shared" si="0"/>
        <v>536</v>
      </c>
      <c r="M8" s="44">
        <v>0</v>
      </c>
      <c r="N8" s="45">
        <f t="shared" si="1"/>
        <v>0</v>
      </c>
      <c r="O8" s="41" t="s">
        <v>4095</v>
      </c>
      <c r="P8" s="46"/>
      <c r="Q8" s="41" t="s">
        <v>4096</v>
      </c>
      <c r="R8" s="42"/>
      <c r="S8" s="52" t="s">
        <v>4097</v>
      </c>
      <c r="T8" s="42" t="s">
        <v>125</v>
      </c>
      <c r="U8" s="46"/>
      <c r="V8" s="42"/>
      <c r="W8" s="48" t="s">
        <v>98</v>
      </c>
      <c r="X8" s="48" t="s">
        <v>98</v>
      </c>
      <c r="Y8" s="49"/>
      <c r="Z8" s="49"/>
      <c r="AA8" s="49"/>
      <c r="AB8" s="49"/>
      <c r="AC8" s="48"/>
      <c r="AF8" s="15">
        <f t="shared" ref="AF8:AF35" si="8">AD8</f>
        <v>0</v>
      </c>
      <c r="AG8" s="15">
        <f t="shared" ref="AG8:AG35" si="9">AF8</f>
        <v>0</v>
      </c>
      <c r="AY8" s="50" t="s">
        <v>4098</v>
      </c>
      <c r="BA8" s="51">
        <f t="shared" ref="BA8:BU8" si="10">$AD8*BA$1</f>
        <v>0</v>
      </c>
      <c r="BB8" s="51">
        <f t="shared" si="10"/>
        <v>0</v>
      </c>
      <c r="BC8" s="51">
        <f t="shared" si="10"/>
        <v>0</v>
      </c>
      <c r="BD8" s="51">
        <f t="shared" si="10"/>
        <v>0</v>
      </c>
      <c r="BE8" s="51">
        <f t="shared" si="10"/>
        <v>0</v>
      </c>
      <c r="BF8" s="51">
        <f t="shared" si="10"/>
        <v>0</v>
      </c>
      <c r="BG8" s="51">
        <f t="shared" si="10"/>
        <v>0</v>
      </c>
      <c r="BH8" s="51">
        <f t="shared" si="10"/>
        <v>0</v>
      </c>
      <c r="BI8" s="51">
        <f t="shared" si="10"/>
        <v>0</v>
      </c>
      <c r="BJ8" s="51">
        <f t="shared" si="10"/>
        <v>0</v>
      </c>
      <c r="BK8" s="51">
        <f t="shared" si="10"/>
        <v>0</v>
      </c>
      <c r="BL8" s="15">
        <f t="shared" si="10"/>
        <v>0</v>
      </c>
      <c r="BM8" s="15">
        <f t="shared" si="10"/>
        <v>0</v>
      </c>
      <c r="BN8" s="15">
        <f t="shared" si="10"/>
        <v>0</v>
      </c>
      <c r="BO8" s="15">
        <f t="shared" si="10"/>
        <v>0</v>
      </c>
      <c r="BP8" s="15">
        <f t="shared" si="10"/>
        <v>0</v>
      </c>
      <c r="BQ8" s="15">
        <f t="shared" si="10"/>
        <v>0</v>
      </c>
      <c r="BR8" s="15">
        <f t="shared" si="10"/>
        <v>0</v>
      </c>
      <c r="BS8" s="15">
        <f t="shared" si="10"/>
        <v>0</v>
      </c>
      <c r="BT8" s="15">
        <f t="shared" si="10"/>
        <v>0</v>
      </c>
      <c r="BU8" s="15">
        <f t="shared" si="10"/>
        <v>0</v>
      </c>
    </row>
    <row r="9" s="15" customFormat="1" ht="19" customHeight="1" spans="1:74">
      <c r="A9" s="40">
        <v>44412</v>
      </c>
      <c r="B9" s="50" t="s">
        <v>240</v>
      </c>
      <c r="C9" s="42"/>
      <c r="D9" s="15">
        <v>4500058639</v>
      </c>
      <c r="E9" s="41" t="s">
        <v>4092</v>
      </c>
      <c r="F9" s="42" t="s">
        <v>4093</v>
      </c>
      <c r="G9" s="42"/>
      <c r="H9" s="41" t="s">
        <v>4094</v>
      </c>
      <c r="I9" s="42">
        <v>5088</v>
      </c>
      <c r="J9" s="42">
        <v>0</v>
      </c>
      <c r="K9" s="42">
        <v>8</v>
      </c>
      <c r="L9" s="43">
        <f t="shared" si="0"/>
        <v>636</v>
      </c>
      <c r="M9" s="44">
        <v>0</v>
      </c>
      <c r="N9" s="45">
        <f t="shared" si="1"/>
        <v>0</v>
      </c>
      <c r="O9" s="41" t="s">
        <v>4095</v>
      </c>
      <c r="P9" s="46"/>
      <c r="Q9" s="41" t="s">
        <v>4096</v>
      </c>
      <c r="R9" s="42"/>
      <c r="S9" s="52" t="s">
        <v>4097</v>
      </c>
      <c r="T9" s="42" t="s">
        <v>125</v>
      </c>
      <c r="U9" s="46"/>
      <c r="V9" s="42"/>
      <c r="W9" s="48" t="s">
        <v>98</v>
      </c>
      <c r="X9" s="48" t="s">
        <v>98</v>
      </c>
      <c r="Y9" s="49"/>
      <c r="Z9" s="49"/>
      <c r="AA9" s="49"/>
      <c r="AB9" s="49"/>
      <c r="AC9" s="48"/>
      <c r="AF9" s="15">
        <f t="shared" si="8"/>
        <v>0</v>
      </c>
      <c r="AG9" s="15">
        <f t="shared" si="9"/>
        <v>0</v>
      </c>
      <c r="AY9" s="50" t="s">
        <v>4098</v>
      </c>
      <c r="BA9" s="51">
        <f t="shared" ref="BA9:BU9" si="11">$AD9*BA$1</f>
        <v>0</v>
      </c>
      <c r="BB9" s="51">
        <f t="shared" si="11"/>
        <v>0</v>
      </c>
      <c r="BC9" s="51">
        <f t="shared" si="11"/>
        <v>0</v>
      </c>
      <c r="BD9" s="51">
        <f t="shared" si="11"/>
        <v>0</v>
      </c>
      <c r="BE9" s="51">
        <f t="shared" si="11"/>
        <v>0</v>
      </c>
      <c r="BF9" s="51">
        <f t="shared" si="11"/>
        <v>0</v>
      </c>
      <c r="BG9" s="51">
        <f t="shared" si="11"/>
        <v>0</v>
      </c>
      <c r="BH9" s="51">
        <f t="shared" si="11"/>
        <v>0</v>
      </c>
      <c r="BI9" s="51">
        <f t="shared" si="11"/>
        <v>0</v>
      </c>
      <c r="BJ9" s="51">
        <f t="shared" si="11"/>
        <v>0</v>
      </c>
      <c r="BK9" s="51">
        <f t="shared" si="11"/>
        <v>0</v>
      </c>
      <c r="BL9" s="15">
        <f t="shared" si="11"/>
        <v>0</v>
      </c>
      <c r="BM9" s="15">
        <f t="shared" si="11"/>
        <v>0</v>
      </c>
      <c r="BN9" s="15">
        <f t="shared" si="11"/>
        <v>0</v>
      </c>
      <c r="BO9" s="15">
        <f t="shared" si="11"/>
        <v>0</v>
      </c>
      <c r="BP9" s="15">
        <f t="shared" si="11"/>
        <v>0</v>
      </c>
      <c r="BQ9" s="15">
        <f t="shared" si="11"/>
        <v>0</v>
      </c>
      <c r="BR9" s="15">
        <f t="shared" si="11"/>
        <v>0</v>
      </c>
      <c r="BS9" s="15">
        <f t="shared" si="11"/>
        <v>0</v>
      </c>
      <c r="BT9" s="15">
        <f t="shared" si="11"/>
        <v>0</v>
      </c>
      <c r="BU9" s="15">
        <f t="shared" si="11"/>
        <v>0</v>
      </c>
    </row>
    <row r="10" s="15" customFormat="1" ht="19" customHeight="1" spans="1:74">
      <c r="A10" s="40">
        <v>44412</v>
      </c>
      <c r="B10" s="50" t="s">
        <v>240</v>
      </c>
      <c r="C10" s="42"/>
      <c r="D10" s="15">
        <v>4500058640</v>
      </c>
      <c r="E10" s="41" t="s">
        <v>4092</v>
      </c>
      <c r="F10" s="42" t="s">
        <v>4093</v>
      </c>
      <c r="G10" s="42"/>
      <c r="H10" s="41" t="s">
        <v>4094</v>
      </c>
      <c r="I10" s="42">
        <v>6384</v>
      </c>
      <c r="J10" s="42">
        <v>0</v>
      </c>
      <c r="K10" s="42">
        <v>8</v>
      </c>
      <c r="L10" s="43">
        <f t="shared" si="0"/>
        <v>798</v>
      </c>
      <c r="M10" s="44">
        <v>0</v>
      </c>
      <c r="N10" s="45">
        <f t="shared" si="1"/>
        <v>0</v>
      </c>
      <c r="O10" s="41" t="s">
        <v>4099</v>
      </c>
      <c r="P10" s="46"/>
      <c r="Q10" s="41" t="s">
        <v>4100</v>
      </c>
      <c r="R10" s="42"/>
      <c r="S10" s="52" t="s">
        <v>4097</v>
      </c>
      <c r="T10" s="42" t="s">
        <v>125</v>
      </c>
      <c r="U10" s="46"/>
      <c r="V10" s="42"/>
      <c r="W10" s="48" t="s">
        <v>98</v>
      </c>
      <c r="X10" s="48" t="s">
        <v>98</v>
      </c>
      <c r="Y10" s="49"/>
      <c r="Z10" s="49"/>
      <c r="AA10" s="49"/>
      <c r="AB10" s="49"/>
      <c r="AC10" s="48"/>
      <c r="AF10" s="15">
        <f t="shared" si="8"/>
        <v>0</v>
      </c>
      <c r="AG10" s="15">
        <f t="shared" si="9"/>
        <v>0</v>
      </c>
      <c r="AY10" s="50" t="s">
        <v>4098</v>
      </c>
      <c r="BA10" s="51">
        <f t="shared" ref="BA10:BU10" si="12">$AD10*BA$1</f>
        <v>0</v>
      </c>
      <c r="BB10" s="51">
        <f t="shared" si="12"/>
        <v>0</v>
      </c>
      <c r="BC10" s="51">
        <f t="shared" si="12"/>
        <v>0</v>
      </c>
      <c r="BD10" s="51">
        <f t="shared" si="12"/>
        <v>0</v>
      </c>
      <c r="BE10" s="51">
        <f t="shared" si="12"/>
        <v>0</v>
      </c>
      <c r="BF10" s="51">
        <f t="shared" si="12"/>
        <v>0</v>
      </c>
      <c r="BG10" s="51">
        <f t="shared" si="12"/>
        <v>0</v>
      </c>
      <c r="BH10" s="51">
        <f t="shared" si="12"/>
        <v>0</v>
      </c>
      <c r="BI10" s="51">
        <f t="shared" si="12"/>
        <v>0</v>
      </c>
      <c r="BJ10" s="51">
        <f t="shared" si="12"/>
        <v>0</v>
      </c>
      <c r="BK10" s="51">
        <f t="shared" si="12"/>
        <v>0</v>
      </c>
      <c r="BL10" s="15">
        <f t="shared" si="12"/>
        <v>0</v>
      </c>
      <c r="BM10" s="15">
        <f t="shared" si="12"/>
        <v>0</v>
      </c>
      <c r="BN10" s="15">
        <f t="shared" si="12"/>
        <v>0</v>
      </c>
      <c r="BO10" s="15">
        <f t="shared" si="12"/>
        <v>0</v>
      </c>
      <c r="BP10" s="15">
        <f t="shared" si="12"/>
        <v>0</v>
      </c>
      <c r="BQ10" s="15">
        <f t="shared" si="12"/>
        <v>0</v>
      </c>
      <c r="BR10" s="15">
        <f t="shared" si="12"/>
        <v>0</v>
      </c>
      <c r="BS10" s="15">
        <f t="shared" si="12"/>
        <v>0</v>
      </c>
      <c r="BT10" s="15">
        <f t="shared" si="12"/>
        <v>0</v>
      </c>
      <c r="BU10" s="15">
        <f t="shared" si="12"/>
        <v>0</v>
      </c>
    </row>
    <row r="11" s="15" customFormat="1" ht="19" customHeight="1" spans="1:74">
      <c r="A11" s="40">
        <v>44412</v>
      </c>
      <c r="B11" s="50" t="s">
        <v>240</v>
      </c>
      <c r="C11" s="42"/>
      <c r="D11" s="15">
        <v>4500058641</v>
      </c>
      <c r="E11" s="41" t="s">
        <v>4092</v>
      </c>
      <c r="F11" s="42" t="s">
        <v>4093</v>
      </c>
      <c r="G11" s="42"/>
      <c r="H11" s="41" t="s">
        <v>4094</v>
      </c>
      <c r="I11" s="42">
        <v>6816</v>
      </c>
      <c r="J11" s="42">
        <v>0</v>
      </c>
      <c r="K11" s="42">
        <v>8</v>
      </c>
      <c r="L11" s="43">
        <f t="shared" si="0"/>
        <v>852</v>
      </c>
      <c r="M11" s="44">
        <v>0</v>
      </c>
      <c r="N11" s="45">
        <f t="shared" si="1"/>
        <v>0</v>
      </c>
      <c r="O11" s="41" t="s">
        <v>4099</v>
      </c>
      <c r="P11" s="46"/>
      <c r="Q11" s="41" t="s">
        <v>4100</v>
      </c>
      <c r="R11" s="42"/>
      <c r="S11" s="52" t="s">
        <v>4097</v>
      </c>
      <c r="T11" s="42" t="s">
        <v>125</v>
      </c>
      <c r="U11" s="46"/>
      <c r="V11" s="42"/>
      <c r="W11" s="48" t="s">
        <v>98</v>
      </c>
      <c r="X11" s="48" t="s">
        <v>98</v>
      </c>
      <c r="Y11" s="49"/>
      <c r="Z11" s="49"/>
      <c r="AA11" s="49"/>
      <c r="AB11" s="49"/>
      <c r="AC11" s="48"/>
      <c r="AF11" s="15">
        <f t="shared" si="8"/>
        <v>0</v>
      </c>
      <c r="AG11" s="15">
        <f t="shared" si="9"/>
        <v>0</v>
      </c>
      <c r="AY11" s="50" t="s">
        <v>4098</v>
      </c>
      <c r="BA11" s="51">
        <f t="shared" ref="BA11:BU11" si="13">$AD11*BA$1</f>
        <v>0</v>
      </c>
      <c r="BB11" s="51">
        <f t="shared" si="13"/>
        <v>0</v>
      </c>
      <c r="BC11" s="51">
        <f t="shared" si="13"/>
        <v>0</v>
      </c>
      <c r="BD11" s="51">
        <f t="shared" si="13"/>
        <v>0</v>
      </c>
      <c r="BE11" s="51">
        <f t="shared" si="13"/>
        <v>0</v>
      </c>
      <c r="BF11" s="51">
        <f t="shared" si="13"/>
        <v>0</v>
      </c>
      <c r="BG11" s="51">
        <f t="shared" si="13"/>
        <v>0</v>
      </c>
      <c r="BH11" s="51">
        <f t="shared" si="13"/>
        <v>0</v>
      </c>
      <c r="BI11" s="51">
        <f t="shared" si="13"/>
        <v>0</v>
      </c>
      <c r="BJ11" s="51">
        <f t="shared" si="13"/>
        <v>0</v>
      </c>
      <c r="BK11" s="51">
        <f t="shared" si="13"/>
        <v>0</v>
      </c>
      <c r="BL11" s="15">
        <f t="shared" si="13"/>
        <v>0</v>
      </c>
      <c r="BM11" s="15">
        <f t="shared" si="13"/>
        <v>0</v>
      </c>
      <c r="BN11" s="15">
        <f t="shared" si="13"/>
        <v>0</v>
      </c>
      <c r="BO11" s="15">
        <f t="shared" si="13"/>
        <v>0</v>
      </c>
      <c r="BP11" s="15">
        <f t="shared" si="13"/>
        <v>0</v>
      </c>
      <c r="BQ11" s="15">
        <f t="shared" si="13"/>
        <v>0</v>
      </c>
      <c r="BR11" s="15">
        <f t="shared" si="13"/>
        <v>0</v>
      </c>
      <c r="BS11" s="15">
        <f t="shared" si="13"/>
        <v>0</v>
      </c>
      <c r="BT11" s="15">
        <f t="shared" si="13"/>
        <v>0</v>
      </c>
      <c r="BU11" s="15">
        <f t="shared" si="13"/>
        <v>0</v>
      </c>
    </row>
    <row r="12" s="15" customFormat="1" ht="19" customHeight="1" spans="1:74">
      <c r="A12" s="40">
        <v>44412</v>
      </c>
      <c r="B12" s="50" t="s">
        <v>240</v>
      </c>
      <c r="C12" s="42"/>
      <c r="D12" s="15">
        <v>4500058642</v>
      </c>
      <c r="E12" s="41" t="s">
        <v>4092</v>
      </c>
      <c r="F12" s="42" t="s">
        <v>4093</v>
      </c>
      <c r="G12" s="42"/>
      <c r="H12" s="41" t="s">
        <v>4094</v>
      </c>
      <c r="I12" s="42">
        <v>5200</v>
      </c>
      <c r="J12" s="42">
        <v>0</v>
      </c>
      <c r="K12" s="42">
        <v>8</v>
      </c>
      <c r="L12" s="43">
        <f t="shared" si="0"/>
        <v>650</v>
      </c>
      <c r="M12" s="44">
        <v>0</v>
      </c>
      <c r="N12" s="45">
        <f t="shared" si="1"/>
        <v>0</v>
      </c>
      <c r="O12" s="41" t="s">
        <v>4101</v>
      </c>
      <c r="P12" s="46"/>
      <c r="Q12" s="41" t="s">
        <v>4102</v>
      </c>
      <c r="R12" s="42"/>
      <c r="S12" s="52" t="s">
        <v>4097</v>
      </c>
      <c r="T12" s="42" t="s">
        <v>125</v>
      </c>
      <c r="U12" s="46"/>
      <c r="V12" s="42"/>
      <c r="W12" s="48" t="s">
        <v>98</v>
      </c>
      <c r="X12" s="48" t="s">
        <v>98</v>
      </c>
      <c r="Y12" s="49"/>
      <c r="Z12" s="49"/>
      <c r="AA12" s="49"/>
      <c r="AB12" s="49"/>
      <c r="AC12" s="48"/>
      <c r="AF12" s="15">
        <f t="shared" si="8"/>
        <v>0</v>
      </c>
      <c r="AG12" s="15">
        <f t="shared" si="9"/>
        <v>0</v>
      </c>
      <c r="AY12" s="50" t="s">
        <v>4098</v>
      </c>
      <c r="BA12" s="51">
        <f t="shared" ref="BA12:BU12" si="14">$AD12*BA$1</f>
        <v>0</v>
      </c>
      <c r="BB12" s="51">
        <f t="shared" si="14"/>
        <v>0</v>
      </c>
      <c r="BC12" s="51">
        <f t="shared" si="14"/>
        <v>0</v>
      </c>
      <c r="BD12" s="51">
        <f t="shared" si="14"/>
        <v>0</v>
      </c>
      <c r="BE12" s="51">
        <f t="shared" si="14"/>
        <v>0</v>
      </c>
      <c r="BF12" s="51">
        <f t="shared" si="14"/>
        <v>0</v>
      </c>
      <c r="BG12" s="51">
        <f t="shared" si="14"/>
        <v>0</v>
      </c>
      <c r="BH12" s="51">
        <f t="shared" si="14"/>
        <v>0</v>
      </c>
      <c r="BI12" s="51">
        <f t="shared" si="14"/>
        <v>0</v>
      </c>
      <c r="BJ12" s="51">
        <f t="shared" si="14"/>
        <v>0</v>
      </c>
      <c r="BK12" s="51">
        <f t="shared" si="14"/>
        <v>0</v>
      </c>
      <c r="BL12" s="15">
        <f t="shared" si="14"/>
        <v>0</v>
      </c>
      <c r="BM12" s="15">
        <f t="shared" si="14"/>
        <v>0</v>
      </c>
      <c r="BN12" s="15">
        <f t="shared" si="14"/>
        <v>0</v>
      </c>
      <c r="BO12" s="15">
        <f t="shared" si="14"/>
        <v>0</v>
      </c>
      <c r="BP12" s="15">
        <f t="shared" si="14"/>
        <v>0</v>
      </c>
      <c r="BQ12" s="15">
        <f t="shared" si="14"/>
        <v>0</v>
      </c>
      <c r="BR12" s="15">
        <f t="shared" si="14"/>
        <v>0</v>
      </c>
      <c r="BS12" s="15">
        <f t="shared" si="14"/>
        <v>0</v>
      </c>
      <c r="BT12" s="15">
        <f t="shared" si="14"/>
        <v>0</v>
      </c>
      <c r="BU12" s="15">
        <f t="shared" si="14"/>
        <v>0</v>
      </c>
    </row>
    <row r="13" s="15" customFormat="1" ht="19" customHeight="1" spans="1:74">
      <c r="A13" s="40">
        <v>44412</v>
      </c>
      <c r="B13" s="50" t="s">
        <v>240</v>
      </c>
      <c r="C13" s="42"/>
      <c r="D13" s="15">
        <v>4500058643</v>
      </c>
      <c r="E13" s="41" t="s">
        <v>4092</v>
      </c>
      <c r="F13" s="42" t="s">
        <v>4093</v>
      </c>
      <c r="G13" s="42"/>
      <c r="H13" s="41" t="s">
        <v>4094</v>
      </c>
      <c r="I13" s="42">
        <v>4224</v>
      </c>
      <c r="J13" s="42">
        <v>0</v>
      </c>
      <c r="K13" s="42">
        <v>8</v>
      </c>
      <c r="L13" s="43">
        <f t="shared" si="0"/>
        <v>528</v>
      </c>
      <c r="M13" s="44">
        <v>0</v>
      </c>
      <c r="N13" s="45">
        <f t="shared" si="1"/>
        <v>0</v>
      </c>
      <c r="O13" s="41" t="s">
        <v>4101</v>
      </c>
      <c r="P13" s="46"/>
      <c r="Q13" s="41" t="s">
        <v>4102</v>
      </c>
      <c r="R13" s="42"/>
      <c r="S13" s="52" t="s">
        <v>4097</v>
      </c>
      <c r="T13" s="42" t="s">
        <v>125</v>
      </c>
      <c r="U13" s="46"/>
      <c r="V13" s="42"/>
      <c r="W13" s="48" t="s">
        <v>98</v>
      </c>
      <c r="X13" s="48" t="s">
        <v>98</v>
      </c>
      <c r="Y13" s="49"/>
      <c r="Z13" s="49"/>
      <c r="AA13" s="49"/>
      <c r="AB13" s="49"/>
      <c r="AC13" s="48"/>
      <c r="AF13" s="15">
        <f t="shared" si="8"/>
        <v>0</v>
      </c>
      <c r="AG13" s="15">
        <f t="shared" si="9"/>
        <v>0</v>
      </c>
      <c r="AY13" s="50" t="s">
        <v>4098</v>
      </c>
      <c r="BA13" s="51">
        <f t="shared" ref="BA13:BU13" si="15">$AD13*BA$1</f>
        <v>0</v>
      </c>
      <c r="BB13" s="51">
        <f t="shared" si="15"/>
        <v>0</v>
      </c>
      <c r="BC13" s="51">
        <f t="shared" si="15"/>
        <v>0</v>
      </c>
      <c r="BD13" s="51">
        <f t="shared" si="15"/>
        <v>0</v>
      </c>
      <c r="BE13" s="51">
        <f t="shared" si="15"/>
        <v>0</v>
      </c>
      <c r="BF13" s="51">
        <f t="shared" si="15"/>
        <v>0</v>
      </c>
      <c r="BG13" s="51">
        <f t="shared" si="15"/>
        <v>0</v>
      </c>
      <c r="BH13" s="51">
        <f t="shared" si="15"/>
        <v>0</v>
      </c>
      <c r="BI13" s="51">
        <f t="shared" si="15"/>
        <v>0</v>
      </c>
      <c r="BJ13" s="51">
        <f t="shared" si="15"/>
        <v>0</v>
      </c>
      <c r="BK13" s="51">
        <f t="shared" si="15"/>
        <v>0</v>
      </c>
      <c r="BL13" s="15">
        <f t="shared" si="15"/>
        <v>0</v>
      </c>
      <c r="BM13" s="15">
        <f t="shared" si="15"/>
        <v>0</v>
      </c>
      <c r="BN13" s="15">
        <f t="shared" si="15"/>
        <v>0</v>
      </c>
      <c r="BO13" s="15">
        <f t="shared" si="15"/>
        <v>0</v>
      </c>
      <c r="BP13" s="15">
        <f t="shared" si="15"/>
        <v>0</v>
      </c>
      <c r="BQ13" s="15">
        <f t="shared" si="15"/>
        <v>0</v>
      </c>
      <c r="BR13" s="15">
        <f t="shared" si="15"/>
        <v>0</v>
      </c>
      <c r="BS13" s="15">
        <f t="shared" si="15"/>
        <v>0</v>
      </c>
      <c r="BT13" s="15">
        <f t="shared" si="15"/>
        <v>0</v>
      </c>
      <c r="BU13" s="15">
        <f t="shared" si="15"/>
        <v>0</v>
      </c>
    </row>
    <row r="14" s="15" customFormat="1" ht="19" customHeight="1" spans="1:74">
      <c r="A14" s="40">
        <v>44476</v>
      </c>
      <c r="B14" s="53" t="s">
        <v>4103</v>
      </c>
      <c r="C14" s="42"/>
      <c r="D14" s="15" t="s">
        <v>4104</v>
      </c>
      <c r="E14" s="41"/>
      <c r="F14" s="42" t="s">
        <v>4105</v>
      </c>
      <c r="G14" s="42"/>
      <c r="H14" s="42" t="s">
        <v>4106</v>
      </c>
      <c r="I14" s="42">
        <v>11560</v>
      </c>
      <c r="J14" s="42">
        <v>0</v>
      </c>
      <c r="K14" s="42">
        <v>680</v>
      </c>
      <c r="L14" s="43">
        <f t="shared" si="0"/>
        <v>17</v>
      </c>
      <c r="M14" s="44">
        <v>0</v>
      </c>
      <c r="N14" s="45">
        <v>0</v>
      </c>
      <c r="O14" s="41" t="s">
        <v>4107</v>
      </c>
      <c r="P14" s="46"/>
      <c r="Q14" s="41" t="s">
        <v>4108</v>
      </c>
      <c r="R14" s="42"/>
      <c r="S14" s="42"/>
      <c r="T14" s="42" t="s">
        <v>4075</v>
      </c>
      <c r="U14" s="46"/>
      <c r="V14" s="42" t="s">
        <v>4109</v>
      </c>
      <c r="W14" s="54" t="s">
        <v>98</v>
      </c>
      <c r="X14" s="54" t="s">
        <v>98</v>
      </c>
      <c r="Y14" s="42"/>
      <c r="Z14" s="42"/>
      <c r="AA14" s="49"/>
      <c r="AB14" s="42"/>
      <c r="AC14" s="54"/>
      <c r="AD14" s="15">
        <f t="shared" ref="AD14:AD35" si="16">I14</f>
        <v>11560</v>
      </c>
      <c r="AF14" s="15">
        <f t="shared" si="8"/>
        <v>11560</v>
      </c>
      <c r="AG14" s="15">
        <f t="shared" si="9"/>
        <v>11560</v>
      </c>
      <c r="AU14" s="15">
        <f t="shared" ref="AU14:AU35" si="17">I14/8</f>
        <v>1445</v>
      </c>
      <c r="AY14" s="55" t="s">
        <v>4110</v>
      </c>
      <c r="BA14" s="51"/>
      <c r="BB14" s="51"/>
      <c r="BC14" s="51"/>
      <c r="BD14" s="51"/>
      <c r="BE14" s="51"/>
      <c r="BF14" s="51"/>
      <c r="BG14" s="51"/>
      <c r="BH14" s="51"/>
      <c r="BI14" s="51"/>
      <c r="BJ14" s="51"/>
      <c r="BK14" s="51"/>
      <c r="BL14" s="51"/>
      <c r="BM14" s="51"/>
      <c r="BN14" s="51"/>
      <c r="BO14" s="51"/>
      <c r="BP14" s="51"/>
      <c r="BQ14" s="51"/>
      <c r="BR14" s="51"/>
      <c r="BS14" s="51"/>
      <c r="BT14" s="51"/>
      <c r="BU14" s="51"/>
      <c r="BV14" s="51"/>
    </row>
    <row r="15" s="15" customFormat="1" ht="19" customHeight="1" spans="1:74">
      <c r="A15" s="40">
        <v>44476</v>
      </c>
      <c r="B15" s="53" t="s">
        <v>4103</v>
      </c>
      <c r="C15" s="42"/>
      <c r="D15" s="15" t="s">
        <v>4104</v>
      </c>
      <c r="E15" s="41"/>
      <c r="F15" s="42" t="s">
        <v>4105</v>
      </c>
      <c r="G15" s="42"/>
      <c r="H15" s="42" t="s">
        <v>4106</v>
      </c>
      <c r="I15" s="42">
        <v>5440</v>
      </c>
      <c r="J15" s="42">
        <v>0</v>
      </c>
      <c r="K15" s="42">
        <v>680</v>
      </c>
      <c r="L15" s="43">
        <f t="shared" si="0"/>
        <v>8</v>
      </c>
      <c r="M15" s="44">
        <v>0</v>
      </c>
      <c r="N15" s="45">
        <v>0</v>
      </c>
      <c r="O15" s="41" t="s">
        <v>4107</v>
      </c>
      <c r="P15" s="46"/>
      <c r="Q15" s="41" t="s">
        <v>4108</v>
      </c>
      <c r="R15" s="42"/>
      <c r="S15" s="42"/>
      <c r="T15" s="42" t="s">
        <v>4075</v>
      </c>
      <c r="U15" s="46"/>
      <c r="V15" s="42" t="s">
        <v>4109</v>
      </c>
      <c r="W15" s="54" t="s">
        <v>98</v>
      </c>
      <c r="X15" s="54" t="s">
        <v>98</v>
      </c>
      <c r="Y15" s="42"/>
      <c r="Z15" s="42"/>
      <c r="AA15" s="49"/>
      <c r="AB15" s="42"/>
      <c r="AC15" s="54"/>
      <c r="AD15" s="15">
        <f t="shared" si="16"/>
        <v>5440</v>
      </c>
      <c r="AF15" s="15">
        <f t="shared" si="8"/>
        <v>5440</v>
      </c>
      <c r="AG15" s="15">
        <f t="shared" si="9"/>
        <v>5440</v>
      </c>
      <c r="AU15" s="15">
        <f t="shared" si="17"/>
        <v>680</v>
      </c>
      <c r="AY15" s="55" t="s">
        <v>4110</v>
      </c>
      <c r="BA15" s="51"/>
      <c r="BB15" s="51"/>
      <c r="BC15" s="51"/>
      <c r="BD15" s="51"/>
      <c r="BE15" s="51"/>
      <c r="BF15" s="51"/>
      <c r="BG15" s="51"/>
      <c r="BH15" s="51"/>
      <c r="BI15" s="51"/>
      <c r="BJ15" s="51"/>
      <c r="BK15" s="51"/>
      <c r="BL15" s="51"/>
      <c r="BM15" s="51"/>
      <c r="BN15" s="51"/>
      <c r="BO15" s="51"/>
      <c r="BP15" s="51"/>
      <c r="BQ15" s="51"/>
      <c r="BR15" s="51"/>
      <c r="BS15" s="51"/>
      <c r="BT15" s="51"/>
      <c r="BU15" s="51"/>
      <c r="BV15" s="51"/>
    </row>
    <row r="16" s="15" customFormat="1" ht="19" customHeight="1" spans="1:74">
      <c r="A16" s="40">
        <v>44476</v>
      </c>
      <c r="B16" s="53" t="s">
        <v>4103</v>
      </c>
      <c r="C16" s="42"/>
      <c r="D16" s="15" t="s">
        <v>4104</v>
      </c>
      <c r="E16" s="41"/>
      <c r="F16" s="42" t="s">
        <v>4105</v>
      </c>
      <c r="G16" s="42"/>
      <c r="H16" s="42" t="s">
        <v>4106</v>
      </c>
      <c r="I16" s="42">
        <v>5440</v>
      </c>
      <c r="J16" s="42">
        <v>0</v>
      </c>
      <c r="K16" s="42">
        <v>680</v>
      </c>
      <c r="L16" s="43">
        <f t="shared" si="0"/>
        <v>8</v>
      </c>
      <c r="M16" s="44">
        <v>0</v>
      </c>
      <c r="N16" s="45">
        <v>0</v>
      </c>
      <c r="O16" s="41" t="s">
        <v>4107</v>
      </c>
      <c r="P16" s="46"/>
      <c r="Q16" s="41" t="s">
        <v>4108</v>
      </c>
      <c r="R16" s="42"/>
      <c r="S16" s="42"/>
      <c r="T16" s="42" t="s">
        <v>4075</v>
      </c>
      <c r="U16" s="46"/>
      <c r="V16" s="42" t="s">
        <v>4109</v>
      </c>
      <c r="W16" s="54" t="s">
        <v>98</v>
      </c>
      <c r="X16" s="54" t="s">
        <v>98</v>
      </c>
      <c r="Y16" s="42"/>
      <c r="Z16" s="42"/>
      <c r="AA16" s="49"/>
      <c r="AB16" s="42"/>
      <c r="AC16" s="54"/>
      <c r="AD16" s="15">
        <f t="shared" si="16"/>
        <v>5440</v>
      </c>
      <c r="AF16" s="15">
        <f t="shared" si="8"/>
        <v>5440</v>
      </c>
      <c r="AG16" s="15">
        <f t="shared" si="9"/>
        <v>5440</v>
      </c>
      <c r="AU16" s="15">
        <f t="shared" si="17"/>
        <v>680</v>
      </c>
      <c r="AY16" s="55" t="s">
        <v>4110</v>
      </c>
      <c r="BA16" s="51"/>
      <c r="BB16" s="51"/>
      <c r="BC16" s="51"/>
      <c r="BD16" s="51"/>
      <c r="BE16" s="51"/>
      <c r="BF16" s="51"/>
      <c r="BG16" s="51"/>
      <c r="BH16" s="51"/>
      <c r="BI16" s="51"/>
      <c r="BJ16" s="51"/>
      <c r="BK16" s="51"/>
      <c r="BL16" s="51"/>
      <c r="BM16" s="51"/>
      <c r="BN16" s="51"/>
      <c r="BO16" s="51"/>
      <c r="BP16" s="51"/>
      <c r="BQ16" s="51"/>
      <c r="BR16" s="51"/>
      <c r="BS16" s="51"/>
      <c r="BT16" s="51"/>
      <c r="BU16" s="51"/>
      <c r="BV16" s="51"/>
    </row>
    <row r="17" s="15" customFormat="1" ht="19" customHeight="1" spans="1:74">
      <c r="A17" s="40">
        <v>44476</v>
      </c>
      <c r="B17" s="53" t="s">
        <v>4103</v>
      </c>
      <c r="C17" s="42"/>
      <c r="D17" s="15" t="s">
        <v>4104</v>
      </c>
      <c r="E17" s="41"/>
      <c r="F17" s="42" t="s">
        <v>4105</v>
      </c>
      <c r="G17" s="42"/>
      <c r="H17" s="42" t="s">
        <v>4106</v>
      </c>
      <c r="I17" s="42">
        <v>11560</v>
      </c>
      <c r="J17" s="42">
        <v>0</v>
      </c>
      <c r="K17" s="42">
        <v>680</v>
      </c>
      <c r="L17" s="43">
        <f t="shared" si="0"/>
        <v>17</v>
      </c>
      <c r="M17" s="44">
        <v>0</v>
      </c>
      <c r="N17" s="45">
        <v>0</v>
      </c>
      <c r="O17" s="41" t="s">
        <v>4107</v>
      </c>
      <c r="P17" s="46"/>
      <c r="Q17" s="41" t="s">
        <v>4108</v>
      </c>
      <c r="R17" s="42"/>
      <c r="S17" s="42"/>
      <c r="T17" s="42" t="s">
        <v>4075</v>
      </c>
      <c r="U17" s="46"/>
      <c r="V17" s="42" t="s">
        <v>4109</v>
      </c>
      <c r="W17" s="54" t="s">
        <v>98</v>
      </c>
      <c r="X17" s="54" t="s">
        <v>98</v>
      </c>
      <c r="Y17" s="42"/>
      <c r="Z17" s="42"/>
      <c r="AA17" s="49"/>
      <c r="AB17" s="42"/>
      <c r="AC17" s="54"/>
      <c r="AD17" s="15">
        <f t="shared" si="16"/>
        <v>11560</v>
      </c>
      <c r="AF17" s="15">
        <f t="shared" si="8"/>
        <v>11560</v>
      </c>
      <c r="AG17" s="15">
        <f t="shared" si="9"/>
        <v>11560</v>
      </c>
      <c r="AU17" s="15">
        <f t="shared" si="17"/>
        <v>1445</v>
      </c>
      <c r="AY17" s="55" t="s">
        <v>4110</v>
      </c>
      <c r="BA17" s="51"/>
      <c r="BB17" s="51"/>
      <c r="BC17" s="51"/>
      <c r="BD17" s="51"/>
      <c r="BE17" s="51"/>
      <c r="BF17" s="51"/>
      <c r="BG17" s="51"/>
      <c r="BH17" s="51"/>
      <c r="BI17" s="51"/>
      <c r="BJ17" s="51"/>
      <c r="BK17" s="51"/>
      <c r="BL17" s="51"/>
      <c r="BM17" s="51"/>
      <c r="BN17" s="51"/>
      <c r="BO17" s="51"/>
      <c r="BP17" s="51"/>
      <c r="BQ17" s="51"/>
      <c r="BR17" s="51"/>
      <c r="BS17" s="51"/>
      <c r="BT17" s="51"/>
      <c r="BU17" s="51"/>
      <c r="BV17" s="51"/>
    </row>
    <row r="18" s="15" customFormat="1" ht="19" customHeight="1" spans="1:74">
      <c r="A18" s="40">
        <v>44476</v>
      </c>
      <c r="B18" s="53" t="s">
        <v>4103</v>
      </c>
      <c r="C18" s="42"/>
      <c r="D18" s="15" t="s">
        <v>4104</v>
      </c>
      <c r="E18" s="41"/>
      <c r="F18" s="42" t="s">
        <v>4105</v>
      </c>
      <c r="G18" s="42"/>
      <c r="H18" s="42" t="s">
        <v>4106</v>
      </c>
      <c r="I18" s="42">
        <v>5440</v>
      </c>
      <c r="J18" s="42">
        <v>0</v>
      </c>
      <c r="K18" s="42">
        <v>680</v>
      </c>
      <c r="L18" s="43">
        <f t="shared" si="0"/>
        <v>8</v>
      </c>
      <c r="M18" s="44">
        <v>0</v>
      </c>
      <c r="N18" s="45">
        <v>0</v>
      </c>
      <c r="O18" s="41" t="s">
        <v>4107</v>
      </c>
      <c r="P18" s="46"/>
      <c r="Q18" s="41" t="s">
        <v>4108</v>
      </c>
      <c r="R18" s="42"/>
      <c r="S18" s="42"/>
      <c r="T18" s="42" t="s">
        <v>4075</v>
      </c>
      <c r="U18" s="46"/>
      <c r="V18" s="42" t="s">
        <v>4109</v>
      </c>
      <c r="W18" s="54" t="s">
        <v>98</v>
      </c>
      <c r="X18" s="54" t="s">
        <v>98</v>
      </c>
      <c r="Y18" s="42"/>
      <c r="Z18" s="42"/>
      <c r="AA18" s="49"/>
      <c r="AB18" s="42"/>
      <c r="AC18" s="54"/>
      <c r="AD18" s="15">
        <f t="shared" si="16"/>
        <v>5440</v>
      </c>
      <c r="AF18" s="15">
        <f t="shared" si="8"/>
        <v>5440</v>
      </c>
      <c r="AG18" s="15">
        <f t="shared" si="9"/>
        <v>5440</v>
      </c>
      <c r="AU18" s="15">
        <f t="shared" si="17"/>
        <v>680</v>
      </c>
      <c r="AY18" s="55" t="s">
        <v>4110</v>
      </c>
      <c r="BA18" s="51"/>
      <c r="BB18" s="51"/>
      <c r="BC18" s="51"/>
      <c r="BD18" s="51"/>
      <c r="BE18" s="51"/>
      <c r="BF18" s="51"/>
      <c r="BG18" s="51"/>
      <c r="BH18" s="51"/>
      <c r="BI18" s="51"/>
      <c r="BJ18" s="51"/>
      <c r="BK18" s="51"/>
      <c r="BL18" s="51"/>
      <c r="BM18" s="51"/>
      <c r="BN18" s="51"/>
      <c r="BO18" s="51"/>
      <c r="BP18" s="51"/>
      <c r="BQ18" s="51"/>
      <c r="BR18" s="51"/>
      <c r="BS18" s="51"/>
      <c r="BT18" s="51"/>
      <c r="BU18" s="51"/>
      <c r="BV18" s="51"/>
    </row>
    <row r="19" s="15" customFormat="1" ht="19" customHeight="1" spans="1:74">
      <c r="A19" s="40">
        <v>44476</v>
      </c>
      <c r="B19" s="53" t="s">
        <v>4103</v>
      </c>
      <c r="C19" s="42"/>
      <c r="D19" s="15" t="s">
        <v>4104</v>
      </c>
      <c r="E19" s="41"/>
      <c r="F19" s="42" t="s">
        <v>4105</v>
      </c>
      <c r="G19" s="42"/>
      <c r="H19" s="42" t="s">
        <v>4106</v>
      </c>
      <c r="I19" s="42">
        <v>5440</v>
      </c>
      <c r="J19" s="42">
        <v>0</v>
      </c>
      <c r="K19" s="42">
        <v>680</v>
      </c>
      <c r="L19" s="43">
        <f t="shared" si="0"/>
        <v>8</v>
      </c>
      <c r="M19" s="44">
        <v>0</v>
      </c>
      <c r="N19" s="45">
        <v>0</v>
      </c>
      <c r="O19" s="41" t="s">
        <v>4107</v>
      </c>
      <c r="P19" s="46"/>
      <c r="Q19" s="41" t="s">
        <v>4108</v>
      </c>
      <c r="R19" s="42"/>
      <c r="S19" s="42"/>
      <c r="T19" s="42" t="s">
        <v>4075</v>
      </c>
      <c r="U19" s="46"/>
      <c r="V19" s="42" t="s">
        <v>4109</v>
      </c>
      <c r="W19" s="54" t="s">
        <v>98</v>
      </c>
      <c r="X19" s="54" t="s">
        <v>98</v>
      </c>
      <c r="Y19" s="42"/>
      <c r="Z19" s="42"/>
      <c r="AA19" s="49"/>
      <c r="AB19" s="42"/>
      <c r="AC19" s="54"/>
      <c r="AD19" s="15">
        <f t="shared" si="16"/>
        <v>5440</v>
      </c>
      <c r="AF19" s="15">
        <f t="shared" si="8"/>
        <v>5440</v>
      </c>
      <c r="AG19" s="15">
        <f t="shared" si="9"/>
        <v>5440</v>
      </c>
      <c r="AU19" s="15">
        <f t="shared" si="17"/>
        <v>680</v>
      </c>
      <c r="AY19" s="55" t="s">
        <v>4110</v>
      </c>
      <c r="BA19" s="51"/>
      <c r="BB19" s="51"/>
      <c r="BC19" s="51"/>
      <c r="BD19" s="51"/>
      <c r="BE19" s="51"/>
      <c r="BF19" s="51"/>
      <c r="BG19" s="51"/>
      <c r="BH19" s="51"/>
      <c r="BI19" s="51"/>
      <c r="BJ19" s="51"/>
      <c r="BK19" s="51"/>
      <c r="BL19" s="51"/>
      <c r="BM19" s="51"/>
      <c r="BN19" s="51"/>
      <c r="BO19" s="51"/>
      <c r="BP19" s="51"/>
      <c r="BQ19" s="51"/>
      <c r="BR19" s="51"/>
      <c r="BS19" s="51"/>
      <c r="BT19" s="51"/>
      <c r="BU19" s="51"/>
      <c r="BV19" s="51"/>
    </row>
    <row r="20" s="15" customFormat="1" ht="19" customHeight="1" spans="1:74">
      <c r="A20" s="40">
        <v>44476</v>
      </c>
      <c r="B20" s="53" t="s">
        <v>4103</v>
      </c>
      <c r="C20" s="42"/>
      <c r="D20" s="15" t="s">
        <v>4104</v>
      </c>
      <c r="E20" s="41"/>
      <c r="F20" s="42" t="s">
        <v>4105</v>
      </c>
      <c r="G20" s="42"/>
      <c r="H20" s="42" t="s">
        <v>4106</v>
      </c>
      <c r="I20" s="42">
        <v>7480</v>
      </c>
      <c r="J20" s="42">
        <v>0</v>
      </c>
      <c r="K20" s="42">
        <v>680</v>
      </c>
      <c r="L20" s="43">
        <f t="shared" si="0"/>
        <v>11</v>
      </c>
      <c r="M20" s="44">
        <v>0</v>
      </c>
      <c r="N20" s="45">
        <v>0</v>
      </c>
      <c r="O20" s="41" t="s">
        <v>4107</v>
      </c>
      <c r="P20" s="46"/>
      <c r="Q20" s="41" t="s">
        <v>4108</v>
      </c>
      <c r="R20" s="42"/>
      <c r="S20" s="42"/>
      <c r="T20" s="42" t="s">
        <v>4075</v>
      </c>
      <c r="U20" s="46"/>
      <c r="V20" s="42" t="s">
        <v>4109</v>
      </c>
      <c r="W20" s="54" t="s">
        <v>98</v>
      </c>
      <c r="X20" s="54" t="s">
        <v>98</v>
      </c>
      <c r="Y20" s="42"/>
      <c r="Z20" s="42"/>
      <c r="AA20" s="49"/>
      <c r="AB20" s="42"/>
      <c r="AC20" s="54"/>
      <c r="AD20" s="15">
        <f t="shared" si="16"/>
        <v>7480</v>
      </c>
      <c r="AF20" s="15">
        <f t="shared" si="8"/>
        <v>7480</v>
      </c>
      <c r="AG20" s="15">
        <f t="shared" si="9"/>
        <v>7480</v>
      </c>
      <c r="AU20" s="15">
        <f t="shared" si="17"/>
        <v>935</v>
      </c>
      <c r="AY20" s="55" t="s">
        <v>4110</v>
      </c>
      <c r="BA20" s="51"/>
      <c r="BB20" s="51"/>
      <c r="BC20" s="51"/>
      <c r="BD20" s="51"/>
      <c r="BE20" s="51"/>
      <c r="BF20" s="51"/>
      <c r="BG20" s="51"/>
      <c r="BH20" s="51"/>
      <c r="BI20" s="51"/>
      <c r="BJ20" s="51"/>
      <c r="BK20" s="51"/>
      <c r="BL20" s="51"/>
      <c r="BM20" s="51"/>
      <c r="BN20" s="51"/>
      <c r="BO20" s="51"/>
      <c r="BP20" s="51"/>
      <c r="BQ20" s="51"/>
      <c r="BR20" s="51"/>
      <c r="BS20" s="51"/>
      <c r="BT20" s="51"/>
      <c r="BU20" s="51"/>
      <c r="BV20" s="51"/>
    </row>
    <row r="21" s="15" customFormat="1" ht="19" customHeight="1" spans="1:74">
      <c r="A21" s="40">
        <v>44476</v>
      </c>
      <c r="B21" s="53" t="s">
        <v>4103</v>
      </c>
      <c r="C21" s="42"/>
      <c r="D21" s="15" t="s">
        <v>4104</v>
      </c>
      <c r="E21" s="41"/>
      <c r="F21" s="42" t="s">
        <v>4105</v>
      </c>
      <c r="G21" s="42"/>
      <c r="H21" s="42" t="s">
        <v>4106</v>
      </c>
      <c r="I21" s="42">
        <v>13600</v>
      </c>
      <c r="J21" s="42">
        <v>0</v>
      </c>
      <c r="K21" s="42">
        <v>680</v>
      </c>
      <c r="L21" s="43">
        <f t="shared" si="0"/>
        <v>20</v>
      </c>
      <c r="M21" s="44">
        <v>0</v>
      </c>
      <c r="N21" s="45">
        <v>0</v>
      </c>
      <c r="O21" s="41" t="s">
        <v>4107</v>
      </c>
      <c r="P21" s="46"/>
      <c r="Q21" s="41" t="s">
        <v>4108</v>
      </c>
      <c r="R21" s="42"/>
      <c r="S21" s="42"/>
      <c r="T21" s="42" t="s">
        <v>4075</v>
      </c>
      <c r="U21" s="46"/>
      <c r="V21" s="42" t="s">
        <v>4109</v>
      </c>
      <c r="W21" s="54" t="s">
        <v>98</v>
      </c>
      <c r="X21" s="54" t="s">
        <v>98</v>
      </c>
      <c r="Y21" s="42"/>
      <c r="Z21" s="42"/>
      <c r="AA21" s="49"/>
      <c r="AB21" s="42"/>
      <c r="AC21" s="54"/>
      <c r="AD21" s="15">
        <f t="shared" si="16"/>
        <v>13600</v>
      </c>
      <c r="AF21" s="15">
        <f t="shared" si="8"/>
        <v>13600</v>
      </c>
      <c r="AG21" s="15">
        <f t="shared" si="9"/>
        <v>13600</v>
      </c>
      <c r="AU21" s="15">
        <f t="shared" si="17"/>
        <v>1700</v>
      </c>
      <c r="AY21" s="55" t="s">
        <v>4110</v>
      </c>
      <c r="BA21" s="51"/>
      <c r="BB21" s="51"/>
      <c r="BC21" s="51"/>
      <c r="BD21" s="51"/>
      <c r="BE21" s="51"/>
      <c r="BF21" s="51"/>
      <c r="BG21" s="51"/>
      <c r="BH21" s="51"/>
      <c r="BI21" s="51"/>
      <c r="BJ21" s="51"/>
      <c r="BK21" s="51"/>
      <c r="BL21" s="51"/>
      <c r="BM21" s="51"/>
      <c r="BN21" s="51"/>
      <c r="BO21" s="51"/>
      <c r="BP21" s="51"/>
      <c r="BQ21" s="51"/>
      <c r="BR21" s="51"/>
      <c r="BS21" s="51"/>
      <c r="BT21" s="51"/>
      <c r="BU21" s="51"/>
      <c r="BV21" s="51"/>
    </row>
    <row r="22" s="15" customFormat="1" ht="19" customHeight="1" spans="1:74">
      <c r="A22" s="40">
        <v>44476</v>
      </c>
      <c r="B22" s="53" t="s">
        <v>4103</v>
      </c>
      <c r="C22" s="42"/>
      <c r="D22" s="15" t="s">
        <v>4104</v>
      </c>
      <c r="E22" s="41"/>
      <c r="F22" s="42" t="s">
        <v>4105</v>
      </c>
      <c r="G22" s="42"/>
      <c r="H22" s="42" t="s">
        <v>4106</v>
      </c>
      <c r="I22" s="42">
        <v>7480</v>
      </c>
      <c r="J22" s="42">
        <v>0</v>
      </c>
      <c r="K22" s="42">
        <v>680</v>
      </c>
      <c r="L22" s="43">
        <f t="shared" si="0"/>
        <v>11</v>
      </c>
      <c r="M22" s="44">
        <v>0</v>
      </c>
      <c r="N22" s="45">
        <v>0</v>
      </c>
      <c r="O22" s="41" t="s">
        <v>4107</v>
      </c>
      <c r="P22" s="46"/>
      <c r="Q22" s="41" t="s">
        <v>4108</v>
      </c>
      <c r="R22" s="42"/>
      <c r="S22" s="42"/>
      <c r="T22" s="42" t="s">
        <v>4075</v>
      </c>
      <c r="U22" s="46"/>
      <c r="V22" s="42" t="s">
        <v>4109</v>
      </c>
      <c r="W22" s="54" t="s">
        <v>98</v>
      </c>
      <c r="X22" s="54" t="s">
        <v>98</v>
      </c>
      <c r="Y22" s="42"/>
      <c r="Z22" s="42"/>
      <c r="AA22" s="49"/>
      <c r="AB22" s="42"/>
      <c r="AC22" s="54"/>
      <c r="AD22" s="15">
        <f t="shared" si="16"/>
        <v>7480</v>
      </c>
      <c r="AF22" s="15">
        <f t="shared" si="8"/>
        <v>7480</v>
      </c>
      <c r="AG22" s="15">
        <f t="shared" si="9"/>
        <v>7480</v>
      </c>
      <c r="AU22" s="15">
        <f t="shared" si="17"/>
        <v>935</v>
      </c>
      <c r="AY22" s="55" t="s">
        <v>4110</v>
      </c>
      <c r="BA22" s="51"/>
      <c r="BB22" s="51"/>
      <c r="BC22" s="51"/>
      <c r="BD22" s="51"/>
      <c r="BE22" s="51"/>
      <c r="BF22" s="51"/>
      <c r="BG22" s="51"/>
      <c r="BH22" s="51"/>
      <c r="BI22" s="51"/>
      <c r="BJ22" s="51"/>
      <c r="BK22" s="51"/>
      <c r="BL22" s="51"/>
      <c r="BM22" s="51"/>
      <c r="BN22" s="51"/>
      <c r="BO22" s="51"/>
      <c r="BP22" s="51"/>
      <c r="BQ22" s="51"/>
      <c r="BR22" s="51"/>
      <c r="BS22" s="51"/>
      <c r="BT22" s="51"/>
      <c r="BU22" s="51"/>
      <c r="BV22" s="51"/>
    </row>
    <row r="23" s="15" customFormat="1" ht="19" customHeight="1" spans="1:74">
      <c r="A23" s="40">
        <v>44476</v>
      </c>
      <c r="B23" s="53" t="s">
        <v>4103</v>
      </c>
      <c r="C23" s="42"/>
      <c r="D23" s="15" t="s">
        <v>4104</v>
      </c>
      <c r="E23" s="41"/>
      <c r="F23" s="42" t="s">
        <v>4105</v>
      </c>
      <c r="G23" s="42"/>
      <c r="H23" s="42" t="s">
        <v>4106</v>
      </c>
      <c r="I23" s="42">
        <v>7480</v>
      </c>
      <c r="J23" s="42">
        <v>0</v>
      </c>
      <c r="K23" s="42">
        <v>680</v>
      </c>
      <c r="L23" s="43">
        <f t="shared" si="0"/>
        <v>11</v>
      </c>
      <c r="M23" s="44">
        <v>0</v>
      </c>
      <c r="N23" s="45">
        <v>0</v>
      </c>
      <c r="O23" s="41" t="s">
        <v>4107</v>
      </c>
      <c r="P23" s="46"/>
      <c r="Q23" s="41" t="s">
        <v>4108</v>
      </c>
      <c r="R23" s="42"/>
      <c r="S23" s="42"/>
      <c r="T23" s="42" t="s">
        <v>4075</v>
      </c>
      <c r="U23" s="46"/>
      <c r="V23" s="42" t="s">
        <v>4109</v>
      </c>
      <c r="W23" s="54" t="s">
        <v>98</v>
      </c>
      <c r="X23" s="54" t="s">
        <v>98</v>
      </c>
      <c r="Y23" s="42"/>
      <c r="Z23" s="42"/>
      <c r="AA23" s="49"/>
      <c r="AB23" s="42"/>
      <c r="AC23" s="54"/>
      <c r="AD23" s="15">
        <f t="shared" si="16"/>
        <v>7480</v>
      </c>
      <c r="AF23" s="15">
        <f t="shared" si="8"/>
        <v>7480</v>
      </c>
      <c r="AG23" s="15">
        <f t="shared" si="9"/>
        <v>7480</v>
      </c>
      <c r="AU23" s="15">
        <f t="shared" si="17"/>
        <v>935</v>
      </c>
      <c r="AY23" s="55" t="s">
        <v>4110</v>
      </c>
      <c r="BA23" s="51"/>
      <c r="BB23" s="51"/>
      <c r="BC23" s="51"/>
      <c r="BD23" s="51"/>
      <c r="BE23" s="51"/>
      <c r="BF23" s="51"/>
      <c r="BG23" s="51"/>
      <c r="BH23" s="51"/>
      <c r="BI23" s="51"/>
      <c r="BJ23" s="51"/>
      <c r="BK23" s="51"/>
      <c r="BL23" s="51"/>
      <c r="BM23" s="51"/>
      <c r="BN23" s="51"/>
      <c r="BO23" s="51"/>
      <c r="BP23" s="51"/>
      <c r="BQ23" s="51"/>
      <c r="BR23" s="51"/>
      <c r="BS23" s="51"/>
      <c r="BT23" s="51"/>
      <c r="BU23" s="51"/>
      <c r="BV23" s="51"/>
    </row>
    <row r="24" s="15" customFormat="1" ht="19" customHeight="1" spans="1:74">
      <c r="A24" s="40">
        <v>44476</v>
      </c>
      <c r="B24" s="53" t="s">
        <v>4103</v>
      </c>
      <c r="C24" s="42"/>
      <c r="D24" s="15" t="s">
        <v>4104</v>
      </c>
      <c r="E24" s="41"/>
      <c r="F24" s="42" t="s">
        <v>4105</v>
      </c>
      <c r="G24" s="42"/>
      <c r="H24" s="42" t="s">
        <v>4106</v>
      </c>
      <c r="I24" s="42">
        <v>11560</v>
      </c>
      <c r="J24" s="42">
        <v>0</v>
      </c>
      <c r="K24" s="42">
        <v>680</v>
      </c>
      <c r="L24" s="43">
        <f t="shared" si="0"/>
        <v>17</v>
      </c>
      <c r="M24" s="44">
        <v>0</v>
      </c>
      <c r="N24" s="45">
        <v>0</v>
      </c>
      <c r="O24" s="41" t="s">
        <v>4107</v>
      </c>
      <c r="P24" s="46"/>
      <c r="Q24" s="41" t="s">
        <v>4108</v>
      </c>
      <c r="R24" s="42"/>
      <c r="S24" s="42"/>
      <c r="T24" s="42" t="s">
        <v>4075</v>
      </c>
      <c r="U24" s="46"/>
      <c r="V24" s="42" t="s">
        <v>4109</v>
      </c>
      <c r="W24" s="54" t="s">
        <v>98</v>
      </c>
      <c r="X24" s="54" t="s">
        <v>98</v>
      </c>
      <c r="Y24" s="42"/>
      <c r="Z24" s="42"/>
      <c r="AA24" s="49"/>
      <c r="AB24" s="42"/>
      <c r="AC24" s="54"/>
      <c r="AD24" s="15">
        <f t="shared" si="16"/>
        <v>11560</v>
      </c>
      <c r="AF24" s="15">
        <f t="shared" si="8"/>
        <v>11560</v>
      </c>
      <c r="AG24" s="15">
        <f t="shared" si="9"/>
        <v>11560</v>
      </c>
      <c r="AU24" s="15">
        <f t="shared" si="17"/>
        <v>1445</v>
      </c>
      <c r="AY24" s="55" t="s">
        <v>4110</v>
      </c>
      <c r="BA24" s="51"/>
      <c r="BB24" s="51"/>
      <c r="BC24" s="51"/>
      <c r="BD24" s="51"/>
      <c r="BE24" s="51"/>
      <c r="BF24" s="51"/>
      <c r="BG24" s="51"/>
      <c r="BH24" s="51"/>
      <c r="BI24" s="51"/>
      <c r="BJ24" s="51"/>
      <c r="BK24" s="51"/>
      <c r="BL24" s="51"/>
      <c r="BM24" s="51"/>
      <c r="BN24" s="51"/>
      <c r="BO24" s="51"/>
      <c r="BP24" s="51"/>
      <c r="BQ24" s="51"/>
      <c r="BR24" s="51"/>
      <c r="BS24" s="51"/>
      <c r="BT24" s="51"/>
      <c r="BU24" s="51"/>
      <c r="BV24" s="51"/>
    </row>
    <row r="25" s="15" customFormat="1" ht="19" customHeight="1" spans="1:74">
      <c r="A25" s="40">
        <v>44476</v>
      </c>
      <c r="B25" s="53" t="s">
        <v>4103</v>
      </c>
      <c r="C25" s="42"/>
      <c r="D25" s="15" t="s">
        <v>4104</v>
      </c>
      <c r="E25" s="41"/>
      <c r="F25" s="42" t="s">
        <v>4105</v>
      </c>
      <c r="G25" s="42"/>
      <c r="H25" s="42" t="s">
        <v>4106</v>
      </c>
      <c r="I25" s="42">
        <v>13600</v>
      </c>
      <c r="J25" s="42">
        <v>0</v>
      </c>
      <c r="K25" s="42">
        <v>680</v>
      </c>
      <c r="L25" s="43">
        <f t="shared" si="0"/>
        <v>20</v>
      </c>
      <c r="M25" s="44">
        <v>0</v>
      </c>
      <c r="N25" s="45">
        <v>0</v>
      </c>
      <c r="O25" s="41" t="s">
        <v>4107</v>
      </c>
      <c r="P25" s="46"/>
      <c r="Q25" s="41" t="s">
        <v>4108</v>
      </c>
      <c r="R25" s="42"/>
      <c r="S25" s="42"/>
      <c r="T25" s="42" t="s">
        <v>4075</v>
      </c>
      <c r="U25" s="46"/>
      <c r="V25" s="42" t="s">
        <v>4109</v>
      </c>
      <c r="W25" s="54" t="s">
        <v>98</v>
      </c>
      <c r="X25" s="54" t="s">
        <v>98</v>
      </c>
      <c r="Y25" s="42"/>
      <c r="Z25" s="42"/>
      <c r="AA25" s="49"/>
      <c r="AB25" s="42"/>
      <c r="AC25" s="54"/>
      <c r="AD25" s="15">
        <f t="shared" si="16"/>
        <v>13600</v>
      </c>
      <c r="AF25" s="15">
        <f t="shared" si="8"/>
        <v>13600</v>
      </c>
      <c r="AG25" s="15">
        <f t="shared" si="9"/>
        <v>13600</v>
      </c>
      <c r="AU25" s="15">
        <f t="shared" si="17"/>
        <v>1700</v>
      </c>
      <c r="AY25" s="55" t="s">
        <v>4110</v>
      </c>
      <c r="BA25" s="51"/>
      <c r="BB25" s="51"/>
      <c r="BC25" s="51"/>
      <c r="BD25" s="51"/>
      <c r="BE25" s="51"/>
      <c r="BF25" s="51"/>
      <c r="BG25" s="51"/>
      <c r="BH25" s="51"/>
      <c r="BI25" s="51"/>
      <c r="BJ25" s="51"/>
      <c r="BK25" s="51"/>
      <c r="BL25" s="51"/>
      <c r="BM25" s="51"/>
      <c r="BN25" s="51"/>
      <c r="BO25" s="51"/>
      <c r="BP25" s="51"/>
      <c r="BQ25" s="51"/>
      <c r="BR25" s="51"/>
      <c r="BS25" s="51"/>
      <c r="BT25" s="51"/>
      <c r="BU25" s="51"/>
      <c r="BV25" s="51"/>
    </row>
    <row r="26" s="15" customFormat="1" ht="19" customHeight="1" spans="1:74">
      <c r="A26" s="40">
        <v>44476</v>
      </c>
      <c r="B26" s="53" t="s">
        <v>4103</v>
      </c>
      <c r="C26" s="42"/>
      <c r="D26" s="15" t="s">
        <v>4104</v>
      </c>
      <c r="E26" s="41"/>
      <c r="F26" s="42" t="s">
        <v>4105</v>
      </c>
      <c r="G26" s="42"/>
      <c r="H26" s="42" t="s">
        <v>4106</v>
      </c>
      <c r="I26" s="42">
        <v>7480</v>
      </c>
      <c r="J26" s="42">
        <v>0</v>
      </c>
      <c r="K26" s="42">
        <v>680</v>
      </c>
      <c r="L26" s="43">
        <f t="shared" si="0"/>
        <v>11</v>
      </c>
      <c r="M26" s="44">
        <v>0</v>
      </c>
      <c r="N26" s="45">
        <v>0</v>
      </c>
      <c r="O26" s="41" t="s">
        <v>4107</v>
      </c>
      <c r="P26" s="46"/>
      <c r="Q26" s="41" t="s">
        <v>4108</v>
      </c>
      <c r="R26" s="42"/>
      <c r="S26" s="42"/>
      <c r="T26" s="42" t="s">
        <v>4075</v>
      </c>
      <c r="U26" s="46"/>
      <c r="V26" s="42" t="s">
        <v>4109</v>
      </c>
      <c r="W26" s="54" t="s">
        <v>98</v>
      </c>
      <c r="X26" s="54" t="s">
        <v>98</v>
      </c>
      <c r="Y26" s="42"/>
      <c r="Z26" s="42"/>
      <c r="AA26" s="49"/>
      <c r="AB26" s="42"/>
      <c r="AC26" s="54"/>
      <c r="AD26" s="15">
        <f t="shared" si="16"/>
        <v>7480</v>
      </c>
      <c r="AF26" s="15">
        <f t="shared" si="8"/>
        <v>7480</v>
      </c>
      <c r="AG26" s="15">
        <f t="shared" si="9"/>
        <v>7480</v>
      </c>
      <c r="AU26" s="15">
        <f t="shared" si="17"/>
        <v>935</v>
      </c>
      <c r="AY26" s="55" t="s">
        <v>4110</v>
      </c>
      <c r="BA26" s="51"/>
      <c r="BB26" s="51"/>
      <c r="BC26" s="51"/>
      <c r="BD26" s="51"/>
      <c r="BE26" s="51"/>
      <c r="BF26" s="51"/>
      <c r="BG26" s="51"/>
      <c r="BH26" s="51"/>
      <c r="BI26" s="51"/>
      <c r="BJ26" s="51"/>
      <c r="BK26" s="51"/>
      <c r="BL26" s="51"/>
      <c r="BM26" s="51"/>
      <c r="BN26" s="51"/>
      <c r="BO26" s="51"/>
      <c r="BP26" s="51"/>
      <c r="BQ26" s="51"/>
      <c r="BR26" s="51"/>
      <c r="BS26" s="51"/>
      <c r="BT26" s="51"/>
      <c r="BU26" s="51"/>
      <c r="BV26" s="51"/>
    </row>
    <row r="27" s="15" customFormat="1" ht="19" customHeight="1" spans="1:74">
      <c r="A27" s="40">
        <v>44476</v>
      </c>
      <c r="B27" s="53" t="s">
        <v>4103</v>
      </c>
      <c r="C27" s="42"/>
      <c r="D27" s="15" t="s">
        <v>4104</v>
      </c>
      <c r="E27" s="41"/>
      <c r="F27" s="42" t="s">
        <v>4105</v>
      </c>
      <c r="G27" s="42"/>
      <c r="H27" s="42" t="s">
        <v>4106</v>
      </c>
      <c r="I27" s="42">
        <v>7480</v>
      </c>
      <c r="J27" s="42">
        <v>0</v>
      </c>
      <c r="K27" s="42">
        <v>680</v>
      </c>
      <c r="L27" s="43">
        <f t="shared" si="0"/>
        <v>11</v>
      </c>
      <c r="M27" s="44">
        <v>0</v>
      </c>
      <c r="N27" s="45">
        <v>0</v>
      </c>
      <c r="O27" s="41" t="s">
        <v>4107</v>
      </c>
      <c r="P27" s="46"/>
      <c r="Q27" s="41" t="s">
        <v>4108</v>
      </c>
      <c r="R27" s="42"/>
      <c r="S27" s="42"/>
      <c r="T27" s="42" t="s">
        <v>4075</v>
      </c>
      <c r="U27" s="46"/>
      <c r="V27" s="42" t="s">
        <v>4109</v>
      </c>
      <c r="W27" s="54" t="s">
        <v>98</v>
      </c>
      <c r="X27" s="54" t="s">
        <v>98</v>
      </c>
      <c r="Y27" s="42"/>
      <c r="Z27" s="42"/>
      <c r="AA27" s="49"/>
      <c r="AB27" s="42"/>
      <c r="AC27" s="54"/>
      <c r="AD27" s="15">
        <f t="shared" si="16"/>
        <v>7480</v>
      </c>
      <c r="AF27" s="15">
        <f t="shared" si="8"/>
        <v>7480</v>
      </c>
      <c r="AG27" s="15">
        <f t="shared" si="9"/>
        <v>7480</v>
      </c>
      <c r="AU27" s="15">
        <f t="shared" si="17"/>
        <v>935</v>
      </c>
      <c r="AY27" s="55" t="s">
        <v>4110</v>
      </c>
      <c r="BA27" s="51"/>
      <c r="BB27" s="51"/>
      <c r="BC27" s="51"/>
      <c r="BD27" s="51"/>
      <c r="BE27" s="51"/>
      <c r="BF27" s="51"/>
      <c r="BG27" s="51"/>
      <c r="BH27" s="51"/>
      <c r="BI27" s="51"/>
      <c r="BJ27" s="51"/>
      <c r="BK27" s="51"/>
      <c r="BL27" s="51"/>
      <c r="BM27" s="51"/>
      <c r="BN27" s="51"/>
      <c r="BO27" s="51"/>
      <c r="BP27" s="51"/>
      <c r="BQ27" s="51"/>
      <c r="BR27" s="51"/>
      <c r="BS27" s="51"/>
      <c r="BT27" s="51"/>
      <c r="BU27" s="51"/>
      <c r="BV27" s="51"/>
    </row>
    <row r="28" s="15" customFormat="1" ht="19" customHeight="1" spans="1:74">
      <c r="A28" s="40">
        <v>44476</v>
      </c>
      <c r="B28" s="53" t="s">
        <v>4103</v>
      </c>
      <c r="C28" s="42"/>
      <c r="D28" s="15" t="s">
        <v>4104</v>
      </c>
      <c r="E28" s="41"/>
      <c r="F28" s="42" t="s">
        <v>4105</v>
      </c>
      <c r="G28" s="42"/>
      <c r="H28" s="42" t="s">
        <v>4106</v>
      </c>
      <c r="I28" s="42">
        <v>7480</v>
      </c>
      <c r="J28" s="42">
        <v>0</v>
      </c>
      <c r="K28" s="42">
        <v>680</v>
      </c>
      <c r="L28" s="43">
        <f t="shared" si="0"/>
        <v>11</v>
      </c>
      <c r="M28" s="44">
        <v>0</v>
      </c>
      <c r="N28" s="45">
        <v>0</v>
      </c>
      <c r="O28" s="41" t="s">
        <v>4107</v>
      </c>
      <c r="P28" s="46"/>
      <c r="Q28" s="41" t="s">
        <v>4108</v>
      </c>
      <c r="R28" s="42"/>
      <c r="S28" s="42"/>
      <c r="T28" s="42" t="s">
        <v>4075</v>
      </c>
      <c r="U28" s="46"/>
      <c r="V28" s="42" t="s">
        <v>4109</v>
      </c>
      <c r="W28" s="54" t="s">
        <v>98</v>
      </c>
      <c r="X28" s="54" t="s">
        <v>98</v>
      </c>
      <c r="Y28" s="42"/>
      <c r="Z28" s="42"/>
      <c r="AA28" s="49"/>
      <c r="AB28" s="42"/>
      <c r="AC28" s="54"/>
      <c r="AD28" s="15">
        <f t="shared" si="16"/>
        <v>7480</v>
      </c>
      <c r="AF28" s="15">
        <f t="shared" si="8"/>
        <v>7480</v>
      </c>
      <c r="AG28" s="15">
        <f t="shared" si="9"/>
        <v>7480</v>
      </c>
      <c r="AU28" s="15">
        <f t="shared" si="17"/>
        <v>935</v>
      </c>
      <c r="AY28" s="55" t="s">
        <v>4110</v>
      </c>
      <c r="BA28" s="51"/>
      <c r="BB28" s="51"/>
      <c r="BC28" s="51"/>
      <c r="BD28" s="51"/>
      <c r="BE28" s="51"/>
      <c r="BF28" s="51"/>
      <c r="BG28" s="51"/>
      <c r="BH28" s="51"/>
      <c r="BI28" s="51"/>
      <c r="BJ28" s="51"/>
      <c r="BK28" s="51"/>
      <c r="BL28" s="51"/>
      <c r="BM28" s="51"/>
      <c r="BN28" s="51"/>
      <c r="BO28" s="51"/>
      <c r="BP28" s="51"/>
      <c r="BQ28" s="51"/>
      <c r="BR28" s="51"/>
      <c r="BS28" s="51"/>
      <c r="BT28" s="51"/>
      <c r="BU28" s="51"/>
      <c r="BV28" s="51"/>
    </row>
    <row r="29" s="15" customFormat="1" ht="19" customHeight="1" spans="1:74">
      <c r="A29" s="40">
        <v>44476</v>
      </c>
      <c r="B29" s="53" t="s">
        <v>4103</v>
      </c>
      <c r="C29" s="42"/>
      <c r="D29" s="15" t="s">
        <v>4104</v>
      </c>
      <c r="E29" s="41"/>
      <c r="F29" s="42" t="s">
        <v>4105</v>
      </c>
      <c r="G29" s="42"/>
      <c r="H29" s="42" t="s">
        <v>4106</v>
      </c>
      <c r="I29" s="42">
        <v>5440</v>
      </c>
      <c r="J29" s="42">
        <v>0</v>
      </c>
      <c r="K29" s="42">
        <v>680</v>
      </c>
      <c r="L29" s="43">
        <f t="shared" si="0"/>
        <v>8</v>
      </c>
      <c r="M29" s="44">
        <v>0</v>
      </c>
      <c r="N29" s="45">
        <v>0</v>
      </c>
      <c r="O29" s="41" t="s">
        <v>4107</v>
      </c>
      <c r="P29" s="46"/>
      <c r="Q29" s="41" t="s">
        <v>4108</v>
      </c>
      <c r="R29" s="42"/>
      <c r="S29" s="42"/>
      <c r="T29" s="42" t="s">
        <v>4075</v>
      </c>
      <c r="U29" s="46"/>
      <c r="V29" s="42" t="s">
        <v>4109</v>
      </c>
      <c r="W29" s="54" t="s">
        <v>98</v>
      </c>
      <c r="X29" s="54" t="s">
        <v>98</v>
      </c>
      <c r="Y29" s="42"/>
      <c r="Z29" s="42"/>
      <c r="AA29" s="49"/>
      <c r="AB29" s="42"/>
      <c r="AC29" s="54"/>
      <c r="AD29" s="15">
        <f t="shared" si="16"/>
        <v>5440</v>
      </c>
      <c r="AF29" s="15">
        <f t="shared" si="8"/>
        <v>5440</v>
      </c>
      <c r="AG29" s="15">
        <f t="shared" si="9"/>
        <v>5440</v>
      </c>
      <c r="AU29" s="15">
        <f t="shared" si="17"/>
        <v>680</v>
      </c>
      <c r="AY29" s="55" t="s">
        <v>4110</v>
      </c>
      <c r="BA29" s="51"/>
      <c r="BB29" s="51"/>
      <c r="BC29" s="51"/>
      <c r="BD29" s="51"/>
      <c r="BE29" s="51"/>
      <c r="BF29" s="51"/>
      <c r="BG29" s="51"/>
      <c r="BH29" s="51"/>
      <c r="BI29" s="51"/>
      <c r="BJ29" s="51"/>
      <c r="BK29" s="51"/>
      <c r="BL29" s="51"/>
      <c r="BM29" s="51"/>
      <c r="BN29" s="51"/>
      <c r="BO29" s="51"/>
      <c r="BP29" s="51"/>
      <c r="BQ29" s="51"/>
      <c r="BR29" s="51"/>
      <c r="BS29" s="51"/>
      <c r="BT29" s="51"/>
      <c r="BU29" s="51"/>
      <c r="BV29" s="51"/>
    </row>
    <row r="30" s="15" customFormat="1" ht="19" customHeight="1" spans="1:74">
      <c r="A30" s="40">
        <v>44476</v>
      </c>
      <c r="B30" s="53" t="s">
        <v>4103</v>
      </c>
      <c r="C30" s="42"/>
      <c r="D30" s="15" t="s">
        <v>4104</v>
      </c>
      <c r="E30" s="41"/>
      <c r="F30" s="42" t="s">
        <v>4105</v>
      </c>
      <c r="G30" s="42"/>
      <c r="H30" s="42" t="s">
        <v>4106</v>
      </c>
      <c r="I30" s="42">
        <v>5440</v>
      </c>
      <c r="J30" s="42">
        <v>0</v>
      </c>
      <c r="K30" s="42">
        <v>680</v>
      </c>
      <c r="L30" s="43">
        <f t="shared" si="0"/>
        <v>8</v>
      </c>
      <c r="M30" s="44">
        <v>0</v>
      </c>
      <c r="N30" s="45">
        <v>0</v>
      </c>
      <c r="O30" s="41" t="s">
        <v>4107</v>
      </c>
      <c r="P30" s="46"/>
      <c r="Q30" s="41" t="s">
        <v>4108</v>
      </c>
      <c r="R30" s="42"/>
      <c r="S30" s="42"/>
      <c r="T30" s="42" t="s">
        <v>4075</v>
      </c>
      <c r="U30" s="46"/>
      <c r="V30" s="42" t="s">
        <v>4109</v>
      </c>
      <c r="W30" s="54" t="s">
        <v>98</v>
      </c>
      <c r="X30" s="54" t="s">
        <v>98</v>
      </c>
      <c r="Y30" s="42"/>
      <c r="Z30" s="42"/>
      <c r="AA30" s="49"/>
      <c r="AB30" s="42"/>
      <c r="AC30" s="54"/>
      <c r="AD30" s="15">
        <f t="shared" si="16"/>
        <v>5440</v>
      </c>
      <c r="AF30" s="15">
        <f t="shared" si="8"/>
        <v>5440</v>
      </c>
      <c r="AG30" s="15">
        <f t="shared" si="9"/>
        <v>5440</v>
      </c>
      <c r="AU30" s="15">
        <f t="shared" si="17"/>
        <v>680</v>
      </c>
      <c r="AY30" s="55" t="s">
        <v>4110</v>
      </c>
      <c r="BA30" s="51"/>
      <c r="BB30" s="51"/>
      <c r="BC30" s="51"/>
      <c r="BD30" s="51"/>
      <c r="BE30" s="51"/>
      <c r="BF30" s="51"/>
      <c r="BG30" s="51"/>
      <c r="BH30" s="51"/>
      <c r="BI30" s="51"/>
      <c r="BJ30" s="51"/>
      <c r="BK30" s="51"/>
      <c r="BL30" s="51"/>
      <c r="BM30" s="51"/>
      <c r="BN30" s="51"/>
      <c r="BO30" s="51"/>
      <c r="BP30" s="51"/>
      <c r="BQ30" s="51"/>
      <c r="BR30" s="51"/>
      <c r="BS30" s="51"/>
      <c r="BT30" s="51"/>
      <c r="BU30" s="51"/>
      <c r="BV30" s="51"/>
    </row>
    <row r="31" s="15" customFormat="1" ht="19" customHeight="1" spans="1:74">
      <c r="A31" s="40">
        <v>44476</v>
      </c>
      <c r="B31" s="53" t="s">
        <v>4103</v>
      </c>
      <c r="C31" s="42"/>
      <c r="D31" s="15" t="s">
        <v>4104</v>
      </c>
      <c r="E31" s="41"/>
      <c r="F31" s="42" t="s">
        <v>4105</v>
      </c>
      <c r="G31" s="42"/>
      <c r="H31" s="42" t="s">
        <v>4106</v>
      </c>
      <c r="I31" s="42">
        <v>5440</v>
      </c>
      <c r="J31" s="42">
        <v>0</v>
      </c>
      <c r="K31" s="42">
        <v>680</v>
      </c>
      <c r="L31" s="43">
        <f t="shared" si="0"/>
        <v>8</v>
      </c>
      <c r="M31" s="44">
        <v>0</v>
      </c>
      <c r="N31" s="45">
        <v>0</v>
      </c>
      <c r="O31" s="41" t="s">
        <v>4107</v>
      </c>
      <c r="P31" s="46"/>
      <c r="Q31" s="41" t="s">
        <v>4108</v>
      </c>
      <c r="R31" s="42"/>
      <c r="S31" s="42"/>
      <c r="T31" s="42" t="s">
        <v>4075</v>
      </c>
      <c r="U31" s="46"/>
      <c r="V31" s="42" t="s">
        <v>4109</v>
      </c>
      <c r="W31" s="54" t="s">
        <v>98</v>
      </c>
      <c r="X31" s="54" t="s">
        <v>98</v>
      </c>
      <c r="Y31" s="42"/>
      <c r="Z31" s="42"/>
      <c r="AA31" s="49"/>
      <c r="AB31" s="42"/>
      <c r="AC31" s="54"/>
      <c r="AD31" s="15">
        <f t="shared" si="16"/>
        <v>5440</v>
      </c>
      <c r="AF31" s="15">
        <f t="shared" si="8"/>
        <v>5440</v>
      </c>
      <c r="AG31" s="15">
        <f t="shared" si="9"/>
        <v>5440</v>
      </c>
      <c r="AU31" s="15">
        <f t="shared" si="17"/>
        <v>680</v>
      </c>
      <c r="AY31" s="55" t="s">
        <v>4110</v>
      </c>
      <c r="BA31" s="51"/>
      <c r="BB31" s="51"/>
      <c r="BC31" s="51"/>
      <c r="BD31" s="51"/>
      <c r="BE31" s="51"/>
      <c r="BF31" s="51"/>
      <c r="BG31" s="51"/>
      <c r="BH31" s="51"/>
      <c r="BI31" s="51"/>
      <c r="BJ31" s="51"/>
      <c r="BK31" s="51"/>
      <c r="BL31" s="51"/>
      <c r="BM31" s="51"/>
      <c r="BN31" s="51"/>
      <c r="BO31" s="51"/>
      <c r="BP31" s="51"/>
      <c r="BQ31" s="51"/>
      <c r="BR31" s="51"/>
      <c r="BS31" s="51"/>
      <c r="BT31" s="51"/>
      <c r="BU31" s="51"/>
      <c r="BV31" s="51"/>
    </row>
    <row r="32" s="15" customFormat="1" ht="19" customHeight="1" spans="1:74">
      <c r="A32" s="40">
        <v>44476</v>
      </c>
      <c r="B32" s="53" t="s">
        <v>4103</v>
      </c>
      <c r="C32" s="42"/>
      <c r="D32" s="15" t="s">
        <v>4104</v>
      </c>
      <c r="E32" s="41"/>
      <c r="F32" s="42" t="s">
        <v>4105</v>
      </c>
      <c r="G32" s="42"/>
      <c r="H32" s="42" t="s">
        <v>4106</v>
      </c>
      <c r="I32" s="42">
        <v>7480</v>
      </c>
      <c r="J32" s="42">
        <v>0</v>
      </c>
      <c r="K32" s="42">
        <v>680</v>
      </c>
      <c r="L32" s="43">
        <f t="shared" si="0"/>
        <v>11</v>
      </c>
      <c r="M32" s="44">
        <v>0</v>
      </c>
      <c r="N32" s="45">
        <v>0</v>
      </c>
      <c r="O32" s="41" t="s">
        <v>4107</v>
      </c>
      <c r="P32" s="46"/>
      <c r="Q32" s="41" t="s">
        <v>4108</v>
      </c>
      <c r="R32" s="42"/>
      <c r="S32" s="42"/>
      <c r="T32" s="42" t="s">
        <v>4075</v>
      </c>
      <c r="U32" s="46"/>
      <c r="V32" s="42" t="s">
        <v>4109</v>
      </c>
      <c r="W32" s="54" t="s">
        <v>98</v>
      </c>
      <c r="X32" s="54" t="s">
        <v>98</v>
      </c>
      <c r="Y32" s="42"/>
      <c r="Z32" s="42"/>
      <c r="AA32" s="49"/>
      <c r="AB32" s="42"/>
      <c r="AC32" s="54"/>
      <c r="AD32" s="15">
        <f t="shared" si="16"/>
        <v>7480</v>
      </c>
      <c r="AF32" s="15">
        <f t="shared" si="8"/>
        <v>7480</v>
      </c>
      <c r="AG32" s="15">
        <f t="shared" si="9"/>
        <v>7480</v>
      </c>
      <c r="AU32" s="15">
        <f t="shared" si="17"/>
        <v>935</v>
      </c>
      <c r="AY32" s="55" t="s">
        <v>4110</v>
      </c>
      <c r="BA32" s="51"/>
      <c r="BB32" s="51"/>
      <c r="BC32" s="51"/>
      <c r="BD32" s="51"/>
      <c r="BE32" s="51"/>
      <c r="BF32" s="51"/>
      <c r="BG32" s="51"/>
      <c r="BH32" s="51"/>
      <c r="BI32" s="51"/>
      <c r="BJ32" s="51"/>
      <c r="BK32" s="51"/>
      <c r="BL32" s="51"/>
      <c r="BM32" s="51"/>
      <c r="BN32" s="51"/>
      <c r="BO32" s="51"/>
      <c r="BP32" s="51"/>
      <c r="BQ32" s="51"/>
      <c r="BR32" s="51"/>
      <c r="BS32" s="51"/>
      <c r="BT32" s="51"/>
      <c r="BU32" s="51"/>
      <c r="BV32" s="51"/>
    </row>
    <row r="33" s="15" customFormat="1" ht="19" customHeight="1" spans="1:90">
      <c r="A33" s="40">
        <v>44476</v>
      </c>
      <c r="B33" s="53" t="s">
        <v>4103</v>
      </c>
      <c r="C33" s="42"/>
      <c r="D33" s="15" t="s">
        <v>4104</v>
      </c>
      <c r="E33" s="41"/>
      <c r="F33" s="42" t="s">
        <v>4105</v>
      </c>
      <c r="G33" s="42"/>
      <c r="H33" s="42" t="s">
        <v>4106</v>
      </c>
      <c r="I33" s="42">
        <v>5440</v>
      </c>
      <c r="J33" s="42">
        <v>0</v>
      </c>
      <c r="K33" s="42">
        <v>680</v>
      </c>
      <c r="L33" s="43">
        <f t="shared" si="0"/>
        <v>8</v>
      </c>
      <c r="M33" s="44">
        <v>0</v>
      </c>
      <c r="N33" s="45">
        <v>0</v>
      </c>
      <c r="O33" s="41" t="s">
        <v>4107</v>
      </c>
      <c r="P33" s="46"/>
      <c r="Q33" s="41" t="s">
        <v>4108</v>
      </c>
      <c r="R33" s="42"/>
      <c r="S33" s="42"/>
      <c r="T33" s="42" t="s">
        <v>4075</v>
      </c>
      <c r="U33" s="46"/>
      <c r="V33" s="42" t="s">
        <v>4109</v>
      </c>
      <c r="W33" s="54" t="s">
        <v>98</v>
      </c>
      <c r="X33" s="54" t="s">
        <v>98</v>
      </c>
      <c r="Y33" s="42"/>
      <c r="Z33" s="42"/>
      <c r="AA33" s="49"/>
      <c r="AB33" s="42"/>
      <c r="AC33" s="54"/>
      <c r="AD33" s="15">
        <f t="shared" si="16"/>
        <v>5440</v>
      </c>
      <c r="AF33" s="15">
        <f t="shared" si="8"/>
        <v>5440</v>
      </c>
      <c r="AG33" s="15">
        <f t="shared" si="9"/>
        <v>5440</v>
      </c>
      <c r="AU33" s="15">
        <f t="shared" si="17"/>
        <v>680</v>
      </c>
      <c r="AY33" s="55" t="s">
        <v>4110</v>
      </c>
      <c r="BA33" s="51"/>
      <c r="BB33" s="51"/>
      <c r="BC33" s="51"/>
      <c r="BD33" s="51"/>
      <c r="BE33" s="51"/>
      <c r="BF33" s="51"/>
      <c r="BG33" s="51"/>
      <c r="BH33" s="51"/>
      <c r="BI33" s="51"/>
      <c r="BJ33" s="51"/>
      <c r="BK33" s="51"/>
      <c r="BL33" s="51"/>
      <c r="BM33" s="51"/>
      <c r="BN33" s="51"/>
      <c r="BO33" s="51"/>
      <c r="BP33" s="51"/>
      <c r="BQ33" s="51"/>
      <c r="BR33" s="51"/>
      <c r="BS33" s="51"/>
      <c r="BT33" s="51"/>
      <c r="BU33" s="51"/>
      <c r="BV33" s="51"/>
    </row>
    <row r="34" s="15" customFormat="1" ht="19" customHeight="1" spans="1:90">
      <c r="A34" s="40">
        <v>44476</v>
      </c>
      <c r="B34" s="53" t="s">
        <v>4103</v>
      </c>
      <c r="C34" s="42"/>
      <c r="D34" s="15" t="s">
        <v>4104</v>
      </c>
      <c r="E34" s="41"/>
      <c r="F34" s="42" t="s">
        <v>4105</v>
      </c>
      <c r="G34" s="42"/>
      <c r="H34" s="42" t="s">
        <v>4106</v>
      </c>
      <c r="I34" s="42">
        <v>5440</v>
      </c>
      <c r="J34" s="42">
        <v>0</v>
      </c>
      <c r="K34" s="42">
        <v>680</v>
      </c>
      <c r="L34" s="43">
        <f t="shared" si="0"/>
        <v>8</v>
      </c>
      <c r="M34" s="44">
        <v>0</v>
      </c>
      <c r="N34" s="45">
        <v>0</v>
      </c>
      <c r="O34" s="41" t="s">
        <v>4107</v>
      </c>
      <c r="P34" s="46"/>
      <c r="Q34" s="41" t="s">
        <v>4108</v>
      </c>
      <c r="R34" s="42"/>
      <c r="S34" s="42"/>
      <c r="T34" s="42" t="s">
        <v>4075</v>
      </c>
      <c r="U34" s="46"/>
      <c r="V34" s="42" t="s">
        <v>4109</v>
      </c>
      <c r="W34" s="54" t="s">
        <v>98</v>
      </c>
      <c r="X34" s="54" t="s">
        <v>98</v>
      </c>
      <c r="Y34" s="42"/>
      <c r="Z34" s="42"/>
      <c r="AA34" s="49"/>
      <c r="AB34" s="42"/>
      <c r="AC34" s="54"/>
      <c r="AD34" s="15">
        <f t="shared" si="16"/>
        <v>5440</v>
      </c>
      <c r="AF34" s="15">
        <f t="shared" si="8"/>
        <v>5440</v>
      </c>
      <c r="AG34" s="15">
        <f t="shared" si="9"/>
        <v>5440</v>
      </c>
      <c r="AU34" s="15">
        <f t="shared" si="17"/>
        <v>680</v>
      </c>
      <c r="AY34" s="55" t="s">
        <v>4110</v>
      </c>
      <c r="BA34" s="51"/>
      <c r="BB34" s="51"/>
      <c r="BC34" s="51"/>
      <c r="BD34" s="51"/>
      <c r="BE34" s="51"/>
      <c r="BF34" s="51"/>
      <c r="BG34" s="51"/>
      <c r="BH34" s="51"/>
      <c r="BI34" s="51"/>
      <c r="BJ34" s="51"/>
      <c r="BK34" s="51"/>
      <c r="BL34" s="51"/>
      <c r="BM34" s="51"/>
      <c r="BN34" s="51"/>
      <c r="BO34" s="51"/>
      <c r="BP34" s="51"/>
      <c r="BQ34" s="51"/>
      <c r="BR34" s="51"/>
      <c r="BS34" s="51"/>
      <c r="BT34" s="51"/>
      <c r="BU34" s="51"/>
      <c r="BV34" s="51"/>
    </row>
    <row r="35" s="15" customFormat="1" ht="19" customHeight="1" spans="1:90">
      <c r="A35" s="40">
        <v>44476</v>
      </c>
      <c r="B35" s="53" t="s">
        <v>4103</v>
      </c>
      <c r="C35" s="42"/>
      <c r="D35" s="15" t="s">
        <v>4104</v>
      </c>
      <c r="E35" s="41"/>
      <c r="F35" s="42" t="s">
        <v>4105</v>
      </c>
      <c r="G35" s="42"/>
      <c r="H35" s="42" t="s">
        <v>4106</v>
      </c>
      <c r="I35" s="42">
        <v>5440</v>
      </c>
      <c r="J35" s="42">
        <v>0</v>
      </c>
      <c r="K35" s="42">
        <v>680</v>
      </c>
      <c r="L35" s="43">
        <f t="shared" si="0"/>
        <v>8</v>
      </c>
      <c r="M35" s="44">
        <v>0</v>
      </c>
      <c r="N35" s="45">
        <v>0</v>
      </c>
      <c r="O35" s="41" t="s">
        <v>4107</v>
      </c>
      <c r="P35" s="46"/>
      <c r="Q35" s="41" t="s">
        <v>4108</v>
      </c>
      <c r="R35" s="42"/>
      <c r="S35" s="42"/>
      <c r="T35" s="42" t="s">
        <v>4075</v>
      </c>
      <c r="U35" s="46"/>
      <c r="V35" s="42" t="s">
        <v>4109</v>
      </c>
      <c r="W35" s="54" t="s">
        <v>98</v>
      </c>
      <c r="X35" s="54" t="s">
        <v>98</v>
      </c>
      <c r="Y35" s="42"/>
      <c r="Z35" s="42"/>
      <c r="AA35" s="49"/>
      <c r="AB35" s="42"/>
      <c r="AC35" s="54"/>
      <c r="AD35" s="15">
        <f t="shared" si="16"/>
        <v>5440</v>
      </c>
      <c r="AF35" s="15">
        <f t="shared" si="8"/>
        <v>5440</v>
      </c>
      <c r="AG35" s="15">
        <f t="shared" si="9"/>
        <v>5440</v>
      </c>
      <c r="AU35" s="15">
        <f t="shared" si="17"/>
        <v>680</v>
      </c>
      <c r="AY35" s="55" t="s">
        <v>4110</v>
      </c>
      <c r="BA35" s="51"/>
      <c r="BB35" s="51"/>
      <c r="BC35" s="51"/>
      <c r="BD35" s="51"/>
      <c r="BE35" s="51"/>
      <c r="BF35" s="51"/>
      <c r="BG35" s="51"/>
      <c r="BH35" s="51"/>
      <c r="BI35" s="51"/>
      <c r="BJ35" s="51"/>
      <c r="BK35" s="51"/>
      <c r="BL35" s="51"/>
      <c r="BM35" s="51"/>
      <c r="BN35" s="51"/>
      <c r="BO35" s="51"/>
      <c r="BP35" s="51"/>
      <c r="BQ35" s="51"/>
      <c r="BR35" s="51"/>
      <c r="BS35" s="51"/>
      <c r="BT35" s="51"/>
      <c r="BU35" s="51"/>
      <c r="BV35" s="51"/>
    </row>
    <row r="36" s="16" customFormat="1" ht="18" customHeight="1" spans="1:90">
      <c r="A36" s="56">
        <v>44561</v>
      </c>
      <c r="B36" s="57" t="s">
        <v>439</v>
      </c>
      <c r="C36" s="58" t="s">
        <v>440</v>
      </c>
      <c r="D36" s="16">
        <v>4500068792</v>
      </c>
      <c r="E36" s="58"/>
      <c r="F36" s="59" t="s">
        <v>4111</v>
      </c>
      <c r="G36" s="59"/>
      <c r="H36" s="58" t="s">
        <v>4112</v>
      </c>
      <c r="I36" s="58">
        <v>2160</v>
      </c>
      <c r="J36" s="58">
        <v>0</v>
      </c>
      <c r="K36" s="58">
        <v>36</v>
      </c>
      <c r="L36" s="60">
        <f t="shared" si="0"/>
        <v>60</v>
      </c>
      <c r="M36" s="59" t="s">
        <v>4113</v>
      </c>
      <c r="N36" s="59" t="s">
        <v>4114</v>
      </c>
      <c r="O36" s="61"/>
      <c r="P36" s="61"/>
      <c r="Q36" s="58"/>
      <c r="R36" s="62" t="s">
        <v>89</v>
      </c>
      <c r="S36" s="62" t="s">
        <v>89</v>
      </c>
      <c r="T36" s="63" t="s">
        <v>4115</v>
      </c>
      <c r="U36" s="59" t="s">
        <v>4116</v>
      </c>
      <c r="V36" s="64">
        <v>0</v>
      </c>
      <c r="W36" s="65">
        <f>I36*V36</f>
        <v>0</v>
      </c>
      <c r="X36" s="58"/>
      <c r="Y36" s="58"/>
      <c r="Z36" s="58" t="s">
        <v>4109</v>
      </c>
      <c r="AA36" s="58"/>
      <c r="AB36" s="58"/>
      <c r="AC36" s="58"/>
      <c r="AD36" s="58"/>
      <c r="AE36" s="62"/>
      <c r="AF36" s="16">
        <f>I36</f>
        <v>2160</v>
      </c>
      <c r="AJ36" s="16">
        <f>I36</f>
        <v>2160</v>
      </c>
      <c r="AK36" s="16">
        <f>I36</f>
        <v>2160</v>
      </c>
      <c r="AS36" s="16">
        <f>I36/18</f>
        <v>120</v>
      </c>
      <c r="BB36" s="66">
        <f t="shared" ref="BB36:BV36" si="18">$AF36*BB$1</f>
        <v>0</v>
      </c>
      <c r="BC36" s="66">
        <f t="shared" si="18"/>
        <v>0</v>
      </c>
      <c r="BD36" s="66">
        <f t="shared" si="18"/>
        <v>0</v>
      </c>
      <c r="BE36" s="66">
        <f t="shared" si="18"/>
        <v>0</v>
      </c>
      <c r="BF36" s="66">
        <f t="shared" si="18"/>
        <v>0</v>
      </c>
      <c r="BG36" s="66">
        <f t="shared" si="18"/>
        <v>0</v>
      </c>
      <c r="BH36" s="66">
        <f t="shared" si="18"/>
        <v>0</v>
      </c>
      <c r="BI36" s="66">
        <f t="shared" si="18"/>
        <v>0</v>
      </c>
      <c r="BJ36" s="66">
        <f t="shared" si="18"/>
        <v>0</v>
      </c>
      <c r="BK36" s="66">
        <f t="shared" si="18"/>
        <v>0</v>
      </c>
      <c r="BL36" s="66">
        <f t="shared" si="18"/>
        <v>0</v>
      </c>
      <c r="BM36" s="66">
        <f t="shared" si="18"/>
        <v>0</v>
      </c>
      <c r="BN36" s="66">
        <f t="shared" si="18"/>
        <v>0</v>
      </c>
      <c r="BO36" s="66">
        <f t="shared" si="18"/>
        <v>0</v>
      </c>
      <c r="BP36" s="66">
        <f t="shared" si="18"/>
        <v>0</v>
      </c>
      <c r="BQ36" s="66">
        <f t="shared" si="18"/>
        <v>0</v>
      </c>
      <c r="BR36" s="66">
        <f t="shared" si="18"/>
        <v>0</v>
      </c>
      <c r="BS36" s="66">
        <f t="shared" si="18"/>
        <v>0</v>
      </c>
      <c r="BT36" s="66">
        <f t="shared" si="18"/>
        <v>0</v>
      </c>
      <c r="BU36" s="66">
        <f t="shared" si="18"/>
        <v>0</v>
      </c>
      <c r="BV36" s="66">
        <f t="shared" si="18"/>
        <v>0</v>
      </c>
      <c r="BW36" s="66"/>
      <c r="BZ36" s="16">
        <f>AO36+AP36</f>
        <v>0</v>
      </c>
      <c r="CC36" s="16">
        <f>AS36+AT36+AU36+AV36</f>
        <v>120</v>
      </c>
    </row>
    <row r="37" s="16" customFormat="1" ht="18" customHeight="1" spans="1:90">
      <c r="A37" s="56">
        <v>44565</v>
      </c>
      <c r="B37" s="57" t="s">
        <v>439</v>
      </c>
      <c r="C37" s="58" t="s">
        <v>440</v>
      </c>
      <c r="D37" s="16">
        <v>4500068792</v>
      </c>
      <c r="E37" s="58"/>
      <c r="F37" s="59" t="s">
        <v>4111</v>
      </c>
      <c r="G37" s="59"/>
      <c r="H37" s="58" t="s">
        <v>4112</v>
      </c>
      <c r="I37" s="58">
        <v>144</v>
      </c>
      <c r="J37" s="58">
        <v>0</v>
      </c>
      <c r="K37" s="58">
        <v>36</v>
      </c>
      <c r="L37" s="60">
        <f t="shared" si="0"/>
        <v>4</v>
      </c>
      <c r="M37" s="59" t="s">
        <v>4113</v>
      </c>
      <c r="N37" s="59" t="s">
        <v>4114</v>
      </c>
      <c r="O37" s="61"/>
      <c r="P37" s="61"/>
      <c r="Q37" s="58"/>
      <c r="R37" s="62" t="s">
        <v>89</v>
      </c>
      <c r="S37" s="62" t="s">
        <v>89</v>
      </c>
      <c r="T37" s="67"/>
      <c r="U37" s="59" t="s">
        <v>4116</v>
      </c>
      <c r="V37" s="64">
        <v>0</v>
      </c>
      <c r="W37" s="65">
        <f>I37*V37</f>
        <v>0</v>
      </c>
      <c r="X37" s="58"/>
      <c r="Y37" s="58"/>
      <c r="Z37" s="58" t="s">
        <v>4109</v>
      </c>
      <c r="AA37" s="58"/>
      <c r="AB37" s="58"/>
      <c r="AC37" s="58"/>
      <c r="AD37" s="58"/>
      <c r="AE37" s="62"/>
      <c r="AF37" s="16">
        <f>I37</f>
        <v>144</v>
      </c>
      <c r="AJ37" s="16">
        <f>I37</f>
        <v>144</v>
      </c>
      <c r="AK37" s="16">
        <f>I37</f>
        <v>144</v>
      </c>
      <c r="AS37" s="16">
        <f>I37/18</f>
        <v>8</v>
      </c>
      <c r="BB37" s="66">
        <f t="shared" ref="BB37:BV37" si="19">$AF37*BB$1</f>
        <v>0</v>
      </c>
      <c r="BC37" s="66">
        <f t="shared" si="19"/>
        <v>0</v>
      </c>
      <c r="BD37" s="66">
        <f t="shared" si="19"/>
        <v>0</v>
      </c>
      <c r="BE37" s="66">
        <f t="shared" si="19"/>
        <v>0</v>
      </c>
      <c r="BF37" s="66">
        <f t="shared" si="19"/>
        <v>0</v>
      </c>
      <c r="BG37" s="66">
        <f t="shared" si="19"/>
        <v>0</v>
      </c>
      <c r="BH37" s="66">
        <f t="shared" si="19"/>
        <v>0</v>
      </c>
      <c r="BI37" s="66">
        <f t="shared" si="19"/>
        <v>0</v>
      </c>
      <c r="BJ37" s="66">
        <f t="shared" si="19"/>
        <v>0</v>
      </c>
      <c r="BK37" s="66">
        <f t="shared" si="19"/>
        <v>0</v>
      </c>
      <c r="BL37" s="66">
        <f t="shared" si="19"/>
        <v>0</v>
      </c>
      <c r="BM37" s="66">
        <f t="shared" si="19"/>
        <v>0</v>
      </c>
      <c r="BN37" s="66">
        <f t="shared" si="19"/>
        <v>0</v>
      </c>
      <c r="BO37" s="66">
        <f t="shared" si="19"/>
        <v>0</v>
      </c>
      <c r="BP37" s="66">
        <f t="shared" si="19"/>
        <v>0</v>
      </c>
      <c r="BQ37" s="66">
        <f t="shared" si="19"/>
        <v>0</v>
      </c>
      <c r="BR37" s="66">
        <f t="shared" si="19"/>
        <v>0</v>
      </c>
      <c r="BS37" s="66">
        <f t="shared" si="19"/>
        <v>0</v>
      </c>
      <c r="BT37" s="66">
        <f t="shared" si="19"/>
        <v>0</v>
      </c>
      <c r="BU37" s="66">
        <f t="shared" si="19"/>
        <v>0</v>
      </c>
      <c r="BV37" s="66">
        <f t="shared" si="19"/>
        <v>0</v>
      </c>
      <c r="BW37" s="66"/>
      <c r="BZ37" s="16">
        <f>AO37+AP37</f>
        <v>0</v>
      </c>
      <c r="CC37" s="16">
        <f>AS37+AT37+AU37+AV37</f>
        <v>8</v>
      </c>
    </row>
    <row r="38" s="17" customFormat="1" ht="24" customHeight="1" spans="1:90">
      <c r="A38" s="68">
        <v>44623</v>
      </c>
      <c r="B38" s="69" t="s">
        <v>4117</v>
      </c>
      <c r="C38" s="70" t="s">
        <v>1068</v>
      </c>
      <c r="D38" s="69">
        <v>4500071170</v>
      </c>
      <c r="E38" s="70">
        <v>4500845200</v>
      </c>
      <c r="F38" s="71" t="s">
        <v>4111</v>
      </c>
      <c r="G38" s="71"/>
      <c r="H38" s="70" t="s">
        <v>4112</v>
      </c>
      <c r="I38" s="70">
        <v>2052</v>
      </c>
      <c r="J38" s="70">
        <v>0</v>
      </c>
      <c r="K38" s="70">
        <v>36</v>
      </c>
      <c r="L38" s="72">
        <f t="shared" si="0"/>
        <v>57</v>
      </c>
      <c r="M38" s="41" t="s">
        <v>4118</v>
      </c>
      <c r="N38" s="41" t="s">
        <v>4119</v>
      </c>
      <c r="O38" s="73"/>
      <c r="P38" s="73"/>
      <c r="Q38" s="70"/>
      <c r="R38" s="74" t="s">
        <v>89</v>
      </c>
      <c r="S38" s="74" t="s">
        <v>98</v>
      </c>
      <c r="T38" s="74" t="s">
        <v>98</v>
      </c>
      <c r="U38" s="69" t="s">
        <v>4120</v>
      </c>
      <c r="V38" s="75" t="s">
        <v>2231</v>
      </c>
      <c r="W38" s="76">
        <v>2.0315</v>
      </c>
      <c r="X38" s="77">
        <f t="shared" ref="X38:X46" si="20">I38*W38</f>
        <v>4168.638</v>
      </c>
      <c r="Y38" s="70"/>
      <c r="Z38" s="70"/>
      <c r="AA38" s="70"/>
      <c r="AB38" s="70"/>
      <c r="AC38" s="70"/>
      <c r="AD38" s="78" t="s">
        <v>98</v>
      </c>
      <c r="AE38" s="70"/>
      <c r="AF38" s="74"/>
      <c r="AG38" s="17">
        <f t="shared" ref="AG38:AG44" si="21">I38</f>
        <v>2052</v>
      </c>
      <c r="AQ38" s="17">
        <f t="shared" ref="AQ38:AQ43" si="22">I38</f>
        <v>2052</v>
      </c>
      <c r="AR38" s="17">
        <f t="shared" ref="AR38:AR43" si="23">I38</f>
        <v>2052</v>
      </c>
      <c r="BC38" s="17">
        <f>I38/18</f>
        <v>114</v>
      </c>
      <c r="BK38" s="79">
        <f t="shared" ref="BK38:CE38" si="24">$AG38*BK$1</f>
        <v>0</v>
      </c>
      <c r="BL38" s="79">
        <f t="shared" si="24"/>
        <v>0</v>
      </c>
      <c r="BM38" s="79">
        <f t="shared" si="24"/>
        <v>0</v>
      </c>
      <c r="BN38" s="79">
        <f t="shared" si="24"/>
        <v>0</v>
      </c>
      <c r="BO38" s="79">
        <f t="shared" si="24"/>
        <v>0</v>
      </c>
      <c r="BP38" s="79">
        <f t="shared" si="24"/>
        <v>0</v>
      </c>
      <c r="BQ38" s="79">
        <f t="shared" si="24"/>
        <v>0</v>
      </c>
      <c r="BR38" s="79">
        <f t="shared" si="24"/>
        <v>0</v>
      </c>
      <c r="BS38" s="79">
        <f t="shared" si="24"/>
        <v>0</v>
      </c>
      <c r="BT38" s="79">
        <f t="shared" si="24"/>
        <v>0</v>
      </c>
      <c r="BU38" s="79">
        <f t="shared" si="24"/>
        <v>0</v>
      </c>
      <c r="BV38" s="79">
        <f t="shared" si="24"/>
        <v>0</v>
      </c>
      <c r="BW38" s="79">
        <f t="shared" si="24"/>
        <v>0</v>
      </c>
      <c r="BX38" s="79">
        <f t="shared" si="24"/>
        <v>0</v>
      </c>
      <c r="BY38" s="79">
        <f t="shared" si="24"/>
        <v>0</v>
      </c>
      <c r="BZ38" s="79">
        <f t="shared" si="24"/>
        <v>0</v>
      </c>
      <c r="CA38" s="79">
        <f t="shared" si="24"/>
        <v>0</v>
      </c>
      <c r="CB38" s="79">
        <f t="shared" si="24"/>
        <v>0</v>
      </c>
      <c r="CC38" s="79">
        <f t="shared" si="24"/>
        <v>0</v>
      </c>
      <c r="CD38" s="79">
        <f t="shared" si="24"/>
        <v>0</v>
      </c>
      <c r="CE38" s="79">
        <f t="shared" si="24"/>
        <v>0</v>
      </c>
      <c r="CF38" s="79"/>
      <c r="CI38" s="17">
        <f t="shared" ref="CI38:CI101" si="25">AV38+AW38</f>
        <v>0</v>
      </c>
      <c r="CL38" s="17">
        <f>AZ38+BB38+BD38+BE38</f>
        <v>0</v>
      </c>
    </row>
    <row r="39" s="17" customFormat="1" ht="24" customHeight="1" spans="1:90">
      <c r="A39" s="80">
        <v>44630</v>
      </c>
      <c r="B39" s="81" t="s">
        <v>4121</v>
      </c>
      <c r="C39" s="81" t="s">
        <v>632</v>
      </c>
      <c r="D39" s="81">
        <v>4500072893</v>
      </c>
      <c r="E39" s="82" t="s">
        <v>4122</v>
      </c>
      <c r="F39" s="75" t="s">
        <v>4123</v>
      </c>
      <c r="G39" s="75"/>
      <c r="H39" s="70" t="s">
        <v>4124</v>
      </c>
      <c r="I39" s="70">
        <v>6246</v>
      </c>
      <c r="J39" s="70">
        <v>0</v>
      </c>
      <c r="K39" s="70">
        <v>18</v>
      </c>
      <c r="L39" s="72">
        <f t="shared" si="0"/>
        <v>347</v>
      </c>
      <c r="M39" s="41" t="s">
        <v>4125</v>
      </c>
      <c r="N39" s="41" t="s">
        <v>4126</v>
      </c>
      <c r="O39" s="73"/>
      <c r="P39" s="73"/>
      <c r="Q39" s="70"/>
      <c r="R39" s="74" t="s">
        <v>89</v>
      </c>
      <c r="S39" s="74" t="s">
        <v>98</v>
      </c>
      <c r="T39" s="74" t="s">
        <v>98</v>
      </c>
      <c r="U39" s="69" t="s">
        <v>4127</v>
      </c>
      <c r="V39" s="75" t="s">
        <v>4092</v>
      </c>
      <c r="W39" s="83">
        <v>2.0212</v>
      </c>
      <c r="X39" s="77">
        <f t="shared" si="20"/>
        <v>12624.4152</v>
      </c>
      <c r="Y39" s="70"/>
      <c r="Z39" s="70"/>
      <c r="AA39" s="70" t="s">
        <v>4109</v>
      </c>
      <c r="AB39" s="70"/>
      <c r="AC39" s="70"/>
      <c r="AD39" s="78" t="s">
        <v>98</v>
      </c>
      <c r="AE39" s="70"/>
      <c r="AF39" s="74"/>
      <c r="AG39" s="17">
        <f t="shared" si="21"/>
        <v>6246</v>
      </c>
      <c r="AO39" s="17">
        <f t="shared" ref="AO39:AO44" si="26">I39</f>
        <v>6246</v>
      </c>
      <c r="AP39" s="17">
        <f t="shared" ref="AP39:AP44" si="27">I39</f>
        <v>6246</v>
      </c>
      <c r="BB39" s="17">
        <f>I39/18</f>
        <v>347</v>
      </c>
      <c r="BK39" s="79">
        <f t="shared" ref="BK39:CE39" si="28">$AG39*BK$1</f>
        <v>0</v>
      </c>
      <c r="BL39" s="79">
        <f t="shared" si="28"/>
        <v>0</v>
      </c>
      <c r="BM39" s="79">
        <f t="shared" si="28"/>
        <v>0</v>
      </c>
      <c r="BN39" s="79">
        <f t="shared" si="28"/>
        <v>0</v>
      </c>
      <c r="BO39" s="79">
        <f t="shared" si="28"/>
        <v>0</v>
      </c>
      <c r="BP39" s="79">
        <f t="shared" si="28"/>
        <v>0</v>
      </c>
      <c r="BQ39" s="79">
        <f t="shared" si="28"/>
        <v>0</v>
      </c>
      <c r="BR39" s="79">
        <f t="shared" si="28"/>
        <v>0</v>
      </c>
      <c r="BS39" s="79">
        <f t="shared" si="28"/>
        <v>0</v>
      </c>
      <c r="BT39" s="79">
        <f t="shared" si="28"/>
        <v>0</v>
      </c>
      <c r="BU39" s="79">
        <f t="shared" si="28"/>
        <v>0</v>
      </c>
      <c r="BV39" s="79">
        <f t="shared" si="28"/>
        <v>0</v>
      </c>
      <c r="BW39" s="79">
        <f t="shared" si="28"/>
        <v>0</v>
      </c>
      <c r="BX39" s="79">
        <f t="shared" si="28"/>
        <v>0</v>
      </c>
      <c r="BY39" s="79">
        <f t="shared" si="28"/>
        <v>0</v>
      </c>
      <c r="BZ39" s="79">
        <f t="shared" si="28"/>
        <v>0</v>
      </c>
      <c r="CA39" s="79">
        <f t="shared" si="28"/>
        <v>0</v>
      </c>
      <c r="CB39" s="79">
        <f t="shared" si="28"/>
        <v>0</v>
      </c>
      <c r="CC39" s="79">
        <f t="shared" si="28"/>
        <v>0</v>
      </c>
      <c r="CD39" s="79">
        <f t="shared" si="28"/>
        <v>0</v>
      </c>
      <c r="CE39" s="79">
        <f t="shared" si="28"/>
        <v>0</v>
      </c>
      <c r="CF39" s="79"/>
      <c r="CI39" s="17">
        <f t="shared" si="25"/>
        <v>0</v>
      </c>
      <c r="CL39" s="17">
        <f t="shared" ref="CL39:CL102" si="29">AZ39+BB39+BD39+BE39+BA39</f>
        <v>347</v>
      </c>
    </row>
    <row r="40" s="18" customFormat="1" ht="24" customHeight="1" spans="1:90">
      <c r="A40" s="68">
        <v>44630</v>
      </c>
      <c r="B40" s="69" t="s">
        <v>4121</v>
      </c>
      <c r="C40" s="81" t="s">
        <v>632</v>
      </c>
      <c r="D40" s="69">
        <v>4500072899</v>
      </c>
      <c r="E40" s="70">
        <v>8000639967</v>
      </c>
      <c r="F40" s="84" t="s">
        <v>4123</v>
      </c>
      <c r="G40" s="84"/>
      <c r="H40" s="70" t="s">
        <v>4124</v>
      </c>
      <c r="I40" s="78">
        <v>7128</v>
      </c>
      <c r="J40" s="78">
        <v>0</v>
      </c>
      <c r="K40" s="78">
        <v>18</v>
      </c>
      <c r="L40" s="72">
        <f t="shared" si="0"/>
        <v>396</v>
      </c>
      <c r="M40" s="85" t="s">
        <v>4128</v>
      </c>
      <c r="N40" s="85" t="s">
        <v>4129</v>
      </c>
      <c r="O40" s="86"/>
      <c r="P40" s="86"/>
      <c r="Q40" s="78"/>
      <c r="R40" s="74" t="s">
        <v>89</v>
      </c>
      <c r="S40" s="74" t="s">
        <v>98</v>
      </c>
      <c r="T40" s="74" t="s">
        <v>98</v>
      </c>
      <c r="U40" s="87" t="s">
        <v>4127</v>
      </c>
      <c r="V40" s="84" t="s">
        <v>4092</v>
      </c>
      <c r="W40" s="88">
        <v>2.0148</v>
      </c>
      <c r="X40" s="89">
        <f t="shared" si="20"/>
        <v>14361.4944</v>
      </c>
      <c r="Y40" s="78"/>
      <c r="Z40" s="78"/>
      <c r="AA40" s="70" t="s">
        <v>4109</v>
      </c>
      <c r="AB40" s="78"/>
      <c r="AC40" s="78"/>
      <c r="AD40" s="78" t="s">
        <v>98</v>
      </c>
      <c r="AE40" s="78"/>
      <c r="AF40" s="90"/>
      <c r="AG40" s="17">
        <f t="shared" si="21"/>
        <v>7128</v>
      </c>
      <c r="AO40" s="18">
        <f t="shared" si="26"/>
        <v>7128</v>
      </c>
      <c r="AP40" s="18">
        <f t="shared" si="27"/>
        <v>7128</v>
      </c>
      <c r="BB40" s="17">
        <f>I40/18</f>
        <v>396</v>
      </c>
      <c r="BK40" s="79">
        <f t="shared" ref="BK40:CE40" si="30">$AG40*BK$1</f>
        <v>0</v>
      </c>
      <c r="BL40" s="79">
        <f t="shared" si="30"/>
        <v>0</v>
      </c>
      <c r="BM40" s="79">
        <f t="shared" si="30"/>
        <v>0</v>
      </c>
      <c r="BN40" s="79">
        <f t="shared" si="30"/>
        <v>0</v>
      </c>
      <c r="BO40" s="79">
        <f t="shared" si="30"/>
        <v>0</v>
      </c>
      <c r="BP40" s="79">
        <f t="shared" si="30"/>
        <v>0</v>
      </c>
      <c r="BQ40" s="79">
        <f t="shared" si="30"/>
        <v>0</v>
      </c>
      <c r="BR40" s="79">
        <f t="shared" si="30"/>
        <v>0</v>
      </c>
      <c r="BS40" s="79">
        <f t="shared" si="30"/>
        <v>0</v>
      </c>
      <c r="BT40" s="79">
        <f t="shared" si="30"/>
        <v>0</v>
      </c>
      <c r="BU40" s="79">
        <f t="shared" si="30"/>
        <v>0</v>
      </c>
      <c r="BV40" s="79">
        <f t="shared" si="30"/>
        <v>0</v>
      </c>
      <c r="BW40" s="79">
        <f t="shared" si="30"/>
        <v>0</v>
      </c>
      <c r="BX40" s="79">
        <f t="shared" si="30"/>
        <v>0</v>
      </c>
      <c r="BY40" s="79">
        <f t="shared" si="30"/>
        <v>0</v>
      </c>
      <c r="BZ40" s="79">
        <f t="shared" si="30"/>
        <v>0</v>
      </c>
      <c r="CA40" s="79">
        <f t="shared" si="30"/>
        <v>0</v>
      </c>
      <c r="CB40" s="79">
        <f t="shared" si="30"/>
        <v>0</v>
      </c>
      <c r="CC40" s="79">
        <f t="shared" si="30"/>
        <v>0</v>
      </c>
      <c r="CD40" s="79">
        <f t="shared" si="30"/>
        <v>0</v>
      </c>
      <c r="CE40" s="79">
        <f t="shared" si="30"/>
        <v>0</v>
      </c>
      <c r="CF40" s="79"/>
      <c r="CG40" s="17"/>
      <c r="CH40" s="17"/>
      <c r="CI40" s="17">
        <f t="shared" si="25"/>
        <v>0</v>
      </c>
      <c r="CJ40" s="17"/>
      <c r="CK40" s="17"/>
      <c r="CL40" s="17">
        <f t="shared" si="29"/>
        <v>396</v>
      </c>
    </row>
    <row r="41" s="17" customFormat="1" ht="24" customHeight="1" spans="1:90">
      <c r="A41" s="68">
        <v>44630</v>
      </c>
      <c r="B41" s="69" t="s">
        <v>4121</v>
      </c>
      <c r="C41" s="81" t="s">
        <v>632</v>
      </c>
      <c r="D41" s="69">
        <v>4500072899</v>
      </c>
      <c r="E41" s="70">
        <v>8000639968</v>
      </c>
      <c r="F41" s="75" t="s">
        <v>4123</v>
      </c>
      <c r="G41" s="75"/>
      <c r="H41" s="70" t="s">
        <v>4124</v>
      </c>
      <c r="I41" s="70">
        <v>5544</v>
      </c>
      <c r="J41" s="70">
        <v>0</v>
      </c>
      <c r="K41" s="70">
        <v>18</v>
      </c>
      <c r="L41" s="72">
        <f t="shared" si="0"/>
        <v>308</v>
      </c>
      <c r="M41" s="41" t="s">
        <v>4130</v>
      </c>
      <c r="N41" s="41" t="s">
        <v>4131</v>
      </c>
      <c r="O41" s="73"/>
      <c r="P41" s="73"/>
      <c r="Q41" s="70"/>
      <c r="R41" s="74" t="s">
        <v>89</v>
      </c>
      <c r="S41" s="74" t="s">
        <v>98</v>
      </c>
      <c r="T41" s="74" t="s">
        <v>98</v>
      </c>
      <c r="U41" s="69" t="s">
        <v>4127</v>
      </c>
      <c r="V41" s="84" t="s">
        <v>4092</v>
      </c>
      <c r="W41" s="88">
        <v>2.0148</v>
      </c>
      <c r="X41" s="89">
        <f t="shared" si="20"/>
        <v>11170.0512</v>
      </c>
      <c r="Y41" s="70"/>
      <c r="Z41" s="70"/>
      <c r="AA41" s="70" t="s">
        <v>4109</v>
      </c>
      <c r="AB41" s="70"/>
      <c r="AC41" s="70"/>
      <c r="AD41" s="78" t="s">
        <v>98</v>
      </c>
      <c r="AE41" s="70"/>
      <c r="AF41" s="74"/>
      <c r="AG41" s="17">
        <f t="shared" si="21"/>
        <v>5544</v>
      </c>
      <c r="AO41" s="17">
        <f t="shared" si="26"/>
        <v>5544</v>
      </c>
      <c r="AP41" s="17">
        <f t="shared" si="27"/>
        <v>5544</v>
      </c>
      <c r="BB41" s="17">
        <f>I41/18</f>
        <v>308</v>
      </c>
      <c r="BC41" s="18"/>
      <c r="BK41" s="79">
        <f t="shared" ref="BK41:CE41" si="31">$AG41*BK$1</f>
        <v>0</v>
      </c>
      <c r="BL41" s="79">
        <f t="shared" si="31"/>
        <v>0</v>
      </c>
      <c r="BM41" s="79">
        <f t="shared" si="31"/>
        <v>0</v>
      </c>
      <c r="BN41" s="79">
        <f t="shared" si="31"/>
        <v>0</v>
      </c>
      <c r="BO41" s="79">
        <f t="shared" si="31"/>
        <v>0</v>
      </c>
      <c r="BP41" s="79">
        <f t="shared" si="31"/>
        <v>0</v>
      </c>
      <c r="BQ41" s="79">
        <f t="shared" si="31"/>
        <v>0</v>
      </c>
      <c r="BR41" s="79">
        <f t="shared" si="31"/>
        <v>0</v>
      </c>
      <c r="BS41" s="79">
        <f t="shared" si="31"/>
        <v>0</v>
      </c>
      <c r="BT41" s="79">
        <f t="shared" si="31"/>
        <v>0</v>
      </c>
      <c r="BU41" s="79">
        <f t="shared" si="31"/>
        <v>0</v>
      </c>
      <c r="BV41" s="79">
        <f t="shared" si="31"/>
        <v>0</v>
      </c>
      <c r="BW41" s="79">
        <f t="shared" si="31"/>
        <v>0</v>
      </c>
      <c r="BX41" s="79">
        <f t="shared" si="31"/>
        <v>0</v>
      </c>
      <c r="BY41" s="79">
        <f t="shared" si="31"/>
        <v>0</v>
      </c>
      <c r="BZ41" s="79">
        <f t="shared" si="31"/>
        <v>0</v>
      </c>
      <c r="CA41" s="79">
        <f t="shared" si="31"/>
        <v>0</v>
      </c>
      <c r="CB41" s="79">
        <f t="shared" si="31"/>
        <v>0</v>
      </c>
      <c r="CC41" s="79">
        <f t="shared" si="31"/>
        <v>0</v>
      </c>
      <c r="CD41" s="79">
        <f t="shared" si="31"/>
        <v>0</v>
      </c>
      <c r="CE41" s="79">
        <f t="shared" si="31"/>
        <v>0</v>
      </c>
      <c r="CF41" s="79"/>
      <c r="CI41" s="17">
        <f t="shared" si="25"/>
        <v>0</v>
      </c>
      <c r="CL41" s="17">
        <f t="shared" si="29"/>
        <v>308</v>
      </c>
    </row>
    <row r="42" s="17" customFormat="1" ht="24" customHeight="1" spans="1:90">
      <c r="A42" s="68">
        <v>44676</v>
      </c>
      <c r="B42" s="69" t="s">
        <v>4132</v>
      </c>
      <c r="C42" s="70" t="s">
        <v>125</v>
      </c>
      <c r="D42" s="17">
        <v>4500076924</v>
      </c>
      <c r="E42" s="91">
        <v>938477</v>
      </c>
      <c r="F42" s="75" t="s">
        <v>4123</v>
      </c>
      <c r="G42" s="75"/>
      <c r="H42" s="70" t="s">
        <v>4124</v>
      </c>
      <c r="I42" s="70">
        <v>35100</v>
      </c>
      <c r="J42" s="70">
        <v>0</v>
      </c>
      <c r="K42" s="70">
        <v>18</v>
      </c>
      <c r="L42" s="72">
        <f t="shared" si="0"/>
        <v>1950</v>
      </c>
      <c r="M42" s="75">
        <v>44722</v>
      </c>
      <c r="N42" s="92" t="s">
        <v>4133</v>
      </c>
      <c r="O42" s="73"/>
      <c r="P42" s="73"/>
      <c r="Q42" s="70"/>
      <c r="R42" s="74">
        <v>44677</v>
      </c>
      <c r="S42" s="74" t="s">
        <v>98</v>
      </c>
      <c r="T42" s="74" t="s">
        <v>89</v>
      </c>
      <c r="U42" s="69" t="s">
        <v>4134</v>
      </c>
      <c r="V42" s="75" t="s">
        <v>4135</v>
      </c>
      <c r="W42" s="83">
        <v>2.0414</v>
      </c>
      <c r="X42" s="77">
        <f t="shared" si="20"/>
        <v>71653.14</v>
      </c>
      <c r="Y42" s="70"/>
      <c r="Z42" s="70"/>
      <c r="AA42" s="70"/>
      <c r="AB42" s="70"/>
      <c r="AC42" s="70"/>
      <c r="AD42" s="78"/>
      <c r="AE42" s="70"/>
      <c r="AF42" s="74"/>
      <c r="AG42" s="17">
        <f t="shared" si="21"/>
        <v>35100</v>
      </c>
      <c r="AQ42" s="17">
        <f t="shared" si="22"/>
        <v>35100</v>
      </c>
      <c r="AR42" s="17">
        <f t="shared" si="23"/>
        <v>35100</v>
      </c>
      <c r="BC42" s="17">
        <f>I42/18</f>
        <v>1950</v>
      </c>
      <c r="BK42" s="79">
        <f t="shared" ref="BK42:CE42" si="32">$AG42*BK$1</f>
        <v>0</v>
      </c>
      <c r="BL42" s="79">
        <f t="shared" si="32"/>
        <v>0</v>
      </c>
      <c r="BM42" s="79">
        <f t="shared" si="32"/>
        <v>0</v>
      </c>
      <c r="BN42" s="79">
        <f t="shared" si="32"/>
        <v>0</v>
      </c>
      <c r="BO42" s="79">
        <f t="shared" si="32"/>
        <v>0</v>
      </c>
      <c r="BP42" s="79">
        <f t="shared" si="32"/>
        <v>0</v>
      </c>
      <c r="BQ42" s="79">
        <f t="shared" si="32"/>
        <v>0</v>
      </c>
      <c r="BR42" s="79">
        <f t="shared" si="32"/>
        <v>0</v>
      </c>
      <c r="BS42" s="79">
        <f t="shared" si="32"/>
        <v>0</v>
      </c>
      <c r="BT42" s="79">
        <f t="shared" si="32"/>
        <v>0</v>
      </c>
      <c r="BU42" s="79">
        <f t="shared" si="32"/>
        <v>0</v>
      </c>
      <c r="BV42" s="79">
        <f t="shared" si="32"/>
        <v>0</v>
      </c>
      <c r="BW42" s="79">
        <f t="shared" si="32"/>
        <v>0</v>
      </c>
      <c r="BX42" s="79">
        <f t="shared" si="32"/>
        <v>0</v>
      </c>
      <c r="BY42" s="79">
        <f t="shared" si="32"/>
        <v>0</v>
      </c>
      <c r="BZ42" s="79">
        <f t="shared" si="32"/>
        <v>0</v>
      </c>
      <c r="CA42" s="79">
        <f t="shared" si="32"/>
        <v>0</v>
      </c>
      <c r="CB42" s="79">
        <f t="shared" si="32"/>
        <v>0</v>
      </c>
      <c r="CC42" s="79">
        <f t="shared" si="32"/>
        <v>0</v>
      </c>
      <c r="CD42" s="79">
        <f t="shared" si="32"/>
        <v>0</v>
      </c>
      <c r="CE42" s="79">
        <f t="shared" si="32"/>
        <v>0</v>
      </c>
      <c r="CF42" s="79"/>
      <c r="CI42" s="17">
        <f t="shared" si="25"/>
        <v>0</v>
      </c>
      <c r="CL42" s="17">
        <f t="shared" si="29"/>
        <v>0</v>
      </c>
    </row>
    <row r="43" s="17" customFormat="1" ht="24" customHeight="1" spans="1:90">
      <c r="A43" s="80">
        <v>44676</v>
      </c>
      <c r="B43" s="81" t="s">
        <v>4136</v>
      </c>
      <c r="C43" s="81" t="s">
        <v>4075</v>
      </c>
      <c r="D43" s="81" t="s">
        <v>4137</v>
      </c>
      <c r="E43" s="82"/>
      <c r="F43" s="71" t="s">
        <v>4138</v>
      </c>
      <c r="G43" s="71"/>
      <c r="H43" s="70" t="s">
        <v>4071</v>
      </c>
      <c r="I43" s="70">
        <v>22680</v>
      </c>
      <c r="J43" s="70">
        <v>0</v>
      </c>
      <c r="K43" s="70">
        <v>6</v>
      </c>
      <c r="L43" s="72">
        <f t="shared" si="0"/>
        <v>3780</v>
      </c>
      <c r="M43" s="75">
        <v>44734</v>
      </c>
      <c r="N43" s="75">
        <v>44730</v>
      </c>
      <c r="O43" s="73"/>
      <c r="P43" s="73"/>
      <c r="Q43" s="70"/>
      <c r="R43" s="74" t="s">
        <v>89</v>
      </c>
      <c r="S43" s="74" t="s">
        <v>98</v>
      </c>
      <c r="T43" s="74" t="s">
        <v>98</v>
      </c>
      <c r="U43" s="69" t="s">
        <v>4139</v>
      </c>
      <c r="V43" s="75"/>
      <c r="W43" s="83">
        <v>1.8243</v>
      </c>
      <c r="X43" s="77">
        <f t="shared" si="20"/>
        <v>41375.124</v>
      </c>
      <c r="Y43" s="70"/>
      <c r="Z43" s="70"/>
      <c r="AA43" s="70"/>
      <c r="AB43" s="70"/>
      <c r="AC43" s="70"/>
      <c r="AD43" s="78"/>
      <c r="AE43" s="70"/>
      <c r="AF43" s="74"/>
      <c r="AG43" s="17">
        <f t="shared" si="21"/>
        <v>22680</v>
      </c>
      <c r="AQ43" s="17">
        <f t="shared" si="22"/>
        <v>22680</v>
      </c>
      <c r="AR43" s="17">
        <f t="shared" si="23"/>
        <v>22680</v>
      </c>
      <c r="BK43" s="79">
        <f t="shared" ref="BK43:CE43" si="33">$AG43*BK$1</f>
        <v>0</v>
      </c>
      <c r="BL43" s="79">
        <f t="shared" si="33"/>
        <v>0</v>
      </c>
      <c r="BM43" s="79">
        <f t="shared" si="33"/>
        <v>0</v>
      </c>
      <c r="BN43" s="79">
        <f t="shared" si="33"/>
        <v>0</v>
      </c>
      <c r="BO43" s="79">
        <f t="shared" si="33"/>
        <v>0</v>
      </c>
      <c r="BP43" s="79">
        <f t="shared" si="33"/>
        <v>0</v>
      </c>
      <c r="BQ43" s="79">
        <f t="shared" si="33"/>
        <v>0</v>
      </c>
      <c r="BR43" s="79">
        <f t="shared" si="33"/>
        <v>0</v>
      </c>
      <c r="BS43" s="79">
        <f t="shared" si="33"/>
        <v>0</v>
      </c>
      <c r="BT43" s="79">
        <f t="shared" si="33"/>
        <v>0</v>
      </c>
      <c r="BU43" s="79">
        <f t="shared" si="33"/>
        <v>0</v>
      </c>
      <c r="BV43" s="79">
        <f t="shared" si="33"/>
        <v>0</v>
      </c>
      <c r="BW43" s="79">
        <f t="shared" si="33"/>
        <v>0</v>
      </c>
      <c r="BX43" s="79">
        <f t="shared" si="33"/>
        <v>0</v>
      </c>
      <c r="BY43" s="79">
        <f t="shared" si="33"/>
        <v>0</v>
      </c>
      <c r="BZ43" s="79">
        <f t="shared" si="33"/>
        <v>0</v>
      </c>
      <c r="CA43" s="79">
        <f t="shared" si="33"/>
        <v>0</v>
      </c>
      <c r="CB43" s="79">
        <f t="shared" si="33"/>
        <v>0</v>
      </c>
      <c r="CC43" s="79">
        <f t="shared" si="33"/>
        <v>0</v>
      </c>
      <c r="CD43" s="79">
        <f t="shared" si="33"/>
        <v>0</v>
      </c>
      <c r="CE43" s="79">
        <f t="shared" si="33"/>
        <v>0</v>
      </c>
      <c r="CF43" s="79"/>
      <c r="CI43" s="17">
        <f t="shared" si="25"/>
        <v>0</v>
      </c>
      <c r="CL43" s="17">
        <f t="shared" si="29"/>
        <v>0</v>
      </c>
    </row>
    <row r="44" s="18" customFormat="1" ht="24" customHeight="1" spans="1:90">
      <c r="A44" s="93">
        <v>44630</v>
      </c>
      <c r="B44" s="87" t="s">
        <v>4117</v>
      </c>
      <c r="C44" s="78" t="s">
        <v>1068</v>
      </c>
      <c r="D44" s="87">
        <v>4500072674</v>
      </c>
      <c r="E44" s="78">
        <v>4500845201</v>
      </c>
      <c r="F44" s="84" t="s">
        <v>4111</v>
      </c>
      <c r="G44" s="84"/>
      <c r="H44" s="78" t="s">
        <v>4112</v>
      </c>
      <c r="I44" s="78">
        <v>1980</v>
      </c>
      <c r="J44" s="78">
        <v>0</v>
      </c>
      <c r="K44" s="78">
        <v>36</v>
      </c>
      <c r="L44" s="72">
        <f t="shared" si="0"/>
        <v>55</v>
      </c>
      <c r="M44" s="84">
        <v>44778</v>
      </c>
      <c r="N44" s="94" t="s">
        <v>4140</v>
      </c>
      <c r="O44" s="86"/>
      <c r="P44" s="86"/>
      <c r="Q44" s="78"/>
      <c r="R44" s="90" t="s">
        <v>89</v>
      </c>
      <c r="S44" s="90" t="s">
        <v>98</v>
      </c>
      <c r="T44" s="90" t="s">
        <v>89</v>
      </c>
      <c r="U44" s="87" t="s">
        <v>4141</v>
      </c>
      <c r="V44" s="84" t="s">
        <v>2231</v>
      </c>
      <c r="W44" s="88">
        <v>2.0315</v>
      </c>
      <c r="X44" s="89">
        <f t="shared" si="20"/>
        <v>4022.37</v>
      </c>
      <c r="Y44" s="78"/>
      <c r="Z44" s="78"/>
      <c r="AA44" s="70" t="s">
        <v>4109</v>
      </c>
      <c r="AB44" s="78"/>
      <c r="AC44" s="78"/>
      <c r="AD44" s="78"/>
      <c r="AE44" s="78"/>
      <c r="AF44" s="90"/>
      <c r="AG44" s="18">
        <f t="shared" si="21"/>
        <v>1980</v>
      </c>
      <c r="AO44" s="18">
        <f t="shared" si="26"/>
        <v>1980</v>
      </c>
      <c r="AP44" s="18">
        <f t="shared" si="27"/>
        <v>1980</v>
      </c>
      <c r="BC44" s="18">
        <f>I44/18</f>
        <v>110</v>
      </c>
      <c r="BK44" s="79">
        <f t="shared" ref="BK44:CE44" si="34">$AG44*BK$1</f>
        <v>0</v>
      </c>
      <c r="BL44" s="79">
        <f t="shared" si="34"/>
        <v>0</v>
      </c>
      <c r="BM44" s="79">
        <f t="shared" si="34"/>
        <v>0</v>
      </c>
      <c r="BN44" s="79">
        <f t="shared" si="34"/>
        <v>0</v>
      </c>
      <c r="BO44" s="79">
        <f t="shared" si="34"/>
        <v>0</v>
      </c>
      <c r="BP44" s="79">
        <f t="shared" si="34"/>
        <v>0</v>
      </c>
      <c r="BQ44" s="79">
        <f t="shared" si="34"/>
        <v>0</v>
      </c>
      <c r="BR44" s="79">
        <f t="shared" si="34"/>
        <v>0</v>
      </c>
      <c r="BS44" s="79">
        <f t="shared" si="34"/>
        <v>0</v>
      </c>
      <c r="BT44" s="79">
        <f t="shared" si="34"/>
        <v>0</v>
      </c>
      <c r="BU44" s="79">
        <f t="shared" si="34"/>
        <v>0</v>
      </c>
      <c r="BV44" s="79">
        <f t="shared" si="34"/>
        <v>0</v>
      </c>
      <c r="BW44" s="79">
        <f t="shared" si="34"/>
        <v>0</v>
      </c>
      <c r="BX44" s="79">
        <f t="shared" si="34"/>
        <v>0</v>
      </c>
      <c r="BY44" s="79">
        <f t="shared" si="34"/>
        <v>0</v>
      </c>
      <c r="BZ44" s="79">
        <f t="shared" si="34"/>
        <v>0</v>
      </c>
      <c r="CA44" s="79">
        <f t="shared" si="34"/>
        <v>0</v>
      </c>
      <c r="CB44" s="79">
        <f t="shared" si="34"/>
        <v>0</v>
      </c>
      <c r="CC44" s="79">
        <f t="shared" si="34"/>
        <v>0</v>
      </c>
      <c r="CD44" s="79">
        <f t="shared" si="34"/>
        <v>0</v>
      </c>
      <c r="CE44" s="79">
        <f t="shared" si="34"/>
        <v>0</v>
      </c>
      <c r="CF44" s="79"/>
      <c r="CG44" s="17"/>
      <c r="CH44" s="17"/>
      <c r="CI44" s="17">
        <f t="shared" si="25"/>
        <v>0</v>
      </c>
      <c r="CJ44" s="17"/>
      <c r="CK44" s="17"/>
      <c r="CL44" s="17">
        <f t="shared" si="29"/>
        <v>0</v>
      </c>
    </row>
    <row r="45" s="17" customFormat="1" ht="24" customHeight="1" spans="1:90">
      <c r="A45" s="68">
        <v>44677</v>
      </c>
      <c r="B45" s="69" t="s">
        <v>631</v>
      </c>
      <c r="C45" s="70" t="s">
        <v>632</v>
      </c>
      <c r="D45" s="17">
        <v>4500076568</v>
      </c>
      <c r="E45" s="91"/>
      <c r="F45" s="75" t="s">
        <v>4142</v>
      </c>
      <c r="G45" s="84"/>
      <c r="H45" s="78" t="s">
        <v>4143</v>
      </c>
      <c r="I45" s="70">
        <v>504</v>
      </c>
      <c r="J45" s="70">
        <v>0</v>
      </c>
      <c r="K45" s="70">
        <v>24</v>
      </c>
      <c r="L45" s="72">
        <f t="shared" si="0"/>
        <v>21</v>
      </c>
      <c r="M45" s="75" t="s">
        <v>4144</v>
      </c>
      <c r="N45" s="75" t="s">
        <v>4145</v>
      </c>
      <c r="O45" s="73"/>
      <c r="P45" s="73"/>
      <c r="Q45" s="70"/>
      <c r="R45" s="74" t="s">
        <v>4146</v>
      </c>
      <c r="S45" s="74" t="s">
        <v>88</v>
      </c>
      <c r="T45" s="74" t="s">
        <v>89</v>
      </c>
      <c r="U45" s="69" t="s">
        <v>4147</v>
      </c>
      <c r="V45" s="75" t="s">
        <v>4148</v>
      </c>
      <c r="W45" s="83">
        <v>4.0223</v>
      </c>
      <c r="X45" s="77">
        <f t="shared" si="20"/>
        <v>2027.2392</v>
      </c>
      <c r="Y45" s="70"/>
      <c r="Z45" s="70"/>
      <c r="AA45" s="70"/>
      <c r="AB45" s="70"/>
      <c r="AC45" s="70"/>
      <c r="AD45" s="78"/>
      <c r="AE45" s="70"/>
      <c r="AF45" s="74"/>
      <c r="AG45" s="17">
        <f>I45*2</f>
        <v>1008</v>
      </c>
      <c r="AQ45" s="17">
        <f>I45*2</f>
        <v>1008</v>
      </c>
      <c r="AR45" s="17">
        <f>I45*2</f>
        <v>1008</v>
      </c>
      <c r="BK45" s="79">
        <f t="shared" ref="BK45:CE45" si="35">$AG45*BK$1</f>
        <v>0</v>
      </c>
      <c r="BL45" s="79">
        <f t="shared" si="35"/>
        <v>0</v>
      </c>
      <c r="BM45" s="79">
        <f t="shared" si="35"/>
        <v>0</v>
      </c>
      <c r="BN45" s="79">
        <f t="shared" si="35"/>
        <v>0</v>
      </c>
      <c r="BO45" s="79">
        <f t="shared" si="35"/>
        <v>0</v>
      </c>
      <c r="BP45" s="79">
        <f t="shared" si="35"/>
        <v>0</v>
      </c>
      <c r="BQ45" s="79">
        <f t="shared" si="35"/>
        <v>0</v>
      </c>
      <c r="BR45" s="79">
        <f t="shared" si="35"/>
        <v>0</v>
      </c>
      <c r="BS45" s="79">
        <f t="shared" si="35"/>
        <v>0</v>
      </c>
      <c r="BT45" s="79">
        <f t="shared" si="35"/>
        <v>0</v>
      </c>
      <c r="BU45" s="79">
        <f t="shared" si="35"/>
        <v>0</v>
      </c>
      <c r="BV45" s="79">
        <f t="shared" si="35"/>
        <v>0</v>
      </c>
      <c r="BW45" s="79">
        <f t="shared" si="35"/>
        <v>0</v>
      </c>
      <c r="BX45" s="79">
        <f t="shared" si="35"/>
        <v>0</v>
      </c>
      <c r="BY45" s="79">
        <f t="shared" si="35"/>
        <v>0</v>
      </c>
      <c r="BZ45" s="79">
        <f t="shared" si="35"/>
        <v>0</v>
      </c>
      <c r="CA45" s="79">
        <f t="shared" si="35"/>
        <v>0</v>
      </c>
      <c r="CB45" s="79">
        <f t="shared" si="35"/>
        <v>0</v>
      </c>
      <c r="CC45" s="79">
        <f t="shared" si="35"/>
        <v>0</v>
      </c>
      <c r="CD45" s="79">
        <f t="shared" si="35"/>
        <v>0</v>
      </c>
      <c r="CE45" s="79">
        <f t="shared" si="35"/>
        <v>0</v>
      </c>
      <c r="CF45" s="79"/>
      <c r="CI45" s="17">
        <f t="shared" si="25"/>
        <v>0</v>
      </c>
      <c r="CL45" s="17">
        <f t="shared" si="29"/>
        <v>0</v>
      </c>
    </row>
    <row r="46" s="17" customFormat="1" ht="24" customHeight="1" spans="1:90">
      <c r="A46" s="68">
        <v>44642</v>
      </c>
      <c r="B46" s="69" t="s">
        <v>4149</v>
      </c>
      <c r="C46" s="70" t="s">
        <v>632</v>
      </c>
      <c r="D46" s="17">
        <v>4500073775</v>
      </c>
      <c r="E46" s="91" t="s">
        <v>4150</v>
      </c>
      <c r="F46" s="75" t="s">
        <v>4123</v>
      </c>
      <c r="G46" s="75"/>
      <c r="H46" s="70" t="s">
        <v>4124</v>
      </c>
      <c r="I46" s="70">
        <v>3852</v>
      </c>
      <c r="J46" s="70">
        <v>0</v>
      </c>
      <c r="K46" s="70">
        <v>18</v>
      </c>
      <c r="L46" s="72">
        <f t="shared" si="0"/>
        <v>214</v>
      </c>
      <c r="M46" s="75">
        <v>44687</v>
      </c>
      <c r="N46" s="75" t="s">
        <v>4151</v>
      </c>
      <c r="O46" s="73"/>
      <c r="P46" s="73"/>
      <c r="Q46" s="70"/>
      <c r="R46" s="74">
        <v>44642</v>
      </c>
      <c r="S46" s="74" t="s">
        <v>98</v>
      </c>
      <c r="T46" s="74" t="s">
        <v>98</v>
      </c>
      <c r="U46" s="69" t="s">
        <v>4152</v>
      </c>
      <c r="V46" s="75" t="s">
        <v>874</v>
      </c>
      <c r="W46" s="83">
        <v>2.0276</v>
      </c>
      <c r="X46" s="77">
        <f t="shared" si="20"/>
        <v>7810.3152</v>
      </c>
      <c r="Y46" s="70"/>
      <c r="Z46" s="70"/>
      <c r="AA46" s="70" t="s">
        <v>4109</v>
      </c>
      <c r="AB46" s="70"/>
      <c r="AC46" s="70">
        <f t="shared" ref="AC46:AC51" si="36">AB46-I46</f>
        <v>-3852</v>
      </c>
      <c r="AD46" s="78" t="s">
        <v>98</v>
      </c>
      <c r="AE46" s="70"/>
      <c r="AF46" s="74"/>
      <c r="AG46" s="17">
        <f t="shared" ref="AG46:AG49" si="37">I46</f>
        <v>3852</v>
      </c>
      <c r="AQ46" s="17">
        <f>I46</f>
        <v>3852</v>
      </c>
      <c r="AR46" s="17">
        <f>I46</f>
        <v>3852</v>
      </c>
      <c r="BB46" s="17">
        <f>I46/18</f>
        <v>214</v>
      </c>
      <c r="BK46" s="79" t="e">
        <f>$AG46*#REF!</f>
        <v>#REF!</v>
      </c>
      <c r="BL46" s="79" t="e">
        <f>$AG46*#REF!</f>
        <v>#REF!</v>
      </c>
      <c r="BM46" s="79" t="e">
        <f>$AG46*#REF!</f>
        <v>#REF!</v>
      </c>
      <c r="BN46" s="79" t="e">
        <f>$AG46*#REF!</f>
        <v>#REF!</v>
      </c>
      <c r="BO46" s="79" t="e">
        <f>$AG46*#REF!</f>
        <v>#REF!</v>
      </c>
      <c r="BP46" s="79" t="e">
        <f>$AG46*#REF!</f>
        <v>#REF!</v>
      </c>
      <c r="BQ46" s="79" t="e">
        <f>$AG46*#REF!</f>
        <v>#REF!</v>
      </c>
      <c r="BR46" s="79" t="e">
        <f>$AG46*#REF!</f>
        <v>#REF!</v>
      </c>
      <c r="BS46" s="79" t="e">
        <f>$AG46*#REF!</f>
        <v>#REF!</v>
      </c>
      <c r="BT46" s="79" t="e">
        <f>$AG46*#REF!</f>
        <v>#REF!</v>
      </c>
      <c r="BU46" s="79" t="e">
        <f>$AG46*#REF!</f>
        <v>#REF!</v>
      </c>
      <c r="BV46" s="79" t="e">
        <f>$AG46*#REF!</f>
        <v>#REF!</v>
      </c>
      <c r="BW46" s="79" t="e">
        <f>$AG46*#REF!</f>
        <v>#REF!</v>
      </c>
      <c r="BX46" s="79" t="e">
        <f>$AG46*#REF!</f>
        <v>#REF!</v>
      </c>
      <c r="BY46" s="79" t="e">
        <f>$AG46*#REF!</f>
        <v>#REF!</v>
      </c>
      <c r="BZ46" s="79" t="e">
        <f>$AG46*#REF!</f>
        <v>#REF!</v>
      </c>
      <c r="CA46" s="79" t="e">
        <f>$AG46*#REF!</f>
        <v>#REF!</v>
      </c>
      <c r="CB46" s="79" t="e">
        <f>$AG46*#REF!</f>
        <v>#REF!</v>
      </c>
      <c r="CC46" s="79" t="e">
        <f>$AG46*#REF!</f>
        <v>#REF!</v>
      </c>
      <c r="CD46" s="79" t="e">
        <f>$AG46*#REF!</f>
        <v>#REF!</v>
      </c>
      <c r="CE46" s="79" t="e">
        <f>$AG46*#REF!</f>
        <v>#REF!</v>
      </c>
      <c r="CF46" s="79"/>
      <c r="CI46" s="17">
        <f t="shared" si="25"/>
        <v>0</v>
      </c>
      <c r="CL46" s="17">
        <f t="shared" si="29"/>
        <v>214</v>
      </c>
    </row>
    <row r="47" s="17" customFormat="1" ht="24" customHeight="1" spans="1:90">
      <c r="A47" s="68">
        <v>44631</v>
      </c>
      <c r="B47" s="69" t="s">
        <v>4136</v>
      </c>
      <c r="C47" s="70" t="s">
        <v>4075</v>
      </c>
      <c r="D47" s="17" t="s">
        <v>4153</v>
      </c>
      <c r="E47" s="91"/>
      <c r="F47" s="75" t="s">
        <v>4154</v>
      </c>
      <c r="G47" s="75"/>
      <c r="H47" s="70" t="s">
        <v>4155</v>
      </c>
      <c r="I47" s="70">
        <v>0</v>
      </c>
      <c r="J47" s="70">
        <v>0</v>
      </c>
      <c r="K47" s="70">
        <v>1</v>
      </c>
      <c r="L47" s="72">
        <f t="shared" si="0"/>
        <v>0</v>
      </c>
      <c r="M47" s="75">
        <v>44665</v>
      </c>
      <c r="N47" s="75" t="s">
        <v>4156</v>
      </c>
      <c r="O47" s="73"/>
      <c r="P47" s="73"/>
      <c r="Q47" s="70"/>
      <c r="R47" s="74" t="s">
        <v>98</v>
      </c>
      <c r="S47" s="74" t="s">
        <v>88</v>
      </c>
      <c r="T47" s="74" t="s">
        <v>98</v>
      </c>
      <c r="U47" s="69" t="s">
        <v>4157</v>
      </c>
      <c r="V47" s="75">
        <v>0</v>
      </c>
      <c r="W47" s="83">
        <v>0</v>
      </c>
      <c r="X47" s="77">
        <v>0</v>
      </c>
      <c r="Y47" s="70"/>
      <c r="Z47" s="70"/>
      <c r="AA47" s="70" t="s">
        <v>4109</v>
      </c>
      <c r="AB47" s="70"/>
      <c r="AC47" s="70">
        <f t="shared" si="36"/>
        <v>0</v>
      </c>
      <c r="AD47" s="78"/>
      <c r="AE47" s="70"/>
      <c r="AF47" s="74"/>
      <c r="BK47" s="79" t="e">
        <f>$AG47*#REF!</f>
        <v>#REF!</v>
      </c>
      <c r="BL47" s="79" t="e">
        <f>$AG47*#REF!</f>
        <v>#REF!</v>
      </c>
      <c r="BM47" s="79" t="e">
        <f>$AG47*#REF!</f>
        <v>#REF!</v>
      </c>
      <c r="BN47" s="79" t="e">
        <f>$AG47*#REF!</f>
        <v>#REF!</v>
      </c>
      <c r="BO47" s="79" t="e">
        <f>$AG47*#REF!</f>
        <v>#REF!</v>
      </c>
      <c r="BP47" s="79" t="e">
        <f>$AG47*#REF!</f>
        <v>#REF!</v>
      </c>
      <c r="BQ47" s="79" t="e">
        <f>$AG47*#REF!</f>
        <v>#REF!</v>
      </c>
      <c r="BR47" s="79" t="e">
        <f>$AG47*#REF!</f>
        <v>#REF!</v>
      </c>
      <c r="BS47" s="79" t="e">
        <f>$AG47*#REF!</f>
        <v>#REF!</v>
      </c>
      <c r="BT47" s="79" t="e">
        <f>$AG47*#REF!</f>
        <v>#REF!</v>
      </c>
      <c r="BU47" s="79" t="e">
        <f>$AG47*#REF!</f>
        <v>#REF!</v>
      </c>
      <c r="BV47" s="79" t="e">
        <f>$AG47*#REF!</f>
        <v>#REF!</v>
      </c>
      <c r="BW47" s="79" t="e">
        <f>$AG47*#REF!</f>
        <v>#REF!</v>
      </c>
      <c r="BX47" s="79" t="e">
        <f>$AG47*#REF!</f>
        <v>#REF!</v>
      </c>
      <c r="BY47" s="79" t="e">
        <f>$AG47*#REF!</f>
        <v>#REF!</v>
      </c>
      <c r="BZ47" s="79" t="e">
        <f>$AG47*#REF!</f>
        <v>#REF!</v>
      </c>
      <c r="CA47" s="79" t="e">
        <f>$AG47*#REF!</f>
        <v>#REF!</v>
      </c>
      <c r="CB47" s="79" t="e">
        <f>$AG47*#REF!</f>
        <v>#REF!</v>
      </c>
      <c r="CC47" s="79" t="e">
        <f>$AG47*#REF!</f>
        <v>#REF!</v>
      </c>
      <c r="CD47" s="79" t="e">
        <f>$AG47*#REF!</f>
        <v>#REF!</v>
      </c>
      <c r="CE47" s="79" t="e">
        <f>$AG47*#REF!</f>
        <v>#REF!</v>
      </c>
      <c r="CF47" s="79"/>
      <c r="CI47" s="17">
        <f t="shared" si="25"/>
        <v>0</v>
      </c>
      <c r="CL47" s="17">
        <f t="shared" si="29"/>
        <v>0</v>
      </c>
    </row>
    <row r="48" s="17" customFormat="1" ht="24" customHeight="1" spans="1:90">
      <c r="A48" s="68">
        <v>44631</v>
      </c>
      <c r="B48" s="69" t="s">
        <v>4136</v>
      </c>
      <c r="C48" s="70" t="s">
        <v>4075</v>
      </c>
      <c r="D48" s="17" t="s">
        <v>4153</v>
      </c>
      <c r="E48" s="91"/>
      <c r="F48" s="75">
        <v>77198</v>
      </c>
      <c r="G48" s="75"/>
      <c r="H48" s="70" t="s">
        <v>4093</v>
      </c>
      <c r="I48" s="70">
        <v>0</v>
      </c>
      <c r="J48" s="70">
        <v>0</v>
      </c>
      <c r="K48" s="70">
        <v>60</v>
      </c>
      <c r="L48" s="72">
        <f t="shared" si="0"/>
        <v>0</v>
      </c>
      <c r="M48" s="75">
        <v>44665</v>
      </c>
      <c r="N48" s="75" t="s">
        <v>4156</v>
      </c>
      <c r="O48" s="73"/>
      <c r="P48" s="73"/>
      <c r="Q48" s="70"/>
      <c r="R48" s="74" t="s">
        <v>98</v>
      </c>
      <c r="S48" s="74" t="s">
        <v>88</v>
      </c>
      <c r="T48" s="74" t="s">
        <v>98</v>
      </c>
      <c r="U48" s="69"/>
      <c r="V48" s="75">
        <v>0</v>
      </c>
      <c r="W48" s="83">
        <v>0</v>
      </c>
      <c r="X48" s="77">
        <v>0</v>
      </c>
      <c r="Y48" s="70"/>
      <c r="Z48" s="70"/>
      <c r="AA48" s="70" t="s">
        <v>4109</v>
      </c>
      <c r="AB48" s="70"/>
      <c r="AC48" s="70">
        <f t="shared" si="36"/>
        <v>0</v>
      </c>
      <c r="AD48" s="78"/>
      <c r="AE48" s="70"/>
      <c r="AF48" s="74"/>
      <c r="AG48" s="17">
        <f t="shared" si="37"/>
        <v>0</v>
      </c>
      <c r="AK48" s="17">
        <f>I48</f>
        <v>0</v>
      </c>
      <c r="AL48" s="17">
        <f>I48</f>
        <v>0</v>
      </c>
      <c r="BA48" s="17">
        <f>I48/18</f>
        <v>0</v>
      </c>
      <c r="BK48" s="79" t="e">
        <f>$AG48*#REF!</f>
        <v>#REF!</v>
      </c>
      <c r="BL48" s="79" t="e">
        <f>$AG48*#REF!</f>
        <v>#REF!</v>
      </c>
      <c r="BM48" s="79" t="e">
        <f>$AG48*#REF!</f>
        <v>#REF!</v>
      </c>
      <c r="BN48" s="79" t="e">
        <f>$AG48*#REF!</f>
        <v>#REF!</v>
      </c>
      <c r="BO48" s="79" t="e">
        <f>$AG48*#REF!</f>
        <v>#REF!</v>
      </c>
      <c r="BP48" s="79" t="e">
        <f>$AG48*#REF!</f>
        <v>#REF!</v>
      </c>
      <c r="BQ48" s="79" t="e">
        <f>$AG48*#REF!</f>
        <v>#REF!</v>
      </c>
      <c r="BR48" s="79" t="e">
        <f>$AG48*#REF!</f>
        <v>#REF!</v>
      </c>
      <c r="BS48" s="79" t="e">
        <f>$AG48*#REF!</f>
        <v>#REF!</v>
      </c>
      <c r="BT48" s="79" t="e">
        <f>$AG48*#REF!</f>
        <v>#REF!</v>
      </c>
      <c r="BU48" s="79" t="e">
        <f>$AG48*#REF!</f>
        <v>#REF!</v>
      </c>
      <c r="BV48" s="79" t="e">
        <f>$AG48*#REF!</f>
        <v>#REF!</v>
      </c>
      <c r="BW48" s="79" t="e">
        <f>$AG48*#REF!</f>
        <v>#REF!</v>
      </c>
      <c r="BX48" s="79" t="e">
        <f>$AG48*#REF!</f>
        <v>#REF!</v>
      </c>
      <c r="BY48" s="79" t="e">
        <f>$AG48*#REF!</f>
        <v>#REF!</v>
      </c>
      <c r="BZ48" s="79" t="e">
        <f>$AG48*#REF!</f>
        <v>#REF!</v>
      </c>
      <c r="CA48" s="79" t="e">
        <f>$AG48*#REF!</f>
        <v>#REF!</v>
      </c>
      <c r="CB48" s="79" t="e">
        <f>$AG48*#REF!</f>
        <v>#REF!</v>
      </c>
      <c r="CC48" s="79" t="e">
        <f>$AG48*#REF!</f>
        <v>#REF!</v>
      </c>
      <c r="CD48" s="79" t="e">
        <f>$AG48*#REF!</f>
        <v>#REF!</v>
      </c>
      <c r="CE48" s="79" t="e">
        <f>$AG48*#REF!</f>
        <v>#REF!</v>
      </c>
      <c r="CF48" s="79"/>
      <c r="CI48" s="17">
        <f t="shared" si="25"/>
        <v>0</v>
      </c>
      <c r="CL48" s="17">
        <f t="shared" si="29"/>
        <v>0</v>
      </c>
    </row>
    <row r="49" s="17" customFormat="1" ht="24" customHeight="1" spans="1:90">
      <c r="A49" s="68">
        <v>44628</v>
      </c>
      <c r="B49" s="69" t="s">
        <v>4121</v>
      </c>
      <c r="C49" s="70" t="s">
        <v>632</v>
      </c>
      <c r="D49" s="17">
        <v>4500072103</v>
      </c>
      <c r="E49" s="91">
        <v>8000639965</v>
      </c>
      <c r="F49" s="75" t="s">
        <v>4123</v>
      </c>
      <c r="G49" s="75"/>
      <c r="H49" s="70" t="s">
        <v>4124</v>
      </c>
      <c r="I49" s="70">
        <v>6390</v>
      </c>
      <c r="J49" s="70">
        <v>0</v>
      </c>
      <c r="K49" s="70">
        <v>18</v>
      </c>
      <c r="L49" s="72">
        <f t="shared" si="0"/>
        <v>355</v>
      </c>
      <c r="M49" s="75">
        <v>44706</v>
      </c>
      <c r="N49" s="75" t="s">
        <v>4158</v>
      </c>
      <c r="O49" s="73"/>
      <c r="P49" s="73" t="s">
        <v>325</v>
      </c>
      <c r="Q49" s="70"/>
      <c r="R49" s="74">
        <v>44642</v>
      </c>
      <c r="S49" s="74" t="s">
        <v>98</v>
      </c>
      <c r="T49" s="74" t="s">
        <v>98</v>
      </c>
      <c r="U49" s="69" t="s">
        <v>4159</v>
      </c>
      <c r="V49" s="75" t="s">
        <v>4092</v>
      </c>
      <c r="W49" s="83">
        <v>1.999</v>
      </c>
      <c r="X49" s="77">
        <f t="shared" ref="X49:X54" si="38">I49*W49</f>
        <v>12773.61</v>
      </c>
      <c r="Y49" s="70"/>
      <c r="Z49" s="70"/>
      <c r="AA49" s="70" t="s">
        <v>4109</v>
      </c>
      <c r="AB49" s="70">
        <v>6390</v>
      </c>
      <c r="AC49" s="70">
        <f t="shared" si="36"/>
        <v>0</v>
      </c>
      <c r="AD49" s="78" t="s">
        <v>98</v>
      </c>
      <c r="AE49" s="70"/>
      <c r="AF49" s="74"/>
      <c r="AG49" s="17">
        <f t="shared" si="37"/>
        <v>6390</v>
      </c>
      <c r="AO49" s="17">
        <f>I49</f>
        <v>6390</v>
      </c>
      <c r="AP49" s="17">
        <f>I49</f>
        <v>6390</v>
      </c>
      <c r="BB49" s="17">
        <f>I49/18</f>
        <v>355</v>
      </c>
      <c r="BK49" s="79" t="e">
        <f>$AG49*#REF!</f>
        <v>#REF!</v>
      </c>
      <c r="BL49" s="79" t="e">
        <f>$AG49*#REF!</f>
        <v>#REF!</v>
      </c>
      <c r="BM49" s="79" t="e">
        <f>$AG49*#REF!</f>
        <v>#REF!</v>
      </c>
      <c r="BN49" s="79" t="e">
        <f>$AG49*#REF!</f>
        <v>#REF!</v>
      </c>
      <c r="BO49" s="79" t="e">
        <f>$AG49*#REF!</f>
        <v>#REF!</v>
      </c>
      <c r="BP49" s="79" t="e">
        <f>$AG49*#REF!</f>
        <v>#REF!</v>
      </c>
      <c r="BQ49" s="79" t="e">
        <f>$AG49*#REF!</f>
        <v>#REF!</v>
      </c>
      <c r="BR49" s="79" t="e">
        <f>$AG49*#REF!</f>
        <v>#REF!</v>
      </c>
      <c r="BS49" s="79" t="e">
        <f>$AG49*#REF!</f>
        <v>#REF!</v>
      </c>
      <c r="BT49" s="79" t="e">
        <f>$AG49*#REF!</f>
        <v>#REF!</v>
      </c>
      <c r="BU49" s="79" t="e">
        <f>$AG49*#REF!</f>
        <v>#REF!</v>
      </c>
      <c r="BV49" s="79" t="e">
        <f>$AG49*#REF!</f>
        <v>#REF!</v>
      </c>
      <c r="BW49" s="79" t="e">
        <f>$AG49*#REF!</f>
        <v>#REF!</v>
      </c>
      <c r="BX49" s="79" t="e">
        <f>$AG49*#REF!</f>
        <v>#REF!</v>
      </c>
      <c r="BY49" s="79" t="e">
        <f>$AG49*#REF!</f>
        <v>#REF!</v>
      </c>
      <c r="BZ49" s="79" t="e">
        <f>$AG49*#REF!</f>
        <v>#REF!</v>
      </c>
      <c r="CA49" s="79" t="e">
        <f>$AG49*#REF!</f>
        <v>#REF!</v>
      </c>
      <c r="CB49" s="79" t="e">
        <f>$AG49*#REF!</f>
        <v>#REF!</v>
      </c>
      <c r="CC49" s="79" t="e">
        <f>$AG49*#REF!</f>
        <v>#REF!</v>
      </c>
      <c r="CD49" s="79" t="e">
        <f>$AG49*#REF!</f>
        <v>#REF!</v>
      </c>
      <c r="CE49" s="79" t="e">
        <f>$AG49*#REF!</f>
        <v>#REF!</v>
      </c>
      <c r="CF49" s="79"/>
      <c r="CI49" s="17">
        <f t="shared" si="25"/>
        <v>0</v>
      </c>
      <c r="CL49" s="17">
        <f t="shared" si="29"/>
        <v>355</v>
      </c>
    </row>
    <row r="50" s="17" customFormat="1" ht="24" customHeight="1" spans="1:90">
      <c r="A50" s="68">
        <v>44621</v>
      </c>
      <c r="B50" s="69" t="s">
        <v>4160</v>
      </c>
      <c r="C50" s="70" t="s">
        <v>103</v>
      </c>
      <c r="D50" s="69">
        <v>4500071735</v>
      </c>
      <c r="E50" s="70"/>
      <c r="F50" s="71" t="s">
        <v>4161</v>
      </c>
      <c r="G50" s="71"/>
      <c r="H50" s="70" t="s">
        <v>4155</v>
      </c>
      <c r="I50" s="70">
        <v>4</v>
      </c>
      <c r="J50" s="70">
        <v>0</v>
      </c>
      <c r="K50" s="70">
        <v>960</v>
      </c>
      <c r="L50" s="72">
        <f>I50</f>
        <v>4</v>
      </c>
      <c r="M50" s="75">
        <v>44693</v>
      </c>
      <c r="N50" s="75" t="s">
        <v>4162</v>
      </c>
      <c r="O50" s="73"/>
      <c r="P50" s="73"/>
      <c r="Q50" s="70"/>
      <c r="R50" s="74" t="s">
        <v>89</v>
      </c>
      <c r="S50" s="74" t="s">
        <v>88</v>
      </c>
      <c r="T50" s="74">
        <v>44665</v>
      </c>
      <c r="U50" s="87" t="s">
        <v>4163</v>
      </c>
      <c r="V50" s="75" t="s">
        <v>1847</v>
      </c>
      <c r="W50" s="76">
        <v>1925.4477</v>
      </c>
      <c r="X50" s="77">
        <f t="shared" si="38"/>
        <v>7701.7908</v>
      </c>
      <c r="Y50" s="70"/>
      <c r="Z50" s="70"/>
      <c r="AA50" s="70" t="s">
        <v>4109</v>
      </c>
      <c r="AB50" s="70"/>
      <c r="AC50" s="70">
        <f t="shared" si="36"/>
        <v>-4</v>
      </c>
      <c r="AD50" s="78" t="s">
        <v>95</v>
      </c>
      <c r="AE50" s="70"/>
      <c r="AF50" s="74"/>
      <c r="BK50" s="79" t="e">
        <f>$AG50*#REF!</f>
        <v>#REF!</v>
      </c>
      <c r="BL50" s="79" t="e">
        <f>$AG50*#REF!</f>
        <v>#REF!</v>
      </c>
      <c r="BM50" s="79" t="e">
        <f>$AG50*#REF!</f>
        <v>#REF!</v>
      </c>
      <c r="BN50" s="79" t="e">
        <f>$AG50*#REF!</f>
        <v>#REF!</v>
      </c>
      <c r="BO50" s="79" t="e">
        <f>$AG50*#REF!</f>
        <v>#REF!</v>
      </c>
      <c r="BP50" s="79" t="e">
        <f>$AG50*#REF!</f>
        <v>#REF!</v>
      </c>
      <c r="BQ50" s="79" t="e">
        <f>$AG50*#REF!</f>
        <v>#REF!</v>
      </c>
      <c r="BR50" s="79" t="e">
        <f>$AG50*#REF!</f>
        <v>#REF!</v>
      </c>
      <c r="BS50" s="79" t="e">
        <f>$AG50*#REF!</f>
        <v>#REF!</v>
      </c>
      <c r="BT50" s="79" t="e">
        <f>$AG50*#REF!</f>
        <v>#REF!</v>
      </c>
      <c r="BU50" s="79" t="e">
        <f>$AG50*#REF!</f>
        <v>#REF!</v>
      </c>
      <c r="BV50" s="79" t="e">
        <f>$AG50*#REF!</f>
        <v>#REF!</v>
      </c>
      <c r="BW50" s="79" t="e">
        <f>$AG50*#REF!</f>
        <v>#REF!</v>
      </c>
      <c r="BX50" s="79" t="e">
        <f>$AG50*#REF!</f>
        <v>#REF!</v>
      </c>
      <c r="BY50" s="79" t="e">
        <f>$AG50*#REF!</f>
        <v>#REF!</v>
      </c>
      <c r="BZ50" s="79" t="e">
        <f>$AG50*#REF!</f>
        <v>#REF!</v>
      </c>
      <c r="CA50" s="79" t="e">
        <f>$AG50*#REF!</f>
        <v>#REF!</v>
      </c>
      <c r="CB50" s="79" t="e">
        <f>$AG50*#REF!</f>
        <v>#REF!</v>
      </c>
      <c r="CC50" s="79" t="e">
        <f>$AG50*#REF!</f>
        <v>#REF!</v>
      </c>
      <c r="CD50" s="79" t="e">
        <f>$AG50*#REF!</f>
        <v>#REF!</v>
      </c>
      <c r="CE50" s="79" t="e">
        <f>$AG50*#REF!</f>
        <v>#REF!</v>
      </c>
      <c r="CF50" s="79"/>
      <c r="CI50" s="17">
        <f t="shared" si="25"/>
        <v>0</v>
      </c>
      <c r="CL50" s="17">
        <f t="shared" si="29"/>
        <v>0</v>
      </c>
    </row>
    <row r="51" s="17" customFormat="1" ht="24" customHeight="1" spans="1:90">
      <c r="A51" s="68">
        <v>44621</v>
      </c>
      <c r="B51" s="69" t="s">
        <v>4160</v>
      </c>
      <c r="C51" s="70" t="s">
        <v>103</v>
      </c>
      <c r="D51" s="69">
        <v>4500071735</v>
      </c>
      <c r="E51" s="70"/>
      <c r="F51" s="71" t="s">
        <v>4164</v>
      </c>
      <c r="G51" s="71"/>
      <c r="H51" s="70" t="s">
        <v>4093</v>
      </c>
      <c r="I51" s="70">
        <v>3840</v>
      </c>
      <c r="J51" s="70">
        <v>0</v>
      </c>
      <c r="K51" s="70">
        <v>960</v>
      </c>
      <c r="L51" s="72">
        <f t="shared" ref="L51:L114" si="39">I51/K51</f>
        <v>4</v>
      </c>
      <c r="M51" s="75">
        <v>44693</v>
      </c>
      <c r="N51" s="75" t="s">
        <v>4162</v>
      </c>
      <c r="O51" s="73"/>
      <c r="P51" s="73"/>
      <c r="Q51" s="70"/>
      <c r="R51" s="74" t="s">
        <v>89</v>
      </c>
      <c r="S51" s="74" t="s">
        <v>88</v>
      </c>
      <c r="T51" s="74">
        <v>44665</v>
      </c>
      <c r="U51" s="95"/>
      <c r="V51" s="75" t="s">
        <v>1847</v>
      </c>
      <c r="W51" s="76">
        <v>0</v>
      </c>
      <c r="X51" s="77">
        <f t="shared" si="38"/>
        <v>0</v>
      </c>
      <c r="Y51" s="70"/>
      <c r="Z51" s="70"/>
      <c r="AA51" s="70" t="s">
        <v>4109</v>
      </c>
      <c r="AB51" s="70"/>
      <c r="AC51" s="70">
        <f t="shared" si="36"/>
        <v>-3840</v>
      </c>
      <c r="AD51" s="96"/>
      <c r="AE51" s="70"/>
      <c r="AF51" s="74"/>
      <c r="AG51" s="17">
        <f t="shared" ref="AG51:AG53" si="40">I51</f>
        <v>3840</v>
      </c>
      <c r="AM51" s="17">
        <f>I51</f>
        <v>3840</v>
      </c>
      <c r="AN51" s="17">
        <f>I51</f>
        <v>3840</v>
      </c>
      <c r="BG51" s="17">
        <f>I51/8</f>
        <v>480</v>
      </c>
      <c r="BK51" s="79" t="e">
        <f>$AG51*#REF!</f>
        <v>#REF!</v>
      </c>
      <c r="BL51" s="79" t="e">
        <f>$AG51*#REF!</f>
        <v>#REF!</v>
      </c>
      <c r="BM51" s="79" t="e">
        <f>$AG51*#REF!</f>
        <v>#REF!</v>
      </c>
      <c r="BN51" s="79" t="e">
        <f>$AG51*#REF!</f>
        <v>#REF!</v>
      </c>
      <c r="BO51" s="79" t="e">
        <f>$AG51*#REF!</f>
        <v>#REF!</v>
      </c>
      <c r="BP51" s="79" t="e">
        <f>$AG51*#REF!</f>
        <v>#REF!</v>
      </c>
      <c r="BQ51" s="79" t="e">
        <f>$AG51*#REF!</f>
        <v>#REF!</v>
      </c>
      <c r="BR51" s="79" t="e">
        <f>$AG51*#REF!</f>
        <v>#REF!</v>
      </c>
      <c r="BS51" s="79" t="e">
        <f>$AG51*#REF!</f>
        <v>#REF!</v>
      </c>
      <c r="BT51" s="79" t="e">
        <f>$AG51*#REF!</f>
        <v>#REF!</v>
      </c>
      <c r="BU51" s="79" t="e">
        <f>$AG51*#REF!</f>
        <v>#REF!</v>
      </c>
      <c r="BV51" s="79" t="e">
        <f>$AG51*#REF!</f>
        <v>#REF!</v>
      </c>
      <c r="BW51" s="79" t="e">
        <f>$AG51*#REF!</f>
        <v>#REF!</v>
      </c>
      <c r="BX51" s="79" t="e">
        <f>$AG51*#REF!</f>
        <v>#REF!</v>
      </c>
      <c r="BY51" s="79" t="e">
        <f>$AG51*#REF!</f>
        <v>#REF!</v>
      </c>
      <c r="BZ51" s="79" t="e">
        <f>$AG51*#REF!</f>
        <v>#REF!</v>
      </c>
      <c r="CA51" s="79" t="e">
        <f>$AG51*#REF!</f>
        <v>#REF!</v>
      </c>
      <c r="CB51" s="79" t="e">
        <f>$AG51*#REF!</f>
        <v>#REF!</v>
      </c>
      <c r="CC51" s="79" t="e">
        <f>$AG51*#REF!</f>
        <v>#REF!</v>
      </c>
      <c r="CD51" s="79" t="e">
        <f>$AG51*#REF!</f>
        <v>#REF!</v>
      </c>
      <c r="CE51" s="79" t="e">
        <f>$AG51*#REF!</f>
        <v>#REF!</v>
      </c>
      <c r="CF51" s="79"/>
      <c r="CI51" s="17">
        <f t="shared" si="25"/>
        <v>0</v>
      </c>
      <c r="CL51" s="17">
        <f t="shared" si="29"/>
        <v>0</v>
      </c>
    </row>
    <row r="52" s="18" customFormat="1" ht="24" customHeight="1" spans="1:90">
      <c r="A52" s="93">
        <v>44630</v>
      </c>
      <c r="B52" s="87" t="s">
        <v>4117</v>
      </c>
      <c r="C52" s="78" t="s">
        <v>1068</v>
      </c>
      <c r="D52" s="87">
        <v>4500072674</v>
      </c>
      <c r="E52" s="78">
        <v>4500845201</v>
      </c>
      <c r="F52" s="84" t="s">
        <v>4111</v>
      </c>
      <c r="G52" s="84"/>
      <c r="H52" s="78" t="s">
        <v>4112</v>
      </c>
      <c r="I52" s="78">
        <v>1980</v>
      </c>
      <c r="J52" s="78">
        <v>0</v>
      </c>
      <c r="K52" s="78">
        <v>36</v>
      </c>
      <c r="L52" s="72">
        <f t="shared" si="39"/>
        <v>55</v>
      </c>
      <c r="M52" s="84">
        <v>44778</v>
      </c>
      <c r="N52" s="84" t="s">
        <v>4140</v>
      </c>
      <c r="O52" s="86"/>
      <c r="P52" s="86"/>
      <c r="Q52" s="78"/>
      <c r="R52" s="90" t="s">
        <v>89</v>
      </c>
      <c r="S52" s="90" t="s">
        <v>98</v>
      </c>
      <c r="T52" s="90" t="s">
        <v>89</v>
      </c>
      <c r="U52" s="87" t="s">
        <v>4141</v>
      </c>
      <c r="V52" s="84" t="s">
        <v>2231</v>
      </c>
      <c r="W52" s="88">
        <v>2.0315</v>
      </c>
      <c r="X52" s="89">
        <f t="shared" si="38"/>
        <v>4022.37</v>
      </c>
      <c r="Y52" s="78"/>
      <c r="Z52" s="78"/>
      <c r="AA52" s="70" t="s">
        <v>4109</v>
      </c>
      <c r="AB52" s="78"/>
      <c r="AC52" s="78"/>
      <c r="AD52" s="78"/>
      <c r="AE52" s="78"/>
      <c r="AF52" s="90"/>
      <c r="AG52" s="18">
        <f t="shared" si="40"/>
        <v>1980</v>
      </c>
      <c r="AO52" s="18">
        <f>I52</f>
        <v>1980</v>
      </c>
      <c r="AP52" s="18">
        <f>I52</f>
        <v>1980</v>
      </c>
      <c r="BC52" s="18">
        <f>I52/18</f>
        <v>110</v>
      </c>
      <c r="BK52" s="79" t="e">
        <f>$AG52*#REF!</f>
        <v>#REF!</v>
      </c>
      <c r="BL52" s="79" t="e">
        <f>$AG52*#REF!</f>
        <v>#REF!</v>
      </c>
      <c r="BM52" s="79" t="e">
        <f>$AG52*#REF!</f>
        <v>#REF!</v>
      </c>
      <c r="BN52" s="79" t="e">
        <f>$AG52*#REF!</f>
        <v>#REF!</v>
      </c>
      <c r="BO52" s="79" t="e">
        <f>$AG52*#REF!</f>
        <v>#REF!</v>
      </c>
      <c r="BP52" s="79" t="e">
        <f>$AG52*#REF!</f>
        <v>#REF!</v>
      </c>
      <c r="BQ52" s="79" t="e">
        <f>$AG52*#REF!</f>
        <v>#REF!</v>
      </c>
      <c r="BR52" s="79" t="e">
        <f>$AG52*#REF!</f>
        <v>#REF!</v>
      </c>
      <c r="BS52" s="79" t="e">
        <f>$AG52*#REF!</f>
        <v>#REF!</v>
      </c>
      <c r="BT52" s="79" t="e">
        <f>$AG52*#REF!</f>
        <v>#REF!</v>
      </c>
      <c r="BU52" s="79" t="e">
        <f>$AG52*#REF!</f>
        <v>#REF!</v>
      </c>
      <c r="BV52" s="79" t="e">
        <f>$AG52*#REF!</f>
        <v>#REF!</v>
      </c>
      <c r="BW52" s="79" t="e">
        <f>$AG52*#REF!</f>
        <v>#REF!</v>
      </c>
      <c r="BX52" s="79" t="e">
        <f>$AG52*#REF!</f>
        <v>#REF!</v>
      </c>
      <c r="BY52" s="79" t="e">
        <f>$AG52*#REF!</f>
        <v>#REF!</v>
      </c>
      <c r="BZ52" s="79" t="e">
        <f>$AG52*#REF!</f>
        <v>#REF!</v>
      </c>
      <c r="CA52" s="79" t="e">
        <f>$AG52*#REF!</f>
        <v>#REF!</v>
      </c>
      <c r="CB52" s="79" t="e">
        <f>$AG52*#REF!</f>
        <v>#REF!</v>
      </c>
      <c r="CC52" s="79" t="e">
        <f>$AG52*#REF!</f>
        <v>#REF!</v>
      </c>
      <c r="CD52" s="79" t="e">
        <f>$AG52*#REF!</f>
        <v>#REF!</v>
      </c>
      <c r="CE52" s="79" t="e">
        <f>$AG52*#REF!</f>
        <v>#REF!</v>
      </c>
      <c r="CF52" s="79"/>
      <c r="CG52" s="17"/>
      <c r="CH52" s="17"/>
      <c r="CI52" s="17">
        <f t="shared" si="25"/>
        <v>0</v>
      </c>
      <c r="CJ52" s="17"/>
      <c r="CK52" s="17"/>
      <c r="CL52" s="17">
        <f t="shared" si="29"/>
        <v>0</v>
      </c>
    </row>
    <row r="53" s="17" customFormat="1" ht="24" customHeight="1" spans="1:90">
      <c r="A53" s="68">
        <v>44693</v>
      </c>
      <c r="B53" s="69" t="s">
        <v>4165</v>
      </c>
      <c r="C53" s="70" t="s">
        <v>125</v>
      </c>
      <c r="D53" s="69">
        <v>4500078773</v>
      </c>
      <c r="E53" s="70" t="s">
        <v>4166</v>
      </c>
      <c r="F53" s="71" t="s">
        <v>4111</v>
      </c>
      <c r="G53" s="97"/>
      <c r="H53" s="96" t="s">
        <v>4093</v>
      </c>
      <c r="I53" s="70">
        <v>2016</v>
      </c>
      <c r="J53" s="70">
        <v>0</v>
      </c>
      <c r="K53" s="70">
        <v>36</v>
      </c>
      <c r="L53" s="72">
        <f t="shared" si="39"/>
        <v>56</v>
      </c>
      <c r="M53" s="75">
        <v>44729</v>
      </c>
      <c r="N53" s="84" t="s">
        <v>4167</v>
      </c>
      <c r="O53" s="73"/>
      <c r="P53" s="73"/>
      <c r="Q53" s="70"/>
      <c r="R53" s="74" t="s">
        <v>89</v>
      </c>
      <c r="S53" s="74" t="s">
        <v>98</v>
      </c>
      <c r="T53" s="74" t="s">
        <v>98</v>
      </c>
      <c r="U53" s="95" t="s">
        <v>4168</v>
      </c>
      <c r="V53" s="75" t="s">
        <v>4169</v>
      </c>
      <c r="W53" s="83">
        <v>2.0096</v>
      </c>
      <c r="X53" s="77">
        <f t="shared" si="38"/>
        <v>4051.3536</v>
      </c>
      <c r="Y53" s="70"/>
      <c r="Z53" s="70"/>
      <c r="AA53" s="70"/>
      <c r="AB53" s="70"/>
      <c r="AC53" s="70"/>
      <c r="AD53" s="78" t="s">
        <v>98</v>
      </c>
      <c r="AE53" s="70"/>
      <c r="AF53" s="74"/>
      <c r="AG53" s="17">
        <f t="shared" si="40"/>
        <v>2016</v>
      </c>
      <c r="AK53" s="17">
        <f>I53</f>
        <v>2016</v>
      </c>
      <c r="AL53" s="17">
        <f>I53</f>
        <v>2016</v>
      </c>
      <c r="AZ53" s="17">
        <f>I53/18</f>
        <v>112</v>
      </c>
      <c r="BK53" s="79" t="e">
        <f>$AG53*#REF!</f>
        <v>#REF!</v>
      </c>
      <c r="BL53" s="79" t="e">
        <f>$AG53*#REF!</f>
        <v>#REF!</v>
      </c>
      <c r="BM53" s="79" t="e">
        <f>$AG53*#REF!</f>
        <v>#REF!</v>
      </c>
      <c r="BN53" s="79" t="e">
        <f>$AG53*#REF!</f>
        <v>#REF!</v>
      </c>
      <c r="BO53" s="79" t="e">
        <f>$AG53*#REF!</f>
        <v>#REF!</v>
      </c>
      <c r="BP53" s="79" t="e">
        <f>$AG53*#REF!</f>
        <v>#REF!</v>
      </c>
      <c r="BQ53" s="79" t="e">
        <f>$AG53*#REF!</f>
        <v>#REF!</v>
      </c>
      <c r="BR53" s="79" t="e">
        <f>$AG53*#REF!</f>
        <v>#REF!</v>
      </c>
      <c r="BS53" s="79" t="e">
        <f>$AG53*#REF!</f>
        <v>#REF!</v>
      </c>
      <c r="BT53" s="79" t="e">
        <f>$AG53*#REF!</f>
        <v>#REF!</v>
      </c>
      <c r="BU53" s="79" t="e">
        <f>$AG53*#REF!</f>
        <v>#REF!</v>
      </c>
      <c r="BV53" s="79" t="e">
        <f>$AG53*#REF!</f>
        <v>#REF!</v>
      </c>
      <c r="BW53" s="79" t="e">
        <f>$AG53*#REF!</f>
        <v>#REF!</v>
      </c>
      <c r="BX53" s="79" t="e">
        <f>$AG53*#REF!</f>
        <v>#REF!</v>
      </c>
      <c r="BY53" s="79" t="e">
        <f>$AG53*#REF!</f>
        <v>#REF!</v>
      </c>
      <c r="BZ53" s="79" t="e">
        <f>$AG53*#REF!</f>
        <v>#REF!</v>
      </c>
      <c r="CA53" s="79" t="e">
        <f>$AG53*#REF!</f>
        <v>#REF!</v>
      </c>
      <c r="CB53" s="79" t="e">
        <f>$AG53*#REF!</f>
        <v>#REF!</v>
      </c>
      <c r="CC53" s="79" t="e">
        <f>$AG53*#REF!</f>
        <v>#REF!</v>
      </c>
      <c r="CD53" s="79" t="e">
        <f>$AG53*#REF!</f>
        <v>#REF!</v>
      </c>
      <c r="CE53" s="79" t="e">
        <f>$AG53*#REF!</f>
        <v>#REF!</v>
      </c>
      <c r="CF53" s="79"/>
      <c r="CI53" s="17">
        <f t="shared" si="25"/>
        <v>0</v>
      </c>
      <c r="CL53" s="17">
        <f t="shared" si="29"/>
        <v>112</v>
      </c>
    </row>
    <row r="54" s="17" customFormat="1" ht="24" customHeight="1" spans="1:90">
      <c r="A54" s="68">
        <v>44663</v>
      </c>
      <c r="B54" s="69" t="s">
        <v>240</v>
      </c>
      <c r="C54" s="70" t="s">
        <v>125</v>
      </c>
      <c r="D54" s="69">
        <v>4500075834</v>
      </c>
      <c r="E54" s="70">
        <v>4231913188</v>
      </c>
      <c r="F54" s="71" t="s">
        <v>4154</v>
      </c>
      <c r="G54" s="97"/>
      <c r="H54" s="96" t="s">
        <v>4155</v>
      </c>
      <c r="I54" s="70">
        <v>5</v>
      </c>
      <c r="J54" s="70">
        <v>0</v>
      </c>
      <c r="K54" s="70">
        <v>1</v>
      </c>
      <c r="L54" s="72">
        <f t="shared" si="39"/>
        <v>5</v>
      </c>
      <c r="M54" s="75">
        <v>44692</v>
      </c>
      <c r="N54" s="84" t="s">
        <v>4133</v>
      </c>
      <c r="O54" s="73"/>
      <c r="P54" s="73"/>
      <c r="Q54" s="70"/>
      <c r="R54" s="74">
        <v>44664</v>
      </c>
      <c r="S54" s="74" t="s">
        <v>88</v>
      </c>
      <c r="T54" s="74">
        <v>44679</v>
      </c>
      <c r="U54" s="95" t="s">
        <v>4170</v>
      </c>
      <c r="V54" s="75" t="s">
        <v>4092</v>
      </c>
      <c r="W54" s="83">
        <v>2138.4117</v>
      </c>
      <c r="X54" s="77">
        <f t="shared" si="38"/>
        <v>10692.0585</v>
      </c>
      <c r="Y54" s="70"/>
      <c r="Z54" s="70"/>
      <c r="AA54" s="70" t="s">
        <v>4109</v>
      </c>
      <c r="AB54" s="70"/>
      <c r="AC54" s="70">
        <f>AB54-I54</f>
        <v>-5</v>
      </c>
      <c r="AD54" s="78"/>
      <c r="AE54" s="70"/>
      <c r="AF54" s="74"/>
      <c r="BK54" s="79" t="e">
        <f>$AG54*#REF!</f>
        <v>#REF!</v>
      </c>
      <c r="BL54" s="79" t="e">
        <f>$AG54*#REF!</f>
        <v>#REF!</v>
      </c>
      <c r="BM54" s="79" t="e">
        <f>$AG54*#REF!</f>
        <v>#REF!</v>
      </c>
      <c r="BN54" s="79" t="e">
        <f>$AG54*#REF!</f>
        <v>#REF!</v>
      </c>
      <c r="BO54" s="79" t="e">
        <f>$AG54*#REF!</f>
        <v>#REF!</v>
      </c>
      <c r="BP54" s="79" t="e">
        <f>$AG54*#REF!</f>
        <v>#REF!</v>
      </c>
      <c r="BQ54" s="79" t="e">
        <f>$AG54*#REF!</f>
        <v>#REF!</v>
      </c>
      <c r="BR54" s="79" t="e">
        <f>$AG54*#REF!</f>
        <v>#REF!</v>
      </c>
      <c r="BS54" s="79" t="e">
        <f>$AG54*#REF!</f>
        <v>#REF!</v>
      </c>
      <c r="BT54" s="79" t="e">
        <f>$AG54*#REF!</f>
        <v>#REF!</v>
      </c>
      <c r="BU54" s="79" t="e">
        <f>$AG54*#REF!</f>
        <v>#REF!</v>
      </c>
      <c r="BV54" s="79" t="e">
        <f>$AG54*#REF!</f>
        <v>#REF!</v>
      </c>
      <c r="BW54" s="79" t="e">
        <f>$AG54*#REF!</f>
        <v>#REF!</v>
      </c>
      <c r="BX54" s="79" t="e">
        <f>$AG54*#REF!</f>
        <v>#REF!</v>
      </c>
      <c r="BY54" s="79" t="e">
        <f>$AG54*#REF!</f>
        <v>#REF!</v>
      </c>
      <c r="BZ54" s="79" t="e">
        <f>$AG54*#REF!</f>
        <v>#REF!</v>
      </c>
      <c r="CA54" s="79" t="e">
        <f>$AG54*#REF!</f>
        <v>#REF!</v>
      </c>
      <c r="CB54" s="79" t="e">
        <f>$AG54*#REF!</f>
        <v>#REF!</v>
      </c>
      <c r="CC54" s="79" t="e">
        <f>$AG54*#REF!</f>
        <v>#REF!</v>
      </c>
      <c r="CD54" s="79" t="e">
        <f>$AG54*#REF!</f>
        <v>#REF!</v>
      </c>
      <c r="CE54" s="79" t="e">
        <f>$AG54*#REF!</f>
        <v>#REF!</v>
      </c>
      <c r="CF54" s="79"/>
      <c r="CI54" s="17">
        <f t="shared" si="25"/>
        <v>0</v>
      </c>
      <c r="CL54" s="17">
        <f t="shared" si="29"/>
        <v>0</v>
      </c>
    </row>
    <row r="55" s="17" customFormat="1" ht="24" customHeight="1" spans="1:90">
      <c r="A55" s="68">
        <v>44663</v>
      </c>
      <c r="B55" s="69" t="s">
        <v>240</v>
      </c>
      <c r="C55" s="70" t="s">
        <v>125</v>
      </c>
      <c r="D55" s="69">
        <v>4500075834</v>
      </c>
      <c r="E55" s="70">
        <v>4231913188</v>
      </c>
      <c r="F55" s="71" t="s">
        <v>4138</v>
      </c>
      <c r="G55" s="97"/>
      <c r="H55" s="96" t="s">
        <v>4093</v>
      </c>
      <c r="I55" s="70">
        <v>5400</v>
      </c>
      <c r="J55" s="70">
        <v>0</v>
      </c>
      <c r="K55" s="70">
        <v>1080</v>
      </c>
      <c r="L55" s="72">
        <f t="shared" si="39"/>
        <v>5</v>
      </c>
      <c r="M55" s="75">
        <v>44692</v>
      </c>
      <c r="N55" s="84" t="s">
        <v>4133</v>
      </c>
      <c r="O55" s="73"/>
      <c r="P55" s="73"/>
      <c r="Q55" s="70"/>
      <c r="R55" s="74">
        <v>44664</v>
      </c>
      <c r="S55" s="74" t="s">
        <v>88</v>
      </c>
      <c r="T55" s="74">
        <v>44679</v>
      </c>
      <c r="U55" s="95"/>
      <c r="V55" s="75" t="s">
        <v>4092</v>
      </c>
      <c r="W55" s="83">
        <v>0</v>
      </c>
      <c r="X55" s="77">
        <v>0</v>
      </c>
      <c r="Y55" s="70"/>
      <c r="Z55" s="70"/>
      <c r="AA55" s="70" t="s">
        <v>4109</v>
      </c>
      <c r="AB55" s="70"/>
      <c r="AC55" s="70">
        <f>AB55-I55</f>
        <v>-5400</v>
      </c>
      <c r="AD55" s="78"/>
      <c r="AE55" s="70"/>
      <c r="AF55" s="74"/>
      <c r="AG55" s="17">
        <f t="shared" ref="AG55:AG59" si="41">I55</f>
        <v>5400</v>
      </c>
      <c r="AM55" s="17">
        <f t="shared" ref="AM55:AM59" si="42">I55</f>
        <v>5400</v>
      </c>
      <c r="AN55" s="17">
        <f t="shared" ref="AN55:AN59" si="43">I55</f>
        <v>5400</v>
      </c>
      <c r="BA55" s="17">
        <f t="shared" ref="BA55:BA59" si="44">I55/18</f>
        <v>300</v>
      </c>
      <c r="BK55" s="79" t="e">
        <f>$AG55*#REF!</f>
        <v>#REF!</v>
      </c>
      <c r="BL55" s="79" t="e">
        <f>$AG55*#REF!</f>
        <v>#REF!</v>
      </c>
      <c r="BM55" s="79" t="e">
        <f>$AG55*#REF!</f>
        <v>#REF!</v>
      </c>
      <c r="BN55" s="79" t="e">
        <f>$AG55*#REF!</f>
        <v>#REF!</v>
      </c>
      <c r="BO55" s="79" t="e">
        <f>$AG55*#REF!</f>
        <v>#REF!</v>
      </c>
      <c r="BP55" s="79" t="e">
        <f>$AG55*#REF!</f>
        <v>#REF!</v>
      </c>
      <c r="BQ55" s="79" t="e">
        <f>$AG55*#REF!</f>
        <v>#REF!</v>
      </c>
      <c r="BR55" s="79" t="e">
        <f>$AG55*#REF!</f>
        <v>#REF!</v>
      </c>
      <c r="BS55" s="79" t="e">
        <f>$AG55*#REF!</f>
        <v>#REF!</v>
      </c>
      <c r="BT55" s="79" t="e">
        <f>$AG55*#REF!</f>
        <v>#REF!</v>
      </c>
      <c r="BU55" s="79" t="e">
        <f>$AG55*#REF!</f>
        <v>#REF!</v>
      </c>
      <c r="BV55" s="79" t="e">
        <f>$AG55*#REF!</f>
        <v>#REF!</v>
      </c>
      <c r="BW55" s="79" t="e">
        <f>$AG55*#REF!</f>
        <v>#REF!</v>
      </c>
      <c r="BX55" s="79" t="e">
        <f>$AG55*#REF!</f>
        <v>#REF!</v>
      </c>
      <c r="BY55" s="79" t="e">
        <f>$AG55*#REF!</f>
        <v>#REF!</v>
      </c>
      <c r="BZ55" s="79" t="e">
        <f>$AG55*#REF!</f>
        <v>#REF!</v>
      </c>
      <c r="CA55" s="79" t="e">
        <f>$AG55*#REF!</f>
        <v>#REF!</v>
      </c>
      <c r="CB55" s="79" t="e">
        <f>$AG55*#REF!</f>
        <v>#REF!</v>
      </c>
      <c r="CC55" s="79" t="e">
        <f>$AG55*#REF!</f>
        <v>#REF!</v>
      </c>
      <c r="CD55" s="79" t="e">
        <f>$AG55*#REF!</f>
        <v>#REF!</v>
      </c>
      <c r="CE55" s="79" t="e">
        <f>$AG55*#REF!</f>
        <v>#REF!</v>
      </c>
      <c r="CF55" s="79"/>
      <c r="CI55" s="17">
        <f t="shared" si="25"/>
        <v>0</v>
      </c>
      <c r="CL55" s="17">
        <f t="shared" si="29"/>
        <v>300</v>
      </c>
    </row>
    <row r="56" s="17" customFormat="1" ht="24" customHeight="1" spans="1:90">
      <c r="A56" s="68">
        <v>44663</v>
      </c>
      <c r="B56" s="69" t="s">
        <v>240</v>
      </c>
      <c r="C56" s="70" t="s">
        <v>125</v>
      </c>
      <c r="D56" s="69">
        <v>4500075835</v>
      </c>
      <c r="E56" s="70">
        <v>4231913186</v>
      </c>
      <c r="F56" s="71" t="s">
        <v>4154</v>
      </c>
      <c r="G56" s="97"/>
      <c r="H56" s="96" t="s">
        <v>4155</v>
      </c>
      <c r="I56" s="70">
        <v>9</v>
      </c>
      <c r="J56" s="70">
        <v>0</v>
      </c>
      <c r="K56" s="70">
        <v>1</v>
      </c>
      <c r="L56" s="72">
        <f t="shared" si="39"/>
        <v>9</v>
      </c>
      <c r="M56" s="75">
        <v>44692</v>
      </c>
      <c r="N56" s="84" t="s">
        <v>4133</v>
      </c>
      <c r="O56" s="73"/>
      <c r="P56" s="73"/>
      <c r="Q56" s="70"/>
      <c r="R56" s="74">
        <v>44664</v>
      </c>
      <c r="S56" s="74" t="s">
        <v>88</v>
      </c>
      <c r="T56" s="74">
        <v>44679</v>
      </c>
      <c r="U56" s="95" t="s">
        <v>4170</v>
      </c>
      <c r="V56" s="75" t="s">
        <v>4092</v>
      </c>
      <c r="W56" s="83">
        <v>2138.4117</v>
      </c>
      <c r="X56" s="77">
        <f t="shared" ref="X56:X60" si="45">I56*W56</f>
        <v>19245.7053</v>
      </c>
      <c r="Y56" s="70"/>
      <c r="Z56" s="70"/>
      <c r="AA56" s="70" t="s">
        <v>4109</v>
      </c>
      <c r="AB56" s="70"/>
      <c r="AC56" s="70"/>
      <c r="AD56" s="78"/>
      <c r="AE56" s="70"/>
      <c r="AF56" s="74"/>
      <c r="BK56" s="79" t="e">
        <f>$AG56*#REF!</f>
        <v>#REF!</v>
      </c>
      <c r="BL56" s="79" t="e">
        <f>$AG56*#REF!</f>
        <v>#REF!</v>
      </c>
      <c r="BM56" s="79" t="e">
        <f>$AG56*#REF!</f>
        <v>#REF!</v>
      </c>
      <c r="BN56" s="79" t="e">
        <f>$AG56*#REF!</f>
        <v>#REF!</v>
      </c>
      <c r="BO56" s="79" t="e">
        <f>$AG56*#REF!</f>
        <v>#REF!</v>
      </c>
      <c r="BP56" s="79" t="e">
        <f>$AG56*#REF!</f>
        <v>#REF!</v>
      </c>
      <c r="BQ56" s="79" t="e">
        <f>$AG56*#REF!</f>
        <v>#REF!</v>
      </c>
      <c r="BR56" s="79" t="e">
        <f>$AG56*#REF!</f>
        <v>#REF!</v>
      </c>
      <c r="BS56" s="79" t="e">
        <f>$AG56*#REF!</f>
        <v>#REF!</v>
      </c>
      <c r="BT56" s="79" t="e">
        <f>$AG56*#REF!</f>
        <v>#REF!</v>
      </c>
      <c r="BU56" s="79" t="e">
        <f>$AG56*#REF!</f>
        <v>#REF!</v>
      </c>
      <c r="BV56" s="79" t="e">
        <f>$AG56*#REF!</f>
        <v>#REF!</v>
      </c>
      <c r="BW56" s="79" t="e">
        <f>$AG56*#REF!</f>
        <v>#REF!</v>
      </c>
      <c r="BX56" s="79" t="e">
        <f>$AG56*#REF!</f>
        <v>#REF!</v>
      </c>
      <c r="BY56" s="79" t="e">
        <f>$AG56*#REF!</f>
        <v>#REF!</v>
      </c>
      <c r="BZ56" s="79" t="e">
        <f>$AG56*#REF!</f>
        <v>#REF!</v>
      </c>
      <c r="CA56" s="79" t="e">
        <f>$AG56*#REF!</f>
        <v>#REF!</v>
      </c>
      <c r="CB56" s="79" t="e">
        <f>$AG56*#REF!</f>
        <v>#REF!</v>
      </c>
      <c r="CC56" s="79" t="e">
        <f>$AG56*#REF!</f>
        <v>#REF!</v>
      </c>
      <c r="CD56" s="79" t="e">
        <f>$AG56*#REF!</f>
        <v>#REF!</v>
      </c>
      <c r="CE56" s="79" t="e">
        <f>$AG56*#REF!</f>
        <v>#REF!</v>
      </c>
      <c r="CF56" s="79"/>
      <c r="CI56" s="17">
        <f t="shared" si="25"/>
        <v>0</v>
      </c>
      <c r="CL56" s="17">
        <f t="shared" si="29"/>
        <v>0</v>
      </c>
    </row>
    <row r="57" s="17" customFormat="1" ht="24" customHeight="1" spans="1:90">
      <c r="A57" s="68">
        <v>44663</v>
      </c>
      <c r="B57" s="69" t="s">
        <v>240</v>
      </c>
      <c r="C57" s="70" t="s">
        <v>125</v>
      </c>
      <c r="D57" s="69">
        <v>4500075835</v>
      </c>
      <c r="E57" s="70">
        <v>4231913186</v>
      </c>
      <c r="F57" s="71" t="s">
        <v>4138</v>
      </c>
      <c r="G57" s="97"/>
      <c r="H57" s="96" t="s">
        <v>4093</v>
      </c>
      <c r="I57" s="70">
        <v>9720</v>
      </c>
      <c r="J57" s="70">
        <v>0</v>
      </c>
      <c r="K57" s="70">
        <v>1080</v>
      </c>
      <c r="L57" s="72">
        <f t="shared" si="39"/>
        <v>9</v>
      </c>
      <c r="M57" s="75">
        <v>44692</v>
      </c>
      <c r="N57" s="84" t="s">
        <v>4133</v>
      </c>
      <c r="O57" s="73"/>
      <c r="P57" s="73"/>
      <c r="Q57" s="70"/>
      <c r="R57" s="74">
        <v>44664</v>
      </c>
      <c r="S57" s="74" t="s">
        <v>88</v>
      </c>
      <c r="T57" s="74">
        <v>44679</v>
      </c>
      <c r="U57" s="95"/>
      <c r="V57" s="75" t="s">
        <v>4092</v>
      </c>
      <c r="W57" s="83">
        <v>0</v>
      </c>
      <c r="X57" s="77">
        <v>0</v>
      </c>
      <c r="Y57" s="70"/>
      <c r="Z57" s="70"/>
      <c r="AA57" s="70" t="s">
        <v>4109</v>
      </c>
      <c r="AB57" s="70"/>
      <c r="AC57" s="70"/>
      <c r="AD57" s="78"/>
      <c r="AE57" s="70"/>
      <c r="AF57" s="74"/>
      <c r="AG57" s="17">
        <f t="shared" si="41"/>
        <v>9720</v>
      </c>
      <c r="AM57" s="17">
        <f t="shared" si="42"/>
        <v>9720</v>
      </c>
      <c r="AN57" s="17">
        <f t="shared" si="43"/>
        <v>9720</v>
      </c>
      <c r="BA57" s="17">
        <f t="shared" si="44"/>
        <v>540</v>
      </c>
      <c r="BK57" s="79" t="e">
        <f>$AG57*#REF!</f>
        <v>#REF!</v>
      </c>
      <c r="BL57" s="79" t="e">
        <f>$AG57*#REF!</f>
        <v>#REF!</v>
      </c>
      <c r="BM57" s="79" t="e">
        <f>$AG57*#REF!</f>
        <v>#REF!</v>
      </c>
      <c r="BN57" s="79" t="e">
        <f>$AG57*#REF!</f>
        <v>#REF!</v>
      </c>
      <c r="BO57" s="79" t="e">
        <f>$AG57*#REF!</f>
        <v>#REF!</v>
      </c>
      <c r="BP57" s="79" t="e">
        <f>$AG57*#REF!</f>
        <v>#REF!</v>
      </c>
      <c r="BQ57" s="79" t="e">
        <f>$AG57*#REF!</f>
        <v>#REF!</v>
      </c>
      <c r="BR57" s="79" t="e">
        <f>$AG57*#REF!</f>
        <v>#REF!</v>
      </c>
      <c r="BS57" s="79" t="e">
        <f>$AG57*#REF!</f>
        <v>#REF!</v>
      </c>
      <c r="BT57" s="79" t="e">
        <f>$AG57*#REF!</f>
        <v>#REF!</v>
      </c>
      <c r="BU57" s="79" t="e">
        <f>$AG57*#REF!</f>
        <v>#REF!</v>
      </c>
      <c r="BV57" s="79" t="e">
        <f>$AG57*#REF!</f>
        <v>#REF!</v>
      </c>
      <c r="BW57" s="79" t="e">
        <f>$AG57*#REF!</f>
        <v>#REF!</v>
      </c>
      <c r="BX57" s="79" t="e">
        <f>$AG57*#REF!</f>
        <v>#REF!</v>
      </c>
      <c r="BY57" s="79" t="e">
        <f>$AG57*#REF!</f>
        <v>#REF!</v>
      </c>
      <c r="BZ57" s="79" t="e">
        <f>$AG57*#REF!</f>
        <v>#REF!</v>
      </c>
      <c r="CA57" s="79" t="e">
        <f>$AG57*#REF!</f>
        <v>#REF!</v>
      </c>
      <c r="CB57" s="79" t="e">
        <f>$AG57*#REF!</f>
        <v>#REF!</v>
      </c>
      <c r="CC57" s="79" t="e">
        <f>$AG57*#REF!</f>
        <v>#REF!</v>
      </c>
      <c r="CD57" s="79" t="e">
        <f>$AG57*#REF!</f>
        <v>#REF!</v>
      </c>
      <c r="CE57" s="79" t="e">
        <f>$AG57*#REF!</f>
        <v>#REF!</v>
      </c>
      <c r="CF57" s="79"/>
      <c r="CI57" s="17">
        <f t="shared" si="25"/>
        <v>0</v>
      </c>
      <c r="CL57" s="17">
        <f t="shared" si="29"/>
        <v>540</v>
      </c>
    </row>
    <row r="58" s="17" customFormat="1" ht="24" customHeight="1" spans="1:90">
      <c r="A58" s="68">
        <v>44663</v>
      </c>
      <c r="B58" s="69" t="s">
        <v>240</v>
      </c>
      <c r="C58" s="70" t="s">
        <v>125</v>
      </c>
      <c r="D58" s="69">
        <v>4500075837</v>
      </c>
      <c r="E58" s="70" t="s">
        <v>4171</v>
      </c>
      <c r="F58" s="71" t="s">
        <v>4154</v>
      </c>
      <c r="G58" s="97"/>
      <c r="H58" s="96" t="s">
        <v>4155</v>
      </c>
      <c r="I58" s="70">
        <v>6</v>
      </c>
      <c r="J58" s="70">
        <v>0</v>
      </c>
      <c r="K58" s="70">
        <v>1</v>
      </c>
      <c r="L58" s="72">
        <f t="shared" si="39"/>
        <v>6</v>
      </c>
      <c r="M58" s="75">
        <v>44692</v>
      </c>
      <c r="N58" s="84" t="s">
        <v>4133</v>
      </c>
      <c r="O58" s="73"/>
      <c r="P58" s="73"/>
      <c r="Q58" s="70"/>
      <c r="R58" s="74">
        <v>44664</v>
      </c>
      <c r="S58" s="74" t="s">
        <v>88</v>
      </c>
      <c r="T58" s="74">
        <v>44679</v>
      </c>
      <c r="U58" s="95" t="s">
        <v>4170</v>
      </c>
      <c r="V58" s="75" t="s">
        <v>4092</v>
      </c>
      <c r="W58" s="83">
        <v>2138.4117</v>
      </c>
      <c r="X58" s="77">
        <f t="shared" si="45"/>
        <v>12830.4702</v>
      </c>
      <c r="Y58" s="70"/>
      <c r="Z58" s="70"/>
      <c r="AA58" s="70" t="s">
        <v>4109</v>
      </c>
      <c r="AB58" s="70"/>
      <c r="AC58" s="70"/>
      <c r="AD58" s="78"/>
      <c r="AE58" s="70"/>
      <c r="AF58" s="74"/>
      <c r="BK58" s="79" t="e">
        <f>$AG58*#REF!</f>
        <v>#REF!</v>
      </c>
      <c r="BL58" s="79" t="e">
        <f>$AG58*#REF!</f>
        <v>#REF!</v>
      </c>
      <c r="BM58" s="79" t="e">
        <f>$AG58*#REF!</f>
        <v>#REF!</v>
      </c>
      <c r="BN58" s="79" t="e">
        <f>$AG58*#REF!</f>
        <v>#REF!</v>
      </c>
      <c r="BO58" s="79" t="e">
        <f>$AG58*#REF!</f>
        <v>#REF!</v>
      </c>
      <c r="BP58" s="79" t="e">
        <f>$AG58*#REF!</f>
        <v>#REF!</v>
      </c>
      <c r="BQ58" s="79" t="e">
        <f>$AG58*#REF!</f>
        <v>#REF!</v>
      </c>
      <c r="BR58" s="79" t="e">
        <f>$AG58*#REF!</f>
        <v>#REF!</v>
      </c>
      <c r="BS58" s="79" t="e">
        <f>$AG58*#REF!</f>
        <v>#REF!</v>
      </c>
      <c r="BT58" s="79" t="e">
        <f>$AG58*#REF!</f>
        <v>#REF!</v>
      </c>
      <c r="BU58" s="79" t="e">
        <f>$AG58*#REF!</f>
        <v>#REF!</v>
      </c>
      <c r="BV58" s="79" t="e">
        <f>$AG58*#REF!</f>
        <v>#REF!</v>
      </c>
      <c r="BW58" s="79" t="e">
        <f>$AG58*#REF!</f>
        <v>#REF!</v>
      </c>
      <c r="BX58" s="79" t="e">
        <f>$AG58*#REF!</f>
        <v>#REF!</v>
      </c>
      <c r="BY58" s="79" t="e">
        <f>$AG58*#REF!</f>
        <v>#REF!</v>
      </c>
      <c r="BZ58" s="79" t="e">
        <f>$AG58*#REF!</f>
        <v>#REF!</v>
      </c>
      <c r="CA58" s="79" t="e">
        <f>$AG58*#REF!</f>
        <v>#REF!</v>
      </c>
      <c r="CB58" s="79" t="e">
        <f>$AG58*#REF!</f>
        <v>#REF!</v>
      </c>
      <c r="CC58" s="79" t="e">
        <f>$AG58*#REF!</f>
        <v>#REF!</v>
      </c>
      <c r="CD58" s="79" t="e">
        <f>$AG58*#REF!</f>
        <v>#REF!</v>
      </c>
      <c r="CE58" s="79" t="e">
        <f>$AG58*#REF!</f>
        <v>#REF!</v>
      </c>
      <c r="CF58" s="79"/>
      <c r="CI58" s="17">
        <f t="shared" si="25"/>
        <v>0</v>
      </c>
      <c r="CL58" s="17">
        <f t="shared" si="29"/>
        <v>0</v>
      </c>
    </row>
    <row r="59" s="17" customFormat="1" ht="24" customHeight="1" spans="1:90">
      <c r="A59" s="68">
        <v>44663</v>
      </c>
      <c r="B59" s="69" t="s">
        <v>240</v>
      </c>
      <c r="C59" s="70" t="s">
        <v>125</v>
      </c>
      <c r="D59" s="69">
        <v>4500075837</v>
      </c>
      <c r="E59" s="70" t="s">
        <v>4171</v>
      </c>
      <c r="F59" s="71" t="s">
        <v>4138</v>
      </c>
      <c r="G59" s="97"/>
      <c r="H59" s="96" t="s">
        <v>4093</v>
      </c>
      <c r="I59" s="70">
        <v>6480</v>
      </c>
      <c r="J59" s="70">
        <v>0</v>
      </c>
      <c r="K59" s="70">
        <v>1080</v>
      </c>
      <c r="L59" s="72">
        <f t="shared" si="39"/>
        <v>6</v>
      </c>
      <c r="M59" s="75">
        <v>44692</v>
      </c>
      <c r="N59" s="84" t="s">
        <v>4133</v>
      </c>
      <c r="O59" s="73"/>
      <c r="P59" s="73"/>
      <c r="Q59" s="70"/>
      <c r="R59" s="74">
        <v>44664</v>
      </c>
      <c r="S59" s="74" t="s">
        <v>88</v>
      </c>
      <c r="T59" s="74">
        <v>44679</v>
      </c>
      <c r="U59" s="95"/>
      <c r="V59" s="75" t="s">
        <v>4092</v>
      </c>
      <c r="W59" s="83">
        <v>0</v>
      </c>
      <c r="X59" s="77">
        <v>0</v>
      </c>
      <c r="Y59" s="70"/>
      <c r="Z59" s="70"/>
      <c r="AA59" s="70" t="s">
        <v>4109</v>
      </c>
      <c r="AB59" s="70"/>
      <c r="AC59" s="70"/>
      <c r="AD59" s="78"/>
      <c r="AE59" s="70"/>
      <c r="AF59" s="74"/>
      <c r="AG59" s="17">
        <f t="shared" si="41"/>
        <v>6480</v>
      </c>
      <c r="AM59" s="17">
        <f t="shared" si="42"/>
        <v>6480</v>
      </c>
      <c r="AN59" s="17">
        <f t="shared" si="43"/>
        <v>6480</v>
      </c>
      <c r="BA59" s="17">
        <f t="shared" si="44"/>
        <v>360</v>
      </c>
      <c r="BK59" s="79" t="e">
        <f>$AG59*#REF!</f>
        <v>#REF!</v>
      </c>
      <c r="BL59" s="79" t="e">
        <f>$AG59*#REF!</f>
        <v>#REF!</v>
      </c>
      <c r="BM59" s="79" t="e">
        <f>$AG59*#REF!</f>
        <v>#REF!</v>
      </c>
      <c r="BN59" s="79" t="e">
        <f>$AG59*#REF!</f>
        <v>#REF!</v>
      </c>
      <c r="BO59" s="79" t="e">
        <f>$AG59*#REF!</f>
        <v>#REF!</v>
      </c>
      <c r="BP59" s="79" t="e">
        <f>$AG59*#REF!</f>
        <v>#REF!</v>
      </c>
      <c r="BQ59" s="79" t="e">
        <f>$AG59*#REF!</f>
        <v>#REF!</v>
      </c>
      <c r="BR59" s="79" t="e">
        <f>$AG59*#REF!</f>
        <v>#REF!</v>
      </c>
      <c r="BS59" s="79" t="e">
        <f>$AG59*#REF!</f>
        <v>#REF!</v>
      </c>
      <c r="BT59" s="79" t="e">
        <f>$AG59*#REF!</f>
        <v>#REF!</v>
      </c>
      <c r="BU59" s="79" t="e">
        <f>$AG59*#REF!</f>
        <v>#REF!</v>
      </c>
      <c r="BV59" s="79" t="e">
        <f>$AG59*#REF!</f>
        <v>#REF!</v>
      </c>
      <c r="BW59" s="79" t="e">
        <f>$AG59*#REF!</f>
        <v>#REF!</v>
      </c>
      <c r="BX59" s="79" t="e">
        <f>$AG59*#REF!</f>
        <v>#REF!</v>
      </c>
      <c r="BY59" s="79" t="e">
        <f>$AG59*#REF!</f>
        <v>#REF!</v>
      </c>
      <c r="BZ59" s="79" t="e">
        <f>$AG59*#REF!</f>
        <v>#REF!</v>
      </c>
      <c r="CA59" s="79" t="e">
        <f>$AG59*#REF!</f>
        <v>#REF!</v>
      </c>
      <c r="CB59" s="79" t="e">
        <f>$AG59*#REF!</f>
        <v>#REF!</v>
      </c>
      <c r="CC59" s="79" t="e">
        <f>$AG59*#REF!</f>
        <v>#REF!</v>
      </c>
      <c r="CD59" s="79" t="e">
        <f>$AG59*#REF!</f>
        <v>#REF!</v>
      </c>
      <c r="CE59" s="79" t="e">
        <f>$AG59*#REF!</f>
        <v>#REF!</v>
      </c>
      <c r="CF59" s="79"/>
      <c r="CI59" s="17">
        <f t="shared" si="25"/>
        <v>0</v>
      </c>
      <c r="CL59" s="17">
        <f t="shared" si="29"/>
        <v>360</v>
      </c>
    </row>
    <row r="60" s="17" customFormat="1" ht="24" customHeight="1" spans="1:90">
      <c r="A60" s="68">
        <v>44663</v>
      </c>
      <c r="B60" s="69" t="s">
        <v>240</v>
      </c>
      <c r="C60" s="70" t="s">
        <v>125</v>
      </c>
      <c r="D60" s="69">
        <v>4500075839</v>
      </c>
      <c r="E60" s="70">
        <v>4231913184</v>
      </c>
      <c r="F60" s="71" t="s">
        <v>4154</v>
      </c>
      <c r="G60" s="97"/>
      <c r="H60" s="96" t="s">
        <v>4155</v>
      </c>
      <c r="I60" s="70">
        <v>6</v>
      </c>
      <c r="J60" s="70">
        <v>0</v>
      </c>
      <c r="K60" s="70">
        <v>1</v>
      </c>
      <c r="L60" s="72">
        <f t="shared" si="39"/>
        <v>6</v>
      </c>
      <c r="M60" s="75">
        <v>44694</v>
      </c>
      <c r="N60" s="84" t="s">
        <v>4133</v>
      </c>
      <c r="O60" s="73"/>
      <c r="P60" s="73"/>
      <c r="Q60" s="70"/>
      <c r="R60" s="74">
        <v>44664</v>
      </c>
      <c r="S60" s="74" t="s">
        <v>88</v>
      </c>
      <c r="T60" s="74">
        <v>44679</v>
      </c>
      <c r="U60" s="95" t="s">
        <v>4170</v>
      </c>
      <c r="V60" s="75" t="s">
        <v>4092</v>
      </c>
      <c r="W60" s="83">
        <v>2138.4117</v>
      </c>
      <c r="X60" s="77">
        <f t="shared" si="45"/>
        <v>12830.4702</v>
      </c>
      <c r="Y60" s="70"/>
      <c r="Z60" s="70"/>
      <c r="AA60" s="70" t="s">
        <v>4109</v>
      </c>
      <c r="AB60" s="70"/>
      <c r="AC60" s="70"/>
      <c r="AD60" s="78"/>
      <c r="AE60" s="70"/>
      <c r="AF60" s="74"/>
      <c r="BK60" s="79" t="e">
        <f>$AG60*#REF!</f>
        <v>#REF!</v>
      </c>
      <c r="BL60" s="79" t="e">
        <f>$AG60*#REF!</f>
        <v>#REF!</v>
      </c>
      <c r="BM60" s="79" t="e">
        <f>$AG60*#REF!</f>
        <v>#REF!</v>
      </c>
      <c r="BN60" s="79" t="e">
        <f>$AG60*#REF!</f>
        <v>#REF!</v>
      </c>
      <c r="BO60" s="79" t="e">
        <f>$AG60*#REF!</f>
        <v>#REF!</v>
      </c>
      <c r="BP60" s="79" t="e">
        <f>$AG60*#REF!</f>
        <v>#REF!</v>
      </c>
      <c r="BQ60" s="79" t="e">
        <f>$AG60*#REF!</f>
        <v>#REF!</v>
      </c>
      <c r="BR60" s="79" t="e">
        <f>$AG60*#REF!</f>
        <v>#REF!</v>
      </c>
      <c r="BS60" s="79" t="e">
        <f>$AG60*#REF!</f>
        <v>#REF!</v>
      </c>
      <c r="BT60" s="79" t="e">
        <f>$AG60*#REF!</f>
        <v>#REF!</v>
      </c>
      <c r="BU60" s="79" t="e">
        <f>$AG60*#REF!</f>
        <v>#REF!</v>
      </c>
      <c r="BV60" s="79" t="e">
        <f>$AG60*#REF!</f>
        <v>#REF!</v>
      </c>
      <c r="BW60" s="79" t="e">
        <f>$AG60*#REF!</f>
        <v>#REF!</v>
      </c>
      <c r="BX60" s="79" t="e">
        <f>$AG60*#REF!</f>
        <v>#REF!</v>
      </c>
      <c r="BY60" s="79" t="e">
        <f>$AG60*#REF!</f>
        <v>#REF!</v>
      </c>
      <c r="BZ60" s="79" t="e">
        <f>$AG60*#REF!</f>
        <v>#REF!</v>
      </c>
      <c r="CA60" s="79" t="e">
        <f>$AG60*#REF!</f>
        <v>#REF!</v>
      </c>
      <c r="CB60" s="79" t="e">
        <f>$AG60*#REF!</f>
        <v>#REF!</v>
      </c>
      <c r="CC60" s="79" t="e">
        <f>$AG60*#REF!</f>
        <v>#REF!</v>
      </c>
      <c r="CD60" s="79" t="e">
        <f>$AG60*#REF!</f>
        <v>#REF!</v>
      </c>
      <c r="CE60" s="79" t="e">
        <f>$AG60*#REF!</f>
        <v>#REF!</v>
      </c>
      <c r="CF60" s="79"/>
      <c r="CI60" s="17">
        <f t="shared" si="25"/>
        <v>0</v>
      </c>
      <c r="CL60" s="17">
        <f t="shared" si="29"/>
        <v>0</v>
      </c>
    </row>
    <row r="61" s="17" customFormat="1" ht="24" customHeight="1" spans="1:90">
      <c r="A61" s="68">
        <v>44663</v>
      </c>
      <c r="B61" s="69" t="s">
        <v>240</v>
      </c>
      <c r="C61" s="70" t="s">
        <v>125</v>
      </c>
      <c r="D61" s="69">
        <v>4500075839</v>
      </c>
      <c r="E61" s="70">
        <v>4231913184</v>
      </c>
      <c r="F61" s="71" t="s">
        <v>4138</v>
      </c>
      <c r="G61" s="97"/>
      <c r="H61" s="96" t="s">
        <v>4093</v>
      </c>
      <c r="I61" s="70">
        <v>6480</v>
      </c>
      <c r="J61" s="70">
        <v>0</v>
      </c>
      <c r="K61" s="70">
        <v>1080</v>
      </c>
      <c r="L61" s="72">
        <f t="shared" si="39"/>
        <v>6</v>
      </c>
      <c r="M61" s="75">
        <v>44694</v>
      </c>
      <c r="N61" s="84" t="s">
        <v>4133</v>
      </c>
      <c r="O61" s="73"/>
      <c r="P61" s="73"/>
      <c r="Q61" s="70"/>
      <c r="R61" s="74">
        <v>44664</v>
      </c>
      <c r="S61" s="74" t="s">
        <v>88</v>
      </c>
      <c r="T61" s="74">
        <v>44679</v>
      </c>
      <c r="U61" s="95"/>
      <c r="V61" s="75" t="s">
        <v>4092</v>
      </c>
      <c r="W61" s="83">
        <v>0</v>
      </c>
      <c r="X61" s="77">
        <v>0</v>
      </c>
      <c r="Y61" s="70"/>
      <c r="Z61" s="70"/>
      <c r="AA61" s="70" t="s">
        <v>4109</v>
      </c>
      <c r="AB61" s="70"/>
      <c r="AC61" s="70"/>
      <c r="AD61" s="78"/>
      <c r="AE61" s="70"/>
      <c r="AF61" s="74"/>
      <c r="AG61" s="17">
        <f t="shared" ref="AG61:AG65" si="46">I61</f>
        <v>6480</v>
      </c>
      <c r="AM61" s="17">
        <f t="shared" ref="AM61:AM65" si="47">I61</f>
        <v>6480</v>
      </c>
      <c r="AN61" s="17">
        <f t="shared" ref="AN61:AN65" si="48">I61</f>
        <v>6480</v>
      </c>
      <c r="BA61" s="17">
        <f t="shared" ref="BA61:BA65" si="49">I61/18</f>
        <v>360</v>
      </c>
      <c r="BK61" s="79" t="e">
        <f>$AG61*#REF!</f>
        <v>#REF!</v>
      </c>
      <c r="BL61" s="79" t="e">
        <f>$AG61*#REF!</f>
        <v>#REF!</v>
      </c>
      <c r="BM61" s="79" t="e">
        <f>$AG61*#REF!</f>
        <v>#REF!</v>
      </c>
      <c r="BN61" s="79" t="e">
        <f>$AG61*#REF!</f>
        <v>#REF!</v>
      </c>
      <c r="BO61" s="79" t="e">
        <f>$AG61*#REF!</f>
        <v>#REF!</v>
      </c>
      <c r="BP61" s="79" t="e">
        <f>$AG61*#REF!</f>
        <v>#REF!</v>
      </c>
      <c r="BQ61" s="79" t="e">
        <f>$AG61*#REF!</f>
        <v>#REF!</v>
      </c>
      <c r="BR61" s="79" t="e">
        <f>$AG61*#REF!</f>
        <v>#REF!</v>
      </c>
      <c r="BS61" s="79" t="e">
        <f>$AG61*#REF!</f>
        <v>#REF!</v>
      </c>
      <c r="BT61" s="79" t="e">
        <f>$AG61*#REF!</f>
        <v>#REF!</v>
      </c>
      <c r="BU61" s="79" t="e">
        <f>$AG61*#REF!</f>
        <v>#REF!</v>
      </c>
      <c r="BV61" s="79" t="e">
        <f>$AG61*#REF!</f>
        <v>#REF!</v>
      </c>
      <c r="BW61" s="79" t="e">
        <f>$AG61*#REF!</f>
        <v>#REF!</v>
      </c>
      <c r="BX61" s="79" t="e">
        <f>$AG61*#REF!</f>
        <v>#REF!</v>
      </c>
      <c r="BY61" s="79" t="e">
        <f>$AG61*#REF!</f>
        <v>#REF!</v>
      </c>
      <c r="BZ61" s="79" t="e">
        <f>$AG61*#REF!</f>
        <v>#REF!</v>
      </c>
      <c r="CA61" s="79" t="e">
        <f>$AG61*#REF!</f>
        <v>#REF!</v>
      </c>
      <c r="CB61" s="79" t="e">
        <f>$AG61*#REF!</f>
        <v>#REF!</v>
      </c>
      <c r="CC61" s="79" t="e">
        <f>$AG61*#REF!</f>
        <v>#REF!</v>
      </c>
      <c r="CD61" s="79" t="e">
        <f>$AG61*#REF!</f>
        <v>#REF!</v>
      </c>
      <c r="CE61" s="79" t="e">
        <f>$AG61*#REF!</f>
        <v>#REF!</v>
      </c>
      <c r="CF61" s="79"/>
      <c r="CI61" s="17">
        <f t="shared" si="25"/>
        <v>0</v>
      </c>
      <c r="CL61" s="17">
        <f t="shared" si="29"/>
        <v>360</v>
      </c>
    </row>
    <row r="62" s="17" customFormat="1" ht="24" customHeight="1" spans="1:90">
      <c r="A62" s="68">
        <v>44663</v>
      </c>
      <c r="B62" s="69" t="s">
        <v>240</v>
      </c>
      <c r="C62" s="70" t="s">
        <v>125</v>
      </c>
      <c r="D62" s="69">
        <v>4500075838</v>
      </c>
      <c r="E62" s="70">
        <v>4231913189</v>
      </c>
      <c r="F62" s="71" t="s">
        <v>4154</v>
      </c>
      <c r="G62" s="97"/>
      <c r="H62" s="96" t="s">
        <v>4155</v>
      </c>
      <c r="I62" s="70">
        <v>4</v>
      </c>
      <c r="J62" s="70">
        <v>0</v>
      </c>
      <c r="K62" s="70">
        <v>1</v>
      </c>
      <c r="L62" s="72">
        <f t="shared" si="39"/>
        <v>4</v>
      </c>
      <c r="M62" s="75">
        <v>44692</v>
      </c>
      <c r="N62" s="84" t="s">
        <v>4133</v>
      </c>
      <c r="O62" s="73"/>
      <c r="P62" s="73"/>
      <c r="Q62" s="70"/>
      <c r="R62" s="74">
        <v>44664</v>
      </c>
      <c r="S62" s="74" t="s">
        <v>88</v>
      </c>
      <c r="T62" s="74">
        <v>44679</v>
      </c>
      <c r="U62" s="95" t="s">
        <v>4170</v>
      </c>
      <c r="V62" s="75" t="s">
        <v>4092</v>
      </c>
      <c r="W62" s="83">
        <v>2145.3237</v>
      </c>
      <c r="X62" s="77">
        <f t="shared" ref="X62:X66" si="50">I62*W62</f>
        <v>8581.2948</v>
      </c>
      <c r="Y62" s="70"/>
      <c r="Z62" s="70"/>
      <c r="AA62" s="70" t="s">
        <v>4109</v>
      </c>
      <c r="AB62" s="70"/>
      <c r="AC62" s="70"/>
      <c r="AD62" s="78"/>
      <c r="AE62" s="70"/>
      <c r="AF62" s="74"/>
      <c r="BK62" s="79" t="e">
        <f>$AG62*#REF!</f>
        <v>#REF!</v>
      </c>
      <c r="BL62" s="79" t="e">
        <f>$AG62*#REF!</f>
        <v>#REF!</v>
      </c>
      <c r="BM62" s="79" t="e">
        <f>$AG62*#REF!</f>
        <v>#REF!</v>
      </c>
      <c r="BN62" s="79" t="e">
        <f>$AG62*#REF!</f>
        <v>#REF!</v>
      </c>
      <c r="BO62" s="79" t="e">
        <f>$AG62*#REF!</f>
        <v>#REF!</v>
      </c>
      <c r="BP62" s="79" t="e">
        <f>$AG62*#REF!</f>
        <v>#REF!</v>
      </c>
      <c r="BQ62" s="79" t="e">
        <f>$AG62*#REF!</f>
        <v>#REF!</v>
      </c>
      <c r="BR62" s="79" t="e">
        <f>$AG62*#REF!</f>
        <v>#REF!</v>
      </c>
      <c r="BS62" s="79" t="e">
        <f>$AG62*#REF!</f>
        <v>#REF!</v>
      </c>
      <c r="BT62" s="79" t="e">
        <f>$AG62*#REF!</f>
        <v>#REF!</v>
      </c>
      <c r="BU62" s="79" t="e">
        <f>$AG62*#REF!</f>
        <v>#REF!</v>
      </c>
      <c r="BV62" s="79" t="e">
        <f>$AG62*#REF!</f>
        <v>#REF!</v>
      </c>
      <c r="BW62" s="79" t="e">
        <f>$AG62*#REF!</f>
        <v>#REF!</v>
      </c>
      <c r="BX62" s="79" t="e">
        <f>$AG62*#REF!</f>
        <v>#REF!</v>
      </c>
      <c r="BY62" s="79" t="e">
        <f>$AG62*#REF!</f>
        <v>#REF!</v>
      </c>
      <c r="BZ62" s="79" t="e">
        <f>$AG62*#REF!</f>
        <v>#REF!</v>
      </c>
      <c r="CA62" s="79" t="e">
        <f>$AG62*#REF!</f>
        <v>#REF!</v>
      </c>
      <c r="CB62" s="79" t="e">
        <f>$AG62*#REF!</f>
        <v>#REF!</v>
      </c>
      <c r="CC62" s="79" t="e">
        <f>$AG62*#REF!</f>
        <v>#REF!</v>
      </c>
      <c r="CD62" s="79" t="e">
        <f>$AG62*#REF!</f>
        <v>#REF!</v>
      </c>
      <c r="CE62" s="79" t="e">
        <f>$AG62*#REF!</f>
        <v>#REF!</v>
      </c>
      <c r="CF62" s="79"/>
      <c r="CI62" s="17">
        <f t="shared" si="25"/>
        <v>0</v>
      </c>
      <c r="CL62" s="17">
        <f t="shared" si="29"/>
        <v>0</v>
      </c>
    </row>
    <row r="63" s="17" customFormat="1" ht="24" customHeight="1" spans="1:90">
      <c r="A63" s="68">
        <v>44663</v>
      </c>
      <c r="B63" s="69" t="s">
        <v>240</v>
      </c>
      <c r="C63" s="70" t="s">
        <v>125</v>
      </c>
      <c r="D63" s="69">
        <v>4500075838</v>
      </c>
      <c r="E63" s="70">
        <v>4231913189</v>
      </c>
      <c r="F63" s="71" t="s">
        <v>4138</v>
      </c>
      <c r="G63" s="97"/>
      <c r="H63" s="96" t="s">
        <v>4093</v>
      </c>
      <c r="I63" s="70">
        <v>4320</v>
      </c>
      <c r="J63" s="70">
        <v>0</v>
      </c>
      <c r="K63" s="70">
        <v>1080</v>
      </c>
      <c r="L63" s="72">
        <f t="shared" si="39"/>
        <v>4</v>
      </c>
      <c r="M63" s="75">
        <v>44692</v>
      </c>
      <c r="N63" s="84" t="s">
        <v>4133</v>
      </c>
      <c r="O63" s="73"/>
      <c r="P63" s="73"/>
      <c r="Q63" s="70"/>
      <c r="R63" s="74">
        <v>44664</v>
      </c>
      <c r="S63" s="74" t="s">
        <v>88</v>
      </c>
      <c r="T63" s="74">
        <v>44679</v>
      </c>
      <c r="U63" s="95"/>
      <c r="V63" s="75" t="s">
        <v>4092</v>
      </c>
      <c r="W63" s="83">
        <v>0</v>
      </c>
      <c r="X63" s="77">
        <v>0</v>
      </c>
      <c r="Y63" s="70"/>
      <c r="Z63" s="70"/>
      <c r="AA63" s="70" t="s">
        <v>4109</v>
      </c>
      <c r="AB63" s="70"/>
      <c r="AC63" s="70"/>
      <c r="AD63" s="78"/>
      <c r="AE63" s="70"/>
      <c r="AF63" s="74"/>
      <c r="AG63" s="17">
        <f t="shared" si="46"/>
        <v>4320</v>
      </c>
      <c r="AM63" s="17">
        <f t="shared" si="47"/>
        <v>4320</v>
      </c>
      <c r="AN63" s="17">
        <f t="shared" si="48"/>
        <v>4320</v>
      </c>
      <c r="BA63" s="17">
        <f t="shared" si="49"/>
        <v>240</v>
      </c>
      <c r="BK63" s="79" t="e">
        <f>$AG63*#REF!</f>
        <v>#REF!</v>
      </c>
      <c r="BL63" s="79" t="e">
        <f>$AG63*#REF!</f>
        <v>#REF!</v>
      </c>
      <c r="BM63" s="79" t="e">
        <f>$AG63*#REF!</f>
        <v>#REF!</v>
      </c>
      <c r="BN63" s="79" t="e">
        <f>$AG63*#REF!</f>
        <v>#REF!</v>
      </c>
      <c r="BO63" s="79" t="e">
        <f>$AG63*#REF!</f>
        <v>#REF!</v>
      </c>
      <c r="BP63" s="79" t="e">
        <f>$AG63*#REF!</f>
        <v>#REF!</v>
      </c>
      <c r="BQ63" s="79" t="e">
        <f>$AG63*#REF!</f>
        <v>#REF!</v>
      </c>
      <c r="BR63" s="79" t="e">
        <f>$AG63*#REF!</f>
        <v>#REF!</v>
      </c>
      <c r="BS63" s="79" t="e">
        <f>$AG63*#REF!</f>
        <v>#REF!</v>
      </c>
      <c r="BT63" s="79" t="e">
        <f>$AG63*#REF!</f>
        <v>#REF!</v>
      </c>
      <c r="BU63" s="79" t="e">
        <f>$AG63*#REF!</f>
        <v>#REF!</v>
      </c>
      <c r="BV63" s="79" t="e">
        <f>$AG63*#REF!</f>
        <v>#REF!</v>
      </c>
      <c r="BW63" s="79" t="e">
        <f>$AG63*#REF!</f>
        <v>#REF!</v>
      </c>
      <c r="BX63" s="79" t="e">
        <f>$AG63*#REF!</f>
        <v>#REF!</v>
      </c>
      <c r="BY63" s="79" t="e">
        <f>$AG63*#REF!</f>
        <v>#REF!</v>
      </c>
      <c r="BZ63" s="79" t="e">
        <f>$AG63*#REF!</f>
        <v>#REF!</v>
      </c>
      <c r="CA63" s="79" t="e">
        <f>$AG63*#REF!</f>
        <v>#REF!</v>
      </c>
      <c r="CB63" s="79" t="e">
        <f>$AG63*#REF!</f>
        <v>#REF!</v>
      </c>
      <c r="CC63" s="79" t="e">
        <f>$AG63*#REF!</f>
        <v>#REF!</v>
      </c>
      <c r="CD63" s="79" t="e">
        <f>$AG63*#REF!</f>
        <v>#REF!</v>
      </c>
      <c r="CE63" s="79" t="e">
        <f>$AG63*#REF!</f>
        <v>#REF!</v>
      </c>
      <c r="CF63" s="79"/>
      <c r="CI63" s="17">
        <f t="shared" si="25"/>
        <v>0</v>
      </c>
      <c r="CL63" s="17">
        <f t="shared" si="29"/>
        <v>240</v>
      </c>
    </row>
    <row r="64" s="17" customFormat="1" ht="24" customHeight="1" spans="1:90">
      <c r="A64" s="68">
        <v>44663</v>
      </c>
      <c r="B64" s="69" t="s">
        <v>240</v>
      </c>
      <c r="C64" s="70" t="s">
        <v>125</v>
      </c>
      <c r="D64" s="69">
        <v>4500075840</v>
      </c>
      <c r="E64" s="70">
        <v>4231913185</v>
      </c>
      <c r="F64" s="71" t="s">
        <v>4154</v>
      </c>
      <c r="G64" s="97"/>
      <c r="H64" s="96" t="s">
        <v>4155</v>
      </c>
      <c r="I64" s="70">
        <v>7</v>
      </c>
      <c r="J64" s="70">
        <v>0</v>
      </c>
      <c r="K64" s="70">
        <v>1</v>
      </c>
      <c r="L64" s="72">
        <f t="shared" si="39"/>
        <v>7</v>
      </c>
      <c r="M64" s="75">
        <v>44692</v>
      </c>
      <c r="N64" s="84" t="s">
        <v>4133</v>
      </c>
      <c r="O64" s="73"/>
      <c r="P64" s="73"/>
      <c r="Q64" s="70"/>
      <c r="R64" s="74">
        <v>44664</v>
      </c>
      <c r="S64" s="74" t="s">
        <v>88</v>
      </c>
      <c r="T64" s="74">
        <v>44679</v>
      </c>
      <c r="U64" s="95" t="s">
        <v>4170</v>
      </c>
      <c r="V64" s="75" t="s">
        <v>4092</v>
      </c>
      <c r="W64" s="83">
        <v>2138.4117</v>
      </c>
      <c r="X64" s="77">
        <f t="shared" si="50"/>
        <v>14968.8819</v>
      </c>
      <c r="Y64" s="70"/>
      <c r="Z64" s="70"/>
      <c r="AA64" s="70" t="s">
        <v>4109</v>
      </c>
      <c r="AB64" s="70"/>
      <c r="AC64" s="70"/>
      <c r="AD64" s="78"/>
      <c r="AE64" s="70"/>
      <c r="AF64" s="74"/>
      <c r="BK64" s="79" t="e">
        <f>$AG64*#REF!</f>
        <v>#REF!</v>
      </c>
      <c r="BL64" s="79" t="e">
        <f>$AG64*#REF!</f>
        <v>#REF!</v>
      </c>
      <c r="BM64" s="79" t="e">
        <f>$AG64*#REF!</f>
        <v>#REF!</v>
      </c>
      <c r="BN64" s="79" t="e">
        <f>$AG64*#REF!</f>
        <v>#REF!</v>
      </c>
      <c r="BO64" s="79" t="e">
        <f>$AG64*#REF!</f>
        <v>#REF!</v>
      </c>
      <c r="BP64" s="79" t="e">
        <f>$AG64*#REF!</f>
        <v>#REF!</v>
      </c>
      <c r="BQ64" s="79" t="e">
        <f>$AG64*#REF!</f>
        <v>#REF!</v>
      </c>
      <c r="BR64" s="79" t="e">
        <f>$AG64*#REF!</f>
        <v>#REF!</v>
      </c>
      <c r="BS64" s="79" t="e">
        <f>$AG64*#REF!</f>
        <v>#REF!</v>
      </c>
      <c r="BT64" s="79" t="e">
        <f>$AG64*#REF!</f>
        <v>#REF!</v>
      </c>
      <c r="BU64" s="79" t="e">
        <f>$AG64*#REF!</f>
        <v>#REF!</v>
      </c>
      <c r="BV64" s="79" t="e">
        <f>$AG64*#REF!</f>
        <v>#REF!</v>
      </c>
      <c r="BW64" s="79" t="e">
        <f>$AG64*#REF!</f>
        <v>#REF!</v>
      </c>
      <c r="BX64" s="79" t="e">
        <f>$AG64*#REF!</f>
        <v>#REF!</v>
      </c>
      <c r="BY64" s="79" t="e">
        <f>$AG64*#REF!</f>
        <v>#REF!</v>
      </c>
      <c r="BZ64" s="79" t="e">
        <f>$AG64*#REF!</f>
        <v>#REF!</v>
      </c>
      <c r="CA64" s="79" t="e">
        <f>$AG64*#REF!</f>
        <v>#REF!</v>
      </c>
      <c r="CB64" s="79" t="e">
        <f>$AG64*#REF!</f>
        <v>#REF!</v>
      </c>
      <c r="CC64" s="79" t="e">
        <f>$AG64*#REF!</f>
        <v>#REF!</v>
      </c>
      <c r="CD64" s="79" t="e">
        <f>$AG64*#REF!</f>
        <v>#REF!</v>
      </c>
      <c r="CE64" s="79" t="e">
        <f>$AG64*#REF!</f>
        <v>#REF!</v>
      </c>
      <c r="CF64" s="79"/>
      <c r="CI64" s="17">
        <f t="shared" si="25"/>
        <v>0</v>
      </c>
      <c r="CL64" s="17">
        <f t="shared" si="29"/>
        <v>0</v>
      </c>
    </row>
    <row r="65" s="17" customFormat="1" ht="24" customHeight="1" spans="1:90">
      <c r="A65" s="68">
        <v>44663</v>
      </c>
      <c r="B65" s="69" t="s">
        <v>240</v>
      </c>
      <c r="C65" s="70" t="s">
        <v>125</v>
      </c>
      <c r="D65" s="69">
        <v>4500075840</v>
      </c>
      <c r="E65" s="70">
        <v>4231913185</v>
      </c>
      <c r="F65" s="71" t="s">
        <v>4138</v>
      </c>
      <c r="G65" s="97"/>
      <c r="H65" s="96" t="s">
        <v>4093</v>
      </c>
      <c r="I65" s="70">
        <v>7560</v>
      </c>
      <c r="J65" s="70">
        <v>0</v>
      </c>
      <c r="K65" s="70">
        <v>1080</v>
      </c>
      <c r="L65" s="72">
        <f t="shared" si="39"/>
        <v>7</v>
      </c>
      <c r="M65" s="75">
        <v>44692</v>
      </c>
      <c r="N65" s="84" t="s">
        <v>4133</v>
      </c>
      <c r="O65" s="73"/>
      <c r="P65" s="73"/>
      <c r="Q65" s="70"/>
      <c r="R65" s="74">
        <v>44664</v>
      </c>
      <c r="S65" s="74" t="s">
        <v>88</v>
      </c>
      <c r="T65" s="74">
        <v>44679</v>
      </c>
      <c r="U65" s="95"/>
      <c r="V65" s="75" t="s">
        <v>4092</v>
      </c>
      <c r="W65" s="83">
        <v>0</v>
      </c>
      <c r="X65" s="77">
        <v>0</v>
      </c>
      <c r="Y65" s="70"/>
      <c r="Z65" s="70"/>
      <c r="AA65" s="70" t="s">
        <v>4109</v>
      </c>
      <c r="AB65" s="70"/>
      <c r="AC65" s="70"/>
      <c r="AD65" s="78"/>
      <c r="AE65" s="70"/>
      <c r="AF65" s="74"/>
      <c r="AG65" s="17">
        <f t="shared" si="46"/>
        <v>7560</v>
      </c>
      <c r="AM65" s="17">
        <f t="shared" si="47"/>
        <v>7560</v>
      </c>
      <c r="AN65" s="17">
        <f t="shared" si="48"/>
        <v>7560</v>
      </c>
      <c r="BA65" s="17">
        <f t="shared" si="49"/>
        <v>420</v>
      </c>
      <c r="BK65" s="79" t="e">
        <f>$AG65*#REF!</f>
        <v>#REF!</v>
      </c>
      <c r="BL65" s="79" t="e">
        <f>$AG65*#REF!</f>
        <v>#REF!</v>
      </c>
      <c r="BM65" s="79" t="e">
        <f>$AG65*#REF!</f>
        <v>#REF!</v>
      </c>
      <c r="BN65" s="79" t="e">
        <f>$AG65*#REF!</f>
        <v>#REF!</v>
      </c>
      <c r="BO65" s="79" t="e">
        <f>$AG65*#REF!</f>
        <v>#REF!</v>
      </c>
      <c r="BP65" s="79" t="e">
        <f>$AG65*#REF!</f>
        <v>#REF!</v>
      </c>
      <c r="BQ65" s="79" t="e">
        <f>$AG65*#REF!</f>
        <v>#REF!</v>
      </c>
      <c r="BR65" s="79" t="e">
        <f>$AG65*#REF!</f>
        <v>#REF!</v>
      </c>
      <c r="BS65" s="79" t="e">
        <f>$AG65*#REF!</f>
        <v>#REF!</v>
      </c>
      <c r="BT65" s="79" t="e">
        <f>$AG65*#REF!</f>
        <v>#REF!</v>
      </c>
      <c r="BU65" s="79" t="e">
        <f>$AG65*#REF!</f>
        <v>#REF!</v>
      </c>
      <c r="BV65" s="79" t="e">
        <f>$AG65*#REF!</f>
        <v>#REF!</v>
      </c>
      <c r="BW65" s="79" t="e">
        <f>$AG65*#REF!</f>
        <v>#REF!</v>
      </c>
      <c r="BX65" s="79" t="e">
        <f>$AG65*#REF!</f>
        <v>#REF!</v>
      </c>
      <c r="BY65" s="79" t="e">
        <f>$AG65*#REF!</f>
        <v>#REF!</v>
      </c>
      <c r="BZ65" s="79" t="e">
        <f>$AG65*#REF!</f>
        <v>#REF!</v>
      </c>
      <c r="CA65" s="79" t="e">
        <f>$AG65*#REF!</f>
        <v>#REF!</v>
      </c>
      <c r="CB65" s="79" t="e">
        <f>$AG65*#REF!</f>
        <v>#REF!</v>
      </c>
      <c r="CC65" s="79" t="e">
        <f>$AG65*#REF!</f>
        <v>#REF!</v>
      </c>
      <c r="CD65" s="79" t="e">
        <f>$AG65*#REF!</f>
        <v>#REF!</v>
      </c>
      <c r="CE65" s="79" t="e">
        <f>$AG65*#REF!</f>
        <v>#REF!</v>
      </c>
      <c r="CF65" s="79"/>
      <c r="CI65" s="17">
        <f t="shared" si="25"/>
        <v>0</v>
      </c>
      <c r="CL65" s="17">
        <f t="shared" si="29"/>
        <v>420</v>
      </c>
    </row>
    <row r="66" s="17" customFormat="1" ht="24" customHeight="1" spans="1:90">
      <c r="A66" s="68">
        <v>44663</v>
      </c>
      <c r="B66" s="69" t="s">
        <v>240</v>
      </c>
      <c r="C66" s="70" t="s">
        <v>125</v>
      </c>
      <c r="D66" s="69">
        <v>4500075822</v>
      </c>
      <c r="E66" s="70">
        <v>4231913183</v>
      </c>
      <c r="F66" s="71" t="s">
        <v>4154</v>
      </c>
      <c r="G66" s="97"/>
      <c r="H66" s="96" t="s">
        <v>4155</v>
      </c>
      <c r="I66" s="70">
        <v>8</v>
      </c>
      <c r="J66" s="70">
        <v>0</v>
      </c>
      <c r="K66" s="70">
        <v>1</v>
      </c>
      <c r="L66" s="72">
        <f t="shared" si="39"/>
        <v>8</v>
      </c>
      <c r="M66" s="75">
        <v>44692</v>
      </c>
      <c r="N66" s="84" t="s">
        <v>4133</v>
      </c>
      <c r="O66" s="73"/>
      <c r="P66" s="73"/>
      <c r="Q66" s="70"/>
      <c r="R66" s="74">
        <v>44664</v>
      </c>
      <c r="S66" s="74" t="s">
        <v>88</v>
      </c>
      <c r="T66" s="74">
        <v>44679</v>
      </c>
      <c r="U66" s="95" t="s">
        <v>4170</v>
      </c>
      <c r="V66" s="75" t="s">
        <v>4092</v>
      </c>
      <c r="W66" s="83">
        <v>2138.4117</v>
      </c>
      <c r="X66" s="77">
        <f t="shared" si="50"/>
        <v>17107.2936</v>
      </c>
      <c r="Y66" s="70"/>
      <c r="Z66" s="70"/>
      <c r="AA66" s="70" t="s">
        <v>4109</v>
      </c>
      <c r="AB66" s="70"/>
      <c r="AC66" s="70"/>
      <c r="AD66" s="78"/>
      <c r="AE66" s="70"/>
      <c r="AF66" s="74"/>
      <c r="BK66" s="79" t="e">
        <f>$AG66*#REF!</f>
        <v>#REF!</v>
      </c>
      <c r="BL66" s="79" t="e">
        <f>$AG66*#REF!</f>
        <v>#REF!</v>
      </c>
      <c r="BM66" s="79" t="e">
        <f>$AG66*#REF!</f>
        <v>#REF!</v>
      </c>
      <c r="BN66" s="79" t="e">
        <f>$AG66*#REF!</f>
        <v>#REF!</v>
      </c>
      <c r="BO66" s="79" t="e">
        <f>$AG66*#REF!</f>
        <v>#REF!</v>
      </c>
      <c r="BP66" s="79" t="e">
        <f>$AG66*#REF!</f>
        <v>#REF!</v>
      </c>
      <c r="BQ66" s="79" t="e">
        <f>$AG66*#REF!</f>
        <v>#REF!</v>
      </c>
      <c r="BR66" s="79" t="e">
        <f>$AG66*#REF!</f>
        <v>#REF!</v>
      </c>
      <c r="BS66" s="79" t="e">
        <f>$AG66*#REF!</f>
        <v>#REF!</v>
      </c>
      <c r="BT66" s="79" t="e">
        <f>$AG66*#REF!</f>
        <v>#REF!</v>
      </c>
      <c r="BU66" s="79" t="e">
        <f>$AG66*#REF!</f>
        <v>#REF!</v>
      </c>
      <c r="BV66" s="79" t="e">
        <f>$AG66*#REF!</f>
        <v>#REF!</v>
      </c>
      <c r="BW66" s="79" t="e">
        <f>$AG66*#REF!</f>
        <v>#REF!</v>
      </c>
      <c r="BX66" s="79" t="e">
        <f>$AG66*#REF!</f>
        <v>#REF!</v>
      </c>
      <c r="BY66" s="79" t="e">
        <f>$AG66*#REF!</f>
        <v>#REF!</v>
      </c>
      <c r="BZ66" s="79" t="e">
        <f>$AG66*#REF!</f>
        <v>#REF!</v>
      </c>
      <c r="CA66" s="79" t="e">
        <f>$AG66*#REF!</f>
        <v>#REF!</v>
      </c>
      <c r="CB66" s="79" t="e">
        <f>$AG66*#REF!</f>
        <v>#REF!</v>
      </c>
      <c r="CC66" s="79" t="e">
        <f>$AG66*#REF!</f>
        <v>#REF!</v>
      </c>
      <c r="CD66" s="79" t="e">
        <f>$AG66*#REF!</f>
        <v>#REF!</v>
      </c>
      <c r="CE66" s="79" t="e">
        <f>$AG66*#REF!</f>
        <v>#REF!</v>
      </c>
      <c r="CF66" s="79"/>
      <c r="CI66" s="17">
        <f t="shared" si="25"/>
        <v>0</v>
      </c>
      <c r="CL66" s="17">
        <f t="shared" si="29"/>
        <v>0</v>
      </c>
    </row>
    <row r="67" s="17" customFormat="1" ht="24" customHeight="1" spans="1:90">
      <c r="A67" s="68">
        <v>44663</v>
      </c>
      <c r="B67" s="69" t="s">
        <v>240</v>
      </c>
      <c r="C67" s="70" t="s">
        <v>125</v>
      </c>
      <c r="D67" s="69">
        <v>4500075822</v>
      </c>
      <c r="E67" s="70">
        <v>4231913183</v>
      </c>
      <c r="F67" s="71" t="s">
        <v>4138</v>
      </c>
      <c r="G67" s="97"/>
      <c r="H67" s="96" t="s">
        <v>4093</v>
      </c>
      <c r="I67" s="70">
        <v>8640</v>
      </c>
      <c r="J67" s="70">
        <v>0</v>
      </c>
      <c r="K67" s="70">
        <v>1080</v>
      </c>
      <c r="L67" s="72">
        <f t="shared" si="39"/>
        <v>8</v>
      </c>
      <c r="M67" s="75">
        <v>44692</v>
      </c>
      <c r="N67" s="84" t="s">
        <v>4133</v>
      </c>
      <c r="O67" s="73"/>
      <c r="P67" s="73"/>
      <c r="Q67" s="70"/>
      <c r="R67" s="74">
        <v>44664</v>
      </c>
      <c r="S67" s="74" t="s">
        <v>88</v>
      </c>
      <c r="T67" s="74">
        <v>44679</v>
      </c>
      <c r="U67" s="95"/>
      <c r="V67" s="75" t="s">
        <v>4092</v>
      </c>
      <c r="W67" s="83">
        <v>0</v>
      </c>
      <c r="X67" s="77">
        <v>0</v>
      </c>
      <c r="Y67" s="70"/>
      <c r="Z67" s="70"/>
      <c r="AA67" s="70" t="s">
        <v>4109</v>
      </c>
      <c r="AB67" s="70"/>
      <c r="AC67" s="70"/>
      <c r="AD67" s="78"/>
      <c r="AE67" s="70"/>
      <c r="AF67" s="74"/>
      <c r="AG67" s="17">
        <f t="shared" ref="AG67:AG81" si="51">I67</f>
        <v>8640</v>
      </c>
      <c r="AM67" s="17">
        <f t="shared" ref="AM67:AM81" si="52">I67</f>
        <v>8640</v>
      </c>
      <c r="AN67" s="17">
        <f t="shared" ref="AN67:AN81" si="53">I67</f>
        <v>8640</v>
      </c>
      <c r="BA67" s="17">
        <f>I67/18</f>
        <v>480</v>
      </c>
      <c r="BK67" s="79" t="e">
        <f>$AG67*#REF!</f>
        <v>#REF!</v>
      </c>
      <c r="BL67" s="79" t="e">
        <f>$AG67*#REF!</f>
        <v>#REF!</v>
      </c>
      <c r="BM67" s="79" t="e">
        <f>$AG67*#REF!</f>
        <v>#REF!</v>
      </c>
      <c r="BN67" s="79" t="e">
        <f>$AG67*#REF!</f>
        <v>#REF!</v>
      </c>
      <c r="BO67" s="79" t="e">
        <f>$AG67*#REF!</f>
        <v>#REF!</v>
      </c>
      <c r="BP67" s="79" t="e">
        <f>$AG67*#REF!</f>
        <v>#REF!</v>
      </c>
      <c r="BQ67" s="79" t="e">
        <f>$AG67*#REF!</f>
        <v>#REF!</v>
      </c>
      <c r="BR67" s="79" t="e">
        <f>$AG67*#REF!</f>
        <v>#REF!</v>
      </c>
      <c r="BS67" s="79" t="e">
        <f>$AG67*#REF!</f>
        <v>#REF!</v>
      </c>
      <c r="BT67" s="79" t="e">
        <f>$AG67*#REF!</f>
        <v>#REF!</v>
      </c>
      <c r="BU67" s="79" t="e">
        <f>$AG67*#REF!</f>
        <v>#REF!</v>
      </c>
      <c r="BV67" s="79" t="e">
        <f>$AG67*#REF!</f>
        <v>#REF!</v>
      </c>
      <c r="BW67" s="79" t="e">
        <f>$AG67*#REF!</f>
        <v>#REF!</v>
      </c>
      <c r="BX67" s="79" t="e">
        <f>$AG67*#REF!</f>
        <v>#REF!</v>
      </c>
      <c r="BY67" s="79" t="e">
        <f>$AG67*#REF!</f>
        <v>#REF!</v>
      </c>
      <c r="BZ67" s="79" t="e">
        <f>$AG67*#REF!</f>
        <v>#REF!</v>
      </c>
      <c r="CA67" s="79" t="e">
        <f>$AG67*#REF!</f>
        <v>#REF!</v>
      </c>
      <c r="CB67" s="79" t="e">
        <f>$AG67*#REF!</f>
        <v>#REF!</v>
      </c>
      <c r="CC67" s="79" t="e">
        <f>$AG67*#REF!</f>
        <v>#REF!</v>
      </c>
      <c r="CD67" s="79" t="e">
        <f>$AG67*#REF!</f>
        <v>#REF!</v>
      </c>
      <c r="CE67" s="79" t="e">
        <f>$AG67*#REF!</f>
        <v>#REF!</v>
      </c>
      <c r="CF67" s="79"/>
      <c r="CI67" s="17">
        <f t="shared" si="25"/>
        <v>0</v>
      </c>
      <c r="CL67" s="17">
        <f t="shared" si="29"/>
        <v>480</v>
      </c>
    </row>
    <row r="68" s="17" customFormat="1" ht="24" customHeight="1" spans="1:90">
      <c r="A68" s="68">
        <v>44663</v>
      </c>
      <c r="B68" s="69" t="s">
        <v>240</v>
      </c>
      <c r="C68" s="70" t="s">
        <v>125</v>
      </c>
      <c r="D68" s="69">
        <v>4500075825</v>
      </c>
      <c r="E68" s="70">
        <v>4231912622</v>
      </c>
      <c r="F68" s="71" t="s">
        <v>4123</v>
      </c>
      <c r="G68" s="97"/>
      <c r="H68" s="96" t="s">
        <v>4124</v>
      </c>
      <c r="I68" s="70">
        <v>4320</v>
      </c>
      <c r="J68" s="70">
        <v>0</v>
      </c>
      <c r="K68" s="70">
        <v>18</v>
      </c>
      <c r="L68" s="72">
        <f t="shared" si="39"/>
        <v>240</v>
      </c>
      <c r="M68" s="75">
        <v>44692</v>
      </c>
      <c r="N68" s="84" t="s">
        <v>4133</v>
      </c>
      <c r="O68" s="73"/>
      <c r="P68" s="73"/>
      <c r="Q68" s="70"/>
      <c r="R68" s="74" t="s">
        <v>4172</v>
      </c>
      <c r="S68" s="74" t="s">
        <v>88</v>
      </c>
      <c r="T68" s="74">
        <v>44679</v>
      </c>
      <c r="U68" s="95" t="s">
        <v>4173</v>
      </c>
      <c r="V68" s="75" t="s">
        <v>4092</v>
      </c>
      <c r="W68" s="83">
        <v>2.0276</v>
      </c>
      <c r="X68" s="77">
        <f t="shared" ref="X68:X82" si="54">I68*W68</f>
        <v>8759.232</v>
      </c>
      <c r="Y68" s="70"/>
      <c r="Z68" s="70"/>
      <c r="AA68" s="70" t="s">
        <v>4109</v>
      </c>
      <c r="AB68" s="70"/>
      <c r="AC68" s="70"/>
      <c r="AD68" s="78" t="s">
        <v>95</v>
      </c>
      <c r="AE68" s="70"/>
      <c r="AF68" s="74"/>
      <c r="AG68" s="17">
        <f t="shared" si="51"/>
        <v>4320</v>
      </c>
      <c r="AM68" s="17">
        <f t="shared" si="52"/>
        <v>4320</v>
      </c>
      <c r="AN68" s="17">
        <f t="shared" si="53"/>
        <v>4320</v>
      </c>
      <c r="AZ68" s="17">
        <f t="shared" ref="AZ68:AZ74" si="55">I68/18</f>
        <v>240</v>
      </c>
      <c r="BK68" s="79" t="e">
        <f>$AG68*#REF!</f>
        <v>#REF!</v>
      </c>
      <c r="BL68" s="79" t="e">
        <f>$AG68*#REF!</f>
        <v>#REF!</v>
      </c>
      <c r="BM68" s="79" t="e">
        <f>$AG68*#REF!</f>
        <v>#REF!</v>
      </c>
      <c r="BN68" s="79" t="e">
        <f>$AG68*#REF!</f>
        <v>#REF!</v>
      </c>
      <c r="BO68" s="79" t="e">
        <f>$AG68*#REF!</f>
        <v>#REF!</v>
      </c>
      <c r="BP68" s="79" t="e">
        <f>$AG68*#REF!</f>
        <v>#REF!</v>
      </c>
      <c r="BQ68" s="79" t="e">
        <f>$AG68*#REF!</f>
        <v>#REF!</v>
      </c>
      <c r="BR68" s="79" t="e">
        <f>$AG68*#REF!</f>
        <v>#REF!</v>
      </c>
      <c r="BS68" s="79" t="e">
        <f>$AG68*#REF!</f>
        <v>#REF!</v>
      </c>
      <c r="BT68" s="79" t="e">
        <f>$AG68*#REF!</f>
        <v>#REF!</v>
      </c>
      <c r="BU68" s="79" t="e">
        <f>$AG68*#REF!</f>
        <v>#REF!</v>
      </c>
      <c r="BV68" s="79" t="e">
        <f>$AG68*#REF!</f>
        <v>#REF!</v>
      </c>
      <c r="BW68" s="79" t="e">
        <f>$AG68*#REF!</f>
        <v>#REF!</v>
      </c>
      <c r="BX68" s="79" t="e">
        <f>$AG68*#REF!</f>
        <v>#REF!</v>
      </c>
      <c r="BY68" s="79" t="e">
        <f>$AG68*#REF!</f>
        <v>#REF!</v>
      </c>
      <c r="BZ68" s="79" t="e">
        <f>$AG68*#REF!</f>
        <v>#REF!</v>
      </c>
      <c r="CA68" s="79" t="e">
        <f>$AG68*#REF!</f>
        <v>#REF!</v>
      </c>
      <c r="CB68" s="79" t="e">
        <f>$AG68*#REF!</f>
        <v>#REF!</v>
      </c>
      <c r="CC68" s="79" t="e">
        <f>$AG68*#REF!</f>
        <v>#REF!</v>
      </c>
      <c r="CD68" s="79" t="e">
        <f>$AG68*#REF!</f>
        <v>#REF!</v>
      </c>
      <c r="CE68" s="79" t="e">
        <f>$AG68*#REF!</f>
        <v>#REF!</v>
      </c>
      <c r="CF68" s="79"/>
      <c r="CI68" s="17">
        <f t="shared" si="25"/>
        <v>0</v>
      </c>
      <c r="CL68" s="17">
        <f t="shared" si="29"/>
        <v>240</v>
      </c>
    </row>
    <row r="69" s="17" customFormat="1" ht="24" customHeight="1" spans="1:90">
      <c r="A69" s="68">
        <v>44663</v>
      </c>
      <c r="B69" s="69" t="s">
        <v>240</v>
      </c>
      <c r="C69" s="70" t="s">
        <v>125</v>
      </c>
      <c r="D69" s="69">
        <v>4500075824</v>
      </c>
      <c r="E69" s="70">
        <v>4231912619</v>
      </c>
      <c r="F69" s="71" t="s">
        <v>4123</v>
      </c>
      <c r="G69" s="97"/>
      <c r="H69" s="96" t="s">
        <v>4124</v>
      </c>
      <c r="I69" s="70">
        <v>9720</v>
      </c>
      <c r="J69" s="70">
        <v>0</v>
      </c>
      <c r="K69" s="70">
        <v>18</v>
      </c>
      <c r="L69" s="72">
        <f t="shared" si="39"/>
        <v>540</v>
      </c>
      <c r="M69" s="75">
        <v>44692</v>
      </c>
      <c r="N69" s="84" t="s">
        <v>4133</v>
      </c>
      <c r="O69" s="73"/>
      <c r="P69" s="73"/>
      <c r="Q69" s="70"/>
      <c r="R69" s="74" t="s">
        <v>4172</v>
      </c>
      <c r="S69" s="74" t="s">
        <v>88</v>
      </c>
      <c r="T69" s="74">
        <v>44679</v>
      </c>
      <c r="U69" s="95" t="s">
        <v>4173</v>
      </c>
      <c r="V69" s="75" t="s">
        <v>4092</v>
      </c>
      <c r="W69" s="83">
        <v>2.0212</v>
      </c>
      <c r="X69" s="77">
        <f t="shared" si="54"/>
        <v>19646.064</v>
      </c>
      <c r="Y69" s="70"/>
      <c r="Z69" s="70"/>
      <c r="AA69" s="70" t="s">
        <v>4109</v>
      </c>
      <c r="AB69" s="70"/>
      <c r="AC69" s="70"/>
      <c r="AD69" s="78" t="s">
        <v>95</v>
      </c>
      <c r="AE69" s="70"/>
      <c r="AF69" s="74"/>
      <c r="AG69" s="17">
        <f t="shared" si="51"/>
        <v>9720</v>
      </c>
      <c r="AM69" s="17">
        <f t="shared" si="52"/>
        <v>9720</v>
      </c>
      <c r="AN69" s="17">
        <f t="shared" si="53"/>
        <v>9720</v>
      </c>
      <c r="AZ69" s="17">
        <f t="shared" si="55"/>
        <v>540</v>
      </c>
      <c r="BK69" s="79" t="e">
        <f>$AG69*#REF!</f>
        <v>#REF!</v>
      </c>
      <c r="BL69" s="79" t="e">
        <f>$AG69*#REF!</f>
        <v>#REF!</v>
      </c>
      <c r="BM69" s="79" t="e">
        <f>$AG69*#REF!</f>
        <v>#REF!</v>
      </c>
      <c r="BN69" s="79" t="e">
        <f>$AG69*#REF!</f>
        <v>#REF!</v>
      </c>
      <c r="BO69" s="79" t="e">
        <f>$AG69*#REF!</f>
        <v>#REF!</v>
      </c>
      <c r="BP69" s="79" t="e">
        <f>$AG69*#REF!</f>
        <v>#REF!</v>
      </c>
      <c r="BQ69" s="79" t="e">
        <f>$AG69*#REF!</f>
        <v>#REF!</v>
      </c>
      <c r="BR69" s="79" t="e">
        <f>$AG69*#REF!</f>
        <v>#REF!</v>
      </c>
      <c r="BS69" s="79" t="e">
        <f>$AG69*#REF!</f>
        <v>#REF!</v>
      </c>
      <c r="BT69" s="79" t="e">
        <f>$AG69*#REF!</f>
        <v>#REF!</v>
      </c>
      <c r="BU69" s="79" t="e">
        <f>$AG69*#REF!</f>
        <v>#REF!</v>
      </c>
      <c r="BV69" s="79" t="e">
        <f>$AG69*#REF!</f>
        <v>#REF!</v>
      </c>
      <c r="BW69" s="79" t="e">
        <f>$AG69*#REF!</f>
        <v>#REF!</v>
      </c>
      <c r="BX69" s="79" t="e">
        <f>$AG69*#REF!</f>
        <v>#REF!</v>
      </c>
      <c r="BY69" s="79" t="e">
        <f>$AG69*#REF!</f>
        <v>#REF!</v>
      </c>
      <c r="BZ69" s="79" t="e">
        <f>$AG69*#REF!</f>
        <v>#REF!</v>
      </c>
      <c r="CA69" s="79" t="e">
        <f>$AG69*#REF!</f>
        <v>#REF!</v>
      </c>
      <c r="CB69" s="79" t="e">
        <f>$AG69*#REF!</f>
        <v>#REF!</v>
      </c>
      <c r="CC69" s="79" t="e">
        <f>$AG69*#REF!</f>
        <v>#REF!</v>
      </c>
      <c r="CD69" s="79" t="e">
        <f>$AG69*#REF!</f>
        <v>#REF!</v>
      </c>
      <c r="CE69" s="79" t="e">
        <f>$AG69*#REF!</f>
        <v>#REF!</v>
      </c>
      <c r="CF69" s="79"/>
      <c r="CI69" s="17">
        <f t="shared" si="25"/>
        <v>0</v>
      </c>
      <c r="CL69" s="17">
        <f t="shared" si="29"/>
        <v>540</v>
      </c>
    </row>
    <row r="70" s="17" customFormat="1" ht="24" customHeight="1" spans="1:90">
      <c r="A70" s="68">
        <v>44663</v>
      </c>
      <c r="B70" s="69" t="s">
        <v>240</v>
      </c>
      <c r="C70" s="70" t="s">
        <v>125</v>
      </c>
      <c r="D70" s="69">
        <v>4500075820</v>
      </c>
      <c r="E70" s="70">
        <v>4231912621</v>
      </c>
      <c r="F70" s="71" t="s">
        <v>4123</v>
      </c>
      <c r="G70" s="97"/>
      <c r="H70" s="96" t="s">
        <v>4124</v>
      </c>
      <c r="I70" s="70">
        <v>4320</v>
      </c>
      <c r="J70" s="70">
        <v>0</v>
      </c>
      <c r="K70" s="70">
        <v>18</v>
      </c>
      <c r="L70" s="72">
        <f t="shared" si="39"/>
        <v>240</v>
      </c>
      <c r="M70" s="75">
        <v>44692</v>
      </c>
      <c r="N70" s="84" t="s">
        <v>4133</v>
      </c>
      <c r="O70" s="73"/>
      <c r="P70" s="73"/>
      <c r="Q70" s="70"/>
      <c r="R70" s="74" t="s">
        <v>4172</v>
      </c>
      <c r="S70" s="74" t="s">
        <v>88</v>
      </c>
      <c r="T70" s="74">
        <v>44679</v>
      </c>
      <c r="U70" s="95" t="s">
        <v>4173</v>
      </c>
      <c r="V70" s="75" t="s">
        <v>4092</v>
      </c>
      <c r="W70" s="83">
        <v>2.0276</v>
      </c>
      <c r="X70" s="77">
        <f t="shared" si="54"/>
        <v>8759.232</v>
      </c>
      <c r="Y70" s="70"/>
      <c r="Z70" s="70"/>
      <c r="AA70" s="70" t="s">
        <v>4109</v>
      </c>
      <c r="AB70" s="70"/>
      <c r="AC70" s="70"/>
      <c r="AD70" s="78" t="s">
        <v>95</v>
      </c>
      <c r="AE70" s="70"/>
      <c r="AF70" s="74"/>
      <c r="AG70" s="17">
        <f t="shared" si="51"/>
        <v>4320</v>
      </c>
      <c r="AM70" s="17">
        <f t="shared" si="52"/>
        <v>4320</v>
      </c>
      <c r="AN70" s="17">
        <f t="shared" si="53"/>
        <v>4320</v>
      </c>
      <c r="AZ70" s="17">
        <f t="shared" si="55"/>
        <v>240</v>
      </c>
      <c r="BK70" s="79" t="e">
        <f>$AG70*#REF!</f>
        <v>#REF!</v>
      </c>
      <c r="BL70" s="79" t="e">
        <f>$AG70*#REF!</f>
        <v>#REF!</v>
      </c>
      <c r="BM70" s="79" t="e">
        <f>$AG70*#REF!</f>
        <v>#REF!</v>
      </c>
      <c r="BN70" s="79" t="e">
        <f>$AG70*#REF!</f>
        <v>#REF!</v>
      </c>
      <c r="BO70" s="79" t="e">
        <f>$AG70*#REF!</f>
        <v>#REF!</v>
      </c>
      <c r="BP70" s="79" t="e">
        <f>$AG70*#REF!</f>
        <v>#REF!</v>
      </c>
      <c r="BQ70" s="79" t="e">
        <f>$AG70*#REF!</f>
        <v>#REF!</v>
      </c>
      <c r="BR70" s="79" t="e">
        <f>$AG70*#REF!</f>
        <v>#REF!</v>
      </c>
      <c r="BS70" s="79" t="e">
        <f>$AG70*#REF!</f>
        <v>#REF!</v>
      </c>
      <c r="BT70" s="79" t="e">
        <f>$AG70*#REF!</f>
        <v>#REF!</v>
      </c>
      <c r="BU70" s="79" t="e">
        <f>$AG70*#REF!</f>
        <v>#REF!</v>
      </c>
      <c r="BV70" s="79" t="e">
        <f>$AG70*#REF!</f>
        <v>#REF!</v>
      </c>
      <c r="BW70" s="79" t="e">
        <f>$AG70*#REF!</f>
        <v>#REF!</v>
      </c>
      <c r="BX70" s="79" t="e">
        <f>$AG70*#REF!</f>
        <v>#REF!</v>
      </c>
      <c r="BY70" s="79" t="e">
        <f>$AG70*#REF!</f>
        <v>#REF!</v>
      </c>
      <c r="BZ70" s="79" t="e">
        <f>$AG70*#REF!</f>
        <v>#REF!</v>
      </c>
      <c r="CA70" s="79" t="e">
        <f>$AG70*#REF!</f>
        <v>#REF!</v>
      </c>
      <c r="CB70" s="79" t="e">
        <f>$AG70*#REF!</f>
        <v>#REF!</v>
      </c>
      <c r="CC70" s="79" t="e">
        <f>$AG70*#REF!</f>
        <v>#REF!</v>
      </c>
      <c r="CD70" s="79" t="e">
        <f>$AG70*#REF!</f>
        <v>#REF!</v>
      </c>
      <c r="CE70" s="79" t="e">
        <f>$AG70*#REF!</f>
        <v>#REF!</v>
      </c>
      <c r="CF70" s="79"/>
      <c r="CI70" s="17">
        <f t="shared" si="25"/>
        <v>0</v>
      </c>
      <c r="CL70" s="17">
        <f t="shared" si="29"/>
        <v>240</v>
      </c>
    </row>
    <row r="71" s="17" customFormat="1" ht="24" customHeight="1" spans="1:90">
      <c r="A71" s="68">
        <v>44663</v>
      </c>
      <c r="B71" s="69" t="s">
        <v>240</v>
      </c>
      <c r="C71" s="70" t="s">
        <v>125</v>
      </c>
      <c r="D71" s="69">
        <v>4500075830</v>
      </c>
      <c r="E71" s="70">
        <v>4231912616</v>
      </c>
      <c r="F71" s="71" t="s">
        <v>4123</v>
      </c>
      <c r="G71" s="97"/>
      <c r="H71" s="96" t="s">
        <v>4124</v>
      </c>
      <c r="I71" s="70">
        <v>7560</v>
      </c>
      <c r="J71" s="70">
        <v>0</v>
      </c>
      <c r="K71" s="70">
        <v>18</v>
      </c>
      <c r="L71" s="72">
        <f t="shared" si="39"/>
        <v>420</v>
      </c>
      <c r="M71" s="75">
        <v>44692</v>
      </c>
      <c r="N71" s="84" t="s">
        <v>4133</v>
      </c>
      <c r="O71" s="73"/>
      <c r="P71" s="73"/>
      <c r="Q71" s="70"/>
      <c r="R71" s="74" t="s">
        <v>4172</v>
      </c>
      <c r="S71" s="74" t="s">
        <v>88</v>
      </c>
      <c r="T71" s="74">
        <v>44679</v>
      </c>
      <c r="U71" s="95" t="s">
        <v>4173</v>
      </c>
      <c r="V71" s="75" t="s">
        <v>4092</v>
      </c>
      <c r="W71" s="83">
        <v>2.0212</v>
      </c>
      <c r="X71" s="77">
        <f t="shared" si="54"/>
        <v>15280.272</v>
      </c>
      <c r="Y71" s="70"/>
      <c r="Z71" s="70"/>
      <c r="AA71" s="70" t="s">
        <v>4109</v>
      </c>
      <c r="AB71" s="70"/>
      <c r="AC71" s="70"/>
      <c r="AD71" s="78" t="s">
        <v>95</v>
      </c>
      <c r="AE71" s="70"/>
      <c r="AF71" s="74"/>
      <c r="AG71" s="17">
        <f t="shared" si="51"/>
        <v>7560</v>
      </c>
      <c r="AM71" s="17">
        <f t="shared" si="52"/>
        <v>7560</v>
      </c>
      <c r="AN71" s="17">
        <f t="shared" si="53"/>
        <v>7560</v>
      </c>
      <c r="AZ71" s="17">
        <f t="shared" si="55"/>
        <v>420</v>
      </c>
      <c r="BK71" s="79" t="e">
        <f>$AG71*#REF!</f>
        <v>#REF!</v>
      </c>
      <c r="BL71" s="79" t="e">
        <f>$AG71*#REF!</f>
        <v>#REF!</v>
      </c>
      <c r="BM71" s="79" t="e">
        <f>$AG71*#REF!</f>
        <v>#REF!</v>
      </c>
      <c r="BN71" s="79" t="e">
        <f>$AG71*#REF!</f>
        <v>#REF!</v>
      </c>
      <c r="BO71" s="79" t="e">
        <f>$AG71*#REF!</f>
        <v>#REF!</v>
      </c>
      <c r="BP71" s="79" t="e">
        <f>$AG71*#REF!</f>
        <v>#REF!</v>
      </c>
      <c r="BQ71" s="79" t="e">
        <f>$AG71*#REF!</f>
        <v>#REF!</v>
      </c>
      <c r="BR71" s="79" t="e">
        <f>$AG71*#REF!</f>
        <v>#REF!</v>
      </c>
      <c r="BS71" s="79" t="e">
        <f>$AG71*#REF!</f>
        <v>#REF!</v>
      </c>
      <c r="BT71" s="79" t="e">
        <f>$AG71*#REF!</f>
        <v>#REF!</v>
      </c>
      <c r="BU71" s="79" t="e">
        <f>$AG71*#REF!</f>
        <v>#REF!</v>
      </c>
      <c r="BV71" s="79" t="e">
        <f>$AG71*#REF!</f>
        <v>#REF!</v>
      </c>
      <c r="BW71" s="79" t="e">
        <f>$AG71*#REF!</f>
        <v>#REF!</v>
      </c>
      <c r="BX71" s="79" t="e">
        <f>$AG71*#REF!</f>
        <v>#REF!</v>
      </c>
      <c r="BY71" s="79" t="e">
        <f>$AG71*#REF!</f>
        <v>#REF!</v>
      </c>
      <c r="BZ71" s="79" t="e">
        <f>$AG71*#REF!</f>
        <v>#REF!</v>
      </c>
      <c r="CA71" s="79" t="e">
        <f>$AG71*#REF!</f>
        <v>#REF!</v>
      </c>
      <c r="CB71" s="79" t="e">
        <f>$AG71*#REF!</f>
        <v>#REF!</v>
      </c>
      <c r="CC71" s="79" t="e">
        <f>$AG71*#REF!</f>
        <v>#REF!</v>
      </c>
      <c r="CD71" s="79" t="e">
        <f>$AG71*#REF!</f>
        <v>#REF!</v>
      </c>
      <c r="CE71" s="79" t="e">
        <f>$AG71*#REF!</f>
        <v>#REF!</v>
      </c>
      <c r="CF71" s="79"/>
      <c r="CI71" s="17">
        <f t="shared" si="25"/>
        <v>0</v>
      </c>
      <c r="CL71" s="17">
        <f t="shared" si="29"/>
        <v>420</v>
      </c>
    </row>
    <row r="72" s="17" customFormat="1" ht="24" customHeight="1" spans="1:90">
      <c r="A72" s="68">
        <v>44663</v>
      </c>
      <c r="B72" s="69" t="s">
        <v>240</v>
      </c>
      <c r="C72" s="70" t="s">
        <v>125</v>
      </c>
      <c r="D72" s="69">
        <v>4500075827</v>
      </c>
      <c r="E72" s="70">
        <v>4231912620</v>
      </c>
      <c r="F72" s="71" t="s">
        <v>4123</v>
      </c>
      <c r="G72" s="97"/>
      <c r="H72" s="96" t="s">
        <v>4124</v>
      </c>
      <c r="I72" s="70">
        <v>6480</v>
      </c>
      <c r="J72" s="70">
        <v>0</v>
      </c>
      <c r="K72" s="70">
        <v>18</v>
      </c>
      <c r="L72" s="72">
        <f t="shared" si="39"/>
        <v>360</v>
      </c>
      <c r="M72" s="75">
        <v>44692</v>
      </c>
      <c r="N72" s="84" t="s">
        <v>4133</v>
      </c>
      <c r="O72" s="73"/>
      <c r="P72" s="73"/>
      <c r="Q72" s="70"/>
      <c r="R72" s="74" t="s">
        <v>4172</v>
      </c>
      <c r="S72" s="74" t="s">
        <v>88</v>
      </c>
      <c r="T72" s="74">
        <v>44679</v>
      </c>
      <c r="U72" s="95" t="s">
        <v>4173</v>
      </c>
      <c r="V72" s="75" t="s">
        <v>4092</v>
      </c>
      <c r="W72" s="83">
        <v>2.0212</v>
      </c>
      <c r="X72" s="77">
        <f t="shared" si="54"/>
        <v>13097.376</v>
      </c>
      <c r="Y72" s="70"/>
      <c r="Z72" s="70"/>
      <c r="AA72" s="70" t="s">
        <v>4109</v>
      </c>
      <c r="AB72" s="70"/>
      <c r="AC72" s="70"/>
      <c r="AD72" s="78" t="s">
        <v>95</v>
      </c>
      <c r="AE72" s="70"/>
      <c r="AF72" s="74"/>
      <c r="AG72" s="17">
        <f t="shared" si="51"/>
        <v>6480</v>
      </c>
      <c r="AM72" s="17">
        <f t="shared" si="52"/>
        <v>6480</v>
      </c>
      <c r="AN72" s="17">
        <f t="shared" si="53"/>
        <v>6480</v>
      </c>
      <c r="AZ72" s="17">
        <f t="shared" si="55"/>
        <v>360</v>
      </c>
      <c r="BK72" s="79" t="e">
        <f>$AG72*#REF!</f>
        <v>#REF!</v>
      </c>
      <c r="BL72" s="79" t="e">
        <f>$AG72*#REF!</f>
        <v>#REF!</v>
      </c>
      <c r="BM72" s="79" t="e">
        <f>$AG72*#REF!</f>
        <v>#REF!</v>
      </c>
      <c r="BN72" s="79" t="e">
        <f>$AG72*#REF!</f>
        <v>#REF!</v>
      </c>
      <c r="BO72" s="79" t="e">
        <f>$AG72*#REF!</f>
        <v>#REF!</v>
      </c>
      <c r="BP72" s="79" t="e">
        <f>$AG72*#REF!</f>
        <v>#REF!</v>
      </c>
      <c r="BQ72" s="79" t="e">
        <f>$AG72*#REF!</f>
        <v>#REF!</v>
      </c>
      <c r="BR72" s="79" t="e">
        <f>$AG72*#REF!</f>
        <v>#REF!</v>
      </c>
      <c r="BS72" s="79" t="e">
        <f>$AG72*#REF!</f>
        <v>#REF!</v>
      </c>
      <c r="BT72" s="79" t="e">
        <f>$AG72*#REF!</f>
        <v>#REF!</v>
      </c>
      <c r="BU72" s="79" t="e">
        <f>$AG72*#REF!</f>
        <v>#REF!</v>
      </c>
      <c r="BV72" s="79" t="e">
        <f>$AG72*#REF!</f>
        <v>#REF!</v>
      </c>
      <c r="BW72" s="79" t="e">
        <f>$AG72*#REF!</f>
        <v>#REF!</v>
      </c>
      <c r="BX72" s="79" t="e">
        <f>$AG72*#REF!</f>
        <v>#REF!</v>
      </c>
      <c r="BY72" s="79" t="e">
        <f>$AG72*#REF!</f>
        <v>#REF!</v>
      </c>
      <c r="BZ72" s="79" t="e">
        <f>$AG72*#REF!</f>
        <v>#REF!</v>
      </c>
      <c r="CA72" s="79" t="e">
        <f>$AG72*#REF!</f>
        <v>#REF!</v>
      </c>
      <c r="CB72" s="79" t="e">
        <f>$AG72*#REF!</f>
        <v>#REF!</v>
      </c>
      <c r="CC72" s="79" t="e">
        <f>$AG72*#REF!</f>
        <v>#REF!</v>
      </c>
      <c r="CD72" s="79" t="e">
        <f>$AG72*#REF!</f>
        <v>#REF!</v>
      </c>
      <c r="CE72" s="79" t="e">
        <f>$AG72*#REF!</f>
        <v>#REF!</v>
      </c>
      <c r="CF72" s="79"/>
      <c r="CI72" s="17">
        <f t="shared" si="25"/>
        <v>0</v>
      </c>
      <c r="CL72" s="17">
        <f t="shared" si="29"/>
        <v>360</v>
      </c>
    </row>
    <row r="73" s="17" customFormat="1" ht="24" customHeight="1" spans="1:90">
      <c r="A73" s="68">
        <v>44663</v>
      </c>
      <c r="B73" s="69" t="s">
        <v>240</v>
      </c>
      <c r="C73" s="70" t="s">
        <v>125</v>
      </c>
      <c r="D73" s="69">
        <v>4500075833</v>
      </c>
      <c r="E73" s="70">
        <v>4231912618</v>
      </c>
      <c r="F73" s="71" t="s">
        <v>4123</v>
      </c>
      <c r="G73" s="97"/>
      <c r="H73" s="96" t="s">
        <v>4124</v>
      </c>
      <c r="I73" s="70">
        <v>7560</v>
      </c>
      <c r="J73" s="70">
        <v>0</v>
      </c>
      <c r="K73" s="70">
        <v>18</v>
      </c>
      <c r="L73" s="72">
        <f t="shared" si="39"/>
        <v>420</v>
      </c>
      <c r="M73" s="75">
        <v>44692</v>
      </c>
      <c r="N73" s="84" t="s">
        <v>4133</v>
      </c>
      <c r="O73" s="73"/>
      <c r="P73" s="73"/>
      <c r="Q73" s="70"/>
      <c r="R73" s="74" t="s">
        <v>4172</v>
      </c>
      <c r="S73" s="74" t="s">
        <v>88</v>
      </c>
      <c r="T73" s="74">
        <v>44679</v>
      </c>
      <c r="U73" s="95" t="s">
        <v>4173</v>
      </c>
      <c r="V73" s="75" t="s">
        <v>4092</v>
      </c>
      <c r="W73" s="83">
        <v>2.0212</v>
      </c>
      <c r="X73" s="77">
        <f t="shared" si="54"/>
        <v>15280.272</v>
      </c>
      <c r="Y73" s="70"/>
      <c r="Z73" s="70"/>
      <c r="AA73" s="70" t="s">
        <v>4109</v>
      </c>
      <c r="AB73" s="70"/>
      <c r="AC73" s="70"/>
      <c r="AD73" s="78" t="s">
        <v>95</v>
      </c>
      <c r="AE73" s="70"/>
      <c r="AF73" s="74"/>
      <c r="AG73" s="17">
        <f t="shared" si="51"/>
        <v>7560</v>
      </c>
      <c r="AM73" s="17">
        <f t="shared" si="52"/>
        <v>7560</v>
      </c>
      <c r="AN73" s="17">
        <f t="shared" si="53"/>
        <v>7560</v>
      </c>
      <c r="AZ73" s="17">
        <f t="shared" si="55"/>
        <v>420</v>
      </c>
      <c r="BK73" s="79" t="e">
        <f>$AG73*#REF!</f>
        <v>#REF!</v>
      </c>
      <c r="BL73" s="79" t="e">
        <f>$AG73*#REF!</f>
        <v>#REF!</v>
      </c>
      <c r="BM73" s="79" t="e">
        <f>$AG73*#REF!</f>
        <v>#REF!</v>
      </c>
      <c r="BN73" s="79" t="e">
        <f>$AG73*#REF!</f>
        <v>#REF!</v>
      </c>
      <c r="BO73" s="79" t="e">
        <f>$AG73*#REF!</f>
        <v>#REF!</v>
      </c>
      <c r="BP73" s="79" t="e">
        <f>$AG73*#REF!</f>
        <v>#REF!</v>
      </c>
      <c r="BQ73" s="79" t="e">
        <f>$AG73*#REF!</f>
        <v>#REF!</v>
      </c>
      <c r="BR73" s="79" t="e">
        <f>$AG73*#REF!</f>
        <v>#REF!</v>
      </c>
      <c r="BS73" s="79" t="e">
        <f>$AG73*#REF!</f>
        <v>#REF!</v>
      </c>
      <c r="BT73" s="79" t="e">
        <f>$AG73*#REF!</f>
        <v>#REF!</v>
      </c>
      <c r="BU73" s="79" t="e">
        <f>$AG73*#REF!</f>
        <v>#REF!</v>
      </c>
      <c r="BV73" s="79" t="e">
        <f>$AG73*#REF!</f>
        <v>#REF!</v>
      </c>
      <c r="BW73" s="79" t="e">
        <f>$AG73*#REF!</f>
        <v>#REF!</v>
      </c>
      <c r="BX73" s="79" t="e">
        <f>$AG73*#REF!</f>
        <v>#REF!</v>
      </c>
      <c r="BY73" s="79" t="e">
        <f>$AG73*#REF!</f>
        <v>#REF!</v>
      </c>
      <c r="BZ73" s="79" t="e">
        <f>$AG73*#REF!</f>
        <v>#REF!</v>
      </c>
      <c r="CA73" s="79" t="e">
        <f>$AG73*#REF!</f>
        <v>#REF!</v>
      </c>
      <c r="CB73" s="79" t="e">
        <f>$AG73*#REF!</f>
        <v>#REF!</v>
      </c>
      <c r="CC73" s="79" t="e">
        <f>$AG73*#REF!</f>
        <v>#REF!</v>
      </c>
      <c r="CD73" s="79" t="e">
        <f>$AG73*#REF!</f>
        <v>#REF!</v>
      </c>
      <c r="CE73" s="79" t="e">
        <f>$AG73*#REF!</f>
        <v>#REF!</v>
      </c>
      <c r="CF73" s="79"/>
      <c r="CI73" s="17">
        <f t="shared" si="25"/>
        <v>0</v>
      </c>
      <c r="CL73" s="17">
        <f t="shared" si="29"/>
        <v>420</v>
      </c>
    </row>
    <row r="74" s="17" customFormat="1" ht="24" customHeight="1" spans="1:90">
      <c r="A74" s="68">
        <v>44663</v>
      </c>
      <c r="B74" s="69" t="s">
        <v>240</v>
      </c>
      <c r="C74" s="70" t="s">
        <v>125</v>
      </c>
      <c r="D74" s="69">
        <v>4500075832</v>
      </c>
      <c r="E74" s="70">
        <v>4231912617</v>
      </c>
      <c r="F74" s="71" t="s">
        <v>4123</v>
      </c>
      <c r="G74" s="97"/>
      <c r="H74" s="96" t="s">
        <v>4124</v>
      </c>
      <c r="I74" s="70">
        <v>6480</v>
      </c>
      <c r="J74" s="70">
        <v>0</v>
      </c>
      <c r="K74" s="70">
        <v>18</v>
      </c>
      <c r="L74" s="72">
        <f t="shared" si="39"/>
        <v>360</v>
      </c>
      <c r="M74" s="75">
        <v>44692</v>
      </c>
      <c r="N74" s="84" t="s">
        <v>4133</v>
      </c>
      <c r="O74" s="73"/>
      <c r="P74" s="73"/>
      <c r="Q74" s="70"/>
      <c r="R74" s="74" t="s">
        <v>4172</v>
      </c>
      <c r="S74" s="74" t="s">
        <v>88</v>
      </c>
      <c r="T74" s="74">
        <v>44679</v>
      </c>
      <c r="U74" s="95" t="s">
        <v>4174</v>
      </c>
      <c r="V74" s="75" t="s">
        <v>4092</v>
      </c>
      <c r="W74" s="83">
        <v>2.0212</v>
      </c>
      <c r="X74" s="77">
        <f t="shared" si="54"/>
        <v>13097.376</v>
      </c>
      <c r="Y74" s="70"/>
      <c r="Z74" s="70"/>
      <c r="AA74" s="70" t="s">
        <v>4109</v>
      </c>
      <c r="AB74" s="70"/>
      <c r="AC74" s="70"/>
      <c r="AD74" s="78" t="s">
        <v>95</v>
      </c>
      <c r="AE74" s="70"/>
      <c r="AF74" s="74"/>
      <c r="AG74" s="17">
        <f t="shared" si="51"/>
        <v>6480</v>
      </c>
      <c r="AM74" s="17">
        <f t="shared" si="52"/>
        <v>6480</v>
      </c>
      <c r="AN74" s="17">
        <f t="shared" si="53"/>
        <v>6480</v>
      </c>
      <c r="AZ74" s="17">
        <f t="shared" si="55"/>
        <v>360</v>
      </c>
      <c r="BK74" s="79" t="e">
        <f>$AG74*#REF!</f>
        <v>#REF!</v>
      </c>
      <c r="BL74" s="79" t="e">
        <f>$AG74*#REF!</f>
        <v>#REF!</v>
      </c>
      <c r="BM74" s="79" t="e">
        <f>$AG74*#REF!</f>
        <v>#REF!</v>
      </c>
      <c r="BN74" s="79" t="e">
        <f>$AG74*#REF!</f>
        <v>#REF!</v>
      </c>
      <c r="BO74" s="79" t="e">
        <f>$AG74*#REF!</f>
        <v>#REF!</v>
      </c>
      <c r="BP74" s="79" t="e">
        <f>$AG74*#REF!</f>
        <v>#REF!</v>
      </c>
      <c r="BQ74" s="79" t="e">
        <f>$AG74*#REF!</f>
        <v>#REF!</v>
      </c>
      <c r="BR74" s="79" t="e">
        <f>$AG74*#REF!</f>
        <v>#REF!</v>
      </c>
      <c r="BS74" s="79" t="e">
        <f>$AG74*#REF!</f>
        <v>#REF!</v>
      </c>
      <c r="BT74" s="79" t="e">
        <f>$AG74*#REF!</f>
        <v>#REF!</v>
      </c>
      <c r="BU74" s="79" t="e">
        <f>$AG74*#REF!</f>
        <v>#REF!</v>
      </c>
      <c r="BV74" s="79" t="e">
        <f>$AG74*#REF!</f>
        <v>#REF!</v>
      </c>
      <c r="BW74" s="79" t="e">
        <f>$AG74*#REF!</f>
        <v>#REF!</v>
      </c>
      <c r="BX74" s="79" t="e">
        <f>$AG74*#REF!</f>
        <v>#REF!</v>
      </c>
      <c r="BY74" s="79" t="e">
        <f>$AG74*#REF!</f>
        <v>#REF!</v>
      </c>
      <c r="BZ74" s="79" t="e">
        <f>$AG74*#REF!</f>
        <v>#REF!</v>
      </c>
      <c r="CA74" s="79" t="e">
        <f>$AG74*#REF!</f>
        <v>#REF!</v>
      </c>
      <c r="CB74" s="79" t="e">
        <f>$AG74*#REF!</f>
        <v>#REF!</v>
      </c>
      <c r="CC74" s="79" t="e">
        <f>$AG74*#REF!</f>
        <v>#REF!</v>
      </c>
      <c r="CD74" s="79" t="e">
        <f>$AG74*#REF!</f>
        <v>#REF!</v>
      </c>
      <c r="CE74" s="79" t="e">
        <f>$AG74*#REF!</f>
        <v>#REF!</v>
      </c>
      <c r="CF74" s="79"/>
      <c r="CI74" s="17">
        <f t="shared" si="25"/>
        <v>0</v>
      </c>
      <c r="CL74" s="17">
        <f t="shared" si="29"/>
        <v>360</v>
      </c>
    </row>
    <row r="75" s="17" customFormat="1" ht="24" customHeight="1" spans="1:90">
      <c r="A75" s="68">
        <v>44666</v>
      </c>
      <c r="B75" s="69" t="s">
        <v>240</v>
      </c>
      <c r="C75" s="70" t="s">
        <v>125</v>
      </c>
      <c r="D75" s="69">
        <v>4500076201</v>
      </c>
      <c r="E75" s="70">
        <v>4231912729</v>
      </c>
      <c r="F75" s="71" t="s">
        <v>4123</v>
      </c>
      <c r="G75" s="97"/>
      <c r="H75" s="96" t="s">
        <v>4124</v>
      </c>
      <c r="I75" s="70">
        <v>4320</v>
      </c>
      <c r="J75" s="70">
        <v>0</v>
      </c>
      <c r="K75" s="70">
        <v>18</v>
      </c>
      <c r="L75" s="72">
        <f t="shared" si="39"/>
        <v>240</v>
      </c>
      <c r="M75" s="75">
        <v>44706</v>
      </c>
      <c r="N75" s="84" t="s">
        <v>4133</v>
      </c>
      <c r="O75" s="73"/>
      <c r="P75" s="73"/>
      <c r="Q75" s="70"/>
      <c r="R75" s="74" t="s">
        <v>4175</v>
      </c>
      <c r="S75" s="74" t="s">
        <v>88</v>
      </c>
      <c r="T75" s="74">
        <v>44679</v>
      </c>
      <c r="U75" s="95" t="s">
        <v>4176</v>
      </c>
      <c r="V75" s="75" t="s">
        <v>4092</v>
      </c>
      <c r="W75" s="83">
        <v>2.0414</v>
      </c>
      <c r="X75" s="77">
        <f t="shared" si="54"/>
        <v>8818.848</v>
      </c>
      <c r="Y75" s="70"/>
      <c r="Z75" s="70"/>
      <c r="AA75" s="70" t="s">
        <v>4109</v>
      </c>
      <c r="AB75" s="70"/>
      <c r="AC75" s="70">
        <f>AB75-I75</f>
        <v>-4320</v>
      </c>
      <c r="AD75" s="78" t="s">
        <v>95</v>
      </c>
      <c r="AE75" s="70"/>
      <c r="AF75" s="74"/>
      <c r="AG75" s="17">
        <f t="shared" si="51"/>
        <v>4320</v>
      </c>
      <c r="AM75" s="17">
        <f t="shared" si="52"/>
        <v>4320</v>
      </c>
      <c r="AN75" s="17">
        <f t="shared" si="53"/>
        <v>4320</v>
      </c>
      <c r="BA75" s="17">
        <f t="shared" ref="BA75:BA81" si="56">I75/18</f>
        <v>240</v>
      </c>
      <c r="BK75" s="79" t="e">
        <f>$AG75*#REF!</f>
        <v>#REF!</v>
      </c>
      <c r="BL75" s="79" t="e">
        <f>$AG75*#REF!</f>
        <v>#REF!</v>
      </c>
      <c r="BM75" s="79" t="e">
        <f>$AG75*#REF!</f>
        <v>#REF!</v>
      </c>
      <c r="BN75" s="79" t="e">
        <f>$AG75*#REF!</f>
        <v>#REF!</v>
      </c>
      <c r="BO75" s="79" t="e">
        <f>$AG75*#REF!</f>
        <v>#REF!</v>
      </c>
      <c r="BP75" s="79" t="e">
        <f>$AG75*#REF!</f>
        <v>#REF!</v>
      </c>
      <c r="BQ75" s="79" t="e">
        <f>$AG75*#REF!</f>
        <v>#REF!</v>
      </c>
      <c r="BR75" s="79" t="e">
        <f>$AG75*#REF!</f>
        <v>#REF!</v>
      </c>
      <c r="BS75" s="79" t="e">
        <f>$AG75*#REF!</f>
        <v>#REF!</v>
      </c>
      <c r="BT75" s="79" t="e">
        <f>$AG75*#REF!</f>
        <v>#REF!</v>
      </c>
      <c r="BU75" s="79" t="e">
        <f>$AG75*#REF!</f>
        <v>#REF!</v>
      </c>
      <c r="BV75" s="79" t="e">
        <f>$AG75*#REF!</f>
        <v>#REF!</v>
      </c>
      <c r="BW75" s="79" t="e">
        <f>$AG75*#REF!</f>
        <v>#REF!</v>
      </c>
      <c r="BX75" s="79" t="e">
        <f>$AG75*#REF!</f>
        <v>#REF!</v>
      </c>
      <c r="BY75" s="79" t="e">
        <f>$AG75*#REF!</f>
        <v>#REF!</v>
      </c>
      <c r="BZ75" s="79" t="e">
        <f>$AG75*#REF!</f>
        <v>#REF!</v>
      </c>
      <c r="CA75" s="79" t="e">
        <f>$AG75*#REF!</f>
        <v>#REF!</v>
      </c>
      <c r="CB75" s="79" t="e">
        <f>$AG75*#REF!</f>
        <v>#REF!</v>
      </c>
      <c r="CC75" s="79" t="e">
        <f>$AG75*#REF!</f>
        <v>#REF!</v>
      </c>
      <c r="CD75" s="79" t="e">
        <f>$AG75*#REF!</f>
        <v>#REF!</v>
      </c>
      <c r="CE75" s="79" t="e">
        <f>$AG75*#REF!</f>
        <v>#REF!</v>
      </c>
      <c r="CF75" s="79"/>
      <c r="CI75" s="17">
        <f t="shared" si="25"/>
        <v>0</v>
      </c>
      <c r="CL75" s="17">
        <f t="shared" si="29"/>
        <v>240</v>
      </c>
    </row>
    <row r="76" s="17" customFormat="1" ht="24" customHeight="1" spans="1:90">
      <c r="A76" s="68">
        <v>44666</v>
      </c>
      <c r="B76" s="69" t="s">
        <v>240</v>
      </c>
      <c r="C76" s="70" t="s">
        <v>125</v>
      </c>
      <c r="D76" s="69">
        <v>4500076201</v>
      </c>
      <c r="E76" s="70">
        <v>4231912730</v>
      </c>
      <c r="F76" s="71" t="s">
        <v>4123</v>
      </c>
      <c r="G76" s="97"/>
      <c r="H76" s="96" t="s">
        <v>4124</v>
      </c>
      <c r="I76" s="70">
        <v>3240</v>
      </c>
      <c r="J76" s="70">
        <v>0</v>
      </c>
      <c r="K76" s="70">
        <v>18</v>
      </c>
      <c r="L76" s="72">
        <f t="shared" si="39"/>
        <v>180</v>
      </c>
      <c r="M76" s="75">
        <v>44706</v>
      </c>
      <c r="N76" s="84" t="s">
        <v>4133</v>
      </c>
      <c r="O76" s="73"/>
      <c r="P76" s="73"/>
      <c r="Q76" s="70"/>
      <c r="R76" s="74" t="s">
        <v>4175</v>
      </c>
      <c r="S76" s="74" t="s">
        <v>88</v>
      </c>
      <c r="T76" s="74">
        <v>44679</v>
      </c>
      <c r="U76" s="95" t="s">
        <v>4176</v>
      </c>
      <c r="V76" s="75" t="s">
        <v>4092</v>
      </c>
      <c r="W76" s="83">
        <v>2.0414</v>
      </c>
      <c r="X76" s="77">
        <f t="shared" si="54"/>
        <v>6614.136</v>
      </c>
      <c r="Y76" s="70"/>
      <c r="Z76" s="70"/>
      <c r="AA76" s="70" t="s">
        <v>4109</v>
      </c>
      <c r="AB76" s="70"/>
      <c r="AC76" s="70"/>
      <c r="AD76" s="78" t="s">
        <v>95</v>
      </c>
      <c r="AE76" s="70"/>
      <c r="AF76" s="74"/>
      <c r="AG76" s="17">
        <f t="shared" si="51"/>
        <v>3240</v>
      </c>
      <c r="AM76" s="17">
        <f t="shared" si="52"/>
        <v>3240</v>
      </c>
      <c r="AN76" s="17">
        <f t="shared" si="53"/>
        <v>3240</v>
      </c>
      <c r="BA76" s="17">
        <f t="shared" si="56"/>
        <v>180</v>
      </c>
      <c r="BK76" s="79" t="e">
        <f>$AG76*#REF!</f>
        <v>#REF!</v>
      </c>
      <c r="BL76" s="79" t="e">
        <f>$AG76*#REF!</f>
        <v>#REF!</v>
      </c>
      <c r="BM76" s="79" t="e">
        <f>$AG76*#REF!</f>
        <v>#REF!</v>
      </c>
      <c r="BN76" s="79" t="e">
        <f>$AG76*#REF!</f>
        <v>#REF!</v>
      </c>
      <c r="BO76" s="79" t="e">
        <f>$AG76*#REF!</f>
        <v>#REF!</v>
      </c>
      <c r="BP76" s="79" t="e">
        <f>$AG76*#REF!</f>
        <v>#REF!</v>
      </c>
      <c r="BQ76" s="79" t="e">
        <f>$AG76*#REF!</f>
        <v>#REF!</v>
      </c>
      <c r="BR76" s="79" t="e">
        <f>$AG76*#REF!</f>
        <v>#REF!</v>
      </c>
      <c r="BS76" s="79" t="e">
        <f>$AG76*#REF!</f>
        <v>#REF!</v>
      </c>
      <c r="BT76" s="79" t="e">
        <f>$AG76*#REF!</f>
        <v>#REF!</v>
      </c>
      <c r="BU76" s="79" t="e">
        <f>$AG76*#REF!</f>
        <v>#REF!</v>
      </c>
      <c r="BV76" s="79" t="e">
        <f>$AG76*#REF!</f>
        <v>#REF!</v>
      </c>
      <c r="BW76" s="79" t="e">
        <f>$AG76*#REF!</f>
        <v>#REF!</v>
      </c>
      <c r="BX76" s="79" t="e">
        <f>$AG76*#REF!</f>
        <v>#REF!</v>
      </c>
      <c r="BY76" s="79" t="e">
        <f>$AG76*#REF!</f>
        <v>#REF!</v>
      </c>
      <c r="BZ76" s="79" t="e">
        <f>$AG76*#REF!</f>
        <v>#REF!</v>
      </c>
      <c r="CA76" s="79" t="e">
        <f>$AG76*#REF!</f>
        <v>#REF!</v>
      </c>
      <c r="CB76" s="79" t="e">
        <f>$AG76*#REF!</f>
        <v>#REF!</v>
      </c>
      <c r="CC76" s="79" t="e">
        <f>$AG76*#REF!</f>
        <v>#REF!</v>
      </c>
      <c r="CD76" s="79" t="e">
        <f>$AG76*#REF!</f>
        <v>#REF!</v>
      </c>
      <c r="CE76" s="79" t="e">
        <f>$AG76*#REF!</f>
        <v>#REF!</v>
      </c>
      <c r="CF76" s="79"/>
      <c r="CI76" s="17">
        <f t="shared" si="25"/>
        <v>0</v>
      </c>
      <c r="CL76" s="17">
        <f t="shared" si="29"/>
        <v>180</v>
      </c>
    </row>
    <row r="77" s="17" customFormat="1" ht="24" customHeight="1" spans="1:90">
      <c r="A77" s="68">
        <v>44666</v>
      </c>
      <c r="B77" s="69" t="s">
        <v>240</v>
      </c>
      <c r="C77" s="70" t="s">
        <v>125</v>
      </c>
      <c r="D77" s="69">
        <v>4500076201</v>
      </c>
      <c r="E77" s="70">
        <v>4231912731</v>
      </c>
      <c r="F77" s="71" t="s">
        <v>4123</v>
      </c>
      <c r="G77" s="97"/>
      <c r="H77" s="96" t="s">
        <v>4124</v>
      </c>
      <c r="I77" s="70">
        <v>3240</v>
      </c>
      <c r="J77" s="70">
        <v>0</v>
      </c>
      <c r="K77" s="70">
        <v>18</v>
      </c>
      <c r="L77" s="72">
        <f t="shared" si="39"/>
        <v>180</v>
      </c>
      <c r="M77" s="75">
        <v>44706</v>
      </c>
      <c r="N77" s="84" t="s">
        <v>4133</v>
      </c>
      <c r="O77" s="73"/>
      <c r="P77" s="73"/>
      <c r="Q77" s="70"/>
      <c r="R77" s="74" t="s">
        <v>4175</v>
      </c>
      <c r="S77" s="74" t="s">
        <v>88</v>
      </c>
      <c r="T77" s="74">
        <v>44679</v>
      </c>
      <c r="U77" s="95" t="s">
        <v>4176</v>
      </c>
      <c r="V77" s="75" t="s">
        <v>4092</v>
      </c>
      <c r="W77" s="83">
        <v>2.0414</v>
      </c>
      <c r="X77" s="77">
        <f t="shared" si="54"/>
        <v>6614.136</v>
      </c>
      <c r="Y77" s="70"/>
      <c r="Z77" s="70"/>
      <c r="AA77" s="70" t="s">
        <v>4109</v>
      </c>
      <c r="AB77" s="70"/>
      <c r="AC77" s="70"/>
      <c r="AD77" s="78" t="s">
        <v>95</v>
      </c>
      <c r="AE77" s="70"/>
      <c r="AF77" s="74"/>
      <c r="AG77" s="17">
        <f t="shared" si="51"/>
        <v>3240</v>
      </c>
      <c r="AM77" s="17">
        <f t="shared" si="52"/>
        <v>3240</v>
      </c>
      <c r="AN77" s="17">
        <f t="shared" si="53"/>
        <v>3240</v>
      </c>
      <c r="BA77" s="17">
        <f t="shared" si="56"/>
        <v>180</v>
      </c>
      <c r="BK77" s="79" t="e">
        <f>$AG77*#REF!</f>
        <v>#REF!</v>
      </c>
      <c r="BL77" s="79" t="e">
        <f>$AG77*#REF!</f>
        <v>#REF!</v>
      </c>
      <c r="BM77" s="79" t="e">
        <f>$AG77*#REF!</f>
        <v>#REF!</v>
      </c>
      <c r="BN77" s="79" t="e">
        <f>$AG77*#REF!</f>
        <v>#REF!</v>
      </c>
      <c r="BO77" s="79" t="e">
        <f>$AG77*#REF!</f>
        <v>#REF!</v>
      </c>
      <c r="BP77" s="79" t="e">
        <f>$AG77*#REF!</f>
        <v>#REF!</v>
      </c>
      <c r="BQ77" s="79" t="e">
        <f>$AG77*#REF!</f>
        <v>#REF!</v>
      </c>
      <c r="BR77" s="79" t="e">
        <f>$AG77*#REF!</f>
        <v>#REF!</v>
      </c>
      <c r="BS77" s="79" t="e">
        <f>$AG77*#REF!</f>
        <v>#REF!</v>
      </c>
      <c r="BT77" s="79" t="e">
        <f>$AG77*#REF!</f>
        <v>#REF!</v>
      </c>
      <c r="BU77" s="79" t="e">
        <f>$AG77*#REF!</f>
        <v>#REF!</v>
      </c>
      <c r="BV77" s="79" t="e">
        <f>$AG77*#REF!</f>
        <v>#REF!</v>
      </c>
      <c r="BW77" s="79" t="e">
        <f>$AG77*#REF!</f>
        <v>#REF!</v>
      </c>
      <c r="BX77" s="79" t="e">
        <f>$AG77*#REF!</f>
        <v>#REF!</v>
      </c>
      <c r="BY77" s="79" t="e">
        <f>$AG77*#REF!</f>
        <v>#REF!</v>
      </c>
      <c r="BZ77" s="79" t="e">
        <f>$AG77*#REF!</f>
        <v>#REF!</v>
      </c>
      <c r="CA77" s="79" t="e">
        <f>$AG77*#REF!</f>
        <v>#REF!</v>
      </c>
      <c r="CB77" s="79" t="e">
        <f>$AG77*#REF!</f>
        <v>#REF!</v>
      </c>
      <c r="CC77" s="79" t="e">
        <f>$AG77*#REF!</f>
        <v>#REF!</v>
      </c>
      <c r="CD77" s="79" t="e">
        <f>$AG77*#REF!</f>
        <v>#REF!</v>
      </c>
      <c r="CE77" s="79" t="e">
        <f>$AG77*#REF!</f>
        <v>#REF!</v>
      </c>
      <c r="CF77" s="79"/>
      <c r="CI77" s="17">
        <f t="shared" si="25"/>
        <v>0</v>
      </c>
      <c r="CL77" s="17">
        <f t="shared" si="29"/>
        <v>180</v>
      </c>
    </row>
    <row r="78" s="17" customFormat="1" ht="24" customHeight="1" spans="1:90">
      <c r="A78" s="68">
        <v>44666</v>
      </c>
      <c r="B78" s="69" t="s">
        <v>240</v>
      </c>
      <c r="C78" s="70" t="s">
        <v>125</v>
      </c>
      <c r="D78" s="69">
        <v>4500076201</v>
      </c>
      <c r="E78" s="70">
        <v>4231912732</v>
      </c>
      <c r="F78" s="71" t="s">
        <v>4123</v>
      </c>
      <c r="G78" s="97"/>
      <c r="H78" s="96" t="s">
        <v>4124</v>
      </c>
      <c r="I78" s="70">
        <v>4320</v>
      </c>
      <c r="J78" s="70">
        <v>0</v>
      </c>
      <c r="K78" s="70">
        <v>18</v>
      </c>
      <c r="L78" s="72">
        <f t="shared" si="39"/>
        <v>240</v>
      </c>
      <c r="M78" s="75">
        <v>44706</v>
      </c>
      <c r="N78" s="84" t="s">
        <v>4133</v>
      </c>
      <c r="O78" s="73"/>
      <c r="P78" s="73"/>
      <c r="Q78" s="70"/>
      <c r="R78" s="74" t="s">
        <v>4175</v>
      </c>
      <c r="S78" s="74" t="s">
        <v>88</v>
      </c>
      <c r="T78" s="74">
        <v>44679</v>
      </c>
      <c r="U78" s="95" t="s">
        <v>4176</v>
      </c>
      <c r="V78" s="75" t="s">
        <v>4092</v>
      </c>
      <c r="W78" s="83">
        <v>2.0414</v>
      </c>
      <c r="X78" s="77">
        <f t="shared" si="54"/>
        <v>8818.848</v>
      </c>
      <c r="Y78" s="70"/>
      <c r="Z78" s="70"/>
      <c r="AA78" s="70" t="s">
        <v>4109</v>
      </c>
      <c r="AB78" s="70"/>
      <c r="AC78" s="70"/>
      <c r="AD78" s="78" t="s">
        <v>95</v>
      </c>
      <c r="AE78" s="70"/>
      <c r="AF78" s="74"/>
      <c r="AG78" s="17">
        <f t="shared" si="51"/>
        <v>4320</v>
      </c>
      <c r="AM78" s="17">
        <f t="shared" si="52"/>
        <v>4320</v>
      </c>
      <c r="AN78" s="17">
        <f t="shared" si="53"/>
        <v>4320</v>
      </c>
      <c r="BA78" s="17">
        <f t="shared" si="56"/>
        <v>240</v>
      </c>
      <c r="BK78" s="79" t="e">
        <f>$AG78*#REF!</f>
        <v>#REF!</v>
      </c>
      <c r="BL78" s="79" t="e">
        <f>$AG78*#REF!</f>
        <v>#REF!</v>
      </c>
      <c r="BM78" s="79" t="e">
        <f>$AG78*#REF!</f>
        <v>#REF!</v>
      </c>
      <c r="BN78" s="79" t="e">
        <f>$AG78*#REF!</f>
        <v>#REF!</v>
      </c>
      <c r="BO78" s="79" t="e">
        <f>$AG78*#REF!</f>
        <v>#REF!</v>
      </c>
      <c r="BP78" s="79" t="e">
        <f>$AG78*#REF!</f>
        <v>#REF!</v>
      </c>
      <c r="BQ78" s="79" t="e">
        <f>$AG78*#REF!</f>
        <v>#REF!</v>
      </c>
      <c r="BR78" s="79" t="e">
        <f>$AG78*#REF!</f>
        <v>#REF!</v>
      </c>
      <c r="BS78" s="79" t="e">
        <f>$AG78*#REF!</f>
        <v>#REF!</v>
      </c>
      <c r="BT78" s="79" t="e">
        <f>$AG78*#REF!</f>
        <v>#REF!</v>
      </c>
      <c r="BU78" s="79" t="e">
        <f>$AG78*#REF!</f>
        <v>#REF!</v>
      </c>
      <c r="BV78" s="79" t="e">
        <f>$AG78*#REF!</f>
        <v>#REF!</v>
      </c>
      <c r="BW78" s="79" t="e">
        <f>$AG78*#REF!</f>
        <v>#REF!</v>
      </c>
      <c r="BX78" s="79" t="e">
        <f>$AG78*#REF!</f>
        <v>#REF!</v>
      </c>
      <c r="BY78" s="79" t="e">
        <f>$AG78*#REF!</f>
        <v>#REF!</v>
      </c>
      <c r="BZ78" s="79" t="e">
        <f>$AG78*#REF!</f>
        <v>#REF!</v>
      </c>
      <c r="CA78" s="79" t="e">
        <f>$AG78*#REF!</f>
        <v>#REF!</v>
      </c>
      <c r="CB78" s="79" t="e">
        <f>$AG78*#REF!</f>
        <v>#REF!</v>
      </c>
      <c r="CC78" s="79" t="e">
        <f>$AG78*#REF!</f>
        <v>#REF!</v>
      </c>
      <c r="CD78" s="79" t="e">
        <f>$AG78*#REF!</f>
        <v>#REF!</v>
      </c>
      <c r="CE78" s="79" t="e">
        <f>$AG78*#REF!</f>
        <v>#REF!</v>
      </c>
      <c r="CF78" s="79"/>
      <c r="CI78" s="17">
        <f t="shared" si="25"/>
        <v>0</v>
      </c>
      <c r="CL78" s="17">
        <f t="shared" si="29"/>
        <v>240</v>
      </c>
    </row>
    <row r="79" s="17" customFormat="1" ht="24" customHeight="1" spans="1:90">
      <c r="A79" s="68">
        <v>44666</v>
      </c>
      <c r="B79" s="69" t="s">
        <v>240</v>
      </c>
      <c r="C79" s="70" t="s">
        <v>125</v>
      </c>
      <c r="D79" s="69">
        <v>4500076201</v>
      </c>
      <c r="E79" s="70">
        <v>4231912733</v>
      </c>
      <c r="F79" s="71" t="s">
        <v>4123</v>
      </c>
      <c r="G79" s="97"/>
      <c r="H79" s="96" t="s">
        <v>4124</v>
      </c>
      <c r="I79" s="70">
        <v>3240</v>
      </c>
      <c r="J79" s="70">
        <v>0</v>
      </c>
      <c r="K79" s="70">
        <v>18</v>
      </c>
      <c r="L79" s="72">
        <f t="shared" si="39"/>
        <v>180</v>
      </c>
      <c r="M79" s="75">
        <v>44706</v>
      </c>
      <c r="N79" s="84" t="s">
        <v>4133</v>
      </c>
      <c r="O79" s="73"/>
      <c r="P79" s="73"/>
      <c r="Q79" s="70"/>
      <c r="R79" s="74" t="s">
        <v>4175</v>
      </c>
      <c r="S79" s="74" t="s">
        <v>88</v>
      </c>
      <c r="T79" s="74">
        <v>44679</v>
      </c>
      <c r="U79" s="95" t="s">
        <v>4176</v>
      </c>
      <c r="V79" s="75" t="s">
        <v>4092</v>
      </c>
      <c r="W79" s="83">
        <v>2.0414</v>
      </c>
      <c r="X79" s="77">
        <f t="shared" si="54"/>
        <v>6614.136</v>
      </c>
      <c r="Y79" s="70"/>
      <c r="Z79" s="70"/>
      <c r="AA79" s="70" t="s">
        <v>4109</v>
      </c>
      <c r="AB79" s="70"/>
      <c r="AC79" s="70"/>
      <c r="AD79" s="78" t="s">
        <v>95</v>
      </c>
      <c r="AE79" s="70"/>
      <c r="AF79" s="74"/>
      <c r="AG79" s="17">
        <f t="shared" si="51"/>
        <v>3240</v>
      </c>
      <c r="AM79" s="17">
        <f t="shared" si="52"/>
        <v>3240</v>
      </c>
      <c r="AN79" s="17">
        <f t="shared" si="53"/>
        <v>3240</v>
      </c>
      <c r="BA79" s="17">
        <f t="shared" si="56"/>
        <v>180</v>
      </c>
      <c r="BK79" s="79" t="e">
        <f>$AG79*#REF!</f>
        <v>#REF!</v>
      </c>
      <c r="BL79" s="79" t="e">
        <f>$AG79*#REF!</f>
        <v>#REF!</v>
      </c>
      <c r="BM79" s="79" t="e">
        <f>$AG79*#REF!</f>
        <v>#REF!</v>
      </c>
      <c r="BN79" s="79" t="e">
        <f>$AG79*#REF!</f>
        <v>#REF!</v>
      </c>
      <c r="BO79" s="79" t="e">
        <f>$AG79*#REF!</f>
        <v>#REF!</v>
      </c>
      <c r="BP79" s="79" t="e">
        <f>$AG79*#REF!</f>
        <v>#REF!</v>
      </c>
      <c r="BQ79" s="79" t="e">
        <f>$AG79*#REF!</f>
        <v>#REF!</v>
      </c>
      <c r="BR79" s="79" t="e">
        <f>$AG79*#REF!</f>
        <v>#REF!</v>
      </c>
      <c r="BS79" s="79" t="e">
        <f>$AG79*#REF!</f>
        <v>#REF!</v>
      </c>
      <c r="BT79" s="79" t="e">
        <f>$AG79*#REF!</f>
        <v>#REF!</v>
      </c>
      <c r="BU79" s="79" t="e">
        <f>$AG79*#REF!</f>
        <v>#REF!</v>
      </c>
      <c r="BV79" s="79" t="e">
        <f>$AG79*#REF!</f>
        <v>#REF!</v>
      </c>
      <c r="BW79" s="79" t="e">
        <f>$AG79*#REF!</f>
        <v>#REF!</v>
      </c>
      <c r="BX79" s="79" t="e">
        <f>$AG79*#REF!</f>
        <v>#REF!</v>
      </c>
      <c r="BY79" s="79" t="e">
        <f>$AG79*#REF!</f>
        <v>#REF!</v>
      </c>
      <c r="BZ79" s="79" t="e">
        <f>$AG79*#REF!</f>
        <v>#REF!</v>
      </c>
      <c r="CA79" s="79" t="e">
        <f>$AG79*#REF!</f>
        <v>#REF!</v>
      </c>
      <c r="CB79" s="79" t="e">
        <f>$AG79*#REF!</f>
        <v>#REF!</v>
      </c>
      <c r="CC79" s="79" t="e">
        <f>$AG79*#REF!</f>
        <v>#REF!</v>
      </c>
      <c r="CD79" s="79" t="e">
        <f>$AG79*#REF!</f>
        <v>#REF!</v>
      </c>
      <c r="CE79" s="79" t="e">
        <f>$AG79*#REF!</f>
        <v>#REF!</v>
      </c>
      <c r="CF79" s="79"/>
      <c r="CI79" s="17">
        <f t="shared" si="25"/>
        <v>0</v>
      </c>
      <c r="CL79" s="17">
        <f t="shared" si="29"/>
        <v>180</v>
      </c>
    </row>
    <row r="80" s="17" customFormat="1" ht="24" customHeight="1" spans="1:90">
      <c r="A80" s="68">
        <v>44666</v>
      </c>
      <c r="B80" s="69" t="s">
        <v>240</v>
      </c>
      <c r="C80" s="70" t="s">
        <v>125</v>
      </c>
      <c r="D80" s="69">
        <v>4500076201</v>
      </c>
      <c r="E80" s="70">
        <v>4231912734</v>
      </c>
      <c r="F80" s="71" t="s">
        <v>4123</v>
      </c>
      <c r="G80" s="97"/>
      <c r="H80" s="96" t="s">
        <v>4124</v>
      </c>
      <c r="I80" s="70">
        <v>2160</v>
      </c>
      <c r="J80" s="70">
        <v>0</v>
      </c>
      <c r="K80" s="70">
        <v>18</v>
      </c>
      <c r="L80" s="72">
        <f t="shared" si="39"/>
        <v>120</v>
      </c>
      <c r="M80" s="75">
        <v>44706</v>
      </c>
      <c r="N80" s="84" t="s">
        <v>4133</v>
      </c>
      <c r="O80" s="73"/>
      <c r="P80" s="73"/>
      <c r="Q80" s="70"/>
      <c r="R80" s="74" t="s">
        <v>4175</v>
      </c>
      <c r="S80" s="74" t="s">
        <v>88</v>
      </c>
      <c r="T80" s="74">
        <v>44679</v>
      </c>
      <c r="U80" s="95" t="s">
        <v>4176</v>
      </c>
      <c r="V80" s="75" t="s">
        <v>4092</v>
      </c>
      <c r="W80" s="83">
        <v>2.0414</v>
      </c>
      <c r="X80" s="77">
        <f t="shared" si="54"/>
        <v>4409.424</v>
      </c>
      <c r="Y80" s="70"/>
      <c r="Z80" s="70"/>
      <c r="AA80" s="70" t="s">
        <v>4109</v>
      </c>
      <c r="AB80" s="70"/>
      <c r="AC80" s="70"/>
      <c r="AD80" s="78" t="s">
        <v>95</v>
      </c>
      <c r="AE80" s="70"/>
      <c r="AF80" s="74"/>
      <c r="AG80" s="17">
        <f t="shared" si="51"/>
        <v>2160</v>
      </c>
      <c r="AM80" s="17">
        <f t="shared" si="52"/>
        <v>2160</v>
      </c>
      <c r="AN80" s="17">
        <f t="shared" si="53"/>
        <v>2160</v>
      </c>
      <c r="BA80" s="17">
        <f t="shared" si="56"/>
        <v>120</v>
      </c>
      <c r="BK80" s="79" t="e">
        <f>$AG80*#REF!</f>
        <v>#REF!</v>
      </c>
      <c r="BL80" s="79" t="e">
        <f>$AG80*#REF!</f>
        <v>#REF!</v>
      </c>
      <c r="BM80" s="79" t="e">
        <f>$AG80*#REF!</f>
        <v>#REF!</v>
      </c>
      <c r="BN80" s="79" t="e">
        <f>$AG80*#REF!</f>
        <v>#REF!</v>
      </c>
      <c r="BO80" s="79" t="e">
        <f>$AG80*#REF!</f>
        <v>#REF!</v>
      </c>
      <c r="BP80" s="79" t="e">
        <f>$AG80*#REF!</f>
        <v>#REF!</v>
      </c>
      <c r="BQ80" s="79" t="e">
        <f>$AG80*#REF!</f>
        <v>#REF!</v>
      </c>
      <c r="BR80" s="79" t="e">
        <f>$AG80*#REF!</f>
        <v>#REF!</v>
      </c>
      <c r="BS80" s="79" t="e">
        <f>$AG80*#REF!</f>
        <v>#REF!</v>
      </c>
      <c r="BT80" s="79" t="e">
        <f>$AG80*#REF!</f>
        <v>#REF!</v>
      </c>
      <c r="BU80" s="79" t="e">
        <f>$AG80*#REF!</f>
        <v>#REF!</v>
      </c>
      <c r="BV80" s="79" t="e">
        <f>$AG80*#REF!</f>
        <v>#REF!</v>
      </c>
      <c r="BW80" s="79" t="e">
        <f>$AG80*#REF!</f>
        <v>#REF!</v>
      </c>
      <c r="BX80" s="79" t="e">
        <f>$AG80*#REF!</f>
        <v>#REF!</v>
      </c>
      <c r="BY80" s="79" t="e">
        <f>$AG80*#REF!</f>
        <v>#REF!</v>
      </c>
      <c r="BZ80" s="79" t="e">
        <f>$AG80*#REF!</f>
        <v>#REF!</v>
      </c>
      <c r="CA80" s="79" t="e">
        <f>$AG80*#REF!</f>
        <v>#REF!</v>
      </c>
      <c r="CB80" s="79" t="e">
        <f>$AG80*#REF!</f>
        <v>#REF!</v>
      </c>
      <c r="CC80" s="79" t="e">
        <f>$AG80*#REF!</f>
        <v>#REF!</v>
      </c>
      <c r="CD80" s="79" t="e">
        <f>$AG80*#REF!</f>
        <v>#REF!</v>
      </c>
      <c r="CE80" s="79" t="e">
        <f>$AG80*#REF!</f>
        <v>#REF!</v>
      </c>
      <c r="CF80" s="79"/>
      <c r="CI80" s="17">
        <f t="shared" si="25"/>
        <v>0</v>
      </c>
      <c r="CL80" s="17">
        <f t="shared" si="29"/>
        <v>120</v>
      </c>
    </row>
    <row r="81" s="17" customFormat="1" ht="24" customHeight="1" spans="1:90">
      <c r="A81" s="68">
        <v>44666</v>
      </c>
      <c r="B81" s="69" t="s">
        <v>240</v>
      </c>
      <c r="C81" s="70" t="s">
        <v>125</v>
      </c>
      <c r="D81" s="69">
        <v>4500076201</v>
      </c>
      <c r="E81" s="70">
        <v>4231912735</v>
      </c>
      <c r="F81" s="71" t="s">
        <v>4123</v>
      </c>
      <c r="G81" s="97"/>
      <c r="H81" s="96" t="s">
        <v>4124</v>
      </c>
      <c r="I81" s="70">
        <v>2160</v>
      </c>
      <c r="J81" s="70">
        <v>0</v>
      </c>
      <c r="K81" s="70">
        <v>18</v>
      </c>
      <c r="L81" s="72">
        <f t="shared" si="39"/>
        <v>120</v>
      </c>
      <c r="M81" s="75">
        <v>44706</v>
      </c>
      <c r="N81" s="84" t="s">
        <v>4133</v>
      </c>
      <c r="O81" s="73"/>
      <c r="P81" s="73"/>
      <c r="Q81" s="70"/>
      <c r="R81" s="74" t="s">
        <v>4175</v>
      </c>
      <c r="S81" s="74" t="s">
        <v>88</v>
      </c>
      <c r="T81" s="74">
        <v>44679</v>
      </c>
      <c r="U81" s="95" t="s">
        <v>4176</v>
      </c>
      <c r="V81" s="75" t="s">
        <v>4092</v>
      </c>
      <c r="W81" s="83">
        <v>2.0414</v>
      </c>
      <c r="X81" s="77">
        <f t="shared" si="54"/>
        <v>4409.424</v>
      </c>
      <c r="Y81" s="70"/>
      <c r="Z81" s="70"/>
      <c r="AA81" s="70" t="s">
        <v>4109</v>
      </c>
      <c r="AB81" s="70"/>
      <c r="AC81" s="70"/>
      <c r="AD81" s="78" t="s">
        <v>95</v>
      </c>
      <c r="AE81" s="70"/>
      <c r="AF81" s="74"/>
      <c r="AG81" s="17">
        <f t="shared" si="51"/>
        <v>2160</v>
      </c>
      <c r="AM81" s="17">
        <f t="shared" si="52"/>
        <v>2160</v>
      </c>
      <c r="AN81" s="17">
        <f t="shared" si="53"/>
        <v>2160</v>
      </c>
      <c r="BA81" s="17">
        <f t="shared" si="56"/>
        <v>120</v>
      </c>
      <c r="BK81" s="79" t="e">
        <f>$AG81*#REF!</f>
        <v>#REF!</v>
      </c>
      <c r="BL81" s="79" t="e">
        <f>$AG81*#REF!</f>
        <v>#REF!</v>
      </c>
      <c r="BM81" s="79" t="e">
        <f>$AG81*#REF!</f>
        <v>#REF!</v>
      </c>
      <c r="BN81" s="79" t="e">
        <f>$AG81*#REF!</f>
        <v>#REF!</v>
      </c>
      <c r="BO81" s="79" t="e">
        <f>$AG81*#REF!</f>
        <v>#REF!</v>
      </c>
      <c r="BP81" s="79" t="e">
        <f>$AG81*#REF!</f>
        <v>#REF!</v>
      </c>
      <c r="BQ81" s="79" t="e">
        <f>$AG81*#REF!</f>
        <v>#REF!</v>
      </c>
      <c r="BR81" s="79" t="e">
        <f>$AG81*#REF!</f>
        <v>#REF!</v>
      </c>
      <c r="BS81" s="79" t="e">
        <f>$AG81*#REF!</f>
        <v>#REF!</v>
      </c>
      <c r="BT81" s="79" t="e">
        <f>$AG81*#REF!</f>
        <v>#REF!</v>
      </c>
      <c r="BU81" s="79" t="e">
        <f>$AG81*#REF!</f>
        <v>#REF!</v>
      </c>
      <c r="BV81" s="79" t="e">
        <f>$AG81*#REF!</f>
        <v>#REF!</v>
      </c>
      <c r="BW81" s="79" t="e">
        <f>$AG81*#REF!</f>
        <v>#REF!</v>
      </c>
      <c r="BX81" s="79" t="e">
        <f>$AG81*#REF!</f>
        <v>#REF!</v>
      </c>
      <c r="BY81" s="79" t="e">
        <f>$AG81*#REF!</f>
        <v>#REF!</v>
      </c>
      <c r="BZ81" s="79" t="e">
        <f>$AG81*#REF!</f>
        <v>#REF!</v>
      </c>
      <c r="CA81" s="79" t="e">
        <f>$AG81*#REF!</f>
        <v>#REF!</v>
      </c>
      <c r="CB81" s="79" t="e">
        <f>$AG81*#REF!</f>
        <v>#REF!</v>
      </c>
      <c r="CC81" s="79" t="e">
        <f>$AG81*#REF!</f>
        <v>#REF!</v>
      </c>
      <c r="CD81" s="79" t="e">
        <f>$AG81*#REF!</f>
        <v>#REF!</v>
      </c>
      <c r="CE81" s="79" t="e">
        <f>$AG81*#REF!</f>
        <v>#REF!</v>
      </c>
      <c r="CF81" s="79"/>
      <c r="CI81" s="17">
        <f t="shared" si="25"/>
        <v>0</v>
      </c>
      <c r="CL81" s="17">
        <f t="shared" si="29"/>
        <v>120</v>
      </c>
    </row>
    <row r="82" s="17" customFormat="1" ht="24" customHeight="1" spans="1:90">
      <c r="A82" s="68">
        <v>44666</v>
      </c>
      <c r="B82" s="69" t="s">
        <v>240</v>
      </c>
      <c r="C82" s="70" t="s">
        <v>125</v>
      </c>
      <c r="D82" s="69">
        <v>4500076206</v>
      </c>
      <c r="E82" s="70">
        <v>4231913292</v>
      </c>
      <c r="F82" s="71" t="s">
        <v>4154</v>
      </c>
      <c r="G82" s="97"/>
      <c r="H82" s="96" t="s">
        <v>4155</v>
      </c>
      <c r="I82" s="70">
        <v>4</v>
      </c>
      <c r="J82" s="70">
        <v>0</v>
      </c>
      <c r="K82" s="70">
        <v>1</v>
      </c>
      <c r="L82" s="72">
        <f t="shared" si="39"/>
        <v>4</v>
      </c>
      <c r="M82" s="75">
        <v>44706</v>
      </c>
      <c r="N82" s="84" t="s">
        <v>4133</v>
      </c>
      <c r="O82" s="73"/>
      <c r="P82" s="73"/>
      <c r="Q82" s="70"/>
      <c r="R82" s="74" t="s">
        <v>4177</v>
      </c>
      <c r="S82" s="74" t="s">
        <v>88</v>
      </c>
      <c r="T82" s="74">
        <v>44679</v>
      </c>
      <c r="U82" s="95" t="s">
        <v>4178</v>
      </c>
      <c r="V82" s="75" t="s">
        <v>4092</v>
      </c>
      <c r="W82" s="83">
        <v>2183.9674</v>
      </c>
      <c r="X82" s="77">
        <f t="shared" si="54"/>
        <v>8735.8696</v>
      </c>
      <c r="Y82" s="70"/>
      <c r="Z82" s="70"/>
      <c r="AA82" s="70" t="s">
        <v>4109</v>
      </c>
      <c r="AB82" s="70"/>
      <c r="AC82" s="70"/>
      <c r="AD82" s="78"/>
      <c r="AE82" s="70"/>
      <c r="AF82" s="74"/>
      <c r="BK82" s="79" t="e">
        <f>$AG82*#REF!</f>
        <v>#REF!</v>
      </c>
      <c r="BL82" s="79" t="e">
        <f>$AG82*#REF!</f>
        <v>#REF!</v>
      </c>
      <c r="BM82" s="79" t="e">
        <f>$AG82*#REF!</f>
        <v>#REF!</v>
      </c>
      <c r="BN82" s="79" t="e">
        <f>$AG82*#REF!</f>
        <v>#REF!</v>
      </c>
      <c r="BO82" s="79" t="e">
        <f>$AG82*#REF!</f>
        <v>#REF!</v>
      </c>
      <c r="BP82" s="79" t="e">
        <f>$AG82*#REF!</f>
        <v>#REF!</v>
      </c>
      <c r="BQ82" s="79" t="e">
        <f>$AG82*#REF!</f>
        <v>#REF!</v>
      </c>
      <c r="BR82" s="79" t="e">
        <f>$AG82*#REF!</f>
        <v>#REF!</v>
      </c>
      <c r="BS82" s="79" t="e">
        <f>$AG82*#REF!</f>
        <v>#REF!</v>
      </c>
      <c r="BT82" s="79" t="e">
        <f>$AG82*#REF!</f>
        <v>#REF!</v>
      </c>
      <c r="BU82" s="79" t="e">
        <f>$AG82*#REF!</f>
        <v>#REF!</v>
      </c>
      <c r="BV82" s="79" t="e">
        <f>$AG82*#REF!</f>
        <v>#REF!</v>
      </c>
      <c r="BW82" s="79" t="e">
        <f>$AG82*#REF!</f>
        <v>#REF!</v>
      </c>
      <c r="BX82" s="79" t="e">
        <f>$AG82*#REF!</f>
        <v>#REF!</v>
      </c>
      <c r="BY82" s="79" t="e">
        <f>$AG82*#REF!</f>
        <v>#REF!</v>
      </c>
      <c r="BZ82" s="79" t="e">
        <f>$AG82*#REF!</f>
        <v>#REF!</v>
      </c>
      <c r="CA82" s="79" t="e">
        <f>$AG82*#REF!</f>
        <v>#REF!</v>
      </c>
      <c r="CB82" s="79" t="e">
        <f>$AG82*#REF!</f>
        <v>#REF!</v>
      </c>
      <c r="CC82" s="79" t="e">
        <f>$AG82*#REF!</f>
        <v>#REF!</v>
      </c>
      <c r="CD82" s="79" t="e">
        <f>$AG82*#REF!</f>
        <v>#REF!</v>
      </c>
      <c r="CE82" s="79" t="e">
        <f>$AG82*#REF!</f>
        <v>#REF!</v>
      </c>
      <c r="CF82" s="79"/>
      <c r="CI82" s="17">
        <f t="shared" si="25"/>
        <v>0</v>
      </c>
      <c r="CL82" s="17">
        <f t="shared" si="29"/>
        <v>0</v>
      </c>
    </row>
    <row r="83" s="17" customFormat="1" ht="24" customHeight="1" spans="1:90">
      <c r="A83" s="68">
        <v>44666</v>
      </c>
      <c r="B83" s="69" t="s">
        <v>240</v>
      </c>
      <c r="C83" s="70" t="s">
        <v>125</v>
      </c>
      <c r="D83" s="69">
        <v>4500076206</v>
      </c>
      <c r="E83" s="70">
        <v>4231913292</v>
      </c>
      <c r="F83" s="71" t="s">
        <v>4138</v>
      </c>
      <c r="G83" s="97"/>
      <c r="H83" s="96" t="s">
        <v>4093</v>
      </c>
      <c r="I83" s="70">
        <v>4320</v>
      </c>
      <c r="J83" s="70">
        <v>0</v>
      </c>
      <c r="K83" s="70">
        <v>1080</v>
      </c>
      <c r="L83" s="72">
        <f t="shared" si="39"/>
        <v>4</v>
      </c>
      <c r="M83" s="75">
        <v>44706</v>
      </c>
      <c r="N83" s="84" t="s">
        <v>4133</v>
      </c>
      <c r="O83" s="73"/>
      <c r="P83" s="73"/>
      <c r="Q83" s="70"/>
      <c r="R83" s="74" t="s">
        <v>4177</v>
      </c>
      <c r="S83" s="74" t="s">
        <v>88</v>
      </c>
      <c r="T83" s="74">
        <v>44679</v>
      </c>
      <c r="U83" s="95"/>
      <c r="V83" s="75" t="s">
        <v>4092</v>
      </c>
      <c r="W83" s="83">
        <v>0</v>
      </c>
      <c r="X83" s="77">
        <v>0</v>
      </c>
      <c r="Y83" s="70"/>
      <c r="Z83" s="70"/>
      <c r="AA83" s="70" t="s">
        <v>4109</v>
      </c>
      <c r="AB83" s="70"/>
      <c r="AC83" s="70"/>
      <c r="AD83" s="78"/>
      <c r="AE83" s="70"/>
      <c r="AF83" s="74"/>
      <c r="AG83" s="17">
        <f t="shared" ref="AG83:AG87" si="57">I83</f>
        <v>4320</v>
      </c>
      <c r="AM83" s="17">
        <f t="shared" ref="AM83:AM87" si="58">I83</f>
        <v>4320</v>
      </c>
      <c r="AN83" s="17">
        <f t="shared" ref="AN83:AN87" si="59">I83</f>
        <v>4320</v>
      </c>
      <c r="BA83" s="17">
        <f t="shared" ref="BA83:BA87" si="60">I83/18</f>
        <v>240</v>
      </c>
      <c r="BK83" s="79" t="e">
        <f>$AG83*#REF!</f>
        <v>#REF!</v>
      </c>
      <c r="BL83" s="79" t="e">
        <f>$AG83*#REF!</f>
        <v>#REF!</v>
      </c>
      <c r="BM83" s="79" t="e">
        <f>$AG83*#REF!</f>
        <v>#REF!</v>
      </c>
      <c r="BN83" s="79" t="e">
        <f>$AG83*#REF!</f>
        <v>#REF!</v>
      </c>
      <c r="BO83" s="79" t="e">
        <f>$AG83*#REF!</f>
        <v>#REF!</v>
      </c>
      <c r="BP83" s="79" t="e">
        <f>$AG83*#REF!</f>
        <v>#REF!</v>
      </c>
      <c r="BQ83" s="79" t="e">
        <f>$AG83*#REF!</f>
        <v>#REF!</v>
      </c>
      <c r="BR83" s="79" t="e">
        <f>$AG83*#REF!</f>
        <v>#REF!</v>
      </c>
      <c r="BS83" s="79" t="e">
        <f>$AG83*#REF!</f>
        <v>#REF!</v>
      </c>
      <c r="BT83" s="79" t="e">
        <f>$AG83*#REF!</f>
        <v>#REF!</v>
      </c>
      <c r="BU83" s="79" t="e">
        <f>$AG83*#REF!</f>
        <v>#REF!</v>
      </c>
      <c r="BV83" s="79" t="e">
        <f>$AG83*#REF!</f>
        <v>#REF!</v>
      </c>
      <c r="BW83" s="79" t="e">
        <f>$AG83*#REF!</f>
        <v>#REF!</v>
      </c>
      <c r="BX83" s="79" t="e">
        <f>$AG83*#REF!</f>
        <v>#REF!</v>
      </c>
      <c r="BY83" s="79" t="e">
        <f>$AG83*#REF!</f>
        <v>#REF!</v>
      </c>
      <c r="BZ83" s="79" t="e">
        <f>$AG83*#REF!</f>
        <v>#REF!</v>
      </c>
      <c r="CA83" s="79" t="e">
        <f>$AG83*#REF!</f>
        <v>#REF!</v>
      </c>
      <c r="CB83" s="79" t="e">
        <f>$AG83*#REF!</f>
        <v>#REF!</v>
      </c>
      <c r="CC83" s="79" t="e">
        <f>$AG83*#REF!</f>
        <v>#REF!</v>
      </c>
      <c r="CD83" s="79" t="e">
        <f>$AG83*#REF!</f>
        <v>#REF!</v>
      </c>
      <c r="CE83" s="79" t="e">
        <f>$AG83*#REF!</f>
        <v>#REF!</v>
      </c>
      <c r="CF83" s="79"/>
      <c r="CI83" s="17">
        <f t="shared" si="25"/>
        <v>0</v>
      </c>
      <c r="CL83" s="17">
        <f t="shared" si="29"/>
        <v>240</v>
      </c>
    </row>
    <row r="84" s="17" customFormat="1" ht="24" customHeight="1" spans="1:90">
      <c r="A84" s="68">
        <v>44666</v>
      </c>
      <c r="B84" s="69" t="s">
        <v>240</v>
      </c>
      <c r="C84" s="70" t="s">
        <v>125</v>
      </c>
      <c r="D84" s="69">
        <v>4500076206</v>
      </c>
      <c r="E84" s="70">
        <v>4231913293</v>
      </c>
      <c r="F84" s="71" t="s">
        <v>4154</v>
      </c>
      <c r="G84" s="97"/>
      <c r="H84" s="96" t="s">
        <v>4155</v>
      </c>
      <c r="I84" s="70">
        <v>3</v>
      </c>
      <c r="J84" s="70">
        <v>0</v>
      </c>
      <c r="K84" s="70">
        <v>1</v>
      </c>
      <c r="L84" s="72">
        <f t="shared" si="39"/>
        <v>3</v>
      </c>
      <c r="M84" s="75">
        <v>44706</v>
      </c>
      <c r="N84" s="84" t="s">
        <v>4133</v>
      </c>
      <c r="O84" s="73"/>
      <c r="P84" s="73"/>
      <c r="Q84" s="70"/>
      <c r="R84" s="74" t="s">
        <v>4177</v>
      </c>
      <c r="S84" s="74" t="s">
        <v>88</v>
      </c>
      <c r="T84" s="74">
        <v>44679</v>
      </c>
      <c r="U84" s="95" t="s">
        <v>4178</v>
      </c>
      <c r="V84" s="75" t="s">
        <v>4092</v>
      </c>
      <c r="W84" s="83">
        <v>2183.9674</v>
      </c>
      <c r="X84" s="77">
        <f t="shared" ref="X84:X88" si="61">I84*W84</f>
        <v>6551.9022</v>
      </c>
      <c r="Y84" s="70"/>
      <c r="Z84" s="70"/>
      <c r="AA84" s="70" t="s">
        <v>4109</v>
      </c>
      <c r="AB84" s="70"/>
      <c r="AC84" s="70"/>
      <c r="AD84" s="78"/>
      <c r="AE84" s="70"/>
      <c r="AF84" s="74"/>
      <c r="BK84" s="79" t="e">
        <f>$AG84*#REF!</f>
        <v>#REF!</v>
      </c>
      <c r="BL84" s="79" t="e">
        <f>$AG84*#REF!</f>
        <v>#REF!</v>
      </c>
      <c r="BM84" s="79" t="e">
        <f>$AG84*#REF!</f>
        <v>#REF!</v>
      </c>
      <c r="BN84" s="79" t="e">
        <f>$AG84*#REF!</f>
        <v>#REF!</v>
      </c>
      <c r="BO84" s="79" t="e">
        <f>$AG84*#REF!</f>
        <v>#REF!</v>
      </c>
      <c r="BP84" s="79" t="e">
        <f>$AG84*#REF!</f>
        <v>#REF!</v>
      </c>
      <c r="BQ84" s="79" t="e">
        <f>$AG84*#REF!</f>
        <v>#REF!</v>
      </c>
      <c r="BR84" s="79" t="e">
        <f>$AG84*#REF!</f>
        <v>#REF!</v>
      </c>
      <c r="BS84" s="79" t="e">
        <f>$AG84*#REF!</f>
        <v>#REF!</v>
      </c>
      <c r="BT84" s="79" t="e">
        <f>$AG84*#REF!</f>
        <v>#REF!</v>
      </c>
      <c r="BU84" s="79" t="e">
        <f>$AG84*#REF!</f>
        <v>#REF!</v>
      </c>
      <c r="BV84" s="79" t="e">
        <f>$AG84*#REF!</f>
        <v>#REF!</v>
      </c>
      <c r="BW84" s="79" t="e">
        <f>$AG84*#REF!</f>
        <v>#REF!</v>
      </c>
      <c r="BX84" s="79" t="e">
        <f>$AG84*#REF!</f>
        <v>#REF!</v>
      </c>
      <c r="BY84" s="79" t="e">
        <f>$AG84*#REF!</f>
        <v>#REF!</v>
      </c>
      <c r="BZ84" s="79" t="e">
        <f>$AG84*#REF!</f>
        <v>#REF!</v>
      </c>
      <c r="CA84" s="79" t="e">
        <f>$AG84*#REF!</f>
        <v>#REF!</v>
      </c>
      <c r="CB84" s="79" t="e">
        <f>$AG84*#REF!</f>
        <v>#REF!</v>
      </c>
      <c r="CC84" s="79" t="e">
        <f>$AG84*#REF!</f>
        <v>#REF!</v>
      </c>
      <c r="CD84" s="79" t="e">
        <f>$AG84*#REF!</f>
        <v>#REF!</v>
      </c>
      <c r="CE84" s="79" t="e">
        <f>$AG84*#REF!</f>
        <v>#REF!</v>
      </c>
      <c r="CF84" s="79"/>
      <c r="CI84" s="17">
        <f t="shared" si="25"/>
        <v>0</v>
      </c>
      <c r="CL84" s="17">
        <f t="shared" si="29"/>
        <v>0</v>
      </c>
    </row>
    <row r="85" s="17" customFormat="1" ht="24" customHeight="1" spans="1:90">
      <c r="A85" s="68">
        <v>44666</v>
      </c>
      <c r="B85" s="69" t="s">
        <v>240</v>
      </c>
      <c r="C85" s="70" t="s">
        <v>125</v>
      </c>
      <c r="D85" s="69">
        <v>4500076206</v>
      </c>
      <c r="E85" s="70">
        <v>4231913293</v>
      </c>
      <c r="F85" s="71" t="s">
        <v>4138</v>
      </c>
      <c r="G85" s="97"/>
      <c r="H85" s="96" t="s">
        <v>4093</v>
      </c>
      <c r="I85" s="70">
        <v>3240</v>
      </c>
      <c r="J85" s="70">
        <v>0</v>
      </c>
      <c r="K85" s="70">
        <v>1080</v>
      </c>
      <c r="L85" s="72">
        <f t="shared" si="39"/>
        <v>3</v>
      </c>
      <c r="M85" s="75">
        <v>44706</v>
      </c>
      <c r="N85" s="84" t="s">
        <v>4133</v>
      </c>
      <c r="O85" s="73"/>
      <c r="P85" s="73"/>
      <c r="Q85" s="70"/>
      <c r="R85" s="74" t="s">
        <v>4177</v>
      </c>
      <c r="S85" s="74" t="s">
        <v>88</v>
      </c>
      <c r="T85" s="74">
        <v>44679</v>
      </c>
      <c r="U85" s="95"/>
      <c r="V85" s="75" t="s">
        <v>4092</v>
      </c>
      <c r="W85" s="83">
        <v>0</v>
      </c>
      <c r="X85" s="77">
        <v>0</v>
      </c>
      <c r="Y85" s="70"/>
      <c r="Z85" s="70"/>
      <c r="AA85" s="70" t="s">
        <v>4109</v>
      </c>
      <c r="AB85" s="70"/>
      <c r="AC85" s="70"/>
      <c r="AD85" s="78"/>
      <c r="AE85" s="70"/>
      <c r="AF85" s="74"/>
      <c r="AG85" s="17">
        <f t="shared" si="57"/>
        <v>3240</v>
      </c>
      <c r="AM85" s="17">
        <f t="shared" si="58"/>
        <v>3240</v>
      </c>
      <c r="AN85" s="17">
        <f t="shared" si="59"/>
        <v>3240</v>
      </c>
      <c r="BA85" s="17">
        <f t="shared" si="60"/>
        <v>180</v>
      </c>
      <c r="BK85" s="79" t="e">
        <f>$AG85*#REF!</f>
        <v>#REF!</v>
      </c>
      <c r="BL85" s="79" t="e">
        <f>$AG85*#REF!</f>
        <v>#REF!</v>
      </c>
      <c r="BM85" s="79" t="e">
        <f>$AG85*#REF!</f>
        <v>#REF!</v>
      </c>
      <c r="BN85" s="79" t="e">
        <f>$AG85*#REF!</f>
        <v>#REF!</v>
      </c>
      <c r="BO85" s="79" t="e">
        <f>$AG85*#REF!</f>
        <v>#REF!</v>
      </c>
      <c r="BP85" s="79" t="e">
        <f>$AG85*#REF!</f>
        <v>#REF!</v>
      </c>
      <c r="BQ85" s="79" t="e">
        <f>$AG85*#REF!</f>
        <v>#REF!</v>
      </c>
      <c r="BR85" s="79" t="e">
        <f>$AG85*#REF!</f>
        <v>#REF!</v>
      </c>
      <c r="BS85" s="79" t="e">
        <f>$AG85*#REF!</f>
        <v>#REF!</v>
      </c>
      <c r="BT85" s="79" t="e">
        <f>$AG85*#REF!</f>
        <v>#REF!</v>
      </c>
      <c r="BU85" s="79" t="e">
        <f>$AG85*#REF!</f>
        <v>#REF!</v>
      </c>
      <c r="BV85" s="79" t="e">
        <f>$AG85*#REF!</f>
        <v>#REF!</v>
      </c>
      <c r="BW85" s="79" t="e">
        <f>$AG85*#REF!</f>
        <v>#REF!</v>
      </c>
      <c r="BX85" s="79" t="e">
        <f>$AG85*#REF!</f>
        <v>#REF!</v>
      </c>
      <c r="BY85" s="79" t="e">
        <f>$AG85*#REF!</f>
        <v>#REF!</v>
      </c>
      <c r="BZ85" s="79" t="e">
        <f>$AG85*#REF!</f>
        <v>#REF!</v>
      </c>
      <c r="CA85" s="79" t="e">
        <f>$AG85*#REF!</f>
        <v>#REF!</v>
      </c>
      <c r="CB85" s="79" t="e">
        <f>$AG85*#REF!</f>
        <v>#REF!</v>
      </c>
      <c r="CC85" s="79" t="e">
        <f>$AG85*#REF!</f>
        <v>#REF!</v>
      </c>
      <c r="CD85" s="79" t="e">
        <f>$AG85*#REF!</f>
        <v>#REF!</v>
      </c>
      <c r="CE85" s="79" t="e">
        <f>$AG85*#REF!</f>
        <v>#REF!</v>
      </c>
      <c r="CF85" s="79"/>
      <c r="CI85" s="17">
        <f t="shared" si="25"/>
        <v>0</v>
      </c>
      <c r="CL85" s="17">
        <f t="shared" si="29"/>
        <v>180</v>
      </c>
    </row>
    <row r="86" s="17" customFormat="1" ht="24" customHeight="1" spans="1:90">
      <c r="A86" s="68">
        <v>44666</v>
      </c>
      <c r="B86" s="69" t="s">
        <v>240</v>
      </c>
      <c r="C86" s="70" t="s">
        <v>125</v>
      </c>
      <c r="D86" s="69">
        <v>4500076206</v>
      </c>
      <c r="E86" s="70">
        <v>4231913294</v>
      </c>
      <c r="F86" s="71" t="s">
        <v>4154</v>
      </c>
      <c r="G86" s="97"/>
      <c r="H86" s="96" t="s">
        <v>4155</v>
      </c>
      <c r="I86" s="70">
        <v>3</v>
      </c>
      <c r="J86" s="70">
        <v>0</v>
      </c>
      <c r="K86" s="70">
        <v>1</v>
      </c>
      <c r="L86" s="72">
        <f t="shared" si="39"/>
        <v>3</v>
      </c>
      <c r="M86" s="75">
        <v>44706</v>
      </c>
      <c r="N86" s="84" t="s">
        <v>4133</v>
      </c>
      <c r="O86" s="73"/>
      <c r="P86" s="73"/>
      <c r="Q86" s="70"/>
      <c r="R86" s="74" t="s">
        <v>4177</v>
      </c>
      <c r="S86" s="74" t="s">
        <v>88</v>
      </c>
      <c r="T86" s="74">
        <v>44679</v>
      </c>
      <c r="U86" s="95" t="s">
        <v>4178</v>
      </c>
      <c r="V86" s="75" t="s">
        <v>4092</v>
      </c>
      <c r="W86" s="83">
        <v>2183.9674</v>
      </c>
      <c r="X86" s="77">
        <f t="shared" si="61"/>
        <v>6551.9022</v>
      </c>
      <c r="Y86" s="70"/>
      <c r="Z86" s="70"/>
      <c r="AA86" s="70" t="s">
        <v>4109</v>
      </c>
      <c r="AB86" s="70"/>
      <c r="AC86" s="70"/>
      <c r="AD86" s="78"/>
      <c r="AE86" s="70"/>
      <c r="AF86" s="74"/>
      <c r="AM86" s="17">
        <f t="shared" si="58"/>
        <v>3</v>
      </c>
      <c r="AN86" s="17">
        <f t="shared" si="59"/>
        <v>3</v>
      </c>
      <c r="BK86" s="79" t="e">
        <f>$AG86*#REF!</f>
        <v>#REF!</v>
      </c>
      <c r="BL86" s="79" t="e">
        <f>$AG86*#REF!</f>
        <v>#REF!</v>
      </c>
      <c r="BM86" s="79" t="e">
        <f>$AG86*#REF!</f>
        <v>#REF!</v>
      </c>
      <c r="BN86" s="79" t="e">
        <f>$AG86*#REF!</f>
        <v>#REF!</v>
      </c>
      <c r="BO86" s="79" t="e">
        <f>$AG86*#REF!</f>
        <v>#REF!</v>
      </c>
      <c r="BP86" s="79" t="e">
        <f>$AG86*#REF!</f>
        <v>#REF!</v>
      </c>
      <c r="BQ86" s="79" t="e">
        <f>$AG86*#REF!</f>
        <v>#REF!</v>
      </c>
      <c r="BR86" s="79" t="e">
        <f>$AG86*#REF!</f>
        <v>#REF!</v>
      </c>
      <c r="BS86" s="79" t="e">
        <f>$AG86*#REF!</f>
        <v>#REF!</v>
      </c>
      <c r="BT86" s="79" t="e">
        <f>$AG86*#REF!</f>
        <v>#REF!</v>
      </c>
      <c r="BU86" s="79" t="e">
        <f>$AG86*#REF!</f>
        <v>#REF!</v>
      </c>
      <c r="BV86" s="79" t="e">
        <f>$AG86*#REF!</f>
        <v>#REF!</v>
      </c>
      <c r="BW86" s="79" t="e">
        <f>$AG86*#REF!</f>
        <v>#REF!</v>
      </c>
      <c r="BX86" s="79" t="e">
        <f>$AG86*#REF!</f>
        <v>#REF!</v>
      </c>
      <c r="BY86" s="79" t="e">
        <f>$AG86*#REF!</f>
        <v>#REF!</v>
      </c>
      <c r="BZ86" s="79" t="e">
        <f>$AG86*#REF!</f>
        <v>#REF!</v>
      </c>
      <c r="CA86" s="79" t="e">
        <f>$AG86*#REF!</f>
        <v>#REF!</v>
      </c>
      <c r="CB86" s="79" t="e">
        <f>$AG86*#REF!</f>
        <v>#REF!</v>
      </c>
      <c r="CC86" s="79" t="e">
        <f>$AG86*#REF!</f>
        <v>#REF!</v>
      </c>
      <c r="CD86" s="79" t="e">
        <f>$AG86*#REF!</f>
        <v>#REF!</v>
      </c>
      <c r="CE86" s="79" t="e">
        <f>$AG86*#REF!</f>
        <v>#REF!</v>
      </c>
      <c r="CF86" s="79"/>
      <c r="CI86" s="17">
        <f t="shared" si="25"/>
        <v>0</v>
      </c>
      <c r="CL86" s="17">
        <f t="shared" si="29"/>
        <v>0</v>
      </c>
    </row>
    <row r="87" s="17" customFormat="1" ht="24" customHeight="1" spans="1:90">
      <c r="A87" s="68">
        <v>44666</v>
      </c>
      <c r="B87" s="69" t="s">
        <v>240</v>
      </c>
      <c r="C87" s="70" t="s">
        <v>125</v>
      </c>
      <c r="D87" s="69">
        <v>4500076206</v>
      </c>
      <c r="E87" s="70">
        <v>4231913294</v>
      </c>
      <c r="F87" s="71" t="s">
        <v>4138</v>
      </c>
      <c r="G87" s="97"/>
      <c r="H87" s="96" t="s">
        <v>4093</v>
      </c>
      <c r="I87" s="70">
        <v>3240</v>
      </c>
      <c r="J87" s="70">
        <v>0</v>
      </c>
      <c r="K87" s="70">
        <v>1080</v>
      </c>
      <c r="L87" s="72">
        <f t="shared" si="39"/>
        <v>3</v>
      </c>
      <c r="M87" s="75">
        <v>44706</v>
      </c>
      <c r="N87" s="84" t="s">
        <v>4133</v>
      </c>
      <c r="O87" s="73"/>
      <c r="P87" s="73"/>
      <c r="Q87" s="70"/>
      <c r="R87" s="74" t="s">
        <v>4177</v>
      </c>
      <c r="S87" s="74" t="s">
        <v>88</v>
      </c>
      <c r="T87" s="74">
        <v>44679</v>
      </c>
      <c r="U87" s="95"/>
      <c r="V87" s="75" t="s">
        <v>4092</v>
      </c>
      <c r="W87" s="83">
        <v>0</v>
      </c>
      <c r="X87" s="77">
        <v>0</v>
      </c>
      <c r="Y87" s="70"/>
      <c r="Z87" s="70"/>
      <c r="AA87" s="70" t="s">
        <v>4109</v>
      </c>
      <c r="AB87" s="70"/>
      <c r="AC87" s="70"/>
      <c r="AD87" s="78"/>
      <c r="AE87" s="70"/>
      <c r="AF87" s="74"/>
      <c r="AG87" s="17">
        <f t="shared" si="57"/>
        <v>3240</v>
      </c>
      <c r="AM87" s="17">
        <f t="shared" si="58"/>
        <v>3240</v>
      </c>
      <c r="AN87" s="17">
        <f t="shared" si="59"/>
        <v>3240</v>
      </c>
      <c r="BA87" s="17">
        <f t="shared" si="60"/>
        <v>180</v>
      </c>
      <c r="BK87" s="79" t="e">
        <f>$AG87*#REF!</f>
        <v>#REF!</v>
      </c>
      <c r="BL87" s="79" t="e">
        <f>$AG87*#REF!</f>
        <v>#REF!</v>
      </c>
      <c r="BM87" s="79" t="e">
        <f>$AG87*#REF!</f>
        <v>#REF!</v>
      </c>
      <c r="BN87" s="79" t="e">
        <f>$AG87*#REF!</f>
        <v>#REF!</v>
      </c>
      <c r="BO87" s="79" t="e">
        <f>$AG87*#REF!</f>
        <v>#REF!</v>
      </c>
      <c r="BP87" s="79" t="e">
        <f>$AG87*#REF!</f>
        <v>#REF!</v>
      </c>
      <c r="BQ87" s="79" t="e">
        <f>$AG87*#REF!</f>
        <v>#REF!</v>
      </c>
      <c r="BR87" s="79" t="e">
        <f>$AG87*#REF!</f>
        <v>#REF!</v>
      </c>
      <c r="BS87" s="79" t="e">
        <f>$AG87*#REF!</f>
        <v>#REF!</v>
      </c>
      <c r="BT87" s="79" t="e">
        <f>$AG87*#REF!</f>
        <v>#REF!</v>
      </c>
      <c r="BU87" s="79" t="e">
        <f>$AG87*#REF!</f>
        <v>#REF!</v>
      </c>
      <c r="BV87" s="79" t="e">
        <f>$AG87*#REF!</f>
        <v>#REF!</v>
      </c>
      <c r="BW87" s="79" t="e">
        <f>$AG87*#REF!</f>
        <v>#REF!</v>
      </c>
      <c r="BX87" s="79" t="e">
        <f>$AG87*#REF!</f>
        <v>#REF!</v>
      </c>
      <c r="BY87" s="79" t="e">
        <f>$AG87*#REF!</f>
        <v>#REF!</v>
      </c>
      <c r="BZ87" s="79" t="e">
        <f>$AG87*#REF!</f>
        <v>#REF!</v>
      </c>
      <c r="CA87" s="79" t="e">
        <f>$AG87*#REF!</f>
        <v>#REF!</v>
      </c>
      <c r="CB87" s="79" t="e">
        <f>$AG87*#REF!</f>
        <v>#REF!</v>
      </c>
      <c r="CC87" s="79" t="e">
        <f>$AG87*#REF!</f>
        <v>#REF!</v>
      </c>
      <c r="CD87" s="79" t="e">
        <f>$AG87*#REF!</f>
        <v>#REF!</v>
      </c>
      <c r="CE87" s="79" t="e">
        <f>$AG87*#REF!</f>
        <v>#REF!</v>
      </c>
      <c r="CF87" s="79"/>
      <c r="CI87" s="17">
        <f t="shared" si="25"/>
        <v>0</v>
      </c>
      <c r="CL87" s="17">
        <f t="shared" si="29"/>
        <v>180</v>
      </c>
    </row>
    <row r="88" s="17" customFormat="1" ht="24" customHeight="1" spans="1:90">
      <c r="A88" s="68">
        <v>44666</v>
      </c>
      <c r="B88" s="69" t="s">
        <v>240</v>
      </c>
      <c r="C88" s="70" t="s">
        <v>125</v>
      </c>
      <c r="D88" s="69">
        <v>4500076206</v>
      </c>
      <c r="E88" s="70">
        <v>4231913295</v>
      </c>
      <c r="F88" s="71" t="s">
        <v>4154</v>
      </c>
      <c r="G88" s="97"/>
      <c r="H88" s="96" t="s">
        <v>4155</v>
      </c>
      <c r="I88" s="70">
        <v>4</v>
      </c>
      <c r="J88" s="70">
        <v>0</v>
      </c>
      <c r="K88" s="70">
        <v>1</v>
      </c>
      <c r="L88" s="72">
        <f t="shared" si="39"/>
        <v>4</v>
      </c>
      <c r="M88" s="75">
        <v>44706</v>
      </c>
      <c r="N88" s="84" t="s">
        <v>4133</v>
      </c>
      <c r="O88" s="73"/>
      <c r="P88" s="73"/>
      <c r="Q88" s="70"/>
      <c r="R88" s="74" t="s">
        <v>4177</v>
      </c>
      <c r="S88" s="74" t="s">
        <v>88</v>
      </c>
      <c r="T88" s="74">
        <v>44679</v>
      </c>
      <c r="U88" s="95" t="s">
        <v>4178</v>
      </c>
      <c r="V88" s="75" t="s">
        <v>4092</v>
      </c>
      <c r="W88" s="83">
        <v>2183.9674</v>
      </c>
      <c r="X88" s="77">
        <f t="shared" si="61"/>
        <v>8735.8696</v>
      </c>
      <c r="Y88" s="70"/>
      <c r="Z88" s="70"/>
      <c r="AA88" s="70" t="s">
        <v>4109</v>
      </c>
      <c r="AB88" s="70"/>
      <c r="AC88" s="70"/>
      <c r="AD88" s="78"/>
      <c r="AE88" s="70"/>
      <c r="AF88" s="74"/>
      <c r="BK88" s="79" t="e">
        <f>$AG88*#REF!</f>
        <v>#REF!</v>
      </c>
      <c r="BL88" s="79" t="e">
        <f>$AG88*#REF!</f>
        <v>#REF!</v>
      </c>
      <c r="BM88" s="79" t="e">
        <f>$AG88*#REF!</f>
        <v>#REF!</v>
      </c>
      <c r="BN88" s="79" t="e">
        <f>$AG88*#REF!</f>
        <v>#REF!</v>
      </c>
      <c r="BO88" s="79" t="e">
        <f>$AG88*#REF!</f>
        <v>#REF!</v>
      </c>
      <c r="BP88" s="79" t="e">
        <f>$AG88*#REF!</f>
        <v>#REF!</v>
      </c>
      <c r="BQ88" s="79" t="e">
        <f>$AG88*#REF!</f>
        <v>#REF!</v>
      </c>
      <c r="BR88" s="79" t="e">
        <f>$AG88*#REF!</f>
        <v>#REF!</v>
      </c>
      <c r="BS88" s="79" t="e">
        <f>$AG88*#REF!</f>
        <v>#REF!</v>
      </c>
      <c r="BT88" s="79" t="e">
        <f>$AG88*#REF!</f>
        <v>#REF!</v>
      </c>
      <c r="BU88" s="79" t="e">
        <f>$AG88*#REF!</f>
        <v>#REF!</v>
      </c>
      <c r="BV88" s="79" t="e">
        <f>$AG88*#REF!</f>
        <v>#REF!</v>
      </c>
      <c r="BW88" s="79" t="e">
        <f>$AG88*#REF!</f>
        <v>#REF!</v>
      </c>
      <c r="BX88" s="79" t="e">
        <f>$AG88*#REF!</f>
        <v>#REF!</v>
      </c>
      <c r="BY88" s="79" t="e">
        <f>$AG88*#REF!</f>
        <v>#REF!</v>
      </c>
      <c r="BZ88" s="79" t="e">
        <f>$AG88*#REF!</f>
        <v>#REF!</v>
      </c>
      <c r="CA88" s="79" t="e">
        <f>$AG88*#REF!</f>
        <v>#REF!</v>
      </c>
      <c r="CB88" s="79" t="e">
        <f>$AG88*#REF!</f>
        <v>#REF!</v>
      </c>
      <c r="CC88" s="79" t="e">
        <f>$AG88*#REF!</f>
        <v>#REF!</v>
      </c>
      <c r="CD88" s="79" t="e">
        <f>$AG88*#REF!</f>
        <v>#REF!</v>
      </c>
      <c r="CE88" s="79" t="e">
        <f>$AG88*#REF!</f>
        <v>#REF!</v>
      </c>
      <c r="CF88" s="79"/>
      <c r="CI88" s="17">
        <f t="shared" si="25"/>
        <v>0</v>
      </c>
      <c r="CL88" s="17">
        <f t="shared" si="29"/>
        <v>0</v>
      </c>
    </row>
    <row r="89" s="17" customFormat="1" ht="24" customHeight="1" spans="1:90">
      <c r="A89" s="68">
        <v>44666</v>
      </c>
      <c r="B89" s="69" t="s">
        <v>240</v>
      </c>
      <c r="C89" s="70" t="s">
        <v>125</v>
      </c>
      <c r="D89" s="69">
        <v>4500076206</v>
      </c>
      <c r="E89" s="70">
        <v>4231913295</v>
      </c>
      <c r="F89" s="71" t="s">
        <v>4138</v>
      </c>
      <c r="G89" s="97"/>
      <c r="H89" s="96" t="s">
        <v>4093</v>
      </c>
      <c r="I89" s="70">
        <v>4320</v>
      </c>
      <c r="J89" s="70">
        <v>0</v>
      </c>
      <c r="K89" s="70">
        <v>1080</v>
      </c>
      <c r="L89" s="72">
        <f t="shared" si="39"/>
        <v>4</v>
      </c>
      <c r="M89" s="75">
        <v>44706</v>
      </c>
      <c r="N89" s="84" t="s">
        <v>4133</v>
      </c>
      <c r="O89" s="73"/>
      <c r="P89" s="73"/>
      <c r="Q89" s="70"/>
      <c r="R89" s="74" t="s">
        <v>4177</v>
      </c>
      <c r="S89" s="74" t="s">
        <v>88</v>
      </c>
      <c r="T89" s="74">
        <v>44679</v>
      </c>
      <c r="U89" s="95"/>
      <c r="V89" s="75" t="s">
        <v>4092</v>
      </c>
      <c r="W89" s="83">
        <v>0</v>
      </c>
      <c r="X89" s="77">
        <v>0</v>
      </c>
      <c r="Y89" s="70"/>
      <c r="Z89" s="70"/>
      <c r="AA89" s="70" t="s">
        <v>4109</v>
      </c>
      <c r="AB89" s="70"/>
      <c r="AC89" s="70"/>
      <c r="AD89" s="78"/>
      <c r="AE89" s="70"/>
      <c r="AF89" s="74"/>
      <c r="AG89" s="17">
        <f t="shared" ref="AG89:AG93" si="62">I89</f>
        <v>4320</v>
      </c>
      <c r="AM89" s="17">
        <f t="shared" ref="AM89:AM93" si="63">I89</f>
        <v>4320</v>
      </c>
      <c r="AN89" s="17">
        <f t="shared" ref="AN89:AN93" si="64">I89</f>
        <v>4320</v>
      </c>
      <c r="BA89" s="17">
        <f t="shared" ref="BA89:BA93" si="65">I89/18</f>
        <v>240</v>
      </c>
      <c r="BK89" s="79" t="e">
        <f>$AG89*#REF!</f>
        <v>#REF!</v>
      </c>
      <c r="BL89" s="79" t="e">
        <f>$AG89*#REF!</f>
        <v>#REF!</v>
      </c>
      <c r="BM89" s="79" t="e">
        <f>$AG89*#REF!</f>
        <v>#REF!</v>
      </c>
      <c r="BN89" s="79" t="e">
        <f>$AG89*#REF!</f>
        <v>#REF!</v>
      </c>
      <c r="BO89" s="79" t="e">
        <f>$AG89*#REF!</f>
        <v>#REF!</v>
      </c>
      <c r="BP89" s="79" t="e">
        <f>$AG89*#REF!</f>
        <v>#REF!</v>
      </c>
      <c r="BQ89" s="79" t="e">
        <f>$AG89*#REF!</f>
        <v>#REF!</v>
      </c>
      <c r="BR89" s="79" t="e">
        <f>$AG89*#REF!</f>
        <v>#REF!</v>
      </c>
      <c r="BS89" s="79" t="e">
        <f>$AG89*#REF!</f>
        <v>#REF!</v>
      </c>
      <c r="BT89" s="79" t="e">
        <f>$AG89*#REF!</f>
        <v>#REF!</v>
      </c>
      <c r="BU89" s="79" t="e">
        <f>$AG89*#REF!</f>
        <v>#REF!</v>
      </c>
      <c r="BV89" s="79" t="e">
        <f>$AG89*#REF!</f>
        <v>#REF!</v>
      </c>
      <c r="BW89" s="79" t="e">
        <f>$AG89*#REF!</f>
        <v>#REF!</v>
      </c>
      <c r="BX89" s="79" t="e">
        <f>$AG89*#REF!</f>
        <v>#REF!</v>
      </c>
      <c r="BY89" s="79" t="e">
        <f>$AG89*#REF!</f>
        <v>#REF!</v>
      </c>
      <c r="BZ89" s="79" t="e">
        <f>$AG89*#REF!</f>
        <v>#REF!</v>
      </c>
      <c r="CA89" s="79" t="e">
        <f>$AG89*#REF!</f>
        <v>#REF!</v>
      </c>
      <c r="CB89" s="79" t="e">
        <f>$AG89*#REF!</f>
        <v>#REF!</v>
      </c>
      <c r="CC89" s="79" t="e">
        <f>$AG89*#REF!</f>
        <v>#REF!</v>
      </c>
      <c r="CD89" s="79" t="e">
        <f>$AG89*#REF!</f>
        <v>#REF!</v>
      </c>
      <c r="CE89" s="79" t="e">
        <f>$AG89*#REF!</f>
        <v>#REF!</v>
      </c>
      <c r="CF89" s="79"/>
      <c r="CI89" s="17">
        <f t="shared" si="25"/>
        <v>0</v>
      </c>
      <c r="CL89" s="17">
        <f t="shared" si="29"/>
        <v>240</v>
      </c>
    </row>
    <row r="90" s="17" customFormat="1" ht="24" customHeight="1" spans="1:90">
      <c r="A90" s="68">
        <v>44666</v>
      </c>
      <c r="B90" s="69" t="s">
        <v>240</v>
      </c>
      <c r="C90" s="70" t="s">
        <v>125</v>
      </c>
      <c r="D90" s="69">
        <v>4500076206</v>
      </c>
      <c r="E90" s="70">
        <v>4231913296</v>
      </c>
      <c r="F90" s="71" t="s">
        <v>4154</v>
      </c>
      <c r="G90" s="97"/>
      <c r="H90" s="96" t="s">
        <v>4155</v>
      </c>
      <c r="I90" s="70">
        <v>3</v>
      </c>
      <c r="J90" s="70">
        <v>0</v>
      </c>
      <c r="K90" s="70">
        <v>1</v>
      </c>
      <c r="L90" s="72">
        <f t="shared" si="39"/>
        <v>3</v>
      </c>
      <c r="M90" s="75">
        <v>44706</v>
      </c>
      <c r="N90" s="84" t="s">
        <v>4133</v>
      </c>
      <c r="O90" s="73"/>
      <c r="P90" s="73"/>
      <c r="Q90" s="70"/>
      <c r="R90" s="74" t="s">
        <v>4177</v>
      </c>
      <c r="S90" s="74" t="s">
        <v>88</v>
      </c>
      <c r="T90" s="74">
        <v>44679</v>
      </c>
      <c r="U90" s="95" t="s">
        <v>4178</v>
      </c>
      <c r="V90" s="75" t="s">
        <v>4092</v>
      </c>
      <c r="W90" s="83">
        <v>2183.9674</v>
      </c>
      <c r="X90" s="77">
        <f t="shared" ref="X90:X94" si="66">I90*W90</f>
        <v>6551.9022</v>
      </c>
      <c r="Y90" s="70"/>
      <c r="Z90" s="70"/>
      <c r="AA90" s="70" t="s">
        <v>4109</v>
      </c>
      <c r="AB90" s="70"/>
      <c r="AC90" s="70"/>
      <c r="AD90" s="78"/>
      <c r="AE90" s="70"/>
      <c r="AF90" s="74"/>
      <c r="BK90" s="79" t="e">
        <f>$AG90*#REF!</f>
        <v>#REF!</v>
      </c>
      <c r="BL90" s="79" t="e">
        <f>$AG90*#REF!</f>
        <v>#REF!</v>
      </c>
      <c r="BM90" s="79" t="e">
        <f>$AG90*#REF!</f>
        <v>#REF!</v>
      </c>
      <c r="BN90" s="79" t="e">
        <f>$AG90*#REF!</f>
        <v>#REF!</v>
      </c>
      <c r="BO90" s="79" t="e">
        <f>$AG90*#REF!</f>
        <v>#REF!</v>
      </c>
      <c r="BP90" s="79" t="e">
        <f>$AG90*#REF!</f>
        <v>#REF!</v>
      </c>
      <c r="BQ90" s="79" t="e">
        <f>$AG90*#REF!</f>
        <v>#REF!</v>
      </c>
      <c r="BR90" s="79" t="e">
        <f>$AG90*#REF!</f>
        <v>#REF!</v>
      </c>
      <c r="BS90" s="79" t="e">
        <f>$AG90*#REF!</f>
        <v>#REF!</v>
      </c>
      <c r="BT90" s="79" t="e">
        <f>$AG90*#REF!</f>
        <v>#REF!</v>
      </c>
      <c r="BU90" s="79" t="e">
        <f>$AG90*#REF!</f>
        <v>#REF!</v>
      </c>
      <c r="BV90" s="79" t="e">
        <f>$AG90*#REF!</f>
        <v>#REF!</v>
      </c>
      <c r="BW90" s="79" t="e">
        <f>$AG90*#REF!</f>
        <v>#REF!</v>
      </c>
      <c r="BX90" s="79" t="e">
        <f>$AG90*#REF!</f>
        <v>#REF!</v>
      </c>
      <c r="BY90" s="79" t="e">
        <f>$AG90*#REF!</f>
        <v>#REF!</v>
      </c>
      <c r="BZ90" s="79" t="e">
        <f>$AG90*#REF!</f>
        <v>#REF!</v>
      </c>
      <c r="CA90" s="79" t="e">
        <f>$AG90*#REF!</f>
        <v>#REF!</v>
      </c>
      <c r="CB90" s="79" t="e">
        <f>$AG90*#REF!</f>
        <v>#REF!</v>
      </c>
      <c r="CC90" s="79" t="e">
        <f>$AG90*#REF!</f>
        <v>#REF!</v>
      </c>
      <c r="CD90" s="79" t="e">
        <f>$AG90*#REF!</f>
        <v>#REF!</v>
      </c>
      <c r="CE90" s="79" t="e">
        <f>$AG90*#REF!</f>
        <v>#REF!</v>
      </c>
      <c r="CF90" s="79"/>
      <c r="CI90" s="17">
        <f t="shared" si="25"/>
        <v>0</v>
      </c>
      <c r="CL90" s="17">
        <f t="shared" si="29"/>
        <v>0</v>
      </c>
    </row>
    <row r="91" s="17" customFormat="1" ht="24" customHeight="1" spans="1:90">
      <c r="A91" s="68">
        <v>44666</v>
      </c>
      <c r="B91" s="69" t="s">
        <v>240</v>
      </c>
      <c r="C91" s="70" t="s">
        <v>125</v>
      </c>
      <c r="D91" s="69">
        <v>4500076206</v>
      </c>
      <c r="E91" s="70">
        <v>4231913296</v>
      </c>
      <c r="F91" s="71" t="s">
        <v>4138</v>
      </c>
      <c r="G91" s="97"/>
      <c r="H91" s="96" t="s">
        <v>4093</v>
      </c>
      <c r="I91" s="70">
        <v>3240</v>
      </c>
      <c r="J91" s="70">
        <v>0</v>
      </c>
      <c r="K91" s="70">
        <v>1080</v>
      </c>
      <c r="L91" s="72">
        <f t="shared" si="39"/>
        <v>3</v>
      </c>
      <c r="M91" s="75">
        <v>44706</v>
      </c>
      <c r="N91" s="84" t="s">
        <v>4133</v>
      </c>
      <c r="O91" s="73"/>
      <c r="P91" s="73"/>
      <c r="Q91" s="70"/>
      <c r="R91" s="74" t="s">
        <v>4177</v>
      </c>
      <c r="S91" s="74" t="s">
        <v>88</v>
      </c>
      <c r="T91" s="74">
        <v>44679</v>
      </c>
      <c r="U91" s="95"/>
      <c r="V91" s="75" t="s">
        <v>4092</v>
      </c>
      <c r="W91" s="83">
        <v>0</v>
      </c>
      <c r="X91" s="77">
        <v>0</v>
      </c>
      <c r="Y91" s="70"/>
      <c r="Z91" s="70"/>
      <c r="AA91" s="70" t="s">
        <v>4109</v>
      </c>
      <c r="AB91" s="70"/>
      <c r="AC91" s="70"/>
      <c r="AD91" s="78"/>
      <c r="AE91" s="70"/>
      <c r="AF91" s="74"/>
      <c r="AG91" s="17">
        <f t="shared" si="62"/>
        <v>3240</v>
      </c>
      <c r="AM91" s="17">
        <f t="shared" si="63"/>
        <v>3240</v>
      </c>
      <c r="AN91" s="17">
        <f t="shared" si="64"/>
        <v>3240</v>
      </c>
      <c r="BA91" s="17">
        <f t="shared" si="65"/>
        <v>180</v>
      </c>
      <c r="BK91" s="79" t="e">
        <f>$AG91*#REF!</f>
        <v>#REF!</v>
      </c>
      <c r="BL91" s="79" t="e">
        <f>$AG91*#REF!</f>
        <v>#REF!</v>
      </c>
      <c r="BM91" s="79" t="e">
        <f>$AG91*#REF!</f>
        <v>#REF!</v>
      </c>
      <c r="BN91" s="79" t="e">
        <f>$AG91*#REF!</f>
        <v>#REF!</v>
      </c>
      <c r="BO91" s="79" t="e">
        <f>$AG91*#REF!</f>
        <v>#REF!</v>
      </c>
      <c r="BP91" s="79" t="e">
        <f>$AG91*#REF!</f>
        <v>#REF!</v>
      </c>
      <c r="BQ91" s="79" t="e">
        <f>$AG91*#REF!</f>
        <v>#REF!</v>
      </c>
      <c r="BR91" s="79" t="e">
        <f>$AG91*#REF!</f>
        <v>#REF!</v>
      </c>
      <c r="BS91" s="79" t="e">
        <f>$AG91*#REF!</f>
        <v>#REF!</v>
      </c>
      <c r="BT91" s="79" t="e">
        <f>$AG91*#REF!</f>
        <v>#REF!</v>
      </c>
      <c r="BU91" s="79" t="e">
        <f>$AG91*#REF!</f>
        <v>#REF!</v>
      </c>
      <c r="BV91" s="79" t="e">
        <f>$AG91*#REF!</f>
        <v>#REF!</v>
      </c>
      <c r="BW91" s="79" t="e">
        <f>$AG91*#REF!</f>
        <v>#REF!</v>
      </c>
      <c r="BX91" s="79" t="e">
        <f>$AG91*#REF!</f>
        <v>#REF!</v>
      </c>
      <c r="BY91" s="79" t="e">
        <f>$AG91*#REF!</f>
        <v>#REF!</v>
      </c>
      <c r="BZ91" s="79" t="e">
        <f>$AG91*#REF!</f>
        <v>#REF!</v>
      </c>
      <c r="CA91" s="79" t="e">
        <f>$AG91*#REF!</f>
        <v>#REF!</v>
      </c>
      <c r="CB91" s="79" t="e">
        <f>$AG91*#REF!</f>
        <v>#REF!</v>
      </c>
      <c r="CC91" s="79" t="e">
        <f>$AG91*#REF!</f>
        <v>#REF!</v>
      </c>
      <c r="CD91" s="79" t="e">
        <f>$AG91*#REF!</f>
        <v>#REF!</v>
      </c>
      <c r="CE91" s="79" t="e">
        <f>$AG91*#REF!</f>
        <v>#REF!</v>
      </c>
      <c r="CF91" s="79"/>
      <c r="CI91" s="17">
        <f t="shared" si="25"/>
        <v>0</v>
      </c>
      <c r="CL91" s="17">
        <f t="shared" si="29"/>
        <v>180</v>
      </c>
    </row>
    <row r="92" s="17" customFormat="1" ht="24" customHeight="1" spans="1:90">
      <c r="A92" s="68">
        <v>44666</v>
      </c>
      <c r="B92" s="69" t="s">
        <v>240</v>
      </c>
      <c r="C92" s="70" t="s">
        <v>125</v>
      </c>
      <c r="D92" s="69">
        <v>4500076206</v>
      </c>
      <c r="E92" s="70">
        <v>4231913297</v>
      </c>
      <c r="F92" s="71" t="s">
        <v>4154</v>
      </c>
      <c r="G92" s="97"/>
      <c r="H92" s="96" t="s">
        <v>4155</v>
      </c>
      <c r="I92" s="70">
        <v>2</v>
      </c>
      <c r="J92" s="70">
        <v>0</v>
      </c>
      <c r="K92" s="70">
        <v>1</v>
      </c>
      <c r="L92" s="72">
        <f t="shared" si="39"/>
        <v>2</v>
      </c>
      <c r="M92" s="75">
        <v>44706</v>
      </c>
      <c r="N92" s="84" t="s">
        <v>4133</v>
      </c>
      <c r="O92" s="73"/>
      <c r="P92" s="73"/>
      <c r="Q92" s="70"/>
      <c r="R92" s="74" t="s">
        <v>4177</v>
      </c>
      <c r="S92" s="74" t="s">
        <v>88</v>
      </c>
      <c r="T92" s="74">
        <v>44679</v>
      </c>
      <c r="U92" s="95" t="s">
        <v>4178</v>
      </c>
      <c r="V92" s="75" t="s">
        <v>4092</v>
      </c>
      <c r="W92" s="83">
        <v>2190.8794</v>
      </c>
      <c r="X92" s="77">
        <f t="shared" si="66"/>
        <v>4381.7588</v>
      </c>
      <c r="Y92" s="70"/>
      <c r="Z92" s="70"/>
      <c r="AA92" s="70" t="s">
        <v>4109</v>
      </c>
      <c r="AB92" s="70"/>
      <c r="AC92" s="70"/>
      <c r="AD92" s="78"/>
      <c r="AE92" s="70"/>
      <c r="AF92" s="74"/>
      <c r="BK92" s="79" t="e">
        <f>$AG92*#REF!</f>
        <v>#REF!</v>
      </c>
      <c r="BL92" s="79" t="e">
        <f>$AG92*#REF!</f>
        <v>#REF!</v>
      </c>
      <c r="BM92" s="79" t="e">
        <f>$AG92*#REF!</f>
        <v>#REF!</v>
      </c>
      <c r="BN92" s="79" t="e">
        <f>$AG92*#REF!</f>
        <v>#REF!</v>
      </c>
      <c r="BO92" s="79" t="e">
        <f>$AG92*#REF!</f>
        <v>#REF!</v>
      </c>
      <c r="BP92" s="79" t="e">
        <f>$AG92*#REF!</f>
        <v>#REF!</v>
      </c>
      <c r="BQ92" s="79" t="e">
        <f>$AG92*#REF!</f>
        <v>#REF!</v>
      </c>
      <c r="BR92" s="79" t="e">
        <f>$AG92*#REF!</f>
        <v>#REF!</v>
      </c>
      <c r="BS92" s="79" t="e">
        <f>$AG92*#REF!</f>
        <v>#REF!</v>
      </c>
      <c r="BT92" s="79" t="e">
        <f>$AG92*#REF!</f>
        <v>#REF!</v>
      </c>
      <c r="BU92" s="79" t="e">
        <f>$AG92*#REF!</f>
        <v>#REF!</v>
      </c>
      <c r="BV92" s="79" t="e">
        <f>$AG92*#REF!</f>
        <v>#REF!</v>
      </c>
      <c r="BW92" s="79" t="e">
        <f>$AG92*#REF!</f>
        <v>#REF!</v>
      </c>
      <c r="BX92" s="79" t="e">
        <f>$AG92*#REF!</f>
        <v>#REF!</v>
      </c>
      <c r="BY92" s="79" t="e">
        <f>$AG92*#REF!</f>
        <v>#REF!</v>
      </c>
      <c r="BZ92" s="79" t="e">
        <f>$AG92*#REF!</f>
        <v>#REF!</v>
      </c>
      <c r="CA92" s="79" t="e">
        <f>$AG92*#REF!</f>
        <v>#REF!</v>
      </c>
      <c r="CB92" s="79" t="e">
        <f>$AG92*#REF!</f>
        <v>#REF!</v>
      </c>
      <c r="CC92" s="79" t="e">
        <f>$AG92*#REF!</f>
        <v>#REF!</v>
      </c>
      <c r="CD92" s="79" t="e">
        <f>$AG92*#REF!</f>
        <v>#REF!</v>
      </c>
      <c r="CE92" s="79" t="e">
        <f>$AG92*#REF!</f>
        <v>#REF!</v>
      </c>
      <c r="CF92" s="79"/>
      <c r="CI92" s="17">
        <f t="shared" si="25"/>
        <v>0</v>
      </c>
      <c r="CL92" s="17">
        <f t="shared" si="29"/>
        <v>0</v>
      </c>
    </row>
    <row r="93" s="17" customFormat="1" ht="24" customHeight="1" spans="1:90">
      <c r="A93" s="68">
        <v>44666</v>
      </c>
      <c r="B93" s="69" t="s">
        <v>240</v>
      </c>
      <c r="C93" s="70" t="s">
        <v>125</v>
      </c>
      <c r="D93" s="69">
        <v>4500076206</v>
      </c>
      <c r="E93" s="70">
        <v>4231913297</v>
      </c>
      <c r="F93" s="71" t="s">
        <v>4138</v>
      </c>
      <c r="G93" s="97"/>
      <c r="H93" s="96" t="s">
        <v>4093</v>
      </c>
      <c r="I93" s="70">
        <v>2160</v>
      </c>
      <c r="J93" s="70">
        <v>0</v>
      </c>
      <c r="K93" s="70">
        <v>1080</v>
      </c>
      <c r="L93" s="72">
        <f t="shared" si="39"/>
        <v>2</v>
      </c>
      <c r="M93" s="75">
        <v>44706</v>
      </c>
      <c r="N93" s="84" t="s">
        <v>4133</v>
      </c>
      <c r="O93" s="73"/>
      <c r="P93" s="73"/>
      <c r="Q93" s="70"/>
      <c r="R93" s="74" t="s">
        <v>4177</v>
      </c>
      <c r="S93" s="74" t="s">
        <v>88</v>
      </c>
      <c r="T93" s="74">
        <v>44679</v>
      </c>
      <c r="U93" s="95"/>
      <c r="V93" s="75" t="s">
        <v>4092</v>
      </c>
      <c r="W93" s="83">
        <v>0</v>
      </c>
      <c r="X93" s="77">
        <v>0</v>
      </c>
      <c r="Y93" s="70"/>
      <c r="Z93" s="70"/>
      <c r="AA93" s="70" t="s">
        <v>4109</v>
      </c>
      <c r="AB93" s="70"/>
      <c r="AC93" s="70"/>
      <c r="AD93" s="78"/>
      <c r="AE93" s="70"/>
      <c r="AF93" s="74"/>
      <c r="AG93" s="17">
        <f t="shared" si="62"/>
        <v>2160</v>
      </c>
      <c r="AM93" s="17">
        <f t="shared" si="63"/>
        <v>2160</v>
      </c>
      <c r="AN93" s="17">
        <f t="shared" si="64"/>
        <v>2160</v>
      </c>
      <c r="BA93" s="17">
        <f t="shared" si="65"/>
        <v>120</v>
      </c>
      <c r="BK93" s="79" t="e">
        <f>$AG93*#REF!</f>
        <v>#REF!</v>
      </c>
      <c r="BL93" s="79" t="e">
        <f>$AG93*#REF!</f>
        <v>#REF!</v>
      </c>
      <c r="BM93" s="79" t="e">
        <f>$AG93*#REF!</f>
        <v>#REF!</v>
      </c>
      <c r="BN93" s="79" t="e">
        <f>$AG93*#REF!</f>
        <v>#REF!</v>
      </c>
      <c r="BO93" s="79" t="e">
        <f>$AG93*#REF!</f>
        <v>#REF!</v>
      </c>
      <c r="BP93" s="79" t="e">
        <f>$AG93*#REF!</f>
        <v>#REF!</v>
      </c>
      <c r="BQ93" s="79" t="e">
        <f>$AG93*#REF!</f>
        <v>#REF!</v>
      </c>
      <c r="BR93" s="79" t="e">
        <f>$AG93*#REF!</f>
        <v>#REF!</v>
      </c>
      <c r="BS93" s="79" t="e">
        <f>$AG93*#REF!</f>
        <v>#REF!</v>
      </c>
      <c r="BT93" s="79" t="e">
        <f>$AG93*#REF!</f>
        <v>#REF!</v>
      </c>
      <c r="BU93" s="79" t="e">
        <f>$AG93*#REF!</f>
        <v>#REF!</v>
      </c>
      <c r="BV93" s="79" t="e">
        <f>$AG93*#REF!</f>
        <v>#REF!</v>
      </c>
      <c r="BW93" s="79" t="e">
        <f>$AG93*#REF!</f>
        <v>#REF!</v>
      </c>
      <c r="BX93" s="79" t="e">
        <f>$AG93*#REF!</f>
        <v>#REF!</v>
      </c>
      <c r="BY93" s="79" t="e">
        <f>$AG93*#REF!</f>
        <v>#REF!</v>
      </c>
      <c r="BZ93" s="79" t="e">
        <f>$AG93*#REF!</f>
        <v>#REF!</v>
      </c>
      <c r="CA93" s="79" t="e">
        <f>$AG93*#REF!</f>
        <v>#REF!</v>
      </c>
      <c r="CB93" s="79" t="e">
        <f>$AG93*#REF!</f>
        <v>#REF!</v>
      </c>
      <c r="CC93" s="79" t="e">
        <f>$AG93*#REF!</f>
        <v>#REF!</v>
      </c>
      <c r="CD93" s="79" t="e">
        <f>$AG93*#REF!</f>
        <v>#REF!</v>
      </c>
      <c r="CE93" s="79" t="e">
        <f>$AG93*#REF!</f>
        <v>#REF!</v>
      </c>
      <c r="CF93" s="79"/>
      <c r="CI93" s="17">
        <f t="shared" si="25"/>
        <v>0</v>
      </c>
      <c r="CL93" s="17">
        <f t="shared" si="29"/>
        <v>120</v>
      </c>
    </row>
    <row r="94" s="17" customFormat="1" ht="24" customHeight="1" spans="1:90">
      <c r="A94" s="68">
        <v>44666</v>
      </c>
      <c r="B94" s="69" t="s">
        <v>240</v>
      </c>
      <c r="C94" s="70" t="s">
        <v>125</v>
      </c>
      <c r="D94" s="69">
        <v>4500076206</v>
      </c>
      <c r="E94" s="70">
        <v>4231913298</v>
      </c>
      <c r="F94" s="71" t="s">
        <v>4154</v>
      </c>
      <c r="G94" s="97"/>
      <c r="H94" s="96" t="s">
        <v>4155</v>
      </c>
      <c r="I94" s="70">
        <v>2</v>
      </c>
      <c r="J94" s="70">
        <v>0</v>
      </c>
      <c r="K94" s="70">
        <v>1</v>
      </c>
      <c r="L94" s="72">
        <f t="shared" si="39"/>
        <v>2</v>
      </c>
      <c r="M94" s="75">
        <v>44706</v>
      </c>
      <c r="N94" s="84" t="s">
        <v>4133</v>
      </c>
      <c r="O94" s="73"/>
      <c r="P94" s="73"/>
      <c r="Q94" s="70"/>
      <c r="R94" s="74" t="s">
        <v>4177</v>
      </c>
      <c r="S94" s="74" t="s">
        <v>88</v>
      </c>
      <c r="T94" s="74">
        <v>44679</v>
      </c>
      <c r="U94" s="95" t="s">
        <v>4178</v>
      </c>
      <c r="V94" s="75" t="s">
        <v>4092</v>
      </c>
      <c r="W94" s="83">
        <v>2190.8794</v>
      </c>
      <c r="X94" s="77">
        <f t="shared" si="66"/>
        <v>4381.7588</v>
      </c>
      <c r="Y94" s="70"/>
      <c r="Z94" s="70"/>
      <c r="AA94" s="70" t="s">
        <v>4109</v>
      </c>
      <c r="AB94" s="70"/>
      <c r="AC94" s="70"/>
      <c r="AD94" s="78"/>
      <c r="AE94" s="70"/>
      <c r="AF94" s="74"/>
      <c r="BK94" s="79" t="e">
        <f>$AG94*#REF!</f>
        <v>#REF!</v>
      </c>
      <c r="BL94" s="79" t="e">
        <f>$AG94*#REF!</f>
        <v>#REF!</v>
      </c>
      <c r="BM94" s="79" t="e">
        <f>$AG94*#REF!</f>
        <v>#REF!</v>
      </c>
      <c r="BN94" s="79" t="e">
        <f>$AG94*#REF!</f>
        <v>#REF!</v>
      </c>
      <c r="BO94" s="79" t="e">
        <f>$AG94*#REF!</f>
        <v>#REF!</v>
      </c>
      <c r="BP94" s="79" t="e">
        <f>$AG94*#REF!</f>
        <v>#REF!</v>
      </c>
      <c r="BQ94" s="79" t="e">
        <f>$AG94*#REF!</f>
        <v>#REF!</v>
      </c>
      <c r="BR94" s="79" t="e">
        <f>$AG94*#REF!</f>
        <v>#REF!</v>
      </c>
      <c r="BS94" s="79" t="e">
        <f>$AG94*#REF!</f>
        <v>#REF!</v>
      </c>
      <c r="BT94" s="79" t="e">
        <f>$AG94*#REF!</f>
        <v>#REF!</v>
      </c>
      <c r="BU94" s="79" t="e">
        <f>$AG94*#REF!</f>
        <v>#REF!</v>
      </c>
      <c r="BV94" s="79" t="e">
        <f>$AG94*#REF!</f>
        <v>#REF!</v>
      </c>
      <c r="BW94" s="79" t="e">
        <f>$AG94*#REF!</f>
        <v>#REF!</v>
      </c>
      <c r="BX94" s="79" t="e">
        <f>$AG94*#REF!</f>
        <v>#REF!</v>
      </c>
      <c r="BY94" s="79" t="e">
        <f>$AG94*#REF!</f>
        <v>#REF!</v>
      </c>
      <c r="BZ94" s="79" t="e">
        <f>$AG94*#REF!</f>
        <v>#REF!</v>
      </c>
      <c r="CA94" s="79" t="e">
        <f>$AG94*#REF!</f>
        <v>#REF!</v>
      </c>
      <c r="CB94" s="79" t="e">
        <f>$AG94*#REF!</f>
        <v>#REF!</v>
      </c>
      <c r="CC94" s="79" t="e">
        <f>$AG94*#REF!</f>
        <v>#REF!</v>
      </c>
      <c r="CD94" s="79" t="e">
        <f>$AG94*#REF!</f>
        <v>#REF!</v>
      </c>
      <c r="CE94" s="79" t="e">
        <f>$AG94*#REF!</f>
        <v>#REF!</v>
      </c>
      <c r="CF94" s="79"/>
      <c r="CI94" s="17">
        <f t="shared" si="25"/>
        <v>0</v>
      </c>
      <c r="CL94" s="17">
        <f t="shared" si="29"/>
        <v>0</v>
      </c>
    </row>
    <row r="95" s="17" customFormat="1" ht="24" customHeight="1" spans="1:90">
      <c r="A95" s="68">
        <v>44666</v>
      </c>
      <c r="B95" s="69" t="s">
        <v>240</v>
      </c>
      <c r="C95" s="70" t="s">
        <v>125</v>
      </c>
      <c r="D95" s="69">
        <v>4500076206</v>
      </c>
      <c r="E95" s="70">
        <v>4231913298</v>
      </c>
      <c r="F95" s="71" t="s">
        <v>4138</v>
      </c>
      <c r="G95" s="97"/>
      <c r="H95" s="96" t="s">
        <v>4093</v>
      </c>
      <c r="I95" s="70">
        <v>2160</v>
      </c>
      <c r="J95" s="70">
        <v>0</v>
      </c>
      <c r="K95" s="70">
        <v>1080</v>
      </c>
      <c r="L95" s="72">
        <f t="shared" si="39"/>
        <v>2</v>
      </c>
      <c r="M95" s="75">
        <v>44706</v>
      </c>
      <c r="N95" s="84" t="s">
        <v>4133</v>
      </c>
      <c r="O95" s="73"/>
      <c r="P95" s="73"/>
      <c r="Q95" s="70"/>
      <c r="R95" s="74" t="s">
        <v>4177</v>
      </c>
      <c r="S95" s="74" t="s">
        <v>88</v>
      </c>
      <c r="T95" s="74">
        <v>44679</v>
      </c>
      <c r="U95" s="95"/>
      <c r="V95" s="75" t="s">
        <v>4092</v>
      </c>
      <c r="W95" s="83">
        <v>0</v>
      </c>
      <c r="X95" s="77">
        <v>0</v>
      </c>
      <c r="Y95" s="70"/>
      <c r="Z95" s="70"/>
      <c r="AA95" s="70" t="s">
        <v>4109</v>
      </c>
      <c r="AB95" s="70"/>
      <c r="AC95" s="70"/>
      <c r="AD95" s="78"/>
      <c r="AE95" s="70"/>
      <c r="AF95" s="74"/>
      <c r="AG95" s="17">
        <f t="shared" ref="AG95:AG104" si="67">I95</f>
        <v>2160</v>
      </c>
      <c r="AM95" s="17">
        <f t="shared" ref="AM95:AM102" si="68">I95</f>
        <v>2160</v>
      </c>
      <c r="AN95" s="17">
        <f t="shared" ref="AN95:AN102" si="69">I95</f>
        <v>2160</v>
      </c>
      <c r="BA95" s="17">
        <f t="shared" ref="BA95:BA102" si="70">I95/18</f>
        <v>120</v>
      </c>
      <c r="BK95" s="79" t="e">
        <f>$AG95*#REF!</f>
        <v>#REF!</v>
      </c>
      <c r="BL95" s="79" t="e">
        <f>$AG95*#REF!</f>
        <v>#REF!</v>
      </c>
      <c r="BM95" s="79" t="e">
        <f>$AG95*#REF!</f>
        <v>#REF!</v>
      </c>
      <c r="BN95" s="79" t="e">
        <f>$AG95*#REF!</f>
        <v>#REF!</v>
      </c>
      <c r="BO95" s="79" t="e">
        <f>$AG95*#REF!</f>
        <v>#REF!</v>
      </c>
      <c r="BP95" s="79" t="e">
        <f>$AG95*#REF!</f>
        <v>#REF!</v>
      </c>
      <c r="BQ95" s="79" t="e">
        <f>$AG95*#REF!</f>
        <v>#REF!</v>
      </c>
      <c r="BR95" s="79" t="e">
        <f>$AG95*#REF!</f>
        <v>#REF!</v>
      </c>
      <c r="BS95" s="79" t="e">
        <f>$AG95*#REF!</f>
        <v>#REF!</v>
      </c>
      <c r="BT95" s="79" t="e">
        <f>$AG95*#REF!</f>
        <v>#REF!</v>
      </c>
      <c r="BU95" s="79" t="e">
        <f>$AG95*#REF!</f>
        <v>#REF!</v>
      </c>
      <c r="BV95" s="79" t="e">
        <f>$AG95*#REF!</f>
        <v>#REF!</v>
      </c>
      <c r="BW95" s="79" t="e">
        <f>$AG95*#REF!</f>
        <v>#REF!</v>
      </c>
      <c r="BX95" s="79" t="e">
        <f>$AG95*#REF!</f>
        <v>#REF!</v>
      </c>
      <c r="BY95" s="79" t="e">
        <f>$AG95*#REF!</f>
        <v>#REF!</v>
      </c>
      <c r="BZ95" s="79" t="e">
        <f>$AG95*#REF!</f>
        <v>#REF!</v>
      </c>
      <c r="CA95" s="79" t="e">
        <f>$AG95*#REF!</f>
        <v>#REF!</v>
      </c>
      <c r="CB95" s="79" t="e">
        <f>$AG95*#REF!</f>
        <v>#REF!</v>
      </c>
      <c r="CC95" s="79" t="e">
        <f>$AG95*#REF!</f>
        <v>#REF!</v>
      </c>
      <c r="CD95" s="79" t="e">
        <f>$AG95*#REF!</f>
        <v>#REF!</v>
      </c>
      <c r="CE95" s="79" t="e">
        <f>$AG95*#REF!</f>
        <v>#REF!</v>
      </c>
      <c r="CF95" s="79"/>
      <c r="CI95" s="17">
        <f t="shared" si="25"/>
        <v>0</v>
      </c>
      <c r="CL95" s="17">
        <f t="shared" si="29"/>
        <v>120</v>
      </c>
    </row>
    <row r="96" s="17" customFormat="1" ht="24" customHeight="1" spans="1:90">
      <c r="A96" s="68">
        <v>44676</v>
      </c>
      <c r="B96" s="69" t="s">
        <v>240</v>
      </c>
      <c r="C96" s="70" t="s">
        <v>125</v>
      </c>
      <c r="D96" s="69">
        <v>45500077061</v>
      </c>
      <c r="E96" s="70">
        <v>4231912841</v>
      </c>
      <c r="F96" s="71" t="s">
        <v>4123</v>
      </c>
      <c r="G96" s="97"/>
      <c r="H96" s="96" t="s">
        <v>4124</v>
      </c>
      <c r="I96" s="70">
        <v>4320</v>
      </c>
      <c r="J96" s="70">
        <v>0</v>
      </c>
      <c r="K96" s="70">
        <v>18</v>
      </c>
      <c r="L96" s="72">
        <f t="shared" si="39"/>
        <v>240</v>
      </c>
      <c r="M96" s="75">
        <v>44720</v>
      </c>
      <c r="N96" s="84" t="s">
        <v>4133</v>
      </c>
      <c r="O96" s="73"/>
      <c r="P96" s="73"/>
      <c r="Q96" s="70"/>
      <c r="R96" s="74" t="s">
        <v>4172</v>
      </c>
      <c r="S96" s="74" t="s">
        <v>88</v>
      </c>
      <c r="T96" s="74" t="s">
        <v>89</v>
      </c>
      <c r="U96" s="95" t="s">
        <v>4179</v>
      </c>
      <c r="V96" s="75" t="s">
        <v>4092</v>
      </c>
      <c r="W96" s="83">
        <v>2.0414</v>
      </c>
      <c r="X96" s="77">
        <f t="shared" ref="X96:X109" si="71">I96*W96</f>
        <v>8818.848</v>
      </c>
      <c r="Y96" s="70"/>
      <c r="Z96" s="70"/>
      <c r="AA96" s="70"/>
      <c r="AB96" s="70"/>
      <c r="AC96" s="70"/>
      <c r="AD96" s="78"/>
      <c r="AE96" s="70"/>
      <c r="AF96" s="74"/>
      <c r="AG96" s="17">
        <f t="shared" si="67"/>
        <v>4320</v>
      </c>
      <c r="AM96" s="17">
        <f t="shared" si="68"/>
        <v>4320</v>
      </c>
      <c r="AN96" s="17">
        <f t="shared" si="69"/>
        <v>4320</v>
      </c>
      <c r="BA96" s="17">
        <f t="shared" si="70"/>
        <v>240</v>
      </c>
      <c r="BK96" s="79" t="e">
        <f>$AG96*#REF!</f>
        <v>#REF!</v>
      </c>
      <c r="BL96" s="79" t="e">
        <f>$AG96*#REF!</f>
        <v>#REF!</v>
      </c>
      <c r="BM96" s="79" t="e">
        <f>$AG96*#REF!</f>
        <v>#REF!</v>
      </c>
      <c r="BN96" s="79" t="e">
        <f>$AG96*#REF!</f>
        <v>#REF!</v>
      </c>
      <c r="BO96" s="79" t="e">
        <f>$AG96*#REF!</f>
        <v>#REF!</v>
      </c>
      <c r="BP96" s="79" t="e">
        <f>$AG96*#REF!</f>
        <v>#REF!</v>
      </c>
      <c r="BQ96" s="79" t="e">
        <f>$AG96*#REF!</f>
        <v>#REF!</v>
      </c>
      <c r="BR96" s="79" t="e">
        <f>$AG96*#REF!</f>
        <v>#REF!</v>
      </c>
      <c r="BS96" s="79" t="e">
        <f>$AG96*#REF!</f>
        <v>#REF!</v>
      </c>
      <c r="BT96" s="79" t="e">
        <f>$AG96*#REF!</f>
        <v>#REF!</v>
      </c>
      <c r="BU96" s="79" t="e">
        <f>$AG96*#REF!</f>
        <v>#REF!</v>
      </c>
      <c r="BV96" s="79" t="e">
        <f>$AG96*#REF!</f>
        <v>#REF!</v>
      </c>
      <c r="BW96" s="79" t="e">
        <f>$AG96*#REF!</f>
        <v>#REF!</v>
      </c>
      <c r="BX96" s="79" t="e">
        <f>$AG96*#REF!</f>
        <v>#REF!</v>
      </c>
      <c r="BY96" s="79" t="e">
        <f>$AG96*#REF!</f>
        <v>#REF!</v>
      </c>
      <c r="BZ96" s="79" t="e">
        <f>$AG96*#REF!</f>
        <v>#REF!</v>
      </c>
      <c r="CA96" s="79" t="e">
        <f>$AG96*#REF!</f>
        <v>#REF!</v>
      </c>
      <c r="CB96" s="79" t="e">
        <f>$AG96*#REF!</f>
        <v>#REF!</v>
      </c>
      <c r="CC96" s="79" t="e">
        <f>$AG96*#REF!</f>
        <v>#REF!</v>
      </c>
      <c r="CD96" s="79" t="e">
        <f>$AG96*#REF!</f>
        <v>#REF!</v>
      </c>
      <c r="CE96" s="79" t="e">
        <f>$AG96*#REF!</f>
        <v>#REF!</v>
      </c>
      <c r="CF96" s="79"/>
      <c r="CI96" s="17">
        <f t="shared" si="25"/>
        <v>0</v>
      </c>
      <c r="CL96" s="17">
        <f t="shared" si="29"/>
        <v>240</v>
      </c>
    </row>
    <row r="97" s="17" customFormat="1" ht="24" customHeight="1" spans="1:90">
      <c r="A97" s="68">
        <v>44676</v>
      </c>
      <c r="B97" s="69" t="s">
        <v>240</v>
      </c>
      <c r="C97" s="70" t="s">
        <v>125</v>
      </c>
      <c r="D97" s="69">
        <v>45500077061</v>
      </c>
      <c r="E97" s="70">
        <v>4231912842</v>
      </c>
      <c r="F97" s="71" t="s">
        <v>4123</v>
      </c>
      <c r="G97" s="97"/>
      <c r="H97" s="96" t="s">
        <v>4124</v>
      </c>
      <c r="I97" s="70">
        <v>3240</v>
      </c>
      <c r="J97" s="70">
        <v>0</v>
      </c>
      <c r="K97" s="70">
        <v>18</v>
      </c>
      <c r="L97" s="72">
        <f t="shared" si="39"/>
        <v>180</v>
      </c>
      <c r="M97" s="75">
        <v>44720</v>
      </c>
      <c r="N97" s="84" t="s">
        <v>4133</v>
      </c>
      <c r="O97" s="73"/>
      <c r="P97" s="73"/>
      <c r="Q97" s="70"/>
      <c r="R97" s="74" t="s">
        <v>4172</v>
      </c>
      <c r="S97" s="74" t="s">
        <v>88</v>
      </c>
      <c r="T97" s="74" t="s">
        <v>89</v>
      </c>
      <c r="U97" s="95" t="s">
        <v>4179</v>
      </c>
      <c r="V97" s="75" t="s">
        <v>4092</v>
      </c>
      <c r="W97" s="83">
        <v>1.9756</v>
      </c>
      <c r="X97" s="77">
        <f t="shared" si="71"/>
        <v>6400.944</v>
      </c>
      <c r="Y97" s="70"/>
      <c r="Z97" s="70"/>
      <c r="AA97" s="70"/>
      <c r="AB97" s="70"/>
      <c r="AC97" s="70"/>
      <c r="AD97" s="78"/>
      <c r="AE97" s="70"/>
      <c r="AF97" s="74"/>
      <c r="AG97" s="17">
        <f t="shared" si="67"/>
        <v>3240</v>
      </c>
      <c r="AM97" s="17">
        <f t="shared" si="68"/>
        <v>3240</v>
      </c>
      <c r="AN97" s="17">
        <f t="shared" si="69"/>
        <v>3240</v>
      </c>
      <c r="BA97" s="17">
        <f t="shared" si="70"/>
        <v>180</v>
      </c>
      <c r="BK97" s="79" t="e">
        <f>$AG97*#REF!</f>
        <v>#REF!</v>
      </c>
      <c r="BL97" s="79" t="e">
        <f>$AG97*#REF!</f>
        <v>#REF!</v>
      </c>
      <c r="BM97" s="79" t="e">
        <f>$AG97*#REF!</f>
        <v>#REF!</v>
      </c>
      <c r="BN97" s="79" t="e">
        <f>$AG97*#REF!</f>
        <v>#REF!</v>
      </c>
      <c r="BO97" s="79" t="e">
        <f>$AG97*#REF!</f>
        <v>#REF!</v>
      </c>
      <c r="BP97" s="79" t="e">
        <f>$AG97*#REF!</f>
        <v>#REF!</v>
      </c>
      <c r="BQ97" s="79" t="e">
        <f>$AG97*#REF!</f>
        <v>#REF!</v>
      </c>
      <c r="BR97" s="79" t="e">
        <f>$AG97*#REF!</f>
        <v>#REF!</v>
      </c>
      <c r="BS97" s="79" t="e">
        <f>$AG97*#REF!</f>
        <v>#REF!</v>
      </c>
      <c r="BT97" s="79" t="e">
        <f>$AG97*#REF!</f>
        <v>#REF!</v>
      </c>
      <c r="BU97" s="79" t="e">
        <f>$AG97*#REF!</f>
        <v>#REF!</v>
      </c>
      <c r="BV97" s="79" t="e">
        <f>$AG97*#REF!</f>
        <v>#REF!</v>
      </c>
      <c r="BW97" s="79" t="e">
        <f>$AG97*#REF!</f>
        <v>#REF!</v>
      </c>
      <c r="BX97" s="79" t="e">
        <f>$AG97*#REF!</f>
        <v>#REF!</v>
      </c>
      <c r="BY97" s="79" t="e">
        <f>$AG97*#REF!</f>
        <v>#REF!</v>
      </c>
      <c r="BZ97" s="79" t="e">
        <f>$AG97*#REF!</f>
        <v>#REF!</v>
      </c>
      <c r="CA97" s="79" t="e">
        <f>$AG97*#REF!</f>
        <v>#REF!</v>
      </c>
      <c r="CB97" s="79" t="e">
        <f>$AG97*#REF!</f>
        <v>#REF!</v>
      </c>
      <c r="CC97" s="79" t="e">
        <f>$AG97*#REF!</f>
        <v>#REF!</v>
      </c>
      <c r="CD97" s="79" t="e">
        <f>$AG97*#REF!</f>
        <v>#REF!</v>
      </c>
      <c r="CE97" s="79" t="e">
        <f>$AG97*#REF!</f>
        <v>#REF!</v>
      </c>
      <c r="CF97" s="79"/>
      <c r="CI97" s="17">
        <f t="shared" si="25"/>
        <v>0</v>
      </c>
      <c r="CL97" s="17">
        <f t="shared" si="29"/>
        <v>180</v>
      </c>
    </row>
    <row r="98" s="17" customFormat="1" ht="24" customHeight="1" spans="1:90">
      <c r="A98" s="68">
        <v>44676</v>
      </c>
      <c r="B98" s="69" t="s">
        <v>240</v>
      </c>
      <c r="C98" s="70" t="s">
        <v>125</v>
      </c>
      <c r="D98" s="69">
        <v>45500077061</v>
      </c>
      <c r="E98" s="70">
        <v>4231912843</v>
      </c>
      <c r="F98" s="71" t="s">
        <v>4123</v>
      </c>
      <c r="G98" s="97"/>
      <c r="H98" s="96" t="s">
        <v>4124</v>
      </c>
      <c r="I98" s="70">
        <v>3240</v>
      </c>
      <c r="J98" s="70">
        <v>0</v>
      </c>
      <c r="K98" s="70">
        <v>18</v>
      </c>
      <c r="L98" s="72">
        <f t="shared" si="39"/>
        <v>180</v>
      </c>
      <c r="M98" s="75">
        <v>44720</v>
      </c>
      <c r="N98" s="84" t="s">
        <v>4133</v>
      </c>
      <c r="O98" s="73"/>
      <c r="P98" s="73"/>
      <c r="Q98" s="70"/>
      <c r="R98" s="74" t="s">
        <v>4172</v>
      </c>
      <c r="S98" s="74" t="s">
        <v>88</v>
      </c>
      <c r="T98" s="74" t="s">
        <v>89</v>
      </c>
      <c r="U98" s="95" t="s">
        <v>4179</v>
      </c>
      <c r="V98" s="75" t="s">
        <v>4092</v>
      </c>
      <c r="W98" s="83">
        <v>1.9756</v>
      </c>
      <c r="X98" s="77">
        <f t="shared" si="71"/>
        <v>6400.944</v>
      </c>
      <c r="Y98" s="70"/>
      <c r="Z98" s="70"/>
      <c r="AA98" s="70"/>
      <c r="AB98" s="70"/>
      <c r="AC98" s="70"/>
      <c r="AD98" s="78"/>
      <c r="AE98" s="70"/>
      <c r="AF98" s="74"/>
      <c r="AG98" s="17">
        <f t="shared" si="67"/>
        <v>3240</v>
      </c>
      <c r="AM98" s="17">
        <f t="shared" si="68"/>
        <v>3240</v>
      </c>
      <c r="AN98" s="17">
        <f t="shared" si="69"/>
        <v>3240</v>
      </c>
      <c r="BA98" s="17">
        <f t="shared" si="70"/>
        <v>180</v>
      </c>
      <c r="BK98" s="79" t="e">
        <f>$AG98*#REF!</f>
        <v>#REF!</v>
      </c>
      <c r="BL98" s="79" t="e">
        <f>$AG98*#REF!</f>
        <v>#REF!</v>
      </c>
      <c r="BM98" s="79" t="e">
        <f>$AG98*#REF!</f>
        <v>#REF!</v>
      </c>
      <c r="BN98" s="79" t="e">
        <f>$AG98*#REF!</f>
        <v>#REF!</v>
      </c>
      <c r="BO98" s="79" t="e">
        <f>$AG98*#REF!</f>
        <v>#REF!</v>
      </c>
      <c r="BP98" s="79" t="e">
        <f>$AG98*#REF!</f>
        <v>#REF!</v>
      </c>
      <c r="BQ98" s="79" t="e">
        <f>$AG98*#REF!</f>
        <v>#REF!</v>
      </c>
      <c r="BR98" s="79" t="e">
        <f>$AG98*#REF!</f>
        <v>#REF!</v>
      </c>
      <c r="BS98" s="79" t="e">
        <f>$AG98*#REF!</f>
        <v>#REF!</v>
      </c>
      <c r="BT98" s="79" t="e">
        <f>$AG98*#REF!</f>
        <v>#REF!</v>
      </c>
      <c r="BU98" s="79" t="e">
        <f>$AG98*#REF!</f>
        <v>#REF!</v>
      </c>
      <c r="BV98" s="79" t="e">
        <f>$AG98*#REF!</f>
        <v>#REF!</v>
      </c>
      <c r="BW98" s="79" t="e">
        <f>$AG98*#REF!</f>
        <v>#REF!</v>
      </c>
      <c r="BX98" s="79" t="e">
        <f>$AG98*#REF!</f>
        <v>#REF!</v>
      </c>
      <c r="BY98" s="79" t="e">
        <f>$AG98*#REF!</f>
        <v>#REF!</v>
      </c>
      <c r="BZ98" s="79" t="e">
        <f>$AG98*#REF!</f>
        <v>#REF!</v>
      </c>
      <c r="CA98" s="79" t="e">
        <f>$AG98*#REF!</f>
        <v>#REF!</v>
      </c>
      <c r="CB98" s="79" t="e">
        <f>$AG98*#REF!</f>
        <v>#REF!</v>
      </c>
      <c r="CC98" s="79" t="e">
        <f>$AG98*#REF!</f>
        <v>#REF!</v>
      </c>
      <c r="CD98" s="79" t="e">
        <f>$AG98*#REF!</f>
        <v>#REF!</v>
      </c>
      <c r="CE98" s="79" t="e">
        <f>$AG98*#REF!</f>
        <v>#REF!</v>
      </c>
      <c r="CF98" s="79"/>
      <c r="CI98" s="17">
        <f t="shared" si="25"/>
        <v>0</v>
      </c>
      <c r="CL98" s="17">
        <f t="shared" si="29"/>
        <v>180</v>
      </c>
    </row>
    <row r="99" s="17" customFormat="1" ht="24" customHeight="1" spans="1:90">
      <c r="A99" s="68">
        <v>44676</v>
      </c>
      <c r="B99" s="69" t="s">
        <v>240</v>
      </c>
      <c r="C99" s="70" t="s">
        <v>125</v>
      </c>
      <c r="D99" s="69">
        <v>45500077061</v>
      </c>
      <c r="E99" s="70">
        <v>4231912844</v>
      </c>
      <c r="F99" s="71" t="s">
        <v>4123</v>
      </c>
      <c r="G99" s="97"/>
      <c r="H99" s="96" t="s">
        <v>4124</v>
      </c>
      <c r="I99" s="70">
        <v>4320</v>
      </c>
      <c r="J99" s="70">
        <v>0</v>
      </c>
      <c r="K99" s="70">
        <v>18</v>
      </c>
      <c r="L99" s="72">
        <f t="shared" si="39"/>
        <v>240</v>
      </c>
      <c r="M99" s="75">
        <v>44720</v>
      </c>
      <c r="N99" s="84" t="s">
        <v>4133</v>
      </c>
      <c r="O99" s="73"/>
      <c r="P99" s="73"/>
      <c r="Q99" s="70"/>
      <c r="R99" s="74" t="s">
        <v>4172</v>
      </c>
      <c r="S99" s="74" t="s">
        <v>88</v>
      </c>
      <c r="T99" s="74" t="s">
        <v>89</v>
      </c>
      <c r="U99" s="95" t="s">
        <v>4179</v>
      </c>
      <c r="V99" s="75" t="s">
        <v>4092</v>
      </c>
      <c r="W99" s="83">
        <v>1.9756</v>
      </c>
      <c r="X99" s="77">
        <f t="shared" si="71"/>
        <v>8534.592</v>
      </c>
      <c r="Y99" s="70"/>
      <c r="Z99" s="70"/>
      <c r="AA99" s="70"/>
      <c r="AB99" s="70"/>
      <c r="AC99" s="70"/>
      <c r="AD99" s="78"/>
      <c r="AE99" s="70"/>
      <c r="AF99" s="74"/>
      <c r="AG99" s="17">
        <f t="shared" si="67"/>
        <v>4320</v>
      </c>
      <c r="AM99" s="17">
        <f t="shared" si="68"/>
        <v>4320</v>
      </c>
      <c r="AN99" s="17">
        <f t="shared" si="69"/>
        <v>4320</v>
      </c>
      <c r="BA99" s="17">
        <f t="shared" si="70"/>
        <v>240</v>
      </c>
      <c r="BK99" s="79" t="e">
        <f>$AG99*#REF!</f>
        <v>#REF!</v>
      </c>
      <c r="BL99" s="79" t="e">
        <f>$AG99*#REF!</f>
        <v>#REF!</v>
      </c>
      <c r="BM99" s="79" t="e">
        <f>$AG99*#REF!</f>
        <v>#REF!</v>
      </c>
      <c r="BN99" s="79" t="e">
        <f>$AG99*#REF!</f>
        <v>#REF!</v>
      </c>
      <c r="BO99" s="79" t="e">
        <f>$AG99*#REF!</f>
        <v>#REF!</v>
      </c>
      <c r="BP99" s="79" t="e">
        <f>$AG99*#REF!</f>
        <v>#REF!</v>
      </c>
      <c r="BQ99" s="79" t="e">
        <f>$AG99*#REF!</f>
        <v>#REF!</v>
      </c>
      <c r="BR99" s="79" t="e">
        <f>$AG99*#REF!</f>
        <v>#REF!</v>
      </c>
      <c r="BS99" s="79" t="e">
        <f>$AG99*#REF!</f>
        <v>#REF!</v>
      </c>
      <c r="BT99" s="79" t="e">
        <f>$AG99*#REF!</f>
        <v>#REF!</v>
      </c>
      <c r="BU99" s="79" t="e">
        <f>$AG99*#REF!</f>
        <v>#REF!</v>
      </c>
      <c r="BV99" s="79" t="e">
        <f>$AG99*#REF!</f>
        <v>#REF!</v>
      </c>
      <c r="BW99" s="79" t="e">
        <f>$AG99*#REF!</f>
        <v>#REF!</v>
      </c>
      <c r="BX99" s="79" t="e">
        <f>$AG99*#REF!</f>
        <v>#REF!</v>
      </c>
      <c r="BY99" s="79" t="e">
        <f>$AG99*#REF!</f>
        <v>#REF!</v>
      </c>
      <c r="BZ99" s="79" t="e">
        <f>$AG99*#REF!</f>
        <v>#REF!</v>
      </c>
      <c r="CA99" s="79" t="e">
        <f>$AG99*#REF!</f>
        <v>#REF!</v>
      </c>
      <c r="CB99" s="79" t="e">
        <f>$AG99*#REF!</f>
        <v>#REF!</v>
      </c>
      <c r="CC99" s="79" t="e">
        <f>$AG99*#REF!</f>
        <v>#REF!</v>
      </c>
      <c r="CD99" s="79" t="e">
        <f>$AG99*#REF!</f>
        <v>#REF!</v>
      </c>
      <c r="CE99" s="79" t="e">
        <f>$AG99*#REF!</f>
        <v>#REF!</v>
      </c>
      <c r="CF99" s="79"/>
      <c r="CI99" s="17">
        <f t="shared" si="25"/>
        <v>0</v>
      </c>
      <c r="CL99" s="17">
        <f t="shared" si="29"/>
        <v>240</v>
      </c>
    </row>
    <row r="100" s="17" customFormat="1" ht="24" customHeight="1" spans="1:90">
      <c r="A100" s="68">
        <v>44676</v>
      </c>
      <c r="B100" s="69" t="s">
        <v>240</v>
      </c>
      <c r="C100" s="70" t="s">
        <v>125</v>
      </c>
      <c r="D100" s="69">
        <v>45500077061</v>
      </c>
      <c r="E100" s="70">
        <v>4231912845</v>
      </c>
      <c r="F100" s="71" t="s">
        <v>4123</v>
      </c>
      <c r="G100" s="97"/>
      <c r="H100" s="96" t="s">
        <v>4124</v>
      </c>
      <c r="I100" s="70">
        <v>3240</v>
      </c>
      <c r="J100" s="70">
        <v>0</v>
      </c>
      <c r="K100" s="70">
        <v>18</v>
      </c>
      <c r="L100" s="72">
        <f t="shared" si="39"/>
        <v>180</v>
      </c>
      <c r="M100" s="75">
        <v>44720</v>
      </c>
      <c r="N100" s="84" t="s">
        <v>4133</v>
      </c>
      <c r="O100" s="73"/>
      <c r="P100" s="73"/>
      <c r="Q100" s="70"/>
      <c r="R100" s="74" t="s">
        <v>4172</v>
      </c>
      <c r="S100" s="74" t="s">
        <v>88</v>
      </c>
      <c r="T100" s="74" t="s">
        <v>89</v>
      </c>
      <c r="U100" s="95" t="s">
        <v>4179</v>
      </c>
      <c r="V100" s="75" t="s">
        <v>4092</v>
      </c>
      <c r="W100" s="83">
        <v>1.9756</v>
      </c>
      <c r="X100" s="77">
        <f t="shared" si="71"/>
        <v>6400.944</v>
      </c>
      <c r="Y100" s="70"/>
      <c r="Z100" s="70"/>
      <c r="AA100" s="70"/>
      <c r="AB100" s="70"/>
      <c r="AC100" s="70"/>
      <c r="AD100" s="78"/>
      <c r="AE100" s="70"/>
      <c r="AF100" s="74"/>
      <c r="AG100" s="17">
        <f t="shared" si="67"/>
        <v>3240</v>
      </c>
      <c r="AM100" s="17">
        <f t="shared" si="68"/>
        <v>3240</v>
      </c>
      <c r="AN100" s="17">
        <f t="shared" si="69"/>
        <v>3240</v>
      </c>
      <c r="BA100" s="17">
        <f t="shared" si="70"/>
        <v>180</v>
      </c>
      <c r="BK100" s="79" t="e">
        <f>$AG100*#REF!</f>
        <v>#REF!</v>
      </c>
      <c r="BL100" s="79" t="e">
        <f>$AG100*#REF!</f>
        <v>#REF!</v>
      </c>
      <c r="BM100" s="79" t="e">
        <f>$AG100*#REF!</f>
        <v>#REF!</v>
      </c>
      <c r="BN100" s="79" t="e">
        <f>$AG100*#REF!</f>
        <v>#REF!</v>
      </c>
      <c r="BO100" s="79" t="e">
        <f>$AG100*#REF!</f>
        <v>#REF!</v>
      </c>
      <c r="BP100" s="79" t="e">
        <f>$AG100*#REF!</f>
        <v>#REF!</v>
      </c>
      <c r="BQ100" s="79" t="e">
        <f>$AG100*#REF!</f>
        <v>#REF!</v>
      </c>
      <c r="BR100" s="79" t="e">
        <f>$AG100*#REF!</f>
        <v>#REF!</v>
      </c>
      <c r="BS100" s="79" t="e">
        <f>$AG100*#REF!</f>
        <v>#REF!</v>
      </c>
      <c r="BT100" s="79" t="e">
        <f>$AG100*#REF!</f>
        <v>#REF!</v>
      </c>
      <c r="BU100" s="79" t="e">
        <f>$AG100*#REF!</f>
        <v>#REF!</v>
      </c>
      <c r="BV100" s="79" t="e">
        <f>$AG100*#REF!</f>
        <v>#REF!</v>
      </c>
      <c r="BW100" s="79" t="e">
        <f>$AG100*#REF!</f>
        <v>#REF!</v>
      </c>
      <c r="BX100" s="79" t="e">
        <f>$AG100*#REF!</f>
        <v>#REF!</v>
      </c>
      <c r="BY100" s="79" t="e">
        <f>$AG100*#REF!</f>
        <v>#REF!</v>
      </c>
      <c r="BZ100" s="79" t="e">
        <f>$AG100*#REF!</f>
        <v>#REF!</v>
      </c>
      <c r="CA100" s="79" t="e">
        <f>$AG100*#REF!</f>
        <v>#REF!</v>
      </c>
      <c r="CB100" s="79" t="e">
        <f>$AG100*#REF!</f>
        <v>#REF!</v>
      </c>
      <c r="CC100" s="79" t="e">
        <f>$AG100*#REF!</f>
        <v>#REF!</v>
      </c>
      <c r="CD100" s="79" t="e">
        <f>$AG100*#REF!</f>
        <v>#REF!</v>
      </c>
      <c r="CE100" s="79" t="e">
        <f>$AG100*#REF!</f>
        <v>#REF!</v>
      </c>
      <c r="CF100" s="79"/>
      <c r="CI100" s="17">
        <f t="shared" si="25"/>
        <v>0</v>
      </c>
      <c r="CL100" s="17">
        <f t="shared" si="29"/>
        <v>180</v>
      </c>
    </row>
    <row r="101" s="17" customFormat="1" ht="24" customHeight="1" spans="1:90">
      <c r="A101" s="68">
        <v>44676</v>
      </c>
      <c r="B101" s="69" t="s">
        <v>240</v>
      </c>
      <c r="C101" s="70" t="s">
        <v>125</v>
      </c>
      <c r="D101" s="69">
        <v>45500077061</v>
      </c>
      <c r="E101" s="70">
        <v>4231912846</v>
      </c>
      <c r="F101" s="71" t="s">
        <v>4123</v>
      </c>
      <c r="G101" s="97"/>
      <c r="H101" s="96" t="s">
        <v>4124</v>
      </c>
      <c r="I101" s="70">
        <v>2160</v>
      </c>
      <c r="J101" s="70">
        <v>0</v>
      </c>
      <c r="K101" s="70">
        <v>18</v>
      </c>
      <c r="L101" s="72">
        <f t="shared" si="39"/>
        <v>120</v>
      </c>
      <c r="M101" s="75">
        <v>44720</v>
      </c>
      <c r="N101" s="84" t="s">
        <v>4133</v>
      </c>
      <c r="O101" s="73"/>
      <c r="P101" s="73"/>
      <c r="Q101" s="70"/>
      <c r="R101" s="74" t="s">
        <v>4172</v>
      </c>
      <c r="S101" s="74" t="s">
        <v>88</v>
      </c>
      <c r="T101" s="74" t="s">
        <v>89</v>
      </c>
      <c r="U101" s="95" t="s">
        <v>4179</v>
      </c>
      <c r="V101" s="75" t="s">
        <v>4092</v>
      </c>
      <c r="W101" s="83">
        <v>1.9756</v>
      </c>
      <c r="X101" s="77">
        <f t="shared" si="71"/>
        <v>4267.296</v>
      </c>
      <c r="Y101" s="70"/>
      <c r="Z101" s="70"/>
      <c r="AA101" s="70"/>
      <c r="AB101" s="70"/>
      <c r="AC101" s="70"/>
      <c r="AD101" s="78"/>
      <c r="AE101" s="70"/>
      <c r="AF101" s="74"/>
      <c r="AG101" s="17">
        <f t="shared" si="67"/>
        <v>2160</v>
      </c>
      <c r="AM101" s="17">
        <f t="shared" si="68"/>
        <v>2160</v>
      </c>
      <c r="AN101" s="17">
        <f t="shared" si="69"/>
        <v>2160</v>
      </c>
      <c r="BA101" s="17">
        <f t="shared" si="70"/>
        <v>120</v>
      </c>
      <c r="BK101" s="79" t="e">
        <f>$AG101*#REF!</f>
        <v>#REF!</v>
      </c>
      <c r="BL101" s="79" t="e">
        <f>$AG101*#REF!</f>
        <v>#REF!</v>
      </c>
      <c r="BM101" s="79" t="e">
        <f>$AG101*#REF!</f>
        <v>#REF!</v>
      </c>
      <c r="BN101" s="79" t="e">
        <f>$AG101*#REF!</f>
        <v>#REF!</v>
      </c>
      <c r="BO101" s="79" t="e">
        <f>$AG101*#REF!</f>
        <v>#REF!</v>
      </c>
      <c r="BP101" s="79" t="e">
        <f>$AG101*#REF!</f>
        <v>#REF!</v>
      </c>
      <c r="BQ101" s="79" t="e">
        <f>$AG101*#REF!</f>
        <v>#REF!</v>
      </c>
      <c r="BR101" s="79" t="e">
        <f>$AG101*#REF!</f>
        <v>#REF!</v>
      </c>
      <c r="BS101" s="79" t="e">
        <f>$AG101*#REF!</f>
        <v>#REF!</v>
      </c>
      <c r="BT101" s="79" t="e">
        <f>$AG101*#REF!</f>
        <v>#REF!</v>
      </c>
      <c r="BU101" s="79" t="e">
        <f>$AG101*#REF!</f>
        <v>#REF!</v>
      </c>
      <c r="BV101" s="79" t="e">
        <f>$AG101*#REF!</f>
        <v>#REF!</v>
      </c>
      <c r="BW101" s="79" t="e">
        <f>$AG101*#REF!</f>
        <v>#REF!</v>
      </c>
      <c r="BX101" s="79" t="e">
        <f>$AG101*#REF!</f>
        <v>#REF!</v>
      </c>
      <c r="BY101" s="79" t="e">
        <f>$AG101*#REF!</f>
        <v>#REF!</v>
      </c>
      <c r="BZ101" s="79" t="e">
        <f>$AG101*#REF!</f>
        <v>#REF!</v>
      </c>
      <c r="CA101" s="79" t="e">
        <f>$AG101*#REF!</f>
        <v>#REF!</v>
      </c>
      <c r="CB101" s="79" t="e">
        <f>$AG101*#REF!</f>
        <v>#REF!</v>
      </c>
      <c r="CC101" s="79" t="e">
        <f>$AG101*#REF!</f>
        <v>#REF!</v>
      </c>
      <c r="CD101" s="79" t="e">
        <f>$AG101*#REF!</f>
        <v>#REF!</v>
      </c>
      <c r="CE101" s="79" t="e">
        <f>$AG101*#REF!</f>
        <v>#REF!</v>
      </c>
      <c r="CF101" s="79"/>
      <c r="CI101" s="17">
        <f t="shared" si="25"/>
        <v>0</v>
      </c>
      <c r="CL101" s="17">
        <f t="shared" si="29"/>
        <v>120</v>
      </c>
    </row>
    <row r="102" s="17" customFormat="1" ht="24" customHeight="1" spans="1:90">
      <c r="A102" s="68">
        <v>44676</v>
      </c>
      <c r="B102" s="69" t="s">
        <v>240</v>
      </c>
      <c r="C102" s="70" t="s">
        <v>125</v>
      </c>
      <c r="D102" s="69">
        <v>45500077061</v>
      </c>
      <c r="E102" s="70">
        <v>4231912847</v>
      </c>
      <c r="F102" s="71" t="s">
        <v>4123</v>
      </c>
      <c r="G102" s="97"/>
      <c r="H102" s="96" t="s">
        <v>4124</v>
      </c>
      <c r="I102" s="70">
        <v>2160</v>
      </c>
      <c r="J102" s="70">
        <v>0</v>
      </c>
      <c r="K102" s="70">
        <v>18</v>
      </c>
      <c r="L102" s="72">
        <f t="shared" si="39"/>
        <v>120</v>
      </c>
      <c r="M102" s="75">
        <v>44720</v>
      </c>
      <c r="N102" s="84" t="s">
        <v>4133</v>
      </c>
      <c r="O102" s="73"/>
      <c r="P102" s="73"/>
      <c r="Q102" s="70"/>
      <c r="R102" s="74" t="s">
        <v>4172</v>
      </c>
      <c r="S102" s="74" t="s">
        <v>88</v>
      </c>
      <c r="T102" s="74" t="s">
        <v>89</v>
      </c>
      <c r="U102" s="95" t="s">
        <v>4179</v>
      </c>
      <c r="V102" s="75" t="s">
        <v>4092</v>
      </c>
      <c r="W102" s="83">
        <v>1.9756</v>
      </c>
      <c r="X102" s="77">
        <f t="shared" si="71"/>
        <v>4267.296</v>
      </c>
      <c r="Y102" s="70"/>
      <c r="Z102" s="70"/>
      <c r="AA102" s="70"/>
      <c r="AB102" s="70"/>
      <c r="AC102" s="70"/>
      <c r="AD102" s="78"/>
      <c r="AE102" s="70"/>
      <c r="AF102" s="74"/>
      <c r="AG102" s="17">
        <f t="shared" si="67"/>
        <v>2160</v>
      </c>
      <c r="AM102" s="17">
        <f t="shared" si="68"/>
        <v>2160</v>
      </c>
      <c r="AN102" s="17">
        <f t="shared" si="69"/>
        <v>2160</v>
      </c>
      <c r="BA102" s="17">
        <f t="shared" si="70"/>
        <v>120</v>
      </c>
      <c r="BK102" s="79" t="e">
        <f>$AG102*#REF!</f>
        <v>#REF!</v>
      </c>
      <c r="BL102" s="79" t="e">
        <f>$AG102*#REF!</f>
        <v>#REF!</v>
      </c>
      <c r="BM102" s="79" t="e">
        <f>$AG102*#REF!</f>
        <v>#REF!</v>
      </c>
      <c r="BN102" s="79" t="e">
        <f>$AG102*#REF!</f>
        <v>#REF!</v>
      </c>
      <c r="BO102" s="79" t="e">
        <f>$AG102*#REF!</f>
        <v>#REF!</v>
      </c>
      <c r="BP102" s="79" t="e">
        <f>$AG102*#REF!</f>
        <v>#REF!</v>
      </c>
      <c r="BQ102" s="79" t="e">
        <f>$AG102*#REF!</f>
        <v>#REF!</v>
      </c>
      <c r="BR102" s="79" t="e">
        <f>$AG102*#REF!</f>
        <v>#REF!</v>
      </c>
      <c r="BS102" s="79" t="e">
        <f>$AG102*#REF!</f>
        <v>#REF!</v>
      </c>
      <c r="BT102" s="79" t="e">
        <f>$AG102*#REF!</f>
        <v>#REF!</v>
      </c>
      <c r="BU102" s="79" t="e">
        <f>$AG102*#REF!</f>
        <v>#REF!</v>
      </c>
      <c r="BV102" s="79" t="e">
        <f>$AG102*#REF!</f>
        <v>#REF!</v>
      </c>
      <c r="BW102" s="79" t="e">
        <f>$AG102*#REF!</f>
        <v>#REF!</v>
      </c>
      <c r="BX102" s="79" t="e">
        <f>$AG102*#REF!</f>
        <v>#REF!</v>
      </c>
      <c r="BY102" s="79" t="e">
        <f>$AG102*#REF!</f>
        <v>#REF!</v>
      </c>
      <c r="BZ102" s="79" t="e">
        <f>$AG102*#REF!</f>
        <v>#REF!</v>
      </c>
      <c r="CA102" s="79" t="e">
        <f>$AG102*#REF!</f>
        <v>#REF!</v>
      </c>
      <c r="CB102" s="79" t="e">
        <f>$AG102*#REF!</f>
        <v>#REF!</v>
      </c>
      <c r="CC102" s="79" t="e">
        <f>$AG102*#REF!</f>
        <v>#REF!</v>
      </c>
      <c r="CD102" s="79" t="e">
        <f>$AG102*#REF!</f>
        <v>#REF!</v>
      </c>
      <c r="CE102" s="79" t="e">
        <f>$AG102*#REF!</f>
        <v>#REF!</v>
      </c>
      <c r="CF102" s="79"/>
      <c r="CI102" s="17">
        <f t="shared" ref="CI102:CI109" si="72">AV102+AW102</f>
        <v>0</v>
      </c>
      <c r="CL102" s="17">
        <f t="shared" si="29"/>
        <v>120</v>
      </c>
    </row>
    <row r="103" s="17" customFormat="1" ht="24" customHeight="1" spans="1:90">
      <c r="A103" s="68">
        <v>44610</v>
      </c>
      <c r="B103" s="69" t="s">
        <v>4117</v>
      </c>
      <c r="C103" s="70" t="s">
        <v>1068</v>
      </c>
      <c r="D103" s="17">
        <v>4500070946</v>
      </c>
      <c r="E103" s="91">
        <v>4500845199</v>
      </c>
      <c r="F103" s="75" t="s">
        <v>4111</v>
      </c>
      <c r="G103" s="75"/>
      <c r="H103" s="70" t="s">
        <v>4112</v>
      </c>
      <c r="I103" s="70">
        <v>1980</v>
      </c>
      <c r="J103" s="70">
        <v>0</v>
      </c>
      <c r="K103" s="70">
        <v>36</v>
      </c>
      <c r="L103" s="72">
        <f t="shared" si="39"/>
        <v>55</v>
      </c>
      <c r="M103" s="75" t="s">
        <v>4180</v>
      </c>
      <c r="N103" s="75" t="s">
        <v>4181</v>
      </c>
      <c r="O103" s="73"/>
      <c r="P103" s="73"/>
      <c r="Q103" s="70"/>
      <c r="R103" s="74">
        <v>44676</v>
      </c>
      <c r="S103" s="74" t="s">
        <v>98</v>
      </c>
      <c r="T103" s="74">
        <v>44672</v>
      </c>
      <c r="U103" s="69" t="s">
        <v>4182</v>
      </c>
      <c r="V103" s="75" t="s">
        <v>2231</v>
      </c>
      <c r="W103" s="76">
        <v>2.0315</v>
      </c>
      <c r="X103" s="77">
        <f t="shared" si="71"/>
        <v>4022.37</v>
      </c>
      <c r="Y103" s="70"/>
      <c r="Z103" s="70"/>
      <c r="AA103" s="70" t="s">
        <v>4183</v>
      </c>
      <c r="AB103" s="70">
        <v>1980</v>
      </c>
      <c r="AC103" s="70">
        <f>AB103-I103</f>
        <v>0</v>
      </c>
      <c r="AD103" s="70" t="s">
        <v>95</v>
      </c>
      <c r="AE103" s="70"/>
      <c r="AF103" s="74"/>
      <c r="AG103" s="17">
        <f t="shared" si="67"/>
        <v>1980</v>
      </c>
      <c r="AQ103" s="17">
        <f>I103</f>
        <v>1980</v>
      </c>
      <c r="AR103" s="17">
        <f>I103</f>
        <v>1980</v>
      </c>
      <c r="BC103" s="17">
        <f>I103/18</f>
        <v>110</v>
      </c>
      <c r="BK103" s="79">
        <f t="shared" ref="BK103:CE103" si="73">$AG103*BK$1</f>
        <v>0</v>
      </c>
      <c r="BL103" s="79">
        <f t="shared" si="73"/>
        <v>0</v>
      </c>
      <c r="BM103" s="79">
        <f t="shared" si="73"/>
        <v>0</v>
      </c>
      <c r="BN103" s="79">
        <f t="shared" si="73"/>
        <v>0</v>
      </c>
      <c r="BO103" s="79">
        <f t="shared" si="73"/>
        <v>0</v>
      </c>
      <c r="BP103" s="79">
        <f t="shared" si="73"/>
        <v>0</v>
      </c>
      <c r="BQ103" s="79">
        <f t="shared" si="73"/>
        <v>0</v>
      </c>
      <c r="BR103" s="79">
        <f t="shared" si="73"/>
        <v>0</v>
      </c>
      <c r="BS103" s="79">
        <f t="shared" si="73"/>
        <v>0</v>
      </c>
      <c r="BT103" s="79">
        <f t="shared" si="73"/>
        <v>0</v>
      </c>
      <c r="BU103" s="79">
        <f t="shared" si="73"/>
        <v>0</v>
      </c>
      <c r="BV103" s="79">
        <f t="shared" si="73"/>
        <v>0</v>
      </c>
      <c r="BW103" s="79">
        <f t="shared" si="73"/>
        <v>0</v>
      </c>
      <c r="BX103" s="79">
        <f t="shared" si="73"/>
        <v>0</v>
      </c>
      <c r="BY103" s="79">
        <f t="shared" si="73"/>
        <v>0</v>
      </c>
      <c r="BZ103" s="79">
        <f t="shared" si="73"/>
        <v>0</v>
      </c>
      <c r="CA103" s="79">
        <f t="shared" si="73"/>
        <v>0</v>
      </c>
      <c r="CB103" s="79">
        <f t="shared" si="73"/>
        <v>0</v>
      </c>
      <c r="CC103" s="79">
        <f t="shared" si="73"/>
        <v>0</v>
      </c>
      <c r="CD103" s="79">
        <f t="shared" si="73"/>
        <v>0</v>
      </c>
      <c r="CE103" s="79">
        <f t="shared" si="73"/>
        <v>0</v>
      </c>
      <c r="CF103" s="79"/>
      <c r="CI103" s="17">
        <f t="shared" si="72"/>
        <v>0</v>
      </c>
      <c r="CL103" s="17">
        <f>AZ103+BC103+BD103+BE103+BA103</f>
        <v>110</v>
      </c>
    </row>
    <row r="104" s="17" customFormat="1" ht="24" customHeight="1" spans="1:90">
      <c r="A104" s="68">
        <v>44607</v>
      </c>
      <c r="B104" s="69" t="s">
        <v>4184</v>
      </c>
      <c r="C104" s="70" t="s">
        <v>546</v>
      </c>
      <c r="D104" s="17">
        <v>4500070656</v>
      </c>
      <c r="E104" s="70"/>
      <c r="F104" s="71" t="s">
        <v>4111</v>
      </c>
      <c r="G104" s="71"/>
      <c r="H104" s="70" t="s">
        <v>4112</v>
      </c>
      <c r="I104" s="70">
        <v>504</v>
      </c>
      <c r="J104" s="70">
        <v>0</v>
      </c>
      <c r="K104" s="70">
        <v>36</v>
      </c>
      <c r="L104" s="72">
        <f t="shared" si="39"/>
        <v>14</v>
      </c>
      <c r="M104" s="75">
        <v>44652</v>
      </c>
      <c r="N104" s="92" t="s">
        <v>4185</v>
      </c>
      <c r="O104" s="73"/>
      <c r="P104" s="73"/>
      <c r="Q104" s="70"/>
      <c r="R104" s="74">
        <v>44609</v>
      </c>
      <c r="S104" s="74" t="s">
        <v>98</v>
      </c>
      <c r="T104" s="74" t="s">
        <v>98</v>
      </c>
      <c r="U104" s="95" t="s">
        <v>4186</v>
      </c>
      <c r="V104" s="75" t="s">
        <v>4116</v>
      </c>
      <c r="W104" s="76">
        <v>2.0713</v>
      </c>
      <c r="X104" s="77">
        <f t="shared" si="71"/>
        <v>1043.9352</v>
      </c>
      <c r="Y104" s="70"/>
      <c r="Z104" s="70"/>
      <c r="AA104" s="70" t="s">
        <v>4109</v>
      </c>
      <c r="AB104" s="70"/>
      <c r="AC104" s="70">
        <f>AB104-I104</f>
        <v>-504</v>
      </c>
      <c r="AD104" s="78" t="s">
        <v>98</v>
      </c>
      <c r="AE104" s="70"/>
      <c r="AF104" s="74"/>
      <c r="AG104" s="17">
        <f t="shared" si="67"/>
        <v>504</v>
      </c>
      <c r="AK104" s="17">
        <f>I104</f>
        <v>504</v>
      </c>
      <c r="AL104" s="17">
        <f>I104</f>
        <v>504</v>
      </c>
      <c r="AZ104" s="17">
        <f>I104/18</f>
        <v>28</v>
      </c>
      <c r="BK104" s="79">
        <f t="shared" ref="BK104:CE104" si="74">$AG104*BK$1</f>
        <v>0</v>
      </c>
      <c r="BL104" s="79">
        <f t="shared" si="74"/>
        <v>0</v>
      </c>
      <c r="BM104" s="79">
        <f t="shared" si="74"/>
        <v>0</v>
      </c>
      <c r="BN104" s="79">
        <f t="shared" si="74"/>
        <v>0</v>
      </c>
      <c r="BO104" s="79">
        <f t="shared" si="74"/>
        <v>0</v>
      </c>
      <c r="BP104" s="79">
        <f t="shared" si="74"/>
        <v>0</v>
      </c>
      <c r="BQ104" s="79">
        <f t="shared" si="74"/>
        <v>0</v>
      </c>
      <c r="BR104" s="79">
        <f t="shared" si="74"/>
        <v>0</v>
      </c>
      <c r="BS104" s="79">
        <f t="shared" si="74"/>
        <v>0</v>
      </c>
      <c r="BT104" s="79">
        <f t="shared" si="74"/>
        <v>0</v>
      </c>
      <c r="BU104" s="79">
        <f t="shared" si="74"/>
        <v>0</v>
      </c>
      <c r="BV104" s="79">
        <f t="shared" si="74"/>
        <v>0</v>
      </c>
      <c r="BW104" s="79">
        <f t="shared" si="74"/>
        <v>0</v>
      </c>
      <c r="BX104" s="79">
        <f t="shared" si="74"/>
        <v>0</v>
      </c>
      <c r="BY104" s="79">
        <f t="shared" si="74"/>
        <v>0</v>
      </c>
      <c r="BZ104" s="79">
        <f t="shared" si="74"/>
        <v>0</v>
      </c>
      <c r="CA104" s="79">
        <f t="shared" si="74"/>
        <v>0</v>
      </c>
      <c r="CB104" s="79">
        <f t="shared" si="74"/>
        <v>0</v>
      </c>
      <c r="CC104" s="79">
        <f t="shared" si="74"/>
        <v>0</v>
      </c>
      <c r="CD104" s="79">
        <f t="shared" si="74"/>
        <v>0</v>
      </c>
      <c r="CE104" s="79">
        <f t="shared" si="74"/>
        <v>0</v>
      </c>
      <c r="CF104" s="79"/>
      <c r="CI104" s="17">
        <f t="shared" si="72"/>
        <v>0</v>
      </c>
      <c r="CL104" s="17">
        <f>AZ104+BB104+BD104+BE104+BA104</f>
        <v>28</v>
      </c>
    </row>
    <row r="105" s="18" customFormat="1" ht="24" customHeight="1" spans="1:90">
      <c r="A105" s="68">
        <v>44707</v>
      </c>
      <c r="B105" s="69" t="s">
        <v>124</v>
      </c>
      <c r="C105" s="70" t="s">
        <v>125</v>
      </c>
      <c r="D105" s="17">
        <v>4500079790</v>
      </c>
      <c r="E105" s="70">
        <v>5200000843</v>
      </c>
      <c r="F105" s="84" t="s">
        <v>4187</v>
      </c>
      <c r="G105" s="84"/>
      <c r="H105" s="70" t="s">
        <v>4188</v>
      </c>
      <c r="I105" s="78">
        <v>9264</v>
      </c>
      <c r="J105" s="70">
        <v>0</v>
      </c>
      <c r="K105" s="70">
        <v>16</v>
      </c>
      <c r="L105" s="72">
        <f t="shared" si="39"/>
        <v>579</v>
      </c>
      <c r="M105" s="75" t="s">
        <v>4189</v>
      </c>
      <c r="N105" s="84" t="s">
        <v>4190</v>
      </c>
      <c r="O105" s="86"/>
      <c r="P105" s="86"/>
      <c r="Q105" s="78"/>
      <c r="R105" s="74">
        <v>44711</v>
      </c>
      <c r="S105" s="74" t="s">
        <v>98</v>
      </c>
      <c r="T105" s="74" t="s">
        <v>98</v>
      </c>
      <c r="U105" s="87" t="s">
        <v>4191</v>
      </c>
      <c r="V105" s="84" t="s">
        <v>4192</v>
      </c>
      <c r="W105" s="83">
        <v>4.272</v>
      </c>
      <c r="X105" s="77">
        <f t="shared" si="71"/>
        <v>39575.808</v>
      </c>
      <c r="Y105" s="78"/>
      <c r="Z105" s="78"/>
      <c r="AA105" s="70" t="s">
        <v>4109</v>
      </c>
      <c r="AB105" s="78"/>
      <c r="AC105" s="78"/>
      <c r="AD105" s="78" t="s">
        <v>98</v>
      </c>
      <c r="AE105" s="78"/>
      <c r="AF105" s="90"/>
      <c r="AG105" s="17">
        <f t="shared" ref="AG105:AG109" si="75">I105*2</f>
        <v>18528</v>
      </c>
      <c r="AM105" s="18">
        <f t="shared" ref="AM105:AM109" si="76">I105*2</f>
        <v>18528</v>
      </c>
      <c r="AN105" s="18">
        <f t="shared" ref="AN105:AN109" si="77">I105*2</f>
        <v>18528</v>
      </c>
      <c r="BB105" s="17"/>
      <c r="BK105" s="79">
        <f t="shared" ref="BK105:CE105" si="78">$AG105*BK$1</f>
        <v>0</v>
      </c>
      <c r="BL105" s="79">
        <f t="shared" si="78"/>
        <v>0</v>
      </c>
      <c r="BM105" s="79">
        <f t="shared" si="78"/>
        <v>0</v>
      </c>
      <c r="BN105" s="79">
        <f t="shared" si="78"/>
        <v>0</v>
      </c>
      <c r="BO105" s="79">
        <f t="shared" si="78"/>
        <v>0</v>
      </c>
      <c r="BP105" s="79">
        <f t="shared" si="78"/>
        <v>0</v>
      </c>
      <c r="BQ105" s="79">
        <f t="shared" si="78"/>
        <v>0</v>
      </c>
      <c r="BR105" s="79">
        <f t="shared" si="78"/>
        <v>0</v>
      </c>
      <c r="BS105" s="79">
        <f t="shared" si="78"/>
        <v>0</v>
      </c>
      <c r="BT105" s="79">
        <f t="shared" si="78"/>
        <v>0</v>
      </c>
      <c r="BU105" s="79">
        <f t="shared" si="78"/>
        <v>0</v>
      </c>
      <c r="BV105" s="79">
        <f t="shared" si="78"/>
        <v>0</v>
      </c>
      <c r="BW105" s="79">
        <f t="shared" si="78"/>
        <v>0</v>
      </c>
      <c r="BX105" s="79">
        <f t="shared" si="78"/>
        <v>0</v>
      </c>
      <c r="BY105" s="79">
        <f t="shared" si="78"/>
        <v>0</v>
      </c>
      <c r="BZ105" s="79">
        <f t="shared" si="78"/>
        <v>0</v>
      </c>
      <c r="CA105" s="79">
        <f t="shared" si="78"/>
        <v>0</v>
      </c>
      <c r="CB105" s="79">
        <f t="shared" si="78"/>
        <v>0</v>
      </c>
      <c r="CC105" s="79">
        <f t="shared" si="78"/>
        <v>0</v>
      </c>
      <c r="CD105" s="79">
        <f t="shared" si="78"/>
        <v>0</v>
      </c>
      <c r="CE105" s="79">
        <f t="shared" si="78"/>
        <v>0</v>
      </c>
      <c r="CF105" s="79"/>
      <c r="CG105" s="17"/>
      <c r="CH105" s="17"/>
      <c r="CI105" s="17">
        <f t="shared" si="72"/>
        <v>0</v>
      </c>
      <c r="CJ105" s="17"/>
      <c r="CK105" s="17"/>
      <c r="CL105" s="17">
        <f t="shared" ref="CL105:CL109" si="79">AZ105+BB105+BD105+BE105+BA105+BC105</f>
        <v>0</v>
      </c>
    </row>
    <row r="106" s="18" customFormat="1" ht="24" customHeight="1" spans="1:90">
      <c r="A106" s="93">
        <v>44728</v>
      </c>
      <c r="B106" s="87" t="s">
        <v>124</v>
      </c>
      <c r="C106" s="70" t="s">
        <v>125</v>
      </c>
      <c r="D106" s="18">
        <v>4500081140</v>
      </c>
      <c r="E106" s="78">
        <v>5200000898</v>
      </c>
      <c r="F106" s="75" t="s">
        <v>4187</v>
      </c>
      <c r="G106" s="75"/>
      <c r="H106" s="70" t="s">
        <v>4188</v>
      </c>
      <c r="I106" s="70">
        <v>2304</v>
      </c>
      <c r="J106" s="70">
        <v>0</v>
      </c>
      <c r="K106" s="70">
        <v>16</v>
      </c>
      <c r="L106" s="72">
        <f t="shared" si="39"/>
        <v>144</v>
      </c>
      <c r="M106" s="84">
        <v>44774</v>
      </c>
      <c r="N106" s="84" t="s">
        <v>4193</v>
      </c>
      <c r="O106" s="86"/>
      <c r="P106" s="86"/>
      <c r="Q106" s="78"/>
      <c r="R106" s="90" t="s">
        <v>89</v>
      </c>
      <c r="S106" s="90" t="s">
        <v>98</v>
      </c>
      <c r="T106" s="90" t="s">
        <v>98</v>
      </c>
      <c r="U106" s="69" t="s">
        <v>4194</v>
      </c>
      <c r="V106" s="84" t="s">
        <v>4192</v>
      </c>
      <c r="W106" s="83">
        <v>4.2976</v>
      </c>
      <c r="X106" s="77">
        <f t="shared" si="71"/>
        <v>9901.6704</v>
      </c>
      <c r="Y106" s="78"/>
      <c r="Z106" s="78"/>
      <c r="AA106" s="70" t="s">
        <v>4109</v>
      </c>
      <c r="AB106" s="78"/>
      <c r="AC106" s="78"/>
      <c r="AD106" s="78"/>
      <c r="AE106" s="78"/>
      <c r="AF106" s="90"/>
      <c r="AG106" s="17">
        <f t="shared" si="75"/>
        <v>4608</v>
      </c>
      <c r="AM106" s="17">
        <f t="shared" si="76"/>
        <v>4608</v>
      </c>
      <c r="AN106" s="17">
        <f t="shared" si="77"/>
        <v>4608</v>
      </c>
      <c r="AZ106" s="17"/>
      <c r="BK106" s="79" t="e">
        <f>$AG106*#REF!</f>
        <v>#REF!</v>
      </c>
      <c r="BL106" s="79" t="e">
        <f>$AG106*#REF!</f>
        <v>#REF!</v>
      </c>
      <c r="BM106" s="79" t="e">
        <f>$AG106*#REF!</f>
        <v>#REF!</v>
      </c>
      <c r="BN106" s="79" t="e">
        <f>$AG106*#REF!</f>
        <v>#REF!</v>
      </c>
      <c r="BO106" s="79" t="e">
        <f>$AG106*#REF!</f>
        <v>#REF!</v>
      </c>
      <c r="BP106" s="79" t="e">
        <f>$AG106*#REF!</f>
        <v>#REF!</v>
      </c>
      <c r="BQ106" s="79" t="e">
        <f>$AG106*#REF!</f>
        <v>#REF!</v>
      </c>
      <c r="BR106" s="79" t="e">
        <f>$AG106*#REF!</f>
        <v>#REF!</v>
      </c>
      <c r="BS106" s="79" t="e">
        <f>$AG106*#REF!</f>
        <v>#REF!</v>
      </c>
      <c r="BT106" s="79" t="e">
        <f>$AG106*#REF!</f>
        <v>#REF!</v>
      </c>
      <c r="BU106" s="79" t="e">
        <f>$AG106*#REF!</f>
        <v>#REF!</v>
      </c>
      <c r="BV106" s="79" t="e">
        <f>$AG106*#REF!</f>
        <v>#REF!</v>
      </c>
      <c r="BW106" s="79" t="e">
        <f>$AG106*#REF!</f>
        <v>#REF!</v>
      </c>
      <c r="BX106" s="79" t="e">
        <f>$AG106*#REF!</f>
        <v>#REF!</v>
      </c>
      <c r="BY106" s="79" t="e">
        <f>$AG106*#REF!</f>
        <v>#REF!</v>
      </c>
      <c r="BZ106" s="79" t="e">
        <f>$AG106*#REF!</f>
        <v>#REF!</v>
      </c>
      <c r="CA106" s="79" t="e">
        <f>$AG106*#REF!</f>
        <v>#REF!</v>
      </c>
      <c r="CB106" s="79" t="e">
        <f>$AG106*#REF!</f>
        <v>#REF!</v>
      </c>
      <c r="CC106" s="79" t="e">
        <f>$AG106*#REF!</f>
        <v>#REF!</v>
      </c>
      <c r="CD106" s="79" t="e">
        <f>$AG106*#REF!</f>
        <v>#REF!</v>
      </c>
      <c r="CE106" s="79" t="e">
        <f>$AG106*#REF!</f>
        <v>#REF!</v>
      </c>
      <c r="CF106" s="79"/>
      <c r="CG106" s="17"/>
      <c r="CH106" s="17"/>
      <c r="CI106" s="17">
        <f t="shared" si="72"/>
        <v>0</v>
      </c>
      <c r="CJ106" s="17"/>
      <c r="CK106" s="17"/>
      <c r="CL106" s="17">
        <f t="shared" si="79"/>
        <v>0</v>
      </c>
    </row>
    <row r="107" s="18" customFormat="1" ht="24" customHeight="1" spans="1:90">
      <c r="A107" s="93">
        <v>44726</v>
      </c>
      <c r="B107" s="87" t="s">
        <v>1548</v>
      </c>
      <c r="C107" s="70" t="s">
        <v>125</v>
      </c>
      <c r="D107" s="18">
        <v>4500077600</v>
      </c>
      <c r="E107" s="78" t="s">
        <v>4195</v>
      </c>
      <c r="F107" s="75" t="s">
        <v>4123</v>
      </c>
      <c r="G107" s="75"/>
      <c r="H107" s="70" t="s">
        <v>4124</v>
      </c>
      <c r="I107" s="70">
        <v>39996</v>
      </c>
      <c r="J107" s="70">
        <v>0</v>
      </c>
      <c r="K107" s="70">
        <v>18</v>
      </c>
      <c r="L107" s="72">
        <f t="shared" si="39"/>
        <v>2222</v>
      </c>
      <c r="M107" s="84">
        <v>44781</v>
      </c>
      <c r="N107" s="84" t="s">
        <v>4196</v>
      </c>
      <c r="O107" s="86"/>
      <c r="P107" s="86"/>
      <c r="Q107" s="78"/>
      <c r="R107" s="90">
        <v>44747</v>
      </c>
      <c r="S107" s="90" t="s">
        <v>88</v>
      </c>
      <c r="T107" s="90">
        <v>44749</v>
      </c>
      <c r="U107" s="69" t="s">
        <v>4197</v>
      </c>
      <c r="V107" s="84" t="s">
        <v>4198</v>
      </c>
      <c r="W107" s="83">
        <v>1.9756</v>
      </c>
      <c r="X107" s="77">
        <f t="shared" si="71"/>
        <v>79016.0976</v>
      </c>
      <c r="Y107" s="78"/>
      <c r="Z107" s="78"/>
      <c r="AA107" s="98" t="s">
        <v>4109</v>
      </c>
      <c r="AB107" s="78"/>
      <c r="AC107" s="78"/>
      <c r="AD107" s="78" t="s">
        <v>95</v>
      </c>
      <c r="AE107" s="78"/>
      <c r="AF107" s="90"/>
      <c r="AG107" s="17">
        <f t="shared" ref="AG107:AG112" si="80">I107</f>
        <v>39996</v>
      </c>
      <c r="AM107" s="17">
        <f>I107</f>
        <v>39996</v>
      </c>
      <c r="AN107" s="17">
        <f>I107</f>
        <v>39996</v>
      </c>
      <c r="BA107" s="17">
        <f>I107/18</f>
        <v>2222</v>
      </c>
      <c r="BK107" s="79">
        <f t="shared" ref="BK107:CE107" si="81">$AG107*BK$1</f>
        <v>0</v>
      </c>
      <c r="BL107" s="79">
        <f t="shared" si="81"/>
        <v>0</v>
      </c>
      <c r="BM107" s="79">
        <f t="shared" si="81"/>
        <v>0</v>
      </c>
      <c r="BN107" s="79">
        <f t="shared" si="81"/>
        <v>0</v>
      </c>
      <c r="BO107" s="79">
        <f t="shared" si="81"/>
        <v>0</v>
      </c>
      <c r="BP107" s="79">
        <f t="shared" si="81"/>
        <v>0</v>
      </c>
      <c r="BQ107" s="79">
        <f t="shared" si="81"/>
        <v>0</v>
      </c>
      <c r="BR107" s="79">
        <f t="shared" si="81"/>
        <v>0</v>
      </c>
      <c r="BS107" s="79">
        <f t="shared" si="81"/>
        <v>0</v>
      </c>
      <c r="BT107" s="79">
        <f t="shared" si="81"/>
        <v>0</v>
      </c>
      <c r="BU107" s="79">
        <f t="shared" si="81"/>
        <v>0</v>
      </c>
      <c r="BV107" s="79">
        <f t="shared" si="81"/>
        <v>0</v>
      </c>
      <c r="BW107" s="79">
        <f t="shared" si="81"/>
        <v>0</v>
      </c>
      <c r="BX107" s="79">
        <f t="shared" si="81"/>
        <v>0</v>
      </c>
      <c r="BY107" s="79">
        <f t="shared" si="81"/>
        <v>0</v>
      </c>
      <c r="BZ107" s="79">
        <f t="shared" si="81"/>
        <v>0</v>
      </c>
      <c r="CA107" s="79">
        <f t="shared" si="81"/>
        <v>0</v>
      </c>
      <c r="CB107" s="79">
        <f t="shared" si="81"/>
        <v>0</v>
      </c>
      <c r="CC107" s="79">
        <f t="shared" si="81"/>
        <v>0</v>
      </c>
      <c r="CD107" s="79">
        <f t="shared" si="81"/>
        <v>0</v>
      </c>
      <c r="CE107" s="79">
        <f t="shared" si="81"/>
        <v>0</v>
      </c>
      <c r="CF107" s="79"/>
      <c r="CG107" s="17"/>
      <c r="CH107" s="17"/>
      <c r="CI107" s="17">
        <f t="shared" si="72"/>
        <v>0</v>
      </c>
      <c r="CJ107" s="17"/>
      <c r="CK107" s="17"/>
      <c r="CL107" s="17">
        <f t="shared" si="79"/>
        <v>2222</v>
      </c>
    </row>
    <row r="108" s="18" customFormat="1" ht="24" customHeight="1" spans="1:90">
      <c r="A108" s="93">
        <v>44726</v>
      </c>
      <c r="B108" s="87" t="s">
        <v>1548</v>
      </c>
      <c r="C108" s="70" t="s">
        <v>125</v>
      </c>
      <c r="D108" s="18">
        <v>4500077601</v>
      </c>
      <c r="E108" s="78" t="s">
        <v>4199</v>
      </c>
      <c r="F108" s="75" t="s">
        <v>4123</v>
      </c>
      <c r="G108" s="75"/>
      <c r="H108" s="70" t="s">
        <v>4124</v>
      </c>
      <c r="I108" s="70">
        <v>25884</v>
      </c>
      <c r="J108" s="70">
        <v>0</v>
      </c>
      <c r="K108" s="70">
        <v>18</v>
      </c>
      <c r="L108" s="72">
        <f t="shared" si="39"/>
        <v>1438</v>
      </c>
      <c r="M108" s="84">
        <v>44782</v>
      </c>
      <c r="N108" s="84" t="s">
        <v>4196</v>
      </c>
      <c r="O108" s="86"/>
      <c r="P108" s="86"/>
      <c r="Q108" s="78"/>
      <c r="R108" s="90">
        <v>44747</v>
      </c>
      <c r="S108" s="90" t="s">
        <v>88</v>
      </c>
      <c r="T108" s="90" t="s">
        <v>89</v>
      </c>
      <c r="U108" s="69" t="s">
        <v>4197</v>
      </c>
      <c r="V108" s="84" t="s">
        <v>4198</v>
      </c>
      <c r="W108" s="83">
        <v>1.9756</v>
      </c>
      <c r="X108" s="77">
        <f t="shared" si="71"/>
        <v>51136.4304</v>
      </c>
      <c r="Y108" s="78"/>
      <c r="Z108" s="78"/>
      <c r="AA108" s="98" t="s">
        <v>4109</v>
      </c>
      <c r="AB108" s="78"/>
      <c r="AC108" s="78"/>
      <c r="AD108" s="78" t="s">
        <v>95</v>
      </c>
      <c r="AE108" s="78"/>
      <c r="AF108" s="90"/>
      <c r="AG108" s="17">
        <f t="shared" si="80"/>
        <v>25884</v>
      </c>
      <c r="AM108" s="17">
        <f>I108</f>
        <v>25884</v>
      </c>
      <c r="AN108" s="17">
        <f>I108</f>
        <v>25884</v>
      </c>
      <c r="AZ108" s="17">
        <f>I108/18</f>
        <v>1438</v>
      </c>
      <c r="BK108" s="79">
        <f t="shared" ref="BK108:CE108" si="82">$AG108*BK$1</f>
        <v>0</v>
      </c>
      <c r="BL108" s="79">
        <f t="shared" si="82"/>
        <v>0</v>
      </c>
      <c r="BM108" s="79">
        <f t="shared" si="82"/>
        <v>0</v>
      </c>
      <c r="BN108" s="79">
        <f t="shared" si="82"/>
        <v>0</v>
      </c>
      <c r="BO108" s="79">
        <f t="shared" si="82"/>
        <v>0</v>
      </c>
      <c r="BP108" s="79">
        <f t="shared" si="82"/>
        <v>0</v>
      </c>
      <c r="BQ108" s="79">
        <f t="shared" si="82"/>
        <v>0</v>
      </c>
      <c r="BR108" s="79">
        <f t="shared" si="82"/>
        <v>0</v>
      </c>
      <c r="BS108" s="79">
        <f t="shared" si="82"/>
        <v>0</v>
      </c>
      <c r="BT108" s="79">
        <f t="shared" si="82"/>
        <v>0</v>
      </c>
      <c r="BU108" s="79">
        <f t="shared" si="82"/>
        <v>0</v>
      </c>
      <c r="BV108" s="79">
        <f t="shared" si="82"/>
        <v>0</v>
      </c>
      <c r="BW108" s="79">
        <f t="shared" si="82"/>
        <v>0</v>
      </c>
      <c r="BX108" s="79">
        <f t="shared" si="82"/>
        <v>0</v>
      </c>
      <c r="BY108" s="79">
        <f t="shared" si="82"/>
        <v>0</v>
      </c>
      <c r="BZ108" s="79">
        <f t="shared" si="82"/>
        <v>0</v>
      </c>
      <c r="CA108" s="79">
        <f t="shared" si="82"/>
        <v>0</v>
      </c>
      <c r="CB108" s="79">
        <f t="shared" si="82"/>
        <v>0</v>
      </c>
      <c r="CC108" s="79">
        <f t="shared" si="82"/>
        <v>0</v>
      </c>
      <c r="CD108" s="79">
        <f t="shared" si="82"/>
        <v>0</v>
      </c>
      <c r="CE108" s="79">
        <f t="shared" si="82"/>
        <v>0</v>
      </c>
      <c r="CF108" s="79"/>
      <c r="CG108" s="17"/>
      <c r="CH108" s="17"/>
      <c r="CI108" s="17">
        <f t="shared" si="72"/>
        <v>0</v>
      </c>
      <c r="CJ108" s="17"/>
      <c r="CK108" s="17"/>
      <c r="CL108" s="17">
        <f t="shared" si="79"/>
        <v>1438</v>
      </c>
    </row>
    <row r="109" s="18" customFormat="1" ht="24" customHeight="1" spans="1:90">
      <c r="A109" s="93">
        <v>44728</v>
      </c>
      <c r="B109" s="87" t="s">
        <v>124</v>
      </c>
      <c r="C109" s="70" t="s">
        <v>125</v>
      </c>
      <c r="D109" s="87">
        <v>4500081304</v>
      </c>
      <c r="E109" s="78">
        <v>5200000908</v>
      </c>
      <c r="F109" s="84" t="s">
        <v>4187</v>
      </c>
      <c r="G109" s="84"/>
      <c r="H109" s="70" t="s">
        <v>4188</v>
      </c>
      <c r="I109" s="78">
        <v>2304</v>
      </c>
      <c r="J109" s="70">
        <v>0</v>
      </c>
      <c r="K109" s="70">
        <v>16</v>
      </c>
      <c r="L109" s="72">
        <f t="shared" si="39"/>
        <v>144</v>
      </c>
      <c r="M109" s="84">
        <v>44805</v>
      </c>
      <c r="N109" s="84" t="s">
        <v>4193</v>
      </c>
      <c r="O109" s="86"/>
      <c r="P109" s="86"/>
      <c r="Q109" s="78"/>
      <c r="R109" s="90" t="s">
        <v>89</v>
      </c>
      <c r="S109" s="90" t="s">
        <v>88</v>
      </c>
      <c r="T109" s="90" t="s">
        <v>89</v>
      </c>
      <c r="U109" s="87" t="s">
        <v>4200</v>
      </c>
      <c r="V109" s="84" t="s">
        <v>4192</v>
      </c>
      <c r="W109" s="83">
        <v>4.2976</v>
      </c>
      <c r="X109" s="77">
        <f t="shared" si="71"/>
        <v>9901.6704</v>
      </c>
      <c r="Y109" s="78"/>
      <c r="Z109" s="78"/>
      <c r="AA109" s="98" t="s">
        <v>4109</v>
      </c>
      <c r="AB109" s="78"/>
      <c r="AC109" s="78"/>
      <c r="AD109" s="78"/>
      <c r="AE109" s="78"/>
      <c r="AF109" s="90"/>
      <c r="AG109" s="17">
        <f t="shared" si="75"/>
        <v>4608</v>
      </c>
      <c r="AM109" s="17">
        <f t="shared" si="76"/>
        <v>4608</v>
      </c>
      <c r="AN109" s="17">
        <f t="shared" si="77"/>
        <v>4608</v>
      </c>
      <c r="BK109" s="79">
        <f t="shared" ref="BK109:CE109" si="83">$AG109*BK$1</f>
        <v>0</v>
      </c>
      <c r="BL109" s="79">
        <f t="shared" si="83"/>
        <v>0</v>
      </c>
      <c r="BM109" s="79">
        <f t="shared" si="83"/>
        <v>0</v>
      </c>
      <c r="BN109" s="79">
        <f t="shared" si="83"/>
        <v>0</v>
      </c>
      <c r="BO109" s="79">
        <f t="shared" si="83"/>
        <v>0</v>
      </c>
      <c r="BP109" s="79">
        <f t="shared" si="83"/>
        <v>0</v>
      </c>
      <c r="BQ109" s="79">
        <f t="shared" si="83"/>
        <v>0</v>
      </c>
      <c r="BR109" s="79">
        <f t="shared" si="83"/>
        <v>0</v>
      </c>
      <c r="BS109" s="79">
        <f t="shared" si="83"/>
        <v>0</v>
      </c>
      <c r="BT109" s="79">
        <f t="shared" si="83"/>
        <v>0</v>
      </c>
      <c r="BU109" s="79">
        <f t="shared" si="83"/>
        <v>0</v>
      </c>
      <c r="BV109" s="79">
        <f t="shared" si="83"/>
        <v>0</v>
      </c>
      <c r="BW109" s="79">
        <f t="shared" si="83"/>
        <v>0</v>
      </c>
      <c r="BX109" s="79">
        <f t="shared" si="83"/>
        <v>0</v>
      </c>
      <c r="BY109" s="79">
        <f t="shared" si="83"/>
        <v>0</v>
      </c>
      <c r="BZ109" s="79">
        <f t="shared" si="83"/>
        <v>0</v>
      </c>
      <c r="CA109" s="79">
        <f t="shared" si="83"/>
        <v>0</v>
      </c>
      <c r="CB109" s="79">
        <f t="shared" si="83"/>
        <v>0</v>
      </c>
      <c r="CC109" s="79">
        <f t="shared" si="83"/>
        <v>0</v>
      </c>
      <c r="CD109" s="79">
        <f t="shared" si="83"/>
        <v>0</v>
      </c>
      <c r="CE109" s="79">
        <f t="shared" si="83"/>
        <v>0</v>
      </c>
      <c r="CF109" s="79"/>
      <c r="CG109" s="17"/>
      <c r="CH109" s="17"/>
      <c r="CI109" s="17">
        <f t="shared" si="72"/>
        <v>0</v>
      </c>
      <c r="CJ109" s="17"/>
      <c r="CK109" s="17"/>
      <c r="CL109" s="17">
        <f t="shared" si="79"/>
        <v>0</v>
      </c>
    </row>
    <row r="110" s="17" customFormat="1" ht="31" customHeight="1" spans="1:90">
      <c r="A110" s="68">
        <v>44748</v>
      </c>
      <c r="B110" s="70" t="s">
        <v>4136</v>
      </c>
      <c r="C110" s="18" t="s">
        <v>4103</v>
      </c>
      <c r="D110" s="70" t="s">
        <v>4201</v>
      </c>
      <c r="E110" s="17" t="s">
        <v>3092</v>
      </c>
      <c r="F110" s="70" t="s">
        <v>4202</v>
      </c>
      <c r="G110" s="70"/>
      <c r="H110" s="70" t="s">
        <v>4203</v>
      </c>
      <c r="I110" s="99">
        <v>120006</v>
      </c>
      <c r="J110" s="70">
        <v>0</v>
      </c>
      <c r="K110" s="70">
        <v>834</v>
      </c>
      <c r="L110" s="72">
        <f t="shared" si="39"/>
        <v>143.892086330935</v>
      </c>
      <c r="M110" s="75">
        <v>44786</v>
      </c>
      <c r="N110" s="75" t="s">
        <v>4204</v>
      </c>
      <c r="O110" s="73"/>
      <c r="P110" s="73"/>
      <c r="Q110" s="70"/>
      <c r="R110" s="74" t="s">
        <v>4205</v>
      </c>
      <c r="S110" s="74" t="s">
        <v>88</v>
      </c>
      <c r="T110" s="74" t="s">
        <v>89</v>
      </c>
      <c r="U110" s="69" t="s">
        <v>4206</v>
      </c>
      <c r="V110" s="75"/>
      <c r="W110" s="100">
        <v>2.0632</v>
      </c>
      <c r="X110" s="77">
        <f>W110*I110</f>
        <v>247596.3792</v>
      </c>
      <c r="Y110" s="70"/>
      <c r="Z110" s="70"/>
      <c r="AA110" s="70"/>
      <c r="AB110" s="72"/>
      <c r="AC110" s="70"/>
      <c r="AD110" s="70"/>
      <c r="AE110" s="70"/>
      <c r="AG110" s="17">
        <f t="shared" si="80"/>
        <v>120006</v>
      </c>
      <c r="AI110" s="17">
        <f t="shared" ref="AI110:AI112" si="84">I110</f>
        <v>120006</v>
      </c>
      <c r="AJ110" s="17">
        <f t="shared" ref="AJ110:AJ113" si="85">I110</f>
        <v>120006</v>
      </c>
      <c r="AQ110" s="17">
        <f>I110/18</f>
        <v>6667</v>
      </c>
    </row>
    <row r="111" s="17" customFormat="1" ht="31" customHeight="1" spans="1:90">
      <c r="A111" s="68">
        <v>44767</v>
      </c>
      <c r="B111" s="70" t="s">
        <v>4103</v>
      </c>
      <c r="C111" s="18" t="s">
        <v>125</v>
      </c>
      <c r="D111" s="70" t="s">
        <v>4207</v>
      </c>
      <c r="E111" s="17" t="s">
        <v>3092</v>
      </c>
      <c r="F111" s="70" t="s">
        <v>4208</v>
      </c>
      <c r="G111" s="70"/>
      <c r="H111" s="70" t="s">
        <v>4209</v>
      </c>
      <c r="I111" s="70">
        <v>0</v>
      </c>
      <c r="J111" s="70">
        <v>0</v>
      </c>
      <c r="K111" s="70">
        <v>30</v>
      </c>
      <c r="L111" s="72">
        <f t="shared" si="39"/>
        <v>0</v>
      </c>
      <c r="M111" s="75">
        <v>44802</v>
      </c>
      <c r="N111" s="75" t="s">
        <v>4210</v>
      </c>
      <c r="O111" s="73"/>
      <c r="P111" s="73"/>
      <c r="Q111" s="70"/>
      <c r="R111" s="74" t="s">
        <v>98</v>
      </c>
      <c r="S111" s="74" t="s">
        <v>98</v>
      </c>
      <c r="T111" s="74" t="s">
        <v>98</v>
      </c>
      <c r="U111" s="69" t="s">
        <v>4211</v>
      </c>
      <c r="V111" s="75"/>
      <c r="W111" s="100"/>
      <c r="X111" s="77"/>
      <c r="Y111" s="70"/>
      <c r="Z111" s="70"/>
      <c r="AA111" s="70"/>
      <c r="AB111" s="72"/>
      <c r="AC111" s="70"/>
      <c r="AD111" s="70"/>
      <c r="AE111" s="70"/>
      <c r="AG111" s="17">
        <f t="shared" si="80"/>
        <v>0</v>
      </c>
      <c r="AI111" s="17">
        <f t="shared" si="84"/>
        <v>0</v>
      </c>
      <c r="AJ111" s="17">
        <f t="shared" si="85"/>
        <v>0</v>
      </c>
    </row>
    <row r="112" s="19" customFormat="1" ht="31" customHeight="1" spans="1:90">
      <c r="A112" s="101">
        <v>44776</v>
      </c>
      <c r="B112" s="98" t="s">
        <v>4103</v>
      </c>
      <c r="C112" s="102" t="s">
        <v>125</v>
      </c>
      <c r="D112" s="98" t="s">
        <v>4212</v>
      </c>
      <c r="E112" s="102"/>
      <c r="F112" s="102"/>
      <c r="G112" s="98" t="s">
        <v>4202</v>
      </c>
      <c r="H112" s="98" t="s">
        <v>4203</v>
      </c>
      <c r="I112" s="103">
        <f>7380-7380</f>
        <v>0</v>
      </c>
      <c r="J112" s="98">
        <v>0</v>
      </c>
      <c r="K112" s="98">
        <v>18</v>
      </c>
      <c r="L112" s="104">
        <f t="shared" si="39"/>
        <v>0</v>
      </c>
      <c r="M112" s="105">
        <v>44820</v>
      </c>
      <c r="N112" s="105" t="s">
        <v>4213</v>
      </c>
      <c r="O112" s="106"/>
      <c r="P112" s="106"/>
      <c r="Q112" s="98"/>
      <c r="R112" s="107" t="s">
        <v>89</v>
      </c>
      <c r="S112" s="107" t="s">
        <v>88</v>
      </c>
      <c r="T112" s="107" t="s">
        <v>89</v>
      </c>
      <c r="U112" s="108" t="s">
        <v>4214</v>
      </c>
      <c r="V112" s="105"/>
      <c r="W112" s="109"/>
      <c r="X112" s="110"/>
      <c r="Y112" s="98"/>
      <c r="Z112" s="98"/>
      <c r="AA112" s="98" t="s">
        <v>4109</v>
      </c>
      <c r="AB112" s="104"/>
      <c r="AC112" s="98"/>
      <c r="AD112" s="98"/>
      <c r="AE112" s="98"/>
      <c r="AG112" s="19">
        <f t="shared" si="80"/>
        <v>0</v>
      </c>
      <c r="AI112" s="19">
        <f t="shared" si="84"/>
        <v>0</v>
      </c>
      <c r="AJ112" s="19">
        <f t="shared" si="85"/>
        <v>0</v>
      </c>
      <c r="AK112" s="19">
        <f t="shared" ref="AK112:AK123" si="86">I112</f>
        <v>0</v>
      </c>
      <c r="AR112" s="19">
        <f>I112/18</f>
        <v>0</v>
      </c>
    </row>
    <row r="113" s="19" customFormat="1" ht="31" customHeight="1" spans="1:95">
      <c r="A113" s="101">
        <v>44783</v>
      </c>
      <c r="B113" s="98" t="s">
        <v>1548</v>
      </c>
      <c r="C113" s="102" t="s">
        <v>125</v>
      </c>
      <c r="D113" s="19">
        <v>4500084290</v>
      </c>
      <c r="E113" s="98" t="s">
        <v>4215</v>
      </c>
      <c r="F113" s="98" t="s">
        <v>4216</v>
      </c>
      <c r="G113" s="98" t="s">
        <v>4202</v>
      </c>
      <c r="H113" s="98" t="s">
        <v>4203</v>
      </c>
      <c r="I113" s="98">
        <v>45000</v>
      </c>
      <c r="J113" s="98">
        <v>0</v>
      </c>
      <c r="K113" s="98">
        <v>18</v>
      </c>
      <c r="L113" s="104">
        <f t="shared" si="39"/>
        <v>2500</v>
      </c>
      <c r="M113" s="105">
        <v>44922</v>
      </c>
      <c r="N113" s="75" t="s">
        <v>4217</v>
      </c>
      <c r="O113" s="106"/>
      <c r="P113" s="106"/>
      <c r="Q113" s="98"/>
      <c r="R113" s="107" t="s">
        <v>89</v>
      </c>
      <c r="S113" s="107" t="s">
        <v>88</v>
      </c>
      <c r="T113" s="107" t="s">
        <v>89</v>
      </c>
      <c r="U113" s="111" t="s">
        <v>4218</v>
      </c>
      <c r="V113" s="105" t="s">
        <v>4219</v>
      </c>
      <c r="W113" s="109">
        <v>2.17</v>
      </c>
      <c r="X113" s="110">
        <f t="shared" ref="X113:X124" si="87">W113*I113</f>
        <v>97650</v>
      </c>
      <c r="Y113" s="98"/>
      <c r="Z113" s="112"/>
      <c r="AA113" s="98" t="s">
        <v>4109</v>
      </c>
      <c r="AB113" s="113"/>
      <c r="AC113" s="113"/>
      <c r="AD113" s="113"/>
      <c r="AE113" s="98"/>
      <c r="AF113" s="98"/>
      <c r="AG113" s="107"/>
      <c r="AH113" s="19">
        <f>I113</f>
        <v>45000</v>
      </c>
      <c r="AJ113" s="19">
        <f t="shared" si="85"/>
        <v>45000</v>
      </c>
      <c r="AK113" s="19">
        <f t="shared" si="86"/>
        <v>45000</v>
      </c>
      <c r="AL113" s="19">
        <f t="shared" ref="AL113:AL123" si="88">I113</f>
        <v>45000</v>
      </c>
      <c r="AV113" s="19">
        <f>I113/18</f>
        <v>2500</v>
      </c>
    </row>
    <row r="114" s="18" customFormat="1" ht="31" customHeight="1" spans="1:95">
      <c r="A114" s="93">
        <v>44700</v>
      </c>
      <c r="B114" s="87" t="s">
        <v>4220</v>
      </c>
      <c r="C114" s="78" t="s">
        <v>2901</v>
      </c>
      <c r="D114" s="87">
        <v>4500079551</v>
      </c>
      <c r="E114" s="78"/>
      <c r="F114" s="84" t="s">
        <v>4221</v>
      </c>
      <c r="G114" s="84" t="s">
        <v>4111</v>
      </c>
      <c r="H114" s="70" t="s">
        <v>4112</v>
      </c>
      <c r="I114" s="70">
        <v>9720</v>
      </c>
      <c r="J114" s="70">
        <v>0</v>
      </c>
      <c r="K114" s="70">
        <v>36</v>
      </c>
      <c r="L114" s="72">
        <f t="shared" si="39"/>
        <v>270</v>
      </c>
      <c r="M114" s="84">
        <v>44793</v>
      </c>
      <c r="N114" s="84" t="s">
        <v>4222</v>
      </c>
      <c r="O114" s="86" t="s">
        <v>4223</v>
      </c>
      <c r="P114" s="73" t="s">
        <v>325</v>
      </c>
      <c r="Q114" s="78"/>
      <c r="R114" s="90">
        <v>44775</v>
      </c>
      <c r="S114" s="90" t="s">
        <v>98</v>
      </c>
      <c r="T114" s="90">
        <v>44777</v>
      </c>
      <c r="U114" s="87" t="s">
        <v>4224</v>
      </c>
      <c r="V114" s="84" t="s">
        <v>4225</v>
      </c>
      <c r="W114" s="83">
        <v>2.0188</v>
      </c>
      <c r="X114" s="77">
        <f>I114*W114</f>
        <v>19622.736</v>
      </c>
      <c r="Y114" s="78"/>
      <c r="Z114" s="78"/>
      <c r="AA114" s="70" t="s">
        <v>4183</v>
      </c>
      <c r="AB114" s="78">
        <f>3348+6372</f>
        <v>9720</v>
      </c>
      <c r="AC114" s="70">
        <f>AB114-I114</f>
        <v>0</v>
      </c>
      <c r="AD114" s="78" t="s">
        <v>95</v>
      </c>
      <c r="AE114" s="78"/>
      <c r="AF114" s="90"/>
      <c r="AG114" s="18">
        <f>I114</f>
        <v>9720</v>
      </c>
      <c r="AM114" s="17"/>
      <c r="AN114" s="17"/>
      <c r="AQ114" s="17">
        <f>I114</f>
        <v>9720</v>
      </c>
      <c r="AR114" s="17">
        <f>I114</f>
        <v>9720</v>
      </c>
      <c r="BG114" s="17">
        <f>I114/18</f>
        <v>540</v>
      </c>
      <c r="BO114" s="79" t="e">
        <f>$AG114*#REF!</f>
        <v>#REF!</v>
      </c>
      <c r="BP114" s="79" t="e">
        <f>$AG114*#REF!</f>
        <v>#REF!</v>
      </c>
      <c r="BQ114" s="79" t="e">
        <f>$AG114*#REF!</f>
        <v>#REF!</v>
      </c>
      <c r="BR114" s="79" t="e">
        <f>$AG114*#REF!</f>
        <v>#REF!</v>
      </c>
      <c r="BS114" s="79" t="e">
        <f>$AG114*#REF!</f>
        <v>#REF!</v>
      </c>
      <c r="BT114" s="79" t="e">
        <f>$AG114*#REF!</f>
        <v>#REF!</v>
      </c>
      <c r="BU114" s="79" t="e">
        <f>$AG114*#REF!</f>
        <v>#REF!</v>
      </c>
      <c r="BV114" s="79" t="e">
        <f>$AG114*#REF!</f>
        <v>#REF!</v>
      </c>
      <c r="BW114" s="79" t="e">
        <f>$AG114*#REF!</f>
        <v>#REF!</v>
      </c>
      <c r="BX114" s="79" t="e">
        <f>$AG114*#REF!</f>
        <v>#REF!</v>
      </c>
      <c r="BY114" s="79" t="e">
        <f>$AG114*#REF!</f>
        <v>#REF!</v>
      </c>
      <c r="BZ114" s="79" t="e">
        <f>$AG114*#REF!</f>
        <v>#REF!</v>
      </c>
      <c r="CA114" s="79" t="e">
        <f>$AG114*#REF!</f>
        <v>#REF!</v>
      </c>
      <c r="CB114" s="79" t="e">
        <f>$AG114*#REF!</f>
        <v>#REF!</v>
      </c>
      <c r="CC114" s="79" t="e">
        <f>$AG114*#REF!</f>
        <v>#REF!</v>
      </c>
      <c r="CD114" s="79" t="e">
        <f>$AG114*#REF!</f>
        <v>#REF!</v>
      </c>
      <c r="CE114" s="79" t="e">
        <f>$AG114*#REF!</f>
        <v>#REF!</v>
      </c>
      <c r="CF114" s="79" t="e">
        <f>$AG114*#REF!</f>
        <v>#REF!</v>
      </c>
      <c r="CG114" s="79" t="e">
        <f>$AG114*#REF!</f>
        <v>#REF!</v>
      </c>
      <c r="CH114" s="79" t="e">
        <f>$AG114*#REF!</f>
        <v>#REF!</v>
      </c>
      <c r="CI114" s="79" t="e">
        <f>$AG114*#REF!</f>
        <v>#REF!</v>
      </c>
      <c r="CJ114" s="79"/>
      <c r="CK114" s="17"/>
      <c r="CL114" s="17"/>
      <c r="CM114" s="17">
        <f>AZ114+BA114</f>
        <v>0</v>
      </c>
      <c r="CN114" s="17"/>
      <c r="CO114" s="17"/>
      <c r="CP114" s="17">
        <f>BD114+BF114+BH114+BI114+BE114+BG114</f>
        <v>540</v>
      </c>
    </row>
    <row r="115" s="19" customFormat="1" ht="31" customHeight="1" spans="1:95">
      <c r="A115" s="101">
        <v>44768</v>
      </c>
      <c r="B115" s="98" t="s">
        <v>240</v>
      </c>
      <c r="C115" s="102" t="s">
        <v>125</v>
      </c>
      <c r="D115" s="98">
        <v>4500083528</v>
      </c>
      <c r="G115" s="98" t="s">
        <v>4226</v>
      </c>
      <c r="H115" s="98" t="s">
        <v>4209</v>
      </c>
      <c r="I115" s="98">
        <v>38670</v>
      </c>
      <c r="J115" s="98">
        <v>0</v>
      </c>
      <c r="K115" s="98">
        <v>30</v>
      </c>
      <c r="L115" s="104">
        <f t="shared" ref="L115:L138" si="89">I115/K115</f>
        <v>1289</v>
      </c>
      <c r="M115" s="105" t="s">
        <v>4227</v>
      </c>
      <c r="N115" s="105" t="s">
        <v>4228</v>
      </c>
      <c r="O115" s="106"/>
      <c r="P115" s="106"/>
      <c r="Q115" s="98"/>
      <c r="R115" s="107">
        <v>44774</v>
      </c>
      <c r="S115" s="107" t="s">
        <v>88</v>
      </c>
      <c r="T115" s="107" t="s">
        <v>89</v>
      </c>
      <c r="U115" s="111" t="s">
        <v>4229</v>
      </c>
      <c r="V115" s="105" t="s">
        <v>4092</v>
      </c>
      <c r="W115" s="109">
        <v>74.93</v>
      </c>
      <c r="X115" s="110">
        <f>W115*L115</f>
        <v>96584.77</v>
      </c>
      <c r="Y115" s="98"/>
      <c r="Z115" s="98" t="s">
        <v>4230</v>
      </c>
      <c r="AA115" s="98"/>
      <c r="AB115" s="98" t="s">
        <v>4109</v>
      </c>
      <c r="AC115" s="104"/>
      <c r="AD115" s="114">
        <v>0</v>
      </c>
      <c r="AE115" s="98"/>
      <c r="AF115" s="98"/>
      <c r="AG115" s="98"/>
      <c r="AI115" s="19">
        <f t="shared" ref="AI115:AI123" si="90">I115</f>
        <v>38670</v>
      </c>
      <c r="AK115" s="19">
        <f t="shared" si="86"/>
        <v>38670</v>
      </c>
      <c r="AL115" s="19">
        <f t="shared" si="88"/>
        <v>38670</v>
      </c>
      <c r="AN115" s="19">
        <f>AI115</f>
        <v>38670</v>
      </c>
      <c r="AT115" s="19">
        <f>L115</f>
        <v>1289</v>
      </c>
    </row>
    <row r="116" s="19" customFormat="1" ht="31" customHeight="1" spans="1:95">
      <c r="A116" s="101">
        <v>44840</v>
      </c>
      <c r="B116" s="98" t="s">
        <v>4103</v>
      </c>
      <c r="C116" s="102" t="s">
        <v>103</v>
      </c>
      <c r="D116" s="19" t="s">
        <v>4231</v>
      </c>
      <c r="E116" s="98"/>
      <c r="F116" s="98"/>
      <c r="G116" s="98" t="s">
        <v>4232</v>
      </c>
      <c r="H116" s="98" t="s">
        <v>4233</v>
      </c>
      <c r="I116" s="98">
        <v>33480</v>
      </c>
      <c r="J116" s="98">
        <v>0</v>
      </c>
      <c r="K116" s="98">
        <v>1080</v>
      </c>
      <c r="L116" s="104">
        <f t="shared" si="89"/>
        <v>31</v>
      </c>
      <c r="M116" s="105">
        <v>44882</v>
      </c>
      <c r="N116" s="105" t="s">
        <v>4234</v>
      </c>
      <c r="O116" s="106"/>
      <c r="P116" s="106"/>
      <c r="Q116" s="98"/>
      <c r="R116" s="107" t="s">
        <v>89</v>
      </c>
      <c r="S116" s="107" t="s">
        <v>88</v>
      </c>
      <c r="T116" s="107" t="s">
        <v>89</v>
      </c>
      <c r="U116" s="111" t="s">
        <v>4235</v>
      </c>
      <c r="V116" s="105"/>
      <c r="W116" s="109"/>
      <c r="X116" s="110"/>
      <c r="Y116" s="98"/>
      <c r="Z116" s="112" t="s">
        <v>93</v>
      </c>
      <c r="AA116" s="112"/>
      <c r="AB116" s="98" t="s">
        <v>4109</v>
      </c>
      <c r="AC116" s="98"/>
      <c r="AD116" s="113"/>
      <c r="AE116" s="113"/>
      <c r="AF116" s="98"/>
      <c r="AG116" s="98"/>
      <c r="AH116" s="107"/>
      <c r="AI116" s="19">
        <f t="shared" si="90"/>
        <v>33480</v>
      </c>
      <c r="AK116" s="19">
        <f t="shared" si="86"/>
        <v>33480</v>
      </c>
      <c r="AL116" s="19">
        <f t="shared" si="88"/>
        <v>33480</v>
      </c>
      <c r="AN116" s="19">
        <f t="shared" ref="AN116:AN123" si="91">I116</f>
        <v>33480</v>
      </c>
      <c r="AZ116" s="19">
        <f t="shared" ref="AZ116:AZ123" si="92">I116/18</f>
        <v>1860</v>
      </c>
    </row>
    <row r="117" s="17" customFormat="1" ht="31" customHeight="1" spans="1:95">
      <c r="A117" s="68">
        <v>44876</v>
      </c>
      <c r="B117" s="70" t="s">
        <v>1535</v>
      </c>
      <c r="C117" s="18" t="s">
        <v>377</v>
      </c>
      <c r="D117" s="17">
        <v>4500090575</v>
      </c>
      <c r="E117" s="70">
        <v>19175243</v>
      </c>
      <c r="F117" s="17" t="s">
        <v>4236</v>
      </c>
      <c r="G117" s="70" t="s">
        <v>4237</v>
      </c>
      <c r="H117" s="70" t="s">
        <v>4203</v>
      </c>
      <c r="I117" s="70">
        <v>2520</v>
      </c>
      <c r="J117" s="70">
        <v>0</v>
      </c>
      <c r="K117" s="70">
        <v>36</v>
      </c>
      <c r="L117" s="72">
        <f t="shared" si="89"/>
        <v>70</v>
      </c>
      <c r="M117" s="75">
        <v>44921</v>
      </c>
      <c r="N117" s="75" t="s">
        <v>4204</v>
      </c>
      <c r="O117" s="106"/>
      <c r="P117" s="106"/>
      <c r="Q117" s="98"/>
      <c r="R117" s="107">
        <v>44887</v>
      </c>
      <c r="S117" s="107" t="s">
        <v>88</v>
      </c>
      <c r="T117" s="107" t="s">
        <v>89</v>
      </c>
      <c r="U117" s="69" t="s">
        <v>4238</v>
      </c>
      <c r="V117" s="75" t="s">
        <v>4239</v>
      </c>
      <c r="W117" s="100">
        <v>1.9522</v>
      </c>
      <c r="X117" s="77">
        <f t="shared" si="87"/>
        <v>4919.544</v>
      </c>
      <c r="Y117" s="70"/>
      <c r="Z117" s="96"/>
      <c r="AA117" s="96"/>
      <c r="AB117" s="70" t="s">
        <v>4109</v>
      </c>
      <c r="AC117" s="70"/>
      <c r="AD117" s="115"/>
      <c r="AE117" s="115"/>
      <c r="AF117" s="70"/>
      <c r="AG117" s="70"/>
      <c r="AH117" s="74"/>
      <c r="AI117" s="17">
        <f t="shared" si="90"/>
        <v>2520</v>
      </c>
      <c r="AK117" s="17">
        <f t="shared" si="86"/>
        <v>2520</v>
      </c>
      <c r="AL117" s="17">
        <f t="shared" si="88"/>
        <v>2520</v>
      </c>
      <c r="AN117" s="17">
        <f t="shared" si="91"/>
        <v>2520</v>
      </c>
      <c r="AZ117" s="17">
        <f t="shared" si="92"/>
        <v>140</v>
      </c>
    </row>
    <row r="118" s="17" customFormat="1" ht="31" customHeight="1" spans="1:95">
      <c r="A118" s="68">
        <v>44876</v>
      </c>
      <c r="B118" s="70" t="s">
        <v>1543</v>
      </c>
      <c r="C118" s="18" t="s">
        <v>377</v>
      </c>
      <c r="D118" s="17">
        <v>4500090577</v>
      </c>
      <c r="E118" s="70">
        <v>19175141</v>
      </c>
      <c r="F118" s="17" t="s">
        <v>4240</v>
      </c>
      <c r="G118" s="70" t="s">
        <v>4237</v>
      </c>
      <c r="H118" s="70" t="s">
        <v>4203</v>
      </c>
      <c r="I118" s="70">
        <v>72</v>
      </c>
      <c r="J118" s="70">
        <v>0</v>
      </c>
      <c r="K118" s="70">
        <v>36</v>
      </c>
      <c r="L118" s="72">
        <f t="shared" si="89"/>
        <v>2</v>
      </c>
      <c r="M118" s="75">
        <v>44921</v>
      </c>
      <c r="N118" s="75" t="s">
        <v>4204</v>
      </c>
      <c r="O118" s="106"/>
      <c r="P118" s="106"/>
      <c r="Q118" s="98"/>
      <c r="R118" s="107">
        <v>44887</v>
      </c>
      <c r="S118" s="107" t="s">
        <v>88</v>
      </c>
      <c r="T118" s="107" t="s">
        <v>89</v>
      </c>
      <c r="U118" s="69" t="s">
        <v>4241</v>
      </c>
      <c r="V118" s="75" t="s">
        <v>4239</v>
      </c>
      <c r="W118" s="100">
        <v>1.9657</v>
      </c>
      <c r="X118" s="77">
        <f t="shared" si="87"/>
        <v>141.5304</v>
      </c>
      <c r="Y118" s="70"/>
      <c r="Z118" s="96"/>
      <c r="AA118" s="96"/>
      <c r="AB118" s="70" t="s">
        <v>4109</v>
      </c>
      <c r="AC118" s="70"/>
      <c r="AD118" s="115"/>
      <c r="AE118" s="115"/>
      <c r="AF118" s="70"/>
      <c r="AG118" s="70"/>
      <c r="AH118" s="74"/>
      <c r="AI118" s="17">
        <f t="shared" si="90"/>
        <v>72</v>
      </c>
      <c r="AK118" s="17">
        <f t="shared" si="86"/>
        <v>72</v>
      </c>
      <c r="AL118" s="17">
        <f t="shared" si="88"/>
        <v>72</v>
      </c>
      <c r="AN118" s="17">
        <f t="shared" si="91"/>
        <v>72</v>
      </c>
      <c r="AZ118" s="17">
        <f t="shared" si="92"/>
        <v>4</v>
      </c>
    </row>
    <row r="119" s="17" customFormat="1" ht="31" customHeight="1" spans="1:95">
      <c r="A119" s="68">
        <v>44876</v>
      </c>
      <c r="B119" s="70" t="s">
        <v>1535</v>
      </c>
      <c r="C119" s="18" t="s">
        <v>377</v>
      </c>
      <c r="D119" s="17">
        <v>4500090575</v>
      </c>
      <c r="E119" s="70">
        <v>19175243</v>
      </c>
      <c r="F119" s="17" t="s">
        <v>4242</v>
      </c>
      <c r="G119" s="70" t="s">
        <v>4237</v>
      </c>
      <c r="H119" s="70" t="s">
        <v>4203</v>
      </c>
      <c r="I119" s="70">
        <v>3096</v>
      </c>
      <c r="J119" s="70">
        <v>0</v>
      </c>
      <c r="K119" s="70">
        <v>36</v>
      </c>
      <c r="L119" s="72">
        <f t="shared" si="89"/>
        <v>86</v>
      </c>
      <c r="M119" s="75">
        <v>44921</v>
      </c>
      <c r="N119" s="75" t="s">
        <v>4204</v>
      </c>
      <c r="O119" s="106"/>
      <c r="P119" s="106"/>
      <c r="Q119" s="98"/>
      <c r="R119" s="107">
        <v>44887</v>
      </c>
      <c r="S119" s="107" t="s">
        <v>88</v>
      </c>
      <c r="T119" s="107" t="s">
        <v>89</v>
      </c>
      <c r="U119" s="69" t="s">
        <v>4243</v>
      </c>
      <c r="V119" s="75" t="s">
        <v>4239</v>
      </c>
      <c r="W119" s="100">
        <v>1.9522</v>
      </c>
      <c r="X119" s="77">
        <f t="shared" si="87"/>
        <v>6044.0112</v>
      </c>
      <c r="Y119" s="70"/>
      <c r="Z119" s="96"/>
      <c r="AA119" s="96"/>
      <c r="AB119" s="70" t="s">
        <v>4109</v>
      </c>
      <c r="AC119" s="70"/>
      <c r="AD119" s="115"/>
      <c r="AE119" s="115"/>
      <c r="AF119" s="70"/>
      <c r="AG119" s="70"/>
      <c r="AH119" s="74"/>
      <c r="AI119" s="17">
        <f t="shared" si="90"/>
        <v>3096</v>
      </c>
      <c r="AK119" s="17">
        <f t="shared" si="86"/>
        <v>3096</v>
      </c>
      <c r="AL119" s="17">
        <f t="shared" si="88"/>
        <v>3096</v>
      </c>
      <c r="AN119" s="17">
        <f t="shared" si="91"/>
        <v>3096</v>
      </c>
      <c r="AZ119" s="17">
        <f t="shared" si="92"/>
        <v>172</v>
      </c>
    </row>
    <row r="120" s="17" customFormat="1" ht="31" customHeight="1" spans="1:95">
      <c r="A120" s="68">
        <v>44876</v>
      </c>
      <c r="B120" s="70" t="s">
        <v>1543</v>
      </c>
      <c r="C120" s="18" t="s">
        <v>377</v>
      </c>
      <c r="D120" s="17">
        <v>4500090577</v>
      </c>
      <c r="E120" s="70">
        <v>19175141</v>
      </c>
      <c r="F120" s="17" t="s">
        <v>4244</v>
      </c>
      <c r="G120" s="70" t="s">
        <v>4237</v>
      </c>
      <c r="H120" s="70" t="s">
        <v>4203</v>
      </c>
      <c r="I120" s="70">
        <v>108</v>
      </c>
      <c r="J120" s="70">
        <v>0</v>
      </c>
      <c r="K120" s="70">
        <v>36</v>
      </c>
      <c r="L120" s="72">
        <f t="shared" si="89"/>
        <v>3</v>
      </c>
      <c r="M120" s="75">
        <v>44921</v>
      </c>
      <c r="N120" s="75" t="s">
        <v>4204</v>
      </c>
      <c r="O120" s="106"/>
      <c r="P120" s="106"/>
      <c r="Q120" s="98"/>
      <c r="R120" s="107">
        <v>44887</v>
      </c>
      <c r="S120" s="107" t="s">
        <v>88</v>
      </c>
      <c r="T120" s="107" t="s">
        <v>89</v>
      </c>
      <c r="U120" s="69" t="s">
        <v>4245</v>
      </c>
      <c r="V120" s="75" t="s">
        <v>4239</v>
      </c>
      <c r="W120" s="100">
        <v>1.9657</v>
      </c>
      <c r="X120" s="77">
        <f t="shared" si="87"/>
        <v>212.2956</v>
      </c>
      <c r="Y120" s="70"/>
      <c r="Z120" s="96"/>
      <c r="AA120" s="96"/>
      <c r="AB120" s="70" t="s">
        <v>4109</v>
      </c>
      <c r="AC120" s="70"/>
      <c r="AD120" s="115"/>
      <c r="AE120" s="115"/>
      <c r="AF120" s="70"/>
      <c r="AG120" s="70"/>
      <c r="AH120" s="74"/>
      <c r="AI120" s="17">
        <f t="shared" si="90"/>
        <v>108</v>
      </c>
      <c r="AK120" s="17">
        <f t="shared" si="86"/>
        <v>108</v>
      </c>
      <c r="AL120" s="17">
        <f t="shared" si="88"/>
        <v>108</v>
      </c>
      <c r="AN120" s="17">
        <f t="shared" si="91"/>
        <v>108</v>
      </c>
      <c r="AZ120" s="17">
        <f t="shared" si="92"/>
        <v>6</v>
      </c>
    </row>
    <row r="121" s="17" customFormat="1" ht="31" customHeight="1" spans="1:95">
      <c r="A121" s="68">
        <v>44879</v>
      </c>
      <c r="B121" s="70" t="s">
        <v>1535</v>
      </c>
      <c r="C121" s="18" t="s">
        <v>377</v>
      </c>
      <c r="D121" s="17">
        <v>4500090168</v>
      </c>
      <c r="E121" s="70">
        <v>19176379</v>
      </c>
      <c r="F121" s="17" t="s">
        <v>4246</v>
      </c>
      <c r="G121" s="70" t="s">
        <v>4247</v>
      </c>
      <c r="H121" s="70" t="s">
        <v>4203</v>
      </c>
      <c r="I121" s="70">
        <v>2160</v>
      </c>
      <c r="J121" s="70">
        <v>0</v>
      </c>
      <c r="K121" s="70">
        <v>36</v>
      </c>
      <c r="L121" s="72">
        <f t="shared" si="89"/>
        <v>60</v>
      </c>
      <c r="M121" s="75">
        <v>44914</v>
      </c>
      <c r="N121" s="75" t="s">
        <v>4204</v>
      </c>
      <c r="O121" s="106"/>
      <c r="P121" s="106"/>
      <c r="Q121" s="98"/>
      <c r="R121" s="107">
        <v>44882</v>
      </c>
      <c r="S121" s="107" t="s">
        <v>88</v>
      </c>
      <c r="T121" s="107">
        <v>44893</v>
      </c>
      <c r="U121" s="69" t="s">
        <v>4248</v>
      </c>
      <c r="V121" s="75" t="s">
        <v>4239</v>
      </c>
      <c r="W121" s="100">
        <v>2.0545</v>
      </c>
      <c r="X121" s="77">
        <f t="shared" si="87"/>
        <v>4437.72</v>
      </c>
      <c r="Y121" s="70"/>
      <c r="Z121" s="96"/>
      <c r="AA121" s="96"/>
      <c r="AB121" s="70" t="s">
        <v>4109</v>
      </c>
      <c r="AC121" s="70"/>
      <c r="AD121" s="115"/>
      <c r="AE121" s="115"/>
      <c r="AF121" s="70"/>
      <c r="AG121" s="70"/>
      <c r="AH121" s="74"/>
      <c r="AI121" s="17">
        <f t="shared" si="90"/>
        <v>2160</v>
      </c>
      <c r="AK121" s="17">
        <f t="shared" si="86"/>
        <v>2160</v>
      </c>
      <c r="AL121" s="17">
        <f t="shared" si="88"/>
        <v>2160</v>
      </c>
      <c r="AN121" s="17">
        <f t="shared" si="91"/>
        <v>2160</v>
      </c>
      <c r="AZ121" s="17">
        <f t="shared" si="92"/>
        <v>120</v>
      </c>
    </row>
    <row r="122" s="17" customFormat="1" ht="31" customHeight="1" spans="1:95">
      <c r="A122" s="68">
        <v>44879</v>
      </c>
      <c r="B122" s="70" t="s">
        <v>1543</v>
      </c>
      <c r="C122" s="18" t="s">
        <v>377</v>
      </c>
      <c r="D122" s="17">
        <v>4500090173</v>
      </c>
      <c r="E122" s="70">
        <v>19176029</v>
      </c>
      <c r="F122" s="17" t="s">
        <v>4249</v>
      </c>
      <c r="G122" s="70" t="s">
        <v>4237</v>
      </c>
      <c r="H122" s="70" t="s">
        <v>4203</v>
      </c>
      <c r="I122" s="70">
        <v>72</v>
      </c>
      <c r="J122" s="70">
        <v>0</v>
      </c>
      <c r="K122" s="70">
        <v>36</v>
      </c>
      <c r="L122" s="72">
        <f t="shared" si="89"/>
        <v>2</v>
      </c>
      <c r="M122" s="75">
        <v>44914</v>
      </c>
      <c r="N122" s="75" t="s">
        <v>4204</v>
      </c>
      <c r="O122" s="106"/>
      <c r="P122" s="106"/>
      <c r="Q122" s="98"/>
      <c r="R122" s="107">
        <v>44882</v>
      </c>
      <c r="S122" s="107" t="s">
        <v>88</v>
      </c>
      <c r="T122" s="107">
        <v>44893</v>
      </c>
      <c r="U122" s="69" t="s">
        <v>4250</v>
      </c>
      <c r="V122" s="75" t="s">
        <v>4239</v>
      </c>
      <c r="W122" s="100">
        <v>2.0831</v>
      </c>
      <c r="X122" s="77">
        <f t="shared" si="87"/>
        <v>149.9832</v>
      </c>
      <c r="Y122" s="70"/>
      <c r="Z122" s="96"/>
      <c r="AA122" s="96"/>
      <c r="AB122" s="70" t="s">
        <v>4109</v>
      </c>
      <c r="AC122" s="70"/>
      <c r="AD122" s="115"/>
      <c r="AE122" s="115"/>
      <c r="AF122" s="70"/>
      <c r="AG122" s="70"/>
      <c r="AH122" s="74"/>
      <c r="AI122" s="17">
        <f t="shared" si="90"/>
        <v>72</v>
      </c>
      <c r="AK122" s="17">
        <f t="shared" si="86"/>
        <v>72</v>
      </c>
      <c r="AL122" s="17">
        <f t="shared" si="88"/>
        <v>72</v>
      </c>
      <c r="AN122" s="17">
        <f t="shared" si="91"/>
        <v>72</v>
      </c>
      <c r="AZ122" s="17">
        <f t="shared" si="92"/>
        <v>4</v>
      </c>
    </row>
    <row r="123" s="17" customFormat="1" ht="31" customHeight="1" spans="1:95">
      <c r="A123" s="68">
        <v>44783</v>
      </c>
      <c r="B123" s="70" t="s">
        <v>1548</v>
      </c>
      <c r="C123" s="18" t="s">
        <v>125</v>
      </c>
      <c r="D123" s="17">
        <v>4500084289</v>
      </c>
      <c r="E123" s="70" t="s">
        <v>4251</v>
      </c>
      <c r="F123" s="70" t="s">
        <v>4216</v>
      </c>
      <c r="G123" s="70" t="s">
        <v>4202</v>
      </c>
      <c r="H123" s="70" t="s">
        <v>4203</v>
      </c>
      <c r="I123" s="70">
        <v>48006</v>
      </c>
      <c r="J123" s="70">
        <v>0</v>
      </c>
      <c r="K123" s="70">
        <v>18</v>
      </c>
      <c r="L123" s="72">
        <f t="shared" si="89"/>
        <v>2667</v>
      </c>
      <c r="M123" s="75">
        <v>44925</v>
      </c>
      <c r="N123" s="75" t="s">
        <v>4204</v>
      </c>
      <c r="O123" s="73"/>
      <c r="P123" s="73"/>
      <c r="Q123" s="70"/>
      <c r="R123" s="74" t="s">
        <v>89</v>
      </c>
      <c r="S123" s="74" t="s">
        <v>88</v>
      </c>
      <c r="T123" s="74" t="s">
        <v>89</v>
      </c>
      <c r="U123" s="69" t="s">
        <v>4218</v>
      </c>
      <c r="V123" s="75" t="s">
        <v>4219</v>
      </c>
      <c r="W123" s="100">
        <v>1.9839</v>
      </c>
      <c r="X123" s="77">
        <f t="shared" si="87"/>
        <v>95239.1034</v>
      </c>
      <c r="Y123" s="70"/>
      <c r="Z123" s="96"/>
      <c r="AA123" s="96"/>
      <c r="AB123" s="70" t="s">
        <v>4109</v>
      </c>
      <c r="AC123" s="70"/>
      <c r="AD123" s="115"/>
      <c r="AE123" s="115"/>
      <c r="AF123" s="70"/>
      <c r="AG123" s="70"/>
      <c r="AH123" s="74"/>
      <c r="AI123" s="17">
        <f t="shared" si="90"/>
        <v>48006</v>
      </c>
      <c r="AK123" s="17">
        <f t="shared" si="86"/>
        <v>48006</v>
      </c>
      <c r="AL123" s="17">
        <f t="shared" si="88"/>
        <v>48006</v>
      </c>
      <c r="AN123" s="17">
        <f t="shared" si="91"/>
        <v>48006</v>
      </c>
      <c r="AZ123" s="17">
        <f t="shared" si="92"/>
        <v>2667</v>
      </c>
    </row>
    <row r="124" s="17" customFormat="1" ht="31" customHeight="1" spans="1:95">
      <c r="A124" s="68">
        <v>44855</v>
      </c>
      <c r="B124" s="70" t="s">
        <v>4252</v>
      </c>
      <c r="C124" s="18" t="s">
        <v>1883</v>
      </c>
      <c r="D124" s="17">
        <v>4500089151</v>
      </c>
      <c r="E124" s="70">
        <v>5200001151</v>
      </c>
      <c r="F124" s="70" t="s">
        <v>4253</v>
      </c>
      <c r="G124" s="70" t="s">
        <v>4254</v>
      </c>
      <c r="H124" s="70" t="s">
        <v>4203</v>
      </c>
      <c r="I124" s="70">
        <v>5058</v>
      </c>
      <c r="J124" s="70">
        <v>0</v>
      </c>
      <c r="K124" s="70">
        <v>18</v>
      </c>
      <c r="L124" s="72">
        <f t="shared" si="89"/>
        <v>281</v>
      </c>
      <c r="M124" s="75">
        <v>44902</v>
      </c>
      <c r="N124" s="75" t="s">
        <v>4255</v>
      </c>
      <c r="O124" s="116">
        <f>5058-324-576-4158</f>
        <v>0</v>
      </c>
      <c r="P124" s="73"/>
      <c r="Q124" s="70"/>
      <c r="R124" s="74">
        <v>44865</v>
      </c>
      <c r="S124" s="74" t="s">
        <v>98</v>
      </c>
      <c r="T124" s="74" t="s">
        <v>4256</v>
      </c>
      <c r="U124" s="69" t="s">
        <v>4257</v>
      </c>
      <c r="V124" s="75" t="s">
        <v>4258</v>
      </c>
      <c r="W124" s="100">
        <v>2.21</v>
      </c>
      <c r="X124" s="77">
        <f t="shared" si="87"/>
        <v>11178.18</v>
      </c>
      <c r="Y124" s="70"/>
      <c r="Z124" s="96"/>
      <c r="AA124" s="96"/>
      <c r="AB124" s="70" t="s">
        <v>4109</v>
      </c>
      <c r="AC124" s="70"/>
      <c r="AD124" s="115"/>
      <c r="AE124" s="115"/>
      <c r="AF124" s="70"/>
      <c r="AG124" s="70"/>
      <c r="AH124" s="74"/>
      <c r="AJ124" s="17">
        <f>I124</f>
        <v>5058</v>
      </c>
      <c r="AO124" s="17">
        <f>I124</f>
        <v>5058</v>
      </c>
      <c r="AP124" s="17">
        <f>I124</f>
        <v>5058</v>
      </c>
      <c r="AR124" s="17">
        <f>I124</f>
        <v>5058</v>
      </c>
      <c r="BA124" s="17">
        <f>I124/18</f>
        <v>281</v>
      </c>
    </row>
    <row r="125" s="17" customFormat="1" ht="31" customHeight="1" spans="1:95">
      <c r="A125" s="68">
        <v>44902</v>
      </c>
      <c r="B125" s="70" t="s">
        <v>420</v>
      </c>
      <c r="C125" s="18" t="s">
        <v>125</v>
      </c>
      <c r="D125" s="17">
        <v>4500092268</v>
      </c>
      <c r="E125" s="70" t="s">
        <v>4259</v>
      </c>
      <c r="F125" s="17" t="s">
        <v>4260</v>
      </c>
      <c r="G125" s="84" t="s">
        <v>4187</v>
      </c>
      <c r="H125" s="70" t="s">
        <v>4188</v>
      </c>
      <c r="I125" s="78">
        <v>304</v>
      </c>
      <c r="J125" s="70">
        <v>0</v>
      </c>
      <c r="K125" s="70">
        <v>16</v>
      </c>
      <c r="L125" s="72">
        <f t="shared" si="89"/>
        <v>19</v>
      </c>
      <c r="M125" s="75">
        <v>44967</v>
      </c>
      <c r="N125" s="75" t="s">
        <v>4261</v>
      </c>
      <c r="O125" s="73"/>
      <c r="P125" s="73"/>
      <c r="Q125" s="70"/>
      <c r="R125" s="74" t="s">
        <v>4262</v>
      </c>
      <c r="S125" s="74" t="s">
        <v>88</v>
      </c>
      <c r="T125" s="74" t="s">
        <v>89</v>
      </c>
      <c r="U125" s="69" t="s">
        <v>4263</v>
      </c>
      <c r="V125" s="75" t="s">
        <v>4148</v>
      </c>
      <c r="W125" s="117">
        <v>4.1193</v>
      </c>
      <c r="X125" s="89">
        <f>I125*W125</f>
        <v>1252.2672</v>
      </c>
      <c r="Y125" s="70"/>
      <c r="Z125" s="70" t="s">
        <v>93</v>
      </c>
      <c r="AA125" s="70" t="s">
        <v>94</v>
      </c>
      <c r="AB125" s="70"/>
      <c r="AC125" s="70"/>
      <c r="AD125" s="115"/>
      <c r="AE125" s="115"/>
      <c r="AF125" s="70"/>
      <c r="AG125" s="70"/>
      <c r="AH125" s="17">
        <f>I125*2</f>
        <v>608</v>
      </c>
      <c r="AN125" s="18">
        <f>I125*2</f>
        <v>608</v>
      </c>
      <c r="AO125" s="18">
        <f>I125*2</f>
        <v>608</v>
      </c>
      <c r="AU125" s="18">
        <f>I125</f>
        <v>304</v>
      </c>
      <c r="AV125" s="18">
        <f>I125</f>
        <v>304</v>
      </c>
      <c r="AW125" s="18">
        <f>I125</f>
        <v>304</v>
      </c>
      <c r="BP125" s="79" t="e">
        <f>$AH125*#REF!</f>
        <v>#REF!</v>
      </c>
      <c r="BQ125" s="79" t="e">
        <f>$AH125*#REF!</f>
        <v>#REF!</v>
      </c>
      <c r="BR125" s="79" t="e">
        <f>$AH125*#REF!</f>
        <v>#REF!</v>
      </c>
      <c r="BS125" s="79" t="e">
        <f>$AH125*#REF!</f>
        <v>#REF!</v>
      </c>
      <c r="BT125" s="79" t="e">
        <f>$AH125*#REF!</f>
        <v>#REF!</v>
      </c>
      <c r="BU125" s="79" t="e">
        <f>$AH125*#REF!</f>
        <v>#REF!</v>
      </c>
      <c r="BV125" s="79" t="e">
        <f>$AH125*#REF!</f>
        <v>#REF!</v>
      </c>
      <c r="BW125" s="79" t="e">
        <f>$AH125*#REF!</f>
        <v>#REF!</v>
      </c>
      <c r="BX125" s="79" t="e">
        <f>$AH125*#REF!</f>
        <v>#REF!</v>
      </c>
      <c r="BY125" s="79" t="e">
        <f>$AH125*#REF!</f>
        <v>#REF!</v>
      </c>
      <c r="BZ125" s="79" t="e">
        <f>$AH125*#REF!</f>
        <v>#REF!</v>
      </c>
      <c r="CA125" s="79" t="e">
        <f>$AH125*#REF!</f>
        <v>#REF!</v>
      </c>
      <c r="CB125" s="79" t="e">
        <f>$AH125*#REF!</f>
        <v>#REF!</v>
      </c>
      <c r="CC125" s="79" t="e">
        <f>$AH125*#REF!</f>
        <v>#REF!</v>
      </c>
      <c r="CD125" s="79" t="e">
        <f>$AH125*#REF!</f>
        <v>#REF!</v>
      </c>
      <c r="CE125" s="79" t="e">
        <f>$AH125*#REF!</f>
        <v>#REF!</v>
      </c>
      <c r="CF125" s="79" t="e">
        <f>$AH125*#REF!</f>
        <v>#REF!</v>
      </c>
      <c r="CG125" s="79" t="e">
        <f>$AH125*#REF!</f>
        <v>#REF!</v>
      </c>
      <c r="CH125" s="79" t="e">
        <f>$AH125*#REF!</f>
        <v>#REF!</v>
      </c>
      <c r="CI125" s="79" t="e">
        <f>$AH125*#REF!</f>
        <v>#REF!</v>
      </c>
      <c r="CJ125" s="79" t="e">
        <f>$AH125*#REF!</f>
        <v>#REF!</v>
      </c>
      <c r="CK125" s="79"/>
      <c r="CN125" s="17">
        <f>BA125+BB125</f>
        <v>0</v>
      </c>
      <c r="CQ125" s="17">
        <f>BE125+BG125+BI125+BJ125+BF125+BH125</f>
        <v>0</v>
      </c>
    </row>
    <row r="126" s="17" customFormat="1" ht="31" customHeight="1" spans="1:95">
      <c r="A126" s="68">
        <v>44902</v>
      </c>
      <c r="B126" s="70" t="s">
        <v>420</v>
      </c>
      <c r="C126" s="18" t="s">
        <v>125</v>
      </c>
      <c r="D126" s="17">
        <v>4500092275</v>
      </c>
      <c r="E126" s="70" t="s">
        <v>4264</v>
      </c>
      <c r="F126" s="17" t="s">
        <v>4265</v>
      </c>
      <c r="G126" s="84" t="s">
        <v>4187</v>
      </c>
      <c r="H126" s="70" t="s">
        <v>4188</v>
      </c>
      <c r="I126" s="78">
        <v>2032</v>
      </c>
      <c r="J126" s="70">
        <v>0</v>
      </c>
      <c r="K126" s="70">
        <v>16</v>
      </c>
      <c r="L126" s="72">
        <f t="shared" si="89"/>
        <v>127</v>
      </c>
      <c r="M126" s="75">
        <v>44967</v>
      </c>
      <c r="N126" s="75" t="s">
        <v>4261</v>
      </c>
      <c r="O126" s="73"/>
      <c r="P126" s="73"/>
      <c r="Q126" s="70"/>
      <c r="R126" s="74" t="s">
        <v>4262</v>
      </c>
      <c r="S126" s="74" t="s">
        <v>88</v>
      </c>
      <c r="T126" s="74" t="s">
        <v>89</v>
      </c>
      <c r="U126" s="69" t="s">
        <v>4266</v>
      </c>
      <c r="V126" s="75" t="s">
        <v>4148</v>
      </c>
      <c r="W126" s="117">
        <v>4.1693</v>
      </c>
      <c r="X126" s="89">
        <f>I126*W126</f>
        <v>8472.0176</v>
      </c>
      <c r="Y126" s="70"/>
      <c r="Z126" s="70" t="s">
        <v>93</v>
      </c>
      <c r="AA126" s="70" t="s">
        <v>94</v>
      </c>
      <c r="AB126" s="70"/>
      <c r="AC126" s="70"/>
      <c r="AD126" s="115"/>
      <c r="AE126" s="115"/>
      <c r="AF126" s="70"/>
      <c r="AG126" s="70"/>
      <c r="AH126" s="17">
        <f>I126*2</f>
        <v>4064</v>
      </c>
      <c r="AN126" s="18">
        <f>I126*2</f>
        <v>4064</v>
      </c>
      <c r="AO126" s="18">
        <f>I126*2</f>
        <v>4064</v>
      </c>
      <c r="AU126" s="18">
        <f>I126</f>
        <v>2032</v>
      </c>
      <c r="AV126" s="18">
        <f>I126</f>
        <v>2032</v>
      </c>
      <c r="AW126" s="18">
        <f>I126</f>
        <v>2032</v>
      </c>
      <c r="BP126" s="79" t="e">
        <f>$AH126*#REF!</f>
        <v>#REF!</v>
      </c>
      <c r="BQ126" s="79" t="e">
        <f>$AH126*#REF!</f>
        <v>#REF!</v>
      </c>
      <c r="BR126" s="79" t="e">
        <f>$AH126*#REF!</f>
        <v>#REF!</v>
      </c>
      <c r="BS126" s="79" t="e">
        <f>$AH126*#REF!</f>
        <v>#REF!</v>
      </c>
      <c r="BT126" s="79" t="e">
        <f>$AH126*#REF!</f>
        <v>#REF!</v>
      </c>
      <c r="BU126" s="79" t="e">
        <f>$AH126*#REF!</f>
        <v>#REF!</v>
      </c>
      <c r="BV126" s="79" t="e">
        <f>$AH126*#REF!</f>
        <v>#REF!</v>
      </c>
      <c r="BW126" s="79" t="e">
        <f>$AH126*#REF!</f>
        <v>#REF!</v>
      </c>
      <c r="BX126" s="79" t="e">
        <f>$AH126*#REF!</f>
        <v>#REF!</v>
      </c>
      <c r="BY126" s="79" t="e">
        <f>$AH126*#REF!</f>
        <v>#REF!</v>
      </c>
      <c r="BZ126" s="79" t="e">
        <f>$AH126*#REF!</f>
        <v>#REF!</v>
      </c>
      <c r="CA126" s="79" t="e">
        <f>$AH126*#REF!</f>
        <v>#REF!</v>
      </c>
      <c r="CB126" s="79" t="e">
        <f>$AH126*#REF!</f>
        <v>#REF!</v>
      </c>
      <c r="CC126" s="79" t="e">
        <f>$AH126*#REF!</f>
        <v>#REF!</v>
      </c>
      <c r="CD126" s="79" t="e">
        <f>$AH126*#REF!</f>
        <v>#REF!</v>
      </c>
      <c r="CE126" s="79" t="e">
        <f>$AH126*#REF!</f>
        <v>#REF!</v>
      </c>
      <c r="CF126" s="79" t="e">
        <f>$AH126*#REF!</f>
        <v>#REF!</v>
      </c>
      <c r="CG126" s="79" t="e">
        <f>$AH126*#REF!</f>
        <v>#REF!</v>
      </c>
      <c r="CH126" s="79" t="e">
        <f>$AH126*#REF!</f>
        <v>#REF!</v>
      </c>
      <c r="CI126" s="79" t="e">
        <f>$AH126*#REF!</f>
        <v>#REF!</v>
      </c>
      <c r="CJ126" s="79" t="e">
        <f>$AH126*#REF!</f>
        <v>#REF!</v>
      </c>
      <c r="CK126" s="79"/>
      <c r="CN126" s="17">
        <f>BA126+BB126</f>
        <v>0</v>
      </c>
      <c r="CQ126" s="17">
        <f>BE126+BG126+BI126+BJ126+BF126+BH126</f>
        <v>0</v>
      </c>
    </row>
    <row r="127" s="17" customFormat="1" ht="31" customHeight="1" spans="1:95">
      <c r="A127" s="68">
        <v>44909</v>
      </c>
      <c r="B127" s="18" t="s">
        <v>4267</v>
      </c>
      <c r="C127" s="18" t="s">
        <v>125</v>
      </c>
      <c r="D127" s="17">
        <v>4500092766</v>
      </c>
      <c r="E127" s="70">
        <v>214076132</v>
      </c>
      <c r="F127" s="17" t="s">
        <v>4268</v>
      </c>
      <c r="G127" s="70" t="s">
        <v>4269</v>
      </c>
      <c r="H127" s="70" t="s">
        <v>4203</v>
      </c>
      <c r="I127" s="70">
        <v>888</v>
      </c>
      <c r="J127" s="70">
        <v>0</v>
      </c>
      <c r="K127" s="70">
        <v>24</v>
      </c>
      <c r="L127" s="72">
        <f t="shared" si="89"/>
        <v>37</v>
      </c>
      <c r="M127" s="75">
        <v>45000</v>
      </c>
      <c r="N127" s="75" t="s">
        <v>4270</v>
      </c>
      <c r="O127" s="73"/>
      <c r="P127" s="73"/>
      <c r="Q127" s="70"/>
      <c r="R127" s="90">
        <v>44942</v>
      </c>
      <c r="S127" s="90" t="s">
        <v>98</v>
      </c>
      <c r="T127" s="90" t="s">
        <v>98</v>
      </c>
      <c r="U127" s="69" t="s">
        <v>4271</v>
      </c>
      <c r="V127" s="75" t="s">
        <v>4272</v>
      </c>
      <c r="W127" s="100">
        <v>2.19</v>
      </c>
      <c r="X127" s="77">
        <f t="shared" ref="X127:X131" si="93">W127*I127</f>
        <v>1944.72</v>
      </c>
      <c r="Y127" s="70"/>
      <c r="Z127" s="96"/>
      <c r="AA127" s="96"/>
      <c r="AB127" s="70"/>
      <c r="AC127" s="70"/>
      <c r="AD127" s="115"/>
      <c r="AE127" s="115"/>
      <c r="AF127" s="70" t="s">
        <v>98</v>
      </c>
      <c r="AG127" s="70"/>
      <c r="AH127" s="74"/>
      <c r="AI127" s="17">
        <f>I127</f>
        <v>888</v>
      </c>
      <c r="AK127" s="17">
        <f>I127</f>
        <v>888</v>
      </c>
      <c r="AL127" s="17">
        <f t="shared" ref="AL127:AL130" si="94">I127</f>
        <v>888</v>
      </c>
      <c r="AN127" s="17">
        <f>I127</f>
        <v>888</v>
      </c>
      <c r="BI127" s="17">
        <f>I127/12</f>
        <v>74</v>
      </c>
    </row>
    <row r="128" s="17" customFormat="1" ht="31" customHeight="1" spans="1:95">
      <c r="A128" s="68">
        <v>44909</v>
      </c>
      <c r="B128" s="18" t="s">
        <v>4267</v>
      </c>
      <c r="C128" s="18" t="s">
        <v>125</v>
      </c>
      <c r="D128" s="17">
        <v>4500092767</v>
      </c>
      <c r="E128" s="70">
        <v>214076135</v>
      </c>
      <c r="F128" s="17" t="s">
        <v>4273</v>
      </c>
      <c r="G128" s="70" t="s">
        <v>4269</v>
      </c>
      <c r="H128" s="70" t="s">
        <v>4203</v>
      </c>
      <c r="I128" s="70">
        <v>1632</v>
      </c>
      <c r="J128" s="70">
        <v>0</v>
      </c>
      <c r="K128" s="70">
        <v>24</v>
      </c>
      <c r="L128" s="72">
        <f t="shared" si="89"/>
        <v>68</v>
      </c>
      <c r="M128" s="75">
        <v>45000</v>
      </c>
      <c r="N128" s="75" t="s">
        <v>4270</v>
      </c>
      <c r="O128" s="73"/>
      <c r="P128" s="73"/>
      <c r="Q128" s="70"/>
      <c r="R128" s="90">
        <v>44942</v>
      </c>
      <c r="S128" s="90" t="s">
        <v>98</v>
      </c>
      <c r="T128" s="90" t="s">
        <v>98</v>
      </c>
      <c r="U128" s="69" t="s">
        <v>4271</v>
      </c>
      <c r="V128" s="75" t="s">
        <v>4272</v>
      </c>
      <c r="W128" s="100">
        <v>2.19</v>
      </c>
      <c r="X128" s="77">
        <f t="shared" si="93"/>
        <v>3574.08</v>
      </c>
      <c r="Y128" s="70"/>
      <c r="Z128" s="96"/>
      <c r="AA128" s="96"/>
      <c r="AB128" s="70"/>
      <c r="AC128" s="70"/>
      <c r="AD128" s="115"/>
      <c r="AE128" s="115"/>
      <c r="AF128" s="70" t="s">
        <v>98</v>
      </c>
      <c r="AG128" s="70"/>
      <c r="AH128" s="74"/>
      <c r="AI128" s="17">
        <f>I128</f>
        <v>1632</v>
      </c>
      <c r="AK128" s="17">
        <f>I128</f>
        <v>1632</v>
      </c>
      <c r="AL128" s="17">
        <f t="shared" si="94"/>
        <v>1632</v>
      </c>
      <c r="AN128" s="17">
        <f>I128</f>
        <v>1632</v>
      </c>
      <c r="BI128" s="17">
        <f>I128/12</f>
        <v>136</v>
      </c>
    </row>
    <row r="129" s="17" customFormat="1" ht="31" customHeight="1" spans="1:97">
      <c r="A129" s="68">
        <v>44859</v>
      </c>
      <c r="B129" s="70" t="s">
        <v>4274</v>
      </c>
      <c r="C129" s="18" t="s">
        <v>1843</v>
      </c>
      <c r="D129" s="17">
        <v>4500089328</v>
      </c>
      <c r="E129" s="70"/>
      <c r="F129" s="70" t="s">
        <v>4275</v>
      </c>
      <c r="G129" s="70" t="s">
        <v>4276</v>
      </c>
      <c r="H129" s="70" t="s">
        <v>4203</v>
      </c>
      <c r="I129" s="70">
        <v>3600</v>
      </c>
      <c r="J129" s="70">
        <v>0</v>
      </c>
      <c r="K129" s="70">
        <v>36</v>
      </c>
      <c r="L129" s="72">
        <f t="shared" si="89"/>
        <v>100</v>
      </c>
      <c r="M129" s="75">
        <v>44972</v>
      </c>
      <c r="N129" s="75" t="s">
        <v>4277</v>
      </c>
      <c r="O129" s="73"/>
      <c r="P129" s="118"/>
      <c r="Q129" s="70"/>
      <c r="R129" s="74">
        <v>44896</v>
      </c>
      <c r="S129" s="74" t="s">
        <v>4278</v>
      </c>
      <c r="T129" s="74" t="s">
        <v>89</v>
      </c>
      <c r="U129" s="69" t="s">
        <v>4279</v>
      </c>
      <c r="V129" s="75" t="s">
        <v>4258</v>
      </c>
      <c r="W129" s="100">
        <v>1.9155</v>
      </c>
      <c r="X129" s="77">
        <f t="shared" si="93"/>
        <v>6895.8</v>
      </c>
      <c r="Y129" s="70"/>
      <c r="Z129" s="96" t="s">
        <v>93</v>
      </c>
      <c r="AA129" s="96" t="s">
        <v>94</v>
      </c>
      <c r="AB129" s="70" t="s">
        <v>4109</v>
      </c>
      <c r="AC129" s="118">
        <v>44890</v>
      </c>
      <c r="AD129" s="115"/>
      <c r="AE129" s="115"/>
      <c r="AF129" s="70"/>
      <c r="AG129" s="70"/>
      <c r="AH129" s="74"/>
      <c r="AO129" s="17">
        <f>I129</f>
        <v>3600</v>
      </c>
      <c r="AP129" s="17">
        <f>I129</f>
        <v>3600</v>
      </c>
      <c r="AR129" s="17">
        <f>I129</f>
        <v>3600</v>
      </c>
      <c r="BA129" s="17">
        <f>I129/18</f>
        <v>200</v>
      </c>
    </row>
    <row r="130" s="17" customFormat="1" ht="31" customHeight="1" spans="1:97">
      <c r="A130" s="68">
        <v>44921</v>
      </c>
      <c r="B130" s="119" t="s">
        <v>4132</v>
      </c>
      <c r="C130" s="120" t="s">
        <v>125</v>
      </c>
      <c r="D130" s="17">
        <v>4500092508</v>
      </c>
      <c r="E130" s="70">
        <v>977807</v>
      </c>
      <c r="F130" s="17" t="s">
        <v>4280</v>
      </c>
      <c r="G130" s="70" t="s">
        <v>4281</v>
      </c>
      <c r="H130" s="70" t="s">
        <v>4203</v>
      </c>
      <c r="I130" s="70">
        <v>7992</v>
      </c>
      <c r="J130" s="70">
        <v>0</v>
      </c>
      <c r="K130" s="70">
        <v>12</v>
      </c>
      <c r="L130" s="72">
        <f t="shared" si="89"/>
        <v>666</v>
      </c>
      <c r="M130" s="75">
        <v>44987</v>
      </c>
      <c r="N130" s="75" t="s">
        <v>4282</v>
      </c>
      <c r="O130" s="73"/>
      <c r="P130" s="73"/>
      <c r="Q130" s="70"/>
      <c r="R130" s="90">
        <v>44929</v>
      </c>
      <c r="S130" s="90" t="s">
        <v>98</v>
      </c>
      <c r="T130" s="90" t="s">
        <v>89</v>
      </c>
      <c r="U130" s="69" t="s">
        <v>4283</v>
      </c>
      <c r="V130" s="75" t="s">
        <v>4284</v>
      </c>
      <c r="W130" s="100">
        <v>2.0765</v>
      </c>
      <c r="X130" s="77">
        <f t="shared" si="93"/>
        <v>16595.388</v>
      </c>
      <c r="Y130" s="70"/>
      <c r="Z130" s="96" t="s">
        <v>93</v>
      </c>
      <c r="AA130" s="96" t="s">
        <v>94</v>
      </c>
      <c r="AB130" s="70"/>
      <c r="AC130" s="70"/>
      <c r="AD130" s="70">
        <f>AC130-I130</f>
        <v>-7992</v>
      </c>
      <c r="AE130" s="115"/>
      <c r="AF130" s="70"/>
      <c r="AG130" s="70"/>
      <c r="AH130" s="74"/>
      <c r="AL130" s="17">
        <f t="shared" si="94"/>
        <v>7992</v>
      </c>
      <c r="AO130" s="17">
        <f>I130</f>
        <v>7992</v>
      </c>
      <c r="AP130" s="17">
        <f>I130</f>
        <v>7992</v>
      </c>
      <c r="BB130" s="17">
        <f>I130/12</f>
        <v>666</v>
      </c>
    </row>
    <row r="131" s="17" customFormat="1" ht="31" customHeight="1" spans="1:97">
      <c r="A131" s="68">
        <v>44963</v>
      </c>
      <c r="B131" s="70" t="s">
        <v>631</v>
      </c>
      <c r="C131" s="120" t="s">
        <v>4285</v>
      </c>
      <c r="D131" s="17">
        <v>4500094726</v>
      </c>
      <c r="E131" s="70" t="s">
        <v>4286</v>
      </c>
      <c r="F131" s="17" t="s">
        <v>4287</v>
      </c>
      <c r="G131" s="70" t="s">
        <v>4288</v>
      </c>
      <c r="H131" s="70" t="s">
        <v>4289</v>
      </c>
      <c r="I131" s="70">
        <v>504</v>
      </c>
      <c r="J131" s="70">
        <v>0</v>
      </c>
      <c r="K131" s="70">
        <v>12</v>
      </c>
      <c r="L131" s="72">
        <f t="shared" si="89"/>
        <v>42</v>
      </c>
      <c r="M131" s="75">
        <v>45016</v>
      </c>
      <c r="N131" s="75" t="s">
        <v>4290</v>
      </c>
      <c r="O131" s="73"/>
      <c r="P131" s="73"/>
      <c r="Q131" s="70"/>
      <c r="R131" s="90" t="s">
        <v>4291</v>
      </c>
      <c r="S131" s="90" t="s">
        <v>88</v>
      </c>
      <c r="T131" s="90" t="s">
        <v>89</v>
      </c>
      <c r="U131" s="69" t="s">
        <v>4292</v>
      </c>
      <c r="V131" s="75" t="s">
        <v>4192</v>
      </c>
      <c r="W131" s="100">
        <v>4.0118</v>
      </c>
      <c r="X131" s="77">
        <f t="shared" si="93"/>
        <v>2021.9472</v>
      </c>
      <c r="Y131" s="70"/>
      <c r="Z131" s="96" t="s">
        <v>4230</v>
      </c>
      <c r="AA131" s="96"/>
      <c r="AB131" s="70"/>
      <c r="AC131" s="70"/>
      <c r="AD131" s="115"/>
      <c r="AE131" s="115"/>
      <c r="AF131" s="70"/>
      <c r="AG131" s="70"/>
      <c r="AH131" s="74"/>
      <c r="AL131" s="17">
        <f>I131*2</f>
        <v>1008</v>
      </c>
      <c r="AO131" s="17">
        <f>AL131</f>
        <v>1008</v>
      </c>
      <c r="BC131" s="17">
        <f>I131</f>
        <v>504</v>
      </c>
      <c r="BD131" s="17">
        <f>I131</f>
        <v>504</v>
      </c>
      <c r="BE131" s="17">
        <f>I131</f>
        <v>504</v>
      </c>
    </row>
    <row r="132" s="20" customFormat="1" ht="28" customHeight="1" spans="1:97">
      <c r="A132" s="121">
        <v>44999</v>
      </c>
      <c r="B132" s="122" t="s">
        <v>194</v>
      </c>
      <c r="C132" s="123" t="s">
        <v>125</v>
      </c>
      <c r="D132" s="20">
        <v>4500097232</v>
      </c>
      <c r="E132" s="124">
        <v>60084364</v>
      </c>
      <c r="F132" s="20" t="s">
        <v>4293</v>
      </c>
      <c r="G132" s="125" t="s">
        <v>4187</v>
      </c>
      <c r="H132" s="124" t="s">
        <v>4188</v>
      </c>
      <c r="I132" s="126">
        <v>6000</v>
      </c>
      <c r="J132" s="124">
        <v>0</v>
      </c>
      <c r="K132" s="124">
        <v>16</v>
      </c>
      <c r="L132" s="127">
        <f t="shared" si="89"/>
        <v>375</v>
      </c>
      <c r="M132" s="128">
        <v>45033</v>
      </c>
      <c r="N132" s="128" t="s">
        <v>4294</v>
      </c>
      <c r="O132" s="129"/>
      <c r="P132" s="129"/>
      <c r="Q132" s="124"/>
      <c r="R132" s="130">
        <v>44999</v>
      </c>
      <c r="S132" s="130" t="s">
        <v>98</v>
      </c>
      <c r="T132" s="130" t="s">
        <v>89</v>
      </c>
      <c r="U132" s="131" t="s">
        <v>4295</v>
      </c>
      <c r="V132" s="21" t="s">
        <v>4296</v>
      </c>
      <c r="W132" s="132">
        <v>4.0975</v>
      </c>
      <c r="X132" s="133">
        <f>I132*W132</f>
        <v>24585</v>
      </c>
      <c r="Y132" s="124"/>
      <c r="Z132" s="134" t="s">
        <v>93</v>
      </c>
      <c r="AA132" s="124" t="s">
        <v>94</v>
      </c>
      <c r="AB132" s="124"/>
      <c r="AC132" s="124"/>
      <c r="AD132" s="135"/>
      <c r="AE132" s="135"/>
      <c r="AF132" s="124"/>
      <c r="AG132" s="124"/>
      <c r="AH132" s="20">
        <f>I132*2</f>
        <v>12000</v>
      </c>
      <c r="AN132" s="20">
        <f>I132*2</f>
        <v>12000</v>
      </c>
      <c r="AO132" s="20">
        <f>AN132</f>
        <v>12000</v>
      </c>
      <c r="AR132" s="136"/>
      <c r="AS132" s="136"/>
      <c r="AT132" s="136"/>
      <c r="AU132" s="136"/>
      <c r="AW132" s="136">
        <f>I132</f>
        <v>6000</v>
      </c>
      <c r="AX132" s="136">
        <f>I132</f>
        <v>6000</v>
      </c>
      <c r="AY132" s="136">
        <f>I132</f>
        <v>6000</v>
      </c>
      <c r="BH132" s="136"/>
      <c r="BJ132" s="136"/>
      <c r="BR132" s="137" t="e">
        <f>$AH132*#REF!</f>
        <v>#REF!</v>
      </c>
      <c r="BS132" s="137" t="e">
        <f>$AH132*#REF!</f>
        <v>#REF!</v>
      </c>
      <c r="BT132" s="137" t="e">
        <f>$AH132*#REF!</f>
        <v>#REF!</v>
      </c>
      <c r="BU132" s="137" t="e">
        <f>$AH132*#REF!</f>
        <v>#REF!</v>
      </c>
      <c r="BV132" s="137" t="e">
        <f>$AH132*#REF!</f>
        <v>#REF!</v>
      </c>
      <c r="BW132" s="137" t="e">
        <f>$AH132*#REF!</f>
        <v>#REF!</v>
      </c>
      <c r="BX132" s="137" t="e">
        <f>$AH132*#REF!</f>
        <v>#REF!</v>
      </c>
      <c r="BY132" s="137" t="e">
        <f>$AH132*#REF!</f>
        <v>#REF!</v>
      </c>
      <c r="BZ132" s="137" t="e">
        <f>$AH132*#REF!</f>
        <v>#REF!</v>
      </c>
      <c r="CA132" s="137" t="e">
        <f>$AH132*#REF!</f>
        <v>#REF!</v>
      </c>
      <c r="CB132" s="137" t="e">
        <f>$AH132*#REF!</f>
        <v>#REF!</v>
      </c>
      <c r="CC132" s="137" t="e">
        <f>$AH132*#REF!</f>
        <v>#REF!</v>
      </c>
      <c r="CD132" s="137" t="e">
        <f>$AH132*#REF!</f>
        <v>#REF!</v>
      </c>
      <c r="CE132" s="137" t="e">
        <f>$AH132*#REF!</f>
        <v>#REF!</v>
      </c>
      <c r="CF132" s="137" t="e">
        <f>$AH132*#REF!</f>
        <v>#REF!</v>
      </c>
      <c r="CG132" s="137" t="e">
        <f>$AH132*#REF!</f>
        <v>#REF!</v>
      </c>
      <c r="CH132" s="137" t="e">
        <f>$AH132*#REF!</f>
        <v>#REF!</v>
      </c>
      <c r="CI132" s="137" t="e">
        <f>$AH132*#REF!</f>
        <v>#REF!</v>
      </c>
      <c r="CJ132" s="137" t="e">
        <f>$AH132*#REF!</f>
        <v>#REF!</v>
      </c>
      <c r="CK132" s="137" t="e">
        <f>$AH132*#REF!</f>
        <v>#REF!</v>
      </c>
      <c r="CL132" s="137" t="e">
        <f>$AH132*#REF!</f>
        <v>#REF!</v>
      </c>
      <c r="CM132" s="137"/>
      <c r="CP132" s="20">
        <f>BC132+BD132</f>
        <v>0</v>
      </c>
      <c r="CS132" s="20">
        <f>BG132+BI132+BK132+BL132+BH132+BJ132</f>
        <v>0</v>
      </c>
    </row>
    <row r="133" s="21" customFormat="1" ht="31" customHeight="1" spans="1:97">
      <c r="A133" s="138">
        <v>44957</v>
      </c>
      <c r="B133" s="139" t="s">
        <v>1051</v>
      </c>
      <c r="C133" s="140" t="s">
        <v>4285</v>
      </c>
      <c r="D133" s="21">
        <v>4500094129</v>
      </c>
      <c r="E133" s="141" t="s">
        <v>4297</v>
      </c>
      <c r="F133" s="21" t="s">
        <v>4298</v>
      </c>
      <c r="G133" s="142" t="s">
        <v>84</v>
      </c>
      <c r="H133" s="141" t="s">
        <v>85</v>
      </c>
      <c r="I133" s="141">
        <v>360</v>
      </c>
      <c r="J133" s="141">
        <v>0</v>
      </c>
      <c r="K133" s="141">
        <v>4</v>
      </c>
      <c r="L133" s="143">
        <f t="shared" si="89"/>
        <v>90</v>
      </c>
      <c r="M133" s="144">
        <v>45034</v>
      </c>
      <c r="N133" s="144" t="s">
        <v>4299</v>
      </c>
      <c r="O133" s="145"/>
      <c r="P133" s="145"/>
      <c r="Q133" s="141" t="s">
        <v>4300</v>
      </c>
      <c r="R133" s="146">
        <v>44985</v>
      </c>
      <c r="S133" s="146" t="s">
        <v>98</v>
      </c>
      <c r="T133" s="146" t="s">
        <v>98</v>
      </c>
      <c r="U133" s="139" t="s">
        <v>4301</v>
      </c>
      <c r="V133" s="144" t="s">
        <v>4302</v>
      </c>
      <c r="W133" s="147">
        <v>8.2</v>
      </c>
      <c r="X133" s="148">
        <f>I133*W133</f>
        <v>2952</v>
      </c>
      <c r="Y133" s="141"/>
      <c r="Z133" s="141" t="s">
        <v>93</v>
      </c>
      <c r="AA133" s="141"/>
      <c r="AB133" s="141"/>
      <c r="AC133" s="149"/>
      <c r="AD133" s="149"/>
      <c r="AE133" s="149"/>
      <c r="AF133" s="141"/>
      <c r="AG133" s="141"/>
      <c r="AH133" s="146"/>
      <c r="AI133" s="21">
        <f>I133</f>
        <v>360</v>
      </c>
      <c r="AK133" s="21">
        <f>I133</f>
        <v>360</v>
      </c>
      <c r="AL133" s="21">
        <f>I133</f>
        <v>360</v>
      </c>
    </row>
    <row r="134" s="22" customFormat="1" ht="31" customHeight="1" spans="1:97">
      <c r="A134" s="150">
        <v>45023</v>
      </c>
      <c r="B134" s="151" t="s">
        <v>240</v>
      </c>
      <c r="C134" s="152" t="s">
        <v>125</v>
      </c>
      <c r="D134" s="22" t="s">
        <v>4303</v>
      </c>
      <c r="E134" s="151" t="s">
        <v>3092</v>
      </c>
      <c r="F134" s="22" t="s">
        <v>4304</v>
      </c>
      <c r="G134" s="153" t="s">
        <v>4232</v>
      </c>
      <c r="H134" s="153" t="s">
        <v>4233</v>
      </c>
      <c r="I134" s="153">
        <v>0</v>
      </c>
      <c r="J134" s="153">
        <v>0</v>
      </c>
      <c r="K134" s="153">
        <v>2880</v>
      </c>
      <c r="L134" s="154">
        <f t="shared" si="89"/>
        <v>0</v>
      </c>
      <c r="M134" s="155">
        <v>45043</v>
      </c>
      <c r="N134" s="155">
        <v>45040</v>
      </c>
      <c r="O134" s="156"/>
      <c r="P134" s="156"/>
      <c r="Q134" s="153"/>
      <c r="R134" s="157"/>
      <c r="S134" s="157"/>
      <c r="T134" s="157"/>
      <c r="U134" s="158" t="s">
        <v>4305</v>
      </c>
      <c r="V134" s="155" t="s">
        <v>3092</v>
      </c>
      <c r="W134" s="159">
        <v>0</v>
      </c>
      <c r="X134" s="160">
        <f>W134*I134</f>
        <v>0</v>
      </c>
      <c r="Y134" s="153"/>
      <c r="Z134" s="153"/>
      <c r="AA134" s="161"/>
      <c r="AB134" s="153"/>
      <c r="AC134" s="153"/>
      <c r="AD134" s="162"/>
      <c r="AE134" s="162"/>
      <c r="AF134" s="153"/>
      <c r="AG134" s="153"/>
      <c r="AR134" s="163"/>
      <c r="AS134" s="163"/>
    </row>
    <row r="135" s="22" customFormat="1" ht="31" customHeight="1" spans="1:97">
      <c r="A135" s="150">
        <v>45023</v>
      </c>
      <c r="B135" s="151" t="s">
        <v>240</v>
      </c>
      <c r="C135" s="152" t="s">
        <v>125</v>
      </c>
      <c r="D135" s="22" t="s">
        <v>4303</v>
      </c>
      <c r="E135" s="151" t="s">
        <v>3092</v>
      </c>
      <c r="F135" s="22" t="s">
        <v>4304</v>
      </c>
      <c r="G135" s="153" t="s">
        <v>4232</v>
      </c>
      <c r="H135" s="153" t="s">
        <v>4233</v>
      </c>
      <c r="I135" s="153">
        <v>0</v>
      </c>
      <c r="J135" s="153">
        <v>0</v>
      </c>
      <c r="K135" s="153">
        <v>3180</v>
      </c>
      <c r="L135" s="154">
        <f t="shared" si="89"/>
        <v>0</v>
      </c>
      <c r="M135" s="155">
        <v>45054</v>
      </c>
      <c r="N135" s="155">
        <v>45050</v>
      </c>
      <c r="O135" s="156"/>
      <c r="P135" s="156"/>
      <c r="Q135" s="153"/>
      <c r="R135" s="157"/>
      <c r="S135" s="157"/>
      <c r="T135" s="157"/>
      <c r="U135" s="158" t="s">
        <v>4305</v>
      </c>
      <c r="V135" s="155" t="s">
        <v>3092</v>
      </c>
      <c r="W135" s="159">
        <v>0</v>
      </c>
      <c r="X135" s="160">
        <f>W135*I135</f>
        <v>0</v>
      </c>
      <c r="Y135" s="153"/>
      <c r="Z135" s="161"/>
      <c r="AA135" s="161"/>
      <c r="AB135" s="153"/>
      <c r="AC135" s="153"/>
      <c r="AD135" s="162"/>
      <c r="AE135" s="162"/>
      <c r="AF135" s="153"/>
      <c r="AG135" s="153"/>
      <c r="AH135" s="164"/>
      <c r="AR135" s="163"/>
      <c r="AS135" s="163"/>
    </row>
    <row r="136" s="20" customFormat="1" ht="31" customHeight="1" spans="1:97">
      <c r="A136" s="138">
        <v>45035</v>
      </c>
      <c r="B136" s="139" t="s">
        <v>4306</v>
      </c>
      <c r="C136" s="141" t="s">
        <v>632</v>
      </c>
      <c r="D136" s="20">
        <v>4500101110</v>
      </c>
      <c r="E136" s="141">
        <v>3501525426</v>
      </c>
      <c r="F136" s="20" t="s">
        <v>4307</v>
      </c>
      <c r="G136" s="124" t="s">
        <v>4202</v>
      </c>
      <c r="H136" s="124" t="s">
        <v>4203</v>
      </c>
      <c r="I136" s="124">
        <v>1170</v>
      </c>
      <c r="J136" s="124">
        <v>0</v>
      </c>
      <c r="K136" s="124">
        <v>18</v>
      </c>
      <c r="L136" s="127">
        <f t="shared" si="89"/>
        <v>65</v>
      </c>
      <c r="M136" s="128">
        <v>45093</v>
      </c>
      <c r="N136" s="128" t="s">
        <v>4308</v>
      </c>
      <c r="O136" s="145" t="s">
        <v>4309</v>
      </c>
      <c r="P136" s="129" t="s">
        <v>4223</v>
      </c>
      <c r="Q136" s="124"/>
      <c r="R136" s="130">
        <v>45062</v>
      </c>
      <c r="S136" s="130" t="s">
        <v>98</v>
      </c>
      <c r="T136" s="130" t="s">
        <v>98</v>
      </c>
      <c r="U136" s="131" t="s">
        <v>4310</v>
      </c>
      <c r="V136" s="144" t="s">
        <v>4311</v>
      </c>
      <c r="W136" s="165">
        <v>1.9961</v>
      </c>
      <c r="X136" s="166">
        <f>W136*I136</f>
        <v>2335.437</v>
      </c>
      <c r="Y136" s="124"/>
      <c r="Z136" s="149" t="s">
        <v>93</v>
      </c>
      <c r="AA136" s="134" t="s">
        <v>94</v>
      </c>
      <c r="AB136" s="124"/>
      <c r="AC136" s="124"/>
      <c r="AD136" s="124">
        <f>AC136-I136</f>
        <v>-1170</v>
      </c>
      <c r="AE136" s="135"/>
      <c r="AF136" s="124" t="s">
        <v>98</v>
      </c>
      <c r="AG136" s="124"/>
      <c r="AI136" s="20">
        <f>I136</f>
        <v>1170</v>
      </c>
      <c r="AL136" s="20">
        <f>I136</f>
        <v>1170</v>
      </c>
      <c r="AO136" s="20">
        <f>I136</f>
        <v>1170</v>
      </c>
      <c r="AR136" s="136"/>
      <c r="AS136" s="136"/>
      <c r="BA136" s="20">
        <f>I136/18</f>
        <v>65</v>
      </c>
    </row>
    <row r="137" s="20" customFormat="1" ht="31" customHeight="1" spans="1:97">
      <c r="A137" s="167">
        <v>45064</v>
      </c>
      <c r="B137" s="168" t="s">
        <v>4306</v>
      </c>
      <c r="C137" s="169" t="s">
        <v>632</v>
      </c>
      <c r="D137" s="170">
        <v>4500101899</v>
      </c>
      <c r="E137" s="171">
        <v>2401525427</v>
      </c>
      <c r="F137" s="170" t="s">
        <v>4312</v>
      </c>
      <c r="G137" s="124" t="s">
        <v>4202</v>
      </c>
      <c r="H137" s="124" t="s">
        <v>4203</v>
      </c>
      <c r="I137" s="124">
        <v>252</v>
      </c>
      <c r="J137" s="124">
        <v>0</v>
      </c>
      <c r="K137" s="124">
        <v>18</v>
      </c>
      <c r="L137" s="127">
        <f t="shared" si="89"/>
        <v>14</v>
      </c>
      <c r="M137" s="128">
        <v>45114</v>
      </c>
      <c r="N137" s="128" t="s">
        <v>4308</v>
      </c>
      <c r="O137" s="129" t="s">
        <v>4313</v>
      </c>
      <c r="P137" s="129" t="s">
        <v>4223</v>
      </c>
      <c r="Q137" s="124"/>
      <c r="R137" s="130">
        <v>45075</v>
      </c>
      <c r="S137" s="130" t="s">
        <v>98</v>
      </c>
      <c r="T137" s="130" t="s">
        <v>98</v>
      </c>
      <c r="U137" s="131" t="s">
        <v>4314</v>
      </c>
      <c r="V137" s="172" t="s">
        <v>4311</v>
      </c>
      <c r="W137" s="165">
        <v>1.9961</v>
      </c>
      <c r="X137" s="166">
        <f>W137*I137</f>
        <v>503.0172</v>
      </c>
      <c r="Y137" s="124"/>
      <c r="Z137" s="134" t="s">
        <v>93</v>
      </c>
      <c r="AA137" s="134" t="s">
        <v>94</v>
      </c>
      <c r="AB137" s="124"/>
      <c r="AC137" s="126"/>
      <c r="AD137" s="173"/>
      <c r="AE137" s="173"/>
      <c r="AF137" s="124" t="s">
        <v>98</v>
      </c>
      <c r="AG137" s="124"/>
      <c r="AI137" s="20">
        <f>I137</f>
        <v>252</v>
      </c>
      <c r="AM137" s="20">
        <f t="shared" ref="AM137:AM140" si="95">I137</f>
        <v>252</v>
      </c>
      <c r="AO137" s="20">
        <f>I137</f>
        <v>252</v>
      </c>
      <c r="AR137" s="136"/>
      <c r="AS137" s="136"/>
      <c r="BA137" s="20">
        <f>I137/18</f>
        <v>14</v>
      </c>
    </row>
    <row r="138" s="20" customFormat="1" ht="31" customHeight="1" spans="1:97">
      <c r="A138" s="167">
        <v>45064</v>
      </c>
      <c r="B138" s="168" t="s">
        <v>4306</v>
      </c>
      <c r="C138" s="169" t="s">
        <v>632</v>
      </c>
      <c r="D138" s="170">
        <v>4500101899</v>
      </c>
      <c r="E138" s="171">
        <v>3501525427</v>
      </c>
      <c r="F138" s="170" t="s">
        <v>4315</v>
      </c>
      <c r="G138" s="124" t="s">
        <v>4202</v>
      </c>
      <c r="H138" s="124" t="s">
        <v>4203</v>
      </c>
      <c r="I138" s="124">
        <v>828</v>
      </c>
      <c r="J138" s="124">
        <v>0</v>
      </c>
      <c r="K138" s="124">
        <v>18</v>
      </c>
      <c r="L138" s="127">
        <f t="shared" si="89"/>
        <v>46</v>
      </c>
      <c r="M138" s="128">
        <v>45114</v>
      </c>
      <c r="N138" s="128" t="s">
        <v>4308</v>
      </c>
      <c r="O138" s="129" t="s">
        <v>4313</v>
      </c>
      <c r="P138" s="129" t="s">
        <v>4223</v>
      </c>
      <c r="Q138" s="124"/>
      <c r="R138" s="130">
        <v>45075</v>
      </c>
      <c r="S138" s="130" t="s">
        <v>98</v>
      </c>
      <c r="T138" s="130" t="s">
        <v>98</v>
      </c>
      <c r="U138" s="131" t="s">
        <v>4314</v>
      </c>
      <c r="V138" s="172" t="s">
        <v>4311</v>
      </c>
      <c r="W138" s="165">
        <v>1.9961</v>
      </c>
      <c r="X138" s="166">
        <f>W138*I138</f>
        <v>1652.7708</v>
      </c>
      <c r="Y138" s="124"/>
      <c r="Z138" s="134" t="s">
        <v>93</v>
      </c>
      <c r="AA138" s="134" t="s">
        <v>94</v>
      </c>
      <c r="AB138" s="124"/>
      <c r="AC138" s="126"/>
      <c r="AD138" s="173"/>
      <c r="AE138" s="173"/>
      <c r="AF138" s="124" t="s">
        <v>98</v>
      </c>
      <c r="AG138" s="124"/>
      <c r="AI138" s="20">
        <f>I138</f>
        <v>828</v>
      </c>
      <c r="AM138" s="20">
        <f t="shared" si="95"/>
        <v>828</v>
      </c>
      <c r="AO138" s="20">
        <f>I138</f>
        <v>828</v>
      </c>
      <c r="AR138" s="136"/>
      <c r="AS138" s="136"/>
      <c r="BA138" s="20">
        <f>I138/18</f>
        <v>46</v>
      </c>
    </row>
    <row r="139" s="20" customFormat="1" ht="31" customHeight="1" spans="1:97">
      <c r="A139" s="138">
        <v>45085</v>
      </c>
      <c r="B139" s="139" t="s">
        <v>4316</v>
      </c>
      <c r="C139" s="141" t="s">
        <v>632</v>
      </c>
      <c r="D139" s="20">
        <v>4500106200</v>
      </c>
      <c r="E139" s="141" t="s">
        <v>4317</v>
      </c>
      <c r="F139" s="20" t="s">
        <v>4318</v>
      </c>
      <c r="G139" s="174" t="s">
        <v>4319</v>
      </c>
      <c r="H139" s="175" t="s">
        <v>4320</v>
      </c>
      <c r="I139" s="176">
        <v>43</v>
      </c>
      <c r="J139" s="177">
        <v>0</v>
      </c>
      <c r="K139" s="174">
        <v>1</v>
      </c>
      <c r="L139" s="176">
        <v>43</v>
      </c>
      <c r="M139" s="178">
        <v>45138</v>
      </c>
      <c r="N139" s="178" t="s">
        <v>4321</v>
      </c>
      <c r="O139" s="129"/>
      <c r="P139" s="124"/>
      <c r="R139" s="130" t="s">
        <v>89</v>
      </c>
      <c r="S139" s="130" t="s">
        <v>98</v>
      </c>
      <c r="T139" s="130" t="s">
        <v>98</v>
      </c>
      <c r="U139" s="179" t="s">
        <v>4322</v>
      </c>
      <c r="V139" s="140" t="s">
        <v>874</v>
      </c>
      <c r="W139" s="180">
        <v>285.3936</v>
      </c>
      <c r="X139" s="180">
        <f>I139*W139</f>
        <v>12271.9248</v>
      </c>
      <c r="Y139" s="124"/>
      <c r="Z139" s="124" t="s">
        <v>4323</v>
      </c>
      <c r="AA139" s="134"/>
      <c r="AB139" s="124"/>
      <c r="AC139" s="173"/>
      <c r="AD139" s="173"/>
      <c r="AE139" s="173"/>
      <c r="AF139" s="124"/>
      <c r="AG139" s="124"/>
      <c r="AH139" s="181"/>
      <c r="BL139" s="20">
        <f>I139</f>
        <v>43</v>
      </c>
    </row>
    <row r="140" s="20" customFormat="1" ht="31" customHeight="1" spans="1:97">
      <c r="A140" s="138">
        <v>45085</v>
      </c>
      <c r="B140" s="139" t="s">
        <v>4316</v>
      </c>
      <c r="C140" s="141" t="s">
        <v>632</v>
      </c>
      <c r="D140" s="20">
        <v>4500106200</v>
      </c>
      <c r="E140" s="141" t="s">
        <v>4317</v>
      </c>
      <c r="F140" s="20" t="s">
        <v>4318</v>
      </c>
      <c r="G140" s="174">
        <v>77349</v>
      </c>
      <c r="H140" s="124" t="s">
        <v>4203</v>
      </c>
      <c r="I140" s="124">
        <v>2064</v>
      </c>
      <c r="J140" s="124">
        <v>0</v>
      </c>
      <c r="K140" s="124">
        <v>48</v>
      </c>
      <c r="L140" s="127">
        <f t="shared" ref="L140:L191" si="96">I140/K140</f>
        <v>43</v>
      </c>
      <c r="M140" s="178">
        <v>45138</v>
      </c>
      <c r="N140" s="178" t="s">
        <v>4321</v>
      </c>
      <c r="O140" s="129"/>
      <c r="P140" s="124"/>
      <c r="R140" s="130" t="s">
        <v>89</v>
      </c>
      <c r="S140" s="130" t="s">
        <v>98</v>
      </c>
      <c r="T140" s="130" t="s">
        <v>98</v>
      </c>
      <c r="U140" s="182"/>
      <c r="V140" s="140" t="s">
        <v>874</v>
      </c>
      <c r="W140" s="180">
        <v>0</v>
      </c>
      <c r="X140" s="180">
        <v>0</v>
      </c>
      <c r="Y140" s="124"/>
      <c r="Z140" s="124" t="s">
        <v>4323</v>
      </c>
      <c r="AA140" s="134"/>
      <c r="AB140" s="124"/>
      <c r="AC140" s="173"/>
      <c r="AD140" s="173"/>
      <c r="AE140" s="173"/>
      <c r="AF140" s="124"/>
      <c r="AG140" s="124"/>
      <c r="AH140" s="181"/>
      <c r="AI140" s="20">
        <f>I140</f>
        <v>2064</v>
      </c>
      <c r="AL140" s="20">
        <v>1152</v>
      </c>
      <c r="AM140" s="20">
        <f t="shared" si="95"/>
        <v>2064</v>
      </c>
      <c r="AO140" s="20">
        <f>I140</f>
        <v>2064</v>
      </c>
    </row>
    <row r="141" s="20" customFormat="1" ht="28" customHeight="1" spans="1:97">
      <c r="A141" s="121">
        <v>45097</v>
      </c>
      <c r="B141" s="122" t="s">
        <v>194</v>
      </c>
      <c r="C141" s="179" t="s">
        <v>125</v>
      </c>
      <c r="D141" s="20">
        <v>4500107022</v>
      </c>
      <c r="E141" s="153">
        <v>70027884</v>
      </c>
      <c r="F141" s="20" t="s">
        <v>4324</v>
      </c>
      <c r="G141" s="125" t="s">
        <v>4187</v>
      </c>
      <c r="H141" s="124" t="s">
        <v>4188</v>
      </c>
      <c r="I141" s="126">
        <v>608</v>
      </c>
      <c r="J141" s="124">
        <v>0</v>
      </c>
      <c r="K141" s="124">
        <v>16</v>
      </c>
      <c r="L141" s="127">
        <f t="shared" si="96"/>
        <v>38</v>
      </c>
      <c r="M141" s="128">
        <v>45141</v>
      </c>
      <c r="N141" s="128" t="s">
        <v>4325</v>
      </c>
      <c r="O141" s="129"/>
      <c r="P141" s="129"/>
      <c r="Q141" s="124"/>
      <c r="R141" s="130" t="s">
        <v>89</v>
      </c>
      <c r="S141" s="130" t="s">
        <v>98</v>
      </c>
      <c r="T141" s="130" t="s">
        <v>89</v>
      </c>
      <c r="U141" s="131" t="s">
        <v>4326</v>
      </c>
      <c r="V141" s="21" t="s">
        <v>201</v>
      </c>
      <c r="W141" s="132">
        <v>4.0727</v>
      </c>
      <c r="X141" s="133">
        <f>I141*W141</f>
        <v>2476.2016</v>
      </c>
      <c r="Y141" s="124"/>
      <c r="Z141" s="125" t="s">
        <v>93</v>
      </c>
      <c r="AA141" s="134"/>
      <c r="AB141" s="124"/>
      <c r="AC141" s="124"/>
      <c r="AD141" s="135"/>
      <c r="AE141" s="124"/>
      <c r="AF141" s="124"/>
      <c r="AG141" s="124"/>
      <c r="AH141" s="20">
        <f>I141*2</f>
        <v>1216</v>
      </c>
      <c r="AJ141" s="22"/>
      <c r="AK141" s="22"/>
      <c r="AL141" s="22"/>
      <c r="AM141" s="22"/>
      <c r="AN141" s="20">
        <f>I141*2</f>
        <v>1216</v>
      </c>
      <c r="AO141" s="20">
        <f>AN141</f>
        <v>1216</v>
      </c>
      <c r="AP141" s="22"/>
      <c r="AQ141" s="22"/>
      <c r="AR141" s="136"/>
      <c r="AS141" s="136"/>
      <c r="AT141" s="136"/>
      <c r="AU141" s="136"/>
      <c r="AW141" s="20">
        <f>I141</f>
        <v>608</v>
      </c>
      <c r="AX141" s="20">
        <f>AW141</f>
        <v>608</v>
      </c>
      <c r="AY141" s="20">
        <f>AX141</f>
        <v>608</v>
      </c>
      <c r="BJ141" s="136"/>
      <c r="BL141" s="136"/>
      <c r="BT141" s="137" t="e">
        <f>$AH141*#REF!</f>
        <v>#REF!</v>
      </c>
      <c r="BU141" s="137" t="e">
        <f>$AH141*#REF!</f>
        <v>#REF!</v>
      </c>
      <c r="BV141" s="137" t="e">
        <f>$AH141*#REF!</f>
        <v>#REF!</v>
      </c>
      <c r="BW141" s="137" t="e">
        <f>$AH141*#REF!</f>
        <v>#REF!</v>
      </c>
      <c r="BX141" s="137" t="e">
        <f>$AH141*#REF!</f>
        <v>#REF!</v>
      </c>
      <c r="BY141" s="137" t="e">
        <f>$AH141*#REF!</f>
        <v>#REF!</v>
      </c>
      <c r="BZ141" s="137" t="e">
        <f>$AH141*#REF!</f>
        <v>#REF!</v>
      </c>
      <c r="CA141" s="137" t="e">
        <f>$AH141*#REF!</f>
        <v>#REF!</v>
      </c>
      <c r="CB141" s="137" t="e">
        <f>$AH141*#REF!</f>
        <v>#REF!</v>
      </c>
      <c r="CC141" s="137" t="e">
        <f>$AH141*#REF!</f>
        <v>#REF!</v>
      </c>
      <c r="CD141" s="137" t="e">
        <f>$AH141*#REF!</f>
        <v>#REF!</v>
      </c>
      <c r="CE141" s="137" t="e">
        <f>$AH141*#REF!</f>
        <v>#REF!</v>
      </c>
      <c r="CF141" s="137" t="e">
        <f>$AH141*#REF!</f>
        <v>#REF!</v>
      </c>
      <c r="CG141" s="137" t="e">
        <f>$AH141*#REF!</f>
        <v>#REF!</v>
      </c>
      <c r="CH141" s="137" t="e">
        <f>$AH141*#REF!</f>
        <v>#REF!</v>
      </c>
      <c r="CI141" s="137" t="e">
        <f>$AH141*#REF!</f>
        <v>#REF!</v>
      </c>
      <c r="CJ141" s="137" t="e">
        <f>$AH141*#REF!</f>
        <v>#REF!</v>
      </c>
      <c r="CK141" s="137" t="e">
        <f>$AH141*#REF!</f>
        <v>#REF!</v>
      </c>
      <c r="CL141" s="137" t="e">
        <f>$AH141*#REF!</f>
        <v>#REF!</v>
      </c>
      <c r="CM141" s="137" t="e">
        <f>$AH141*#REF!</f>
        <v>#REF!</v>
      </c>
      <c r="CN141" s="137" t="e">
        <f>$AH141*#REF!</f>
        <v>#REF!</v>
      </c>
      <c r="CO141" s="137"/>
    </row>
    <row r="142" s="20" customFormat="1" ht="31" customHeight="1" spans="1:97">
      <c r="A142" s="183">
        <v>45093</v>
      </c>
      <c r="B142" s="184" t="s">
        <v>1067</v>
      </c>
      <c r="C142" s="149" t="s">
        <v>1068</v>
      </c>
      <c r="D142" s="185">
        <v>4500106695</v>
      </c>
      <c r="E142" s="149" t="s">
        <v>4327</v>
      </c>
      <c r="F142" s="185" t="s">
        <v>4328</v>
      </c>
      <c r="G142" s="124" t="s">
        <v>4288</v>
      </c>
      <c r="H142" s="124" t="s">
        <v>4289</v>
      </c>
      <c r="I142" s="124">
        <v>492</v>
      </c>
      <c r="J142" s="124">
        <v>0</v>
      </c>
      <c r="K142" s="124">
        <v>12</v>
      </c>
      <c r="L142" s="127">
        <f t="shared" si="96"/>
        <v>41</v>
      </c>
      <c r="M142" s="128">
        <v>45163</v>
      </c>
      <c r="N142" s="128" t="s">
        <v>4193</v>
      </c>
      <c r="O142" s="129"/>
      <c r="P142" s="124"/>
      <c r="R142" s="130" t="s">
        <v>4329</v>
      </c>
      <c r="S142" s="130" t="s">
        <v>88</v>
      </c>
      <c r="T142" s="130" t="s">
        <v>89</v>
      </c>
      <c r="U142" s="186" t="s">
        <v>4330</v>
      </c>
      <c r="V142" s="187" t="s">
        <v>192</v>
      </c>
      <c r="W142" s="165">
        <v>4.2135</v>
      </c>
      <c r="X142" s="166">
        <f t="shared" ref="X142:X146" si="97">W142*I142</f>
        <v>2073.042</v>
      </c>
      <c r="Y142" s="124"/>
      <c r="Z142" s="124" t="s">
        <v>4331</v>
      </c>
      <c r="AA142" s="134"/>
      <c r="AB142" s="124"/>
      <c r="AC142" s="173"/>
      <c r="AD142" s="173"/>
      <c r="AE142" s="173"/>
      <c r="AF142" s="124"/>
      <c r="AG142" s="124"/>
      <c r="AH142" s="181"/>
      <c r="AI142" s="20">
        <f t="shared" ref="AI142:AI144" si="98">I142*2</f>
        <v>984</v>
      </c>
      <c r="AK142" s="21"/>
      <c r="AM142" s="20">
        <f t="shared" ref="AM142:AM144" si="99">I142*2</f>
        <v>984</v>
      </c>
      <c r="AO142" s="20">
        <f t="shared" ref="AO142:AO144" si="100">I142*2</f>
        <v>984</v>
      </c>
      <c r="BC142" s="20">
        <f t="shared" ref="BC142:BC144" si="101">I142</f>
        <v>492</v>
      </c>
      <c r="BE142" s="20">
        <f t="shared" ref="BE142:BE144" si="102">I142</f>
        <v>492</v>
      </c>
      <c r="BF142" s="20">
        <f t="shared" ref="BF142:BF144" si="103">I142</f>
        <v>492</v>
      </c>
    </row>
    <row r="143" s="20" customFormat="1" ht="31" customHeight="1" spans="1:97">
      <c r="A143" s="183">
        <v>45093</v>
      </c>
      <c r="B143" s="184" t="s">
        <v>1067</v>
      </c>
      <c r="C143" s="149" t="s">
        <v>1068</v>
      </c>
      <c r="D143" s="185">
        <v>4500106695</v>
      </c>
      <c r="E143" s="149" t="s">
        <v>4332</v>
      </c>
      <c r="F143" s="185" t="s">
        <v>4333</v>
      </c>
      <c r="G143" s="124" t="s">
        <v>4288</v>
      </c>
      <c r="H143" s="124" t="s">
        <v>4289</v>
      </c>
      <c r="I143" s="124">
        <v>492</v>
      </c>
      <c r="J143" s="124">
        <v>0</v>
      </c>
      <c r="K143" s="124">
        <v>12</v>
      </c>
      <c r="L143" s="127">
        <f t="shared" si="96"/>
        <v>41</v>
      </c>
      <c r="M143" s="128">
        <v>45162</v>
      </c>
      <c r="N143" s="128" t="s">
        <v>4193</v>
      </c>
      <c r="O143" s="129"/>
      <c r="P143" s="124"/>
      <c r="R143" s="130" t="s">
        <v>4329</v>
      </c>
      <c r="S143" s="130" t="s">
        <v>88</v>
      </c>
      <c r="T143" s="130" t="s">
        <v>89</v>
      </c>
      <c r="U143" s="186" t="s">
        <v>4330</v>
      </c>
      <c r="V143" s="187" t="s">
        <v>192</v>
      </c>
      <c r="W143" s="165">
        <v>4.2135</v>
      </c>
      <c r="X143" s="166">
        <f t="shared" si="97"/>
        <v>2073.042</v>
      </c>
      <c r="Y143" s="124"/>
      <c r="Z143" s="124" t="s">
        <v>4331</v>
      </c>
      <c r="AA143" s="134"/>
      <c r="AB143" s="124"/>
      <c r="AC143" s="173"/>
      <c r="AD143" s="173"/>
      <c r="AE143" s="173"/>
      <c r="AF143" s="124"/>
      <c r="AG143" s="124"/>
      <c r="AH143" s="181"/>
      <c r="AI143" s="20">
        <f t="shared" si="98"/>
        <v>984</v>
      </c>
      <c r="AK143" s="21"/>
      <c r="AM143" s="20">
        <f t="shared" si="99"/>
        <v>984</v>
      </c>
      <c r="AO143" s="20">
        <f t="shared" si="100"/>
        <v>984</v>
      </c>
      <c r="BC143" s="20">
        <f t="shared" si="101"/>
        <v>492</v>
      </c>
      <c r="BE143" s="20">
        <f t="shared" si="102"/>
        <v>492</v>
      </c>
      <c r="BF143" s="20">
        <f t="shared" si="103"/>
        <v>492</v>
      </c>
    </row>
    <row r="144" s="20" customFormat="1" ht="31" customHeight="1" spans="1:97">
      <c r="A144" s="183">
        <v>45093</v>
      </c>
      <c r="B144" s="184" t="s">
        <v>1067</v>
      </c>
      <c r="C144" s="149" t="s">
        <v>1068</v>
      </c>
      <c r="D144" s="185">
        <v>4500106695</v>
      </c>
      <c r="E144" s="149" t="s">
        <v>4334</v>
      </c>
      <c r="F144" s="185" t="s">
        <v>4335</v>
      </c>
      <c r="G144" s="124" t="s">
        <v>4288</v>
      </c>
      <c r="H144" s="124" t="s">
        <v>4289</v>
      </c>
      <c r="I144" s="124">
        <v>492</v>
      </c>
      <c r="J144" s="124">
        <v>0</v>
      </c>
      <c r="K144" s="124">
        <v>12</v>
      </c>
      <c r="L144" s="127">
        <f t="shared" si="96"/>
        <v>41</v>
      </c>
      <c r="M144" s="128">
        <v>45162</v>
      </c>
      <c r="N144" s="128" t="s">
        <v>4193</v>
      </c>
      <c r="O144" s="129"/>
      <c r="P144" s="124"/>
      <c r="R144" s="130" t="s">
        <v>4329</v>
      </c>
      <c r="S144" s="130" t="s">
        <v>88</v>
      </c>
      <c r="T144" s="130" t="s">
        <v>89</v>
      </c>
      <c r="U144" s="186" t="s">
        <v>4330</v>
      </c>
      <c r="V144" s="187" t="s">
        <v>192</v>
      </c>
      <c r="W144" s="165">
        <v>4.2135</v>
      </c>
      <c r="X144" s="166">
        <f t="shared" si="97"/>
        <v>2073.042</v>
      </c>
      <c r="Y144" s="124"/>
      <c r="Z144" s="124" t="s">
        <v>4331</v>
      </c>
      <c r="AA144" s="134"/>
      <c r="AB144" s="124"/>
      <c r="AC144" s="173"/>
      <c r="AD144" s="173"/>
      <c r="AE144" s="173"/>
      <c r="AF144" s="124"/>
      <c r="AG144" s="124"/>
      <c r="AH144" s="181"/>
      <c r="AI144" s="20">
        <f t="shared" si="98"/>
        <v>984</v>
      </c>
      <c r="AK144" s="21"/>
      <c r="AM144" s="20">
        <f t="shared" si="99"/>
        <v>984</v>
      </c>
      <c r="AO144" s="20">
        <f t="shared" si="100"/>
        <v>984</v>
      </c>
      <c r="BC144" s="20">
        <f t="shared" si="101"/>
        <v>492</v>
      </c>
      <c r="BE144" s="20">
        <f t="shared" si="102"/>
        <v>492</v>
      </c>
      <c r="BF144" s="20">
        <f t="shared" si="103"/>
        <v>492</v>
      </c>
    </row>
    <row r="145" s="20" customFormat="1" ht="31" customHeight="1" spans="1:57">
      <c r="A145" s="138">
        <v>45093</v>
      </c>
      <c r="B145" s="139" t="s">
        <v>1535</v>
      </c>
      <c r="C145" s="141" t="s">
        <v>377</v>
      </c>
      <c r="D145" s="20">
        <v>4500106743</v>
      </c>
      <c r="E145" s="141">
        <v>19527670</v>
      </c>
      <c r="F145" s="20" t="s">
        <v>4336</v>
      </c>
      <c r="G145" s="174" t="s">
        <v>4237</v>
      </c>
      <c r="H145" s="124" t="s">
        <v>4203</v>
      </c>
      <c r="I145" s="124">
        <v>1728</v>
      </c>
      <c r="J145" s="124">
        <v>0</v>
      </c>
      <c r="K145" s="124">
        <v>36</v>
      </c>
      <c r="L145" s="127">
        <f t="shared" si="96"/>
        <v>48</v>
      </c>
      <c r="M145" s="128">
        <v>45138</v>
      </c>
      <c r="N145" s="128" t="s">
        <v>4337</v>
      </c>
      <c r="O145" s="129"/>
      <c r="P145" s="124"/>
      <c r="R145" s="130">
        <v>45107</v>
      </c>
      <c r="S145" s="130" t="s">
        <v>88</v>
      </c>
      <c r="T145" s="130" t="s">
        <v>89</v>
      </c>
      <c r="U145" s="168" t="s">
        <v>4338</v>
      </c>
      <c r="V145" s="188" t="s">
        <v>4239</v>
      </c>
      <c r="W145" s="165">
        <v>2.0394</v>
      </c>
      <c r="X145" s="166">
        <f t="shared" si="97"/>
        <v>3524.0832</v>
      </c>
      <c r="Y145" s="124"/>
      <c r="Z145" s="124" t="s">
        <v>4237</v>
      </c>
      <c r="AA145" s="134"/>
      <c r="AB145" s="124"/>
      <c r="AC145" s="173"/>
      <c r="AD145" s="173"/>
      <c r="AE145" s="173"/>
      <c r="AF145" s="124"/>
      <c r="AG145" s="124"/>
      <c r="AH145" s="181"/>
      <c r="AI145" s="20">
        <f t="shared" ref="AI145:AI155" si="104">I145</f>
        <v>1728</v>
      </c>
      <c r="AK145" s="20">
        <f t="shared" ref="AK145:AK159" si="105">I145</f>
        <v>1728</v>
      </c>
      <c r="AM145" s="20">
        <f t="shared" ref="AM145:AM155" si="106">I145</f>
        <v>1728</v>
      </c>
      <c r="AZ145" s="20">
        <f t="shared" ref="AZ145:AZ155" si="107">I145/18</f>
        <v>96</v>
      </c>
    </row>
    <row r="146" s="20" customFormat="1" ht="31" customHeight="1" spans="1:57">
      <c r="A146" s="138">
        <v>45103</v>
      </c>
      <c r="B146" s="139" t="s">
        <v>1535</v>
      </c>
      <c r="C146" s="141" t="s">
        <v>377</v>
      </c>
      <c r="D146" s="20">
        <v>4500107082</v>
      </c>
      <c r="E146" s="141">
        <v>19535337</v>
      </c>
      <c r="F146" s="20" t="s">
        <v>4339</v>
      </c>
      <c r="G146" s="174" t="s">
        <v>4237</v>
      </c>
      <c r="H146" s="124" t="s">
        <v>4203</v>
      </c>
      <c r="I146" s="124">
        <v>1944</v>
      </c>
      <c r="J146" s="124">
        <v>0</v>
      </c>
      <c r="K146" s="124">
        <v>36</v>
      </c>
      <c r="L146" s="127">
        <f t="shared" si="96"/>
        <v>54</v>
      </c>
      <c r="M146" s="128">
        <v>45145</v>
      </c>
      <c r="N146" s="128" t="s">
        <v>4337</v>
      </c>
      <c r="O146" s="129"/>
      <c r="P146" s="124"/>
      <c r="R146" s="130" t="s">
        <v>89</v>
      </c>
      <c r="S146" s="130" t="s">
        <v>88</v>
      </c>
      <c r="T146" s="130" t="s">
        <v>89</v>
      </c>
      <c r="U146" s="189" t="s">
        <v>4340</v>
      </c>
      <c r="V146" s="172" t="s">
        <v>4239</v>
      </c>
      <c r="W146" s="174">
        <v>2.0394</v>
      </c>
      <c r="X146" s="190">
        <f t="shared" si="97"/>
        <v>3964.5936</v>
      </c>
      <c r="Z146" s="124"/>
      <c r="AA146" s="134"/>
      <c r="AB146" s="124"/>
      <c r="AC146" s="173"/>
      <c r="AD146" s="173"/>
      <c r="AE146" s="173"/>
      <c r="AF146" s="124"/>
      <c r="AG146" s="124"/>
      <c r="AH146" s="181"/>
      <c r="AI146" s="20">
        <f t="shared" si="104"/>
        <v>1944</v>
      </c>
      <c r="AK146" s="21">
        <f t="shared" si="105"/>
        <v>1944</v>
      </c>
      <c r="AM146" s="20">
        <f t="shared" si="106"/>
        <v>1944</v>
      </c>
      <c r="AZ146" s="20">
        <f t="shared" si="107"/>
        <v>108</v>
      </c>
    </row>
    <row r="147" s="20" customFormat="1" ht="31" customHeight="1" spans="1:57">
      <c r="A147" s="138">
        <v>45124</v>
      </c>
      <c r="B147" s="139" t="s">
        <v>1548</v>
      </c>
      <c r="C147" s="140" t="s">
        <v>125</v>
      </c>
      <c r="D147" s="20">
        <v>4500109043</v>
      </c>
      <c r="E147" s="141" t="s">
        <v>4341</v>
      </c>
      <c r="F147" s="20" t="s">
        <v>4342</v>
      </c>
      <c r="G147" s="142" t="s">
        <v>84</v>
      </c>
      <c r="H147" s="141" t="s">
        <v>85</v>
      </c>
      <c r="I147" s="141">
        <v>3116</v>
      </c>
      <c r="J147" s="141">
        <v>0</v>
      </c>
      <c r="K147" s="141">
        <v>4</v>
      </c>
      <c r="L147" s="143">
        <f t="shared" si="96"/>
        <v>779</v>
      </c>
      <c r="M147" s="128">
        <v>45176</v>
      </c>
      <c r="N147" s="92" t="s">
        <v>4343</v>
      </c>
      <c r="O147" s="129"/>
      <c r="P147" s="129"/>
      <c r="Q147" s="124"/>
      <c r="R147" s="146" t="s">
        <v>89</v>
      </c>
      <c r="S147" s="146" t="s">
        <v>88</v>
      </c>
      <c r="T147" s="146" t="s">
        <v>89</v>
      </c>
      <c r="U147" s="139" t="s">
        <v>4344</v>
      </c>
      <c r="V147" s="128" t="s">
        <v>4345</v>
      </c>
      <c r="W147" s="147">
        <v>7.6118</v>
      </c>
      <c r="X147" s="148">
        <f>I147*W147</f>
        <v>23718.3688</v>
      </c>
      <c r="Y147" s="124"/>
      <c r="Z147" s="142" t="s">
        <v>93</v>
      </c>
      <c r="AA147" s="134"/>
      <c r="AB147" s="124"/>
      <c r="AC147" s="191"/>
      <c r="AD147" s="191"/>
      <c r="AE147" s="126"/>
      <c r="AF147" s="192"/>
      <c r="AG147" s="124"/>
      <c r="AH147" s="21">
        <f>I147</f>
        <v>3116</v>
      </c>
      <c r="AI147" s="21"/>
      <c r="AJ147" s="21">
        <f>I147</f>
        <v>3116</v>
      </c>
      <c r="AK147" s="21">
        <f t="shared" si="105"/>
        <v>3116</v>
      </c>
    </row>
    <row r="148" s="20" customFormat="1" ht="31" customHeight="1" spans="1:57">
      <c r="A148" s="183">
        <v>45106</v>
      </c>
      <c r="B148" s="184" t="s">
        <v>240</v>
      </c>
      <c r="C148" s="149" t="s">
        <v>125</v>
      </c>
      <c r="D148" s="185">
        <v>4500107580</v>
      </c>
      <c r="E148" s="149" t="s">
        <v>4346</v>
      </c>
      <c r="F148" s="185" t="s">
        <v>4347</v>
      </c>
      <c r="G148" s="174" t="s">
        <v>4232</v>
      </c>
      <c r="H148" s="124" t="s">
        <v>4233</v>
      </c>
      <c r="I148" s="124">
        <v>1080</v>
      </c>
      <c r="J148" s="124">
        <v>0</v>
      </c>
      <c r="K148" s="124">
        <v>1080</v>
      </c>
      <c r="L148" s="127">
        <f t="shared" si="96"/>
        <v>1</v>
      </c>
      <c r="M148" s="128">
        <v>45166</v>
      </c>
      <c r="N148" s="92" t="s">
        <v>4348</v>
      </c>
      <c r="O148" s="129" t="s">
        <v>4349</v>
      </c>
      <c r="P148" s="124"/>
      <c r="R148" s="130" t="s">
        <v>4350</v>
      </c>
      <c r="S148" s="130" t="s">
        <v>88</v>
      </c>
      <c r="T148" s="130">
        <v>45119</v>
      </c>
      <c r="U148" s="186" t="s">
        <v>4351</v>
      </c>
      <c r="V148" s="172" t="s">
        <v>247</v>
      </c>
      <c r="W148" s="165">
        <v>2161.0926</v>
      </c>
      <c r="X148" s="166">
        <f t="shared" ref="X148:X155" si="108">W148*L148</f>
        <v>2161.0926</v>
      </c>
      <c r="Y148" s="124"/>
      <c r="Z148" s="70" t="s">
        <v>93</v>
      </c>
      <c r="AA148" s="134"/>
      <c r="AB148" s="124"/>
      <c r="AC148" s="173"/>
      <c r="AD148" s="173"/>
      <c r="AE148" s="173"/>
      <c r="AF148" s="124"/>
      <c r="AG148" s="124"/>
      <c r="AH148" s="181"/>
      <c r="AI148" s="20">
        <f t="shared" si="104"/>
        <v>1080</v>
      </c>
      <c r="AK148" s="20">
        <f t="shared" si="105"/>
        <v>1080</v>
      </c>
      <c r="AL148" s="23"/>
      <c r="AM148" s="20">
        <f t="shared" si="106"/>
        <v>1080</v>
      </c>
      <c r="AZ148" s="20">
        <f t="shared" si="107"/>
        <v>60</v>
      </c>
    </row>
    <row r="149" s="20" customFormat="1" ht="31" customHeight="1" spans="1:57">
      <c r="A149" s="183">
        <v>45106</v>
      </c>
      <c r="B149" s="184" t="s">
        <v>240</v>
      </c>
      <c r="C149" s="149" t="s">
        <v>125</v>
      </c>
      <c r="D149" s="185">
        <v>4500107580</v>
      </c>
      <c r="E149" s="149" t="s">
        <v>4352</v>
      </c>
      <c r="F149" s="185" t="s">
        <v>4353</v>
      </c>
      <c r="G149" s="174" t="s">
        <v>4232</v>
      </c>
      <c r="H149" s="124" t="s">
        <v>4233</v>
      </c>
      <c r="I149" s="124">
        <v>1080</v>
      </c>
      <c r="J149" s="124">
        <v>0</v>
      </c>
      <c r="K149" s="124">
        <v>1080</v>
      </c>
      <c r="L149" s="127">
        <f t="shared" si="96"/>
        <v>1</v>
      </c>
      <c r="M149" s="128">
        <v>45166</v>
      </c>
      <c r="N149" s="92" t="s">
        <v>4348</v>
      </c>
      <c r="O149" s="129" t="s">
        <v>4349</v>
      </c>
      <c r="P149" s="124"/>
      <c r="R149" s="130" t="s">
        <v>4350</v>
      </c>
      <c r="S149" s="130" t="s">
        <v>88</v>
      </c>
      <c r="T149" s="130">
        <v>45119</v>
      </c>
      <c r="U149" s="186" t="s">
        <v>4351</v>
      </c>
      <c r="V149" s="172" t="s">
        <v>247</v>
      </c>
      <c r="W149" s="165">
        <v>2161.0926</v>
      </c>
      <c r="X149" s="166">
        <f t="shared" si="108"/>
        <v>2161.0926</v>
      </c>
      <c r="Y149" s="124"/>
      <c r="Z149" s="70" t="s">
        <v>93</v>
      </c>
      <c r="AA149" s="134"/>
      <c r="AB149" s="124"/>
      <c r="AC149" s="173"/>
      <c r="AD149" s="173"/>
      <c r="AE149" s="173"/>
      <c r="AF149" s="124"/>
      <c r="AG149" s="124"/>
      <c r="AH149" s="181"/>
      <c r="AI149" s="20">
        <f t="shared" si="104"/>
        <v>1080</v>
      </c>
      <c r="AK149" s="20">
        <f t="shared" si="105"/>
        <v>1080</v>
      </c>
      <c r="AL149" s="23"/>
      <c r="AM149" s="20">
        <f t="shared" si="106"/>
        <v>1080</v>
      </c>
      <c r="AZ149" s="20">
        <f t="shared" si="107"/>
        <v>60</v>
      </c>
    </row>
    <row r="150" s="20" customFormat="1" ht="31" customHeight="1" spans="1:57">
      <c r="A150" s="183">
        <v>45106</v>
      </c>
      <c r="B150" s="184" t="s">
        <v>240</v>
      </c>
      <c r="C150" s="149" t="s">
        <v>125</v>
      </c>
      <c r="D150" s="185">
        <v>4500107580</v>
      </c>
      <c r="E150" s="149" t="s">
        <v>4354</v>
      </c>
      <c r="F150" s="185" t="s">
        <v>4355</v>
      </c>
      <c r="G150" s="174" t="s">
        <v>4232</v>
      </c>
      <c r="H150" s="124" t="s">
        <v>4233</v>
      </c>
      <c r="I150" s="124">
        <v>1080</v>
      </c>
      <c r="J150" s="124">
        <v>0</v>
      </c>
      <c r="K150" s="124">
        <v>1080</v>
      </c>
      <c r="L150" s="127">
        <f t="shared" si="96"/>
        <v>1</v>
      </c>
      <c r="M150" s="128">
        <v>45166</v>
      </c>
      <c r="N150" s="92" t="s">
        <v>4348</v>
      </c>
      <c r="O150" s="129" t="s">
        <v>4349</v>
      </c>
      <c r="P150" s="124"/>
      <c r="R150" s="130" t="s">
        <v>4350</v>
      </c>
      <c r="S150" s="130" t="s">
        <v>88</v>
      </c>
      <c r="T150" s="130">
        <v>45119</v>
      </c>
      <c r="U150" s="186" t="s">
        <v>4351</v>
      </c>
      <c r="V150" s="172" t="s">
        <v>247</v>
      </c>
      <c r="W150" s="165">
        <v>2161.0926</v>
      </c>
      <c r="X150" s="166">
        <f t="shared" si="108"/>
        <v>2161.0926</v>
      </c>
      <c r="Y150" s="124"/>
      <c r="Z150" s="70" t="s">
        <v>93</v>
      </c>
      <c r="AA150" s="134"/>
      <c r="AB150" s="124"/>
      <c r="AC150" s="173"/>
      <c r="AD150" s="173"/>
      <c r="AE150" s="173"/>
      <c r="AF150" s="124"/>
      <c r="AG150" s="124"/>
      <c r="AH150" s="181"/>
      <c r="AI150" s="20">
        <f t="shared" si="104"/>
        <v>1080</v>
      </c>
      <c r="AK150" s="20">
        <f t="shared" si="105"/>
        <v>1080</v>
      </c>
      <c r="AL150" s="23"/>
      <c r="AM150" s="20">
        <f t="shared" si="106"/>
        <v>1080</v>
      </c>
      <c r="AZ150" s="20">
        <f t="shared" si="107"/>
        <v>60</v>
      </c>
    </row>
    <row r="151" s="20" customFormat="1" ht="31" customHeight="1" spans="1:57">
      <c r="A151" s="183">
        <v>45106</v>
      </c>
      <c r="B151" s="184" t="s">
        <v>240</v>
      </c>
      <c r="C151" s="149" t="s">
        <v>125</v>
      </c>
      <c r="D151" s="185">
        <v>4500107580</v>
      </c>
      <c r="E151" s="149" t="s">
        <v>4356</v>
      </c>
      <c r="F151" s="185" t="s">
        <v>4357</v>
      </c>
      <c r="G151" s="174" t="s">
        <v>4232</v>
      </c>
      <c r="H151" s="124" t="s">
        <v>4233</v>
      </c>
      <c r="I151" s="124">
        <v>2160</v>
      </c>
      <c r="J151" s="124">
        <v>0</v>
      </c>
      <c r="K151" s="124">
        <v>1080</v>
      </c>
      <c r="L151" s="127">
        <f t="shared" si="96"/>
        <v>2</v>
      </c>
      <c r="M151" s="128">
        <v>45166</v>
      </c>
      <c r="N151" s="92" t="s">
        <v>4348</v>
      </c>
      <c r="O151" s="129" t="s">
        <v>4349</v>
      </c>
      <c r="P151" s="124"/>
      <c r="R151" s="130" t="s">
        <v>4350</v>
      </c>
      <c r="S151" s="130" t="s">
        <v>88</v>
      </c>
      <c r="T151" s="130">
        <v>45119</v>
      </c>
      <c r="U151" s="186" t="s">
        <v>4351</v>
      </c>
      <c r="V151" s="172" t="s">
        <v>247</v>
      </c>
      <c r="W151" s="165">
        <v>2161.0926</v>
      </c>
      <c r="X151" s="166">
        <f t="shared" si="108"/>
        <v>4322.1852</v>
      </c>
      <c r="Y151" s="124"/>
      <c r="Z151" s="70" t="s">
        <v>93</v>
      </c>
      <c r="AA151" s="134"/>
      <c r="AB151" s="124"/>
      <c r="AC151" s="173"/>
      <c r="AD151" s="173"/>
      <c r="AE151" s="173"/>
      <c r="AF151" s="124"/>
      <c r="AG151" s="124"/>
      <c r="AH151" s="181"/>
      <c r="AI151" s="20">
        <f t="shared" si="104"/>
        <v>2160</v>
      </c>
      <c r="AK151" s="20">
        <f t="shared" si="105"/>
        <v>2160</v>
      </c>
      <c r="AL151" s="23"/>
      <c r="AM151" s="20">
        <f t="shared" si="106"/>
        <v>2160</v>
      </c>
      <c r="AZ151" s="20">
        <f t="shared" si="107"/>
        <v>120</v>
      </c>
    </row>
    <row r="152" s="20" customFormat="1" ht="31" customHeight="1" spans="1:57">
      <c r="A152" s="183">
        <v>45106</v>
      </c>
      <c r="B152" s="184" t="s">
        <v>240</v>
      </c>
      <c r="C152" s="149" t="s">
        <v>125</v>
      </c>
      <c r="D152" s="185">
        <v>4500107585</v>
      </c>
      <c r="E152" s="149" t="s">
        <v>4358</v>
      </c>
      <c r="F152" s="185" t="s">
        <v>4359</v>
      </c>
      <c r="G152" s="174" t="s">
        <v>4232</v>
      </c>
      <c r="H152" s="124" t="s">
        <v>4233</v>
      </c>
      <c r="I152" s="124">
        <v>1080</v>
      </c>
      <c r="J152" s="124">
        <v>0</v>
      </c>
      <c r="K152" s="124">
        <v>1080</v>
      </c>
      <c r="L152" s="127">
        <f t="shared" si="96"/>
        <v>1</v>
      </c>
      <c r="M152" s="128">
        <v>45180</v>
      </c>
      <c r="N152" s="92" t="s">
        <v>4348</v>
      </c>
      <c r="O152" s="129" t="s">
        <v>4360</v>
      </c>
      <c r="P152" s="124"/>
      <c r="R152" s="130" t="s">
        <v>4350</v>
      </c>
      <c r="S152" s="130" t="s">
        <v>88</v>
      </c>
      <c r="T152" s="130" t="s">
        <v>89</v>
      </c>
      <c r="U152" s="186" t="s">
        <v>4351</v>
      </c>
      <c r="V152" s="172" t="s">
        <v>247</v>
      </c>
      <c r="W152" s="165">
        <v>2161.0926</v>
      </c>
      <c r="X152" s="166">
        <f t="shared" si="108"/>
        <v>2161.0926</v>
      </c>
      <c r="Y152" s="124"/>
      <c r="Z152" s="70" t="s">
        <v>93</v>
      </c>
      <c r="AA152" s="134"/>
      <c r="AB152" s="124"/>
      <c r="AC152" s="173"/>
      <c r="AD152" s="173"/>
      <c r="AE152" s="173"/>
      <c r="AF152" s="124"/>
      <c r="AG152" s="124"/>
      <c r="AH152" s="181"/>
      <c r="AI152" s="20">
        <f t="shared" si="104"/>
        <v>1080</v>
      </c>
      <c r="AK152" s="20">
        <f t="shared" si="105"/>
        <v>1080</v>
      </c>
      <c r="AL152" s="23"/>
      <c r="AM152" s="20">
        <f t="shared" si="106"/>
        <v>1080</v>
      </c>
      <c r="AZ152" s="20">
        <f t="shared" si="107"/>
        <v>60</v>
      </c>
    </row>
    <row r="153" s="20" customFormat="1" ht="31" customHeight="1" spans="1:57">
      <c r="A153" s="183">
        <v>45106</v>
      </c>
      <c r="B153" s="184" t="s">
        <v>240</v>
      </c>
      <c r="C153" s="149" t="s">
        <v>125</v>
      </c>
      <c r="D153" s="185">
        <v>4500107585</v>
      </c>
      <c r="E153" s="149" t="s">
        <v>4361</v>
      </c>
      <c r="F153" s="185" t="s">
        <v>4362</v>
      </c>
      <c r="G153" s="174" t="s">
        <v>4232</v>
      </c>
      <c r="H153" s="124" t="s">
        <v>4233</v>
      </c>
      <c r="I153" s="124">
        <v>1080</v>
      </c>
      <c r="J153" s="124">
        <v>0</v>
      </c>
      <c r="K153" s="124">
        <v>1080</v>
      </c>
      <c r="L153" s="127">
        <f t="shared" si="96"/>
        <v>1</v>
      </c>
      <c r="M153" s="128">
        <v>45180</v>
      </c>
      <c r="N153" s="92" t="s">
        <v>4348</v>
      </c>
      <c r="O153" s="129" t="s">
        <v>4360</v>
      </c>
      <c r="P153" s="124"/>
      <c r="R153" s="130" t="s">
        <v>4350</v>
      </c>
      <c r="S153" s="130" t="s">
        <v>88</v>
      </c>
      <c r="T153" s="130" t="s">
        <v>89</v>
      </c>
      <c r="U153" s="186" t="s">
        <v>4351</v>
      </c>
      <c r="V153" s="172" t="s">
        <v>247</v>
      </c>
      <c r="W153" s="165">
        <v>2161.0926</v>
      </c>
      <c r="X153" s="166">
        <f t="shared" si="108"/>
        <v>2161.0926</v>
      </c>
      <c r="Y153" s="124"/>
      <c r="Z153" s="70" t="s">
        <v>93</v>
      </c>
      <c r="AA153" s="134"/>
      <c r="AB153" s="124"/>
      <c r="AC153" s="173"/>
      <c r="AD153" s="173"/>
      <c r="AE153" s="173"/>
      <c r="AF153" s="124"/>
      <c r="AG153" s="124"/>
      <c r="AH153" s="181"/>
      <c r="AI153" s="20">
        <f t="shared" si="104"/>
        <v>1080</v>
      </c>
      <c r="AK153" s="20">
        <f t="shared" si="105"/>
        <v>1080</v>
      </c>
      <c r="AL153" s="23"/>
      <c r="AM153" s="20">
        <f t="shared" si="106"/>
        <v>1080</v>
      </c>
      <c r="AZ153" s="20">
        <f t="shared" si="107"/>
        <v>60</v>
      </c>
    </row>
    <row r="154" s="20" customFormat="1" ht="31" customHeight="1" spans="1:57">
      <c r="A154" s="183">
        <v>45106</v>
      </c>
      <c r="B154" s="184" t="s">
        <v>240</v>
      </c>
      <c r="C154" s="149" t="s">
        <v>125</v>
      </c>
      <c r="D154" s="185">
        <v>4500107585</v>
      </c>
      <c r="E154" s="149" t="s">
        <v>4363</v>
      </c>
      <c r="F154" s="185" t="s">
        <v>4364</v>
      </c>
      <c r="G154" s="174" t="s">
        <v>4232</v>
      </c>
      <c r="H154" s="124" t="s">
        <v>4233</v>
      </c>
      <c r="I154" s="124">
        <v>1080</v>
      </c>
      <c r="J154" s="124">
        <v>0</v>
      </c>
      <c r="K154" s="124">
        <v>1080</v>
      </c>
      <c r="L154" s="127">
        <f t="shared" si="96"/>
        <v>1</v>
      </c>
      <c r="M154" s="128">
        <v>45180</v>
      </c>
      <c r="N154" s="92" t="s">
        <v>4348</v>
      </c>
      <c r="O154" s="129" t="s">
        <v>4365</v>
      </c>
      <c r="P154" s="124"/>
      <c r="R154" s="130" t="s">
        <v>4350</v>
      </c>
      <c r="S154" s="130" t="s">
        <v>88</v>
      </c>
      <c r="T154" s="130" t="s">
        <v>89</v>
      </c>
      <c r="U154" s="186" t="s">
        <v>4351</v>
      </c>
      <c r="V154" s="172" t="s">
        <v>247</v>
      </c>
      <c r="W154" s="165">
        <v>2161.0926</v>
      </c>
      <c r="X154" s="166">
        <f t="shared" si="108"/>
        <v>2161.0926</v>
      </c>
      <c r="Y154" s="124"/>
      <c r="Z154" s="70" t="s">
        <v>93</v>
      </c>
      <c r="AA154" s="134"/>
      <c r="AB154" s="124"/>
      <c r="AC154" s="173"/>
      <c r="AD154" s="173"/>
      <c r="AE154" s="173"/>
      <c r="AF154" s="124"/>
      <c r="AG154" s="124"/>
      <c r="AH154" s="181"/>
      <c r="AI154" s="20">
        <f t="shared" si="104"/>
        <v>1080</v>
      </c>
      <c r="AK154" s="20">
        <f t="shared" si="105"/>
        <v>1080</v>
      </c>
      <c r="AL154" s="23"/>
      <c r="AM154" s="20">
        <f t="shared" si="106"/>
        <v>1080</v>
      </c>
      <c r="AZ154" s="20">
        <f t="shared" si="107"/>
        <v>60</v>
      </c>
    </row>
    <row r="155" s="20" customFormat="1" ht="31" customHeight="1" spans="1:57">
      <c r="A155" s="183">
        <v>45106</v>
      </c>
      <c r="B155" s="184" t="s">
        <v>240</v>
      </c>
      <c r="C155" s="149" t="s">
        <v>125</v>
      </c>
      <c r="D155" s="185">
        <v>4500107585</v>
      </c>
      <c r="E155" s="149" t="s">
        <v>4366</v>
      </c>
      <c r="F155" s="185" t="s">
        <v>4367</v>
      </c>
      <c r="G155" s="174" t="s">
        <v>4232</v>
      </c>
      <c r="H155" s="124" t="s">
        <v>4233</v>
      </c>
      <c r="I155" s="124">
        <v>1080</v>
      </c>
      <c r="J155" s="124">
        <v>0</v>
      </c>
      <c r="K155" s="124">
        <v>1080</v>
      </c>
      <c r="L155" s="127">
        <f t="shared" si="96"/>
        <v>1</v>
      </c>
      <c r="M155" s="128">
        <v>45180</v>
      </c>
      <c r="N155" s="92" t="s">
        <v>4348</v>
      </c>
      <c r="O155" s="129" t="s">
        <v>4360</v>
      </c>
      <c r="P155" s="124"/>
      <c r="R155" s="130" t="s">
        <v>4350</v>
      </c>
      <c r="S155" s="130" t="s">
        <v>88</v>
      </c>
      <c r="T155" s="130" t="s">
        <v>89</v>
      </c>
      <c r="U155" s="186" t="s">
        <v>4351</v>
      </c>
      <c r="V155" s="172" t="s">
        <v>247</v>
      </c>
      <c r="W155" s="165">
        <v>2161.0926</v>
      </c>
      <c r="X155" s="166">
        <f t="shared" si="108"/>
        <v>2161.0926</v>
      </c>
      <c r="Y155" s="124"/>
      <c r="Z155" s="70" t="s">
        <v>93</v>
      </c>
      <c r="AA155" s="134"/>
      <c r="AB155" s="124"/>
      <c r="AC155" s="173"/>
      <c r="AD155" s="173"/>
      <c r="AE155" s="173"/>
      <c r="AF155" s="124"/>
      <c r="AG155" s="124"/>
      <c r="AH155" s="181"/>
      <c r="AI155" s="20">
        <f t="shared" si="104"/>
        <v>1080</v>
      </c>
      <c r="AK155" s="20">
        <f t="shared" si="105"/>
        <v>1080</v>
      </c>
      <c r="AL155" s="23"/>
      <c r="AM155" s="20">
        <f t="shared" si="106"/>
        <v>1080</v>
      </c>
      <c r="AZ155" s="20">
        <f t="shared" si="107"/>
        <v>60</v>
      </c>
    </row>
    <row r="156" s="20" customFormat="1" ht="31" customHeight="1" spans="1:57">
      <c r="A156" s="183">
        <v>45145</v>
      </c>
      <c r="B156" s="184" t="s">
        <v>1548</v>
      </c>
      <c r="C156" s="149" t="s">
        <v>125</v>
      </c>
      <c r="D156" s="185">
        <v>4500110632</v>
      </c>
      <c r="E156" s="141" t="s">
        <v>4368</v>
      </c>
      <c r="F156" s="185" t="s">
        <v>4369</v>
      </c>
      <c r="G156" s="142" t="s">
        <v>84</v>
      </c>
      <c r="H156" s="141" t="s">
        <v>85</v>
      </c>
      <c r="I156" s="141">
        <v>2200</v>
      </c>
      <c r="J156" s="141">
        <v>0</v>
      </c>
      <c r="K156" s="141">
        <v>4</v>
      </c>
      <c r="L156" s="143">
        <f t="shared" si="96"/>
        <v>550</v>
      </c>
      <c r="M156" s="128">
        <v>45196</v>
      </c>
      <c r="N156" s="128" t="s">
        <v>4370</v>
      </c>
      <c r="O156" s="129"/>
      <c r="P156" s="129"/>
      <c r="Q156" s="124"/>
      <c r="R156" s="146" t="s">
        <v>89</v>
      </c>
      <c r="S156" s="146" t="s">
        <v>88</v>
      </c>
      <c r="T156" s="146" t="s">
        <v>89</v>
      </c>
      <c r="U156" s="139" t="s">
        <v>4344</v>
      </c>
      <c r="V156" s="172" t="s">
        <v>4345</v>
      </c>
      <c r="W156" s="147">
        <v>7.3146</v>
      </c>
      <c r="X156" s="148">
        <f t="shared" ref="X156:X158" si="109">I156*W156</f>
        <v>16092.12</v>
      </c>
      <c r="Y156" s="124"/>
      <c r="Z156" s="141" t="s">
        <v>93</v>
      </c>
      <c r="AA156" s="134"/>
      <c r="AB156" s="124"/>
      <c r="AC156" s="191"/>
      <c r="AD156" s="191"/>
      <c r="AE156" s="126"/>
      <c r="AF156" s="192"/>
      <c r="AG156" s="124"/>
      <c r="AH156" s="21">
        <f t="shared" ref="AH156:AH158" si="110">I156</f>
        <v>2200</v>
      </c>
      <c r="AI156" s="21"/>
      <c r="AJ156" s="21">
        <f>I156</f>
        <v>2200</v>
      </c>
      <c r="AK156" s="21">
        <f t="shared" si="105"/>
        <v>2200</v>
      </c>
    </row>
    <row r="157" s="20" customFormat="1" ht="31" customHeight="1" spans="1:57">
      <c r="A157" s="183">
        <v>45145</v>
      </c>
      <c r="B157" s="184" t="s">
        <v>1548</v>
      </c>
      <c r="C157" s="149" t="s">
        <v>125</v>
      </c>
      <c r="D157" s="185">
        <v>4500110634</v>
      </c>
      <c r="E157" s="141" t="s">
        <v>4371</v>
      </c>
      <c r="F157" s="185" t="s">
        <v>4372</v>
      </c>
      <c r="G157" s="142" t="s">
        <v>84</v>
      </c>
      <c r="H157" s="141" t="s">
        <v>85</v>
      </c>
      <c r="I157" s="141">
        <v>2052</v>
      </c>
      <c r="J157" s="141">
        <v>0</v>
      </c>
      <c r="K157" s="141">
        <v>4</v>
      </c>
      <c r="L157" s="143">
        <f t="shared" si="96"/>
        <v>513</v>
      </c>
      <c r="M157" s="128">
        <v>45191</v>
      </c>
      <c r="N157" s="128" t="s">
        <v>4370</v>
      </c>
      <c r="O157" s="129"/>
      <c r="P157" s="129"/>
      <c r="Q157" s="124"/>
      <c r="R157" s="146" t="s">
        <v>89</v>
      </c>
      <c r="S157" s="146" t="s">
        <v>88</v>
      </c>
      <c r="T157" s="146" t="s">
        <v>89</v>
      </c>
      <c r="U157" s="139" t="s">
        <v>4344</v>
      </c>
      <c r="V157" s="172" t="s">
        <v>1554</v>
      </c>
      <c r="W157" s="147">
        <v>7.3146</v>
      </c>
      <c r="X157" s="148">
        <f t="shared" si="109"/>
        <v>15009.5592</v>
      </c>
      <c r="Y157" s="124"/>
      <c r="Z157" s="141" t="s">
        <v>93</v>
      </c>
      <c r="AA157" s="134" t="s">
        <v>95</v>
      </c>
      <c r="AB157" s="124"/>
      <c r="AC157" s="191"/>
      <c r="AD157" s="191"/>
      <c r="AE157" s="126"/>
      <c r="AF157" s="192"/>
      <c r="AG157" s="124"/>
      <c r="AH157" s="21">
        <f t="shared" si="110"/>
        <v>2052</v>
      </c>
      <c r="AI157" s="21"/>
      <c r="AJ157" s="21">
        <f>I157</f>
        <v>2052</v>
      </c>
      <c r="AK157" s="21">
        <f t="shared" si="105"/>
        <v>2052</v>
      </c>
    </row>
    <row r="158" s="20" customFormat="1" ht="31" customHeight="1" spans="1:57">
      <c r="A158" s="183">
        <v>45153</v>
      </c>
      <c r="B158" s="184" t="s">
        <v>1548</v>
      </c>
      <c r="C158" s="149" t="s">
        <v>125</v>
      </c>
      <c r="D158" s="185">
        <v>4500111249</v>
      </c>
      <c r="E158" s="141" t="s">
        <v>4373</v>
      </c>
      <c r="F158" s="185" t="s">
        <v>4374</v>
      </c>
      <c r="G158" s="142" t="s">
        <v>84</v>
      </c>
      <c r="H158" s="141" t="s">
        <v>85</v>
      </c>
      <c r="I158" s="141">
        <v>2948</v>
      </c>
      <c r="J158" s="141">
        <v>0</v>
      </c>
      <c r="K158" s="141">
        <v>4</v>
      </c>
      <c r="L158" s="143">
        <f t="shared" si="96"/>
        <v>737</v>
      </c>
      <c r="M158" s="128">
        <v>45197</v>
      </c>
      <c r="N158" s="128" t="s">
        <v>4370</v>
      </c>
      <c r="O158" s="129"/>
      <c r="P158" s="129"/>
      <c r="Q158" s="124"/>
      <c r="R158" s="146" t="s">
        <v>89</v>
      </c>
      <c r="S158" s="146" t="s">
        <v>88</v>
      </c>
      <c r="T158" s="146" t="s">
        <v>89</v>
      </c>
      <c r="U158" s="139" t="s">
        <v>4344</v>
      </c>
      <c r="V158" s="172" t="s">
        <v>1554</v>
      </c>
      <c r="W158" s="147">
        <v>7.3146</v>
      </c>
      <c r="X158" s="148">
        <f t="shared" si="109"/>
        <v>21563.4408</v>
      </c>
      <c r="Y158" s="124"/>
      <c r="Z158" s="142"/>
      <c r="AA158" s="134"/>
      <c r="AB158" s="124"/>
      <c r="AC158" s="191"/>
      <c r="AD158" s="191"/>
      <c r="AE158" s="126"/>
      <c r="AF158" s="192"/>
      <c r="AG158" s="124"/>
      <c r="AH158" s="21">
        <f t="shared" si="110"/>
        <v>2948</v>
      </c>
      <c r="AI158" s="21"/>
      <c r="AJ158" s="21"/>
      <c r="AK158" s="21">
        <f t="shared" si="105"/>
        <v>2948</v>
      </c>
    </row>
    <row r="159" s="20" customFormat="1" ht="31" customHeight="1" spans="1:57">
      <c r="A159" s="183">
        <v>45149</v>
      </c>
      <c r="B159" s="184" t="s">
        <v>1548</v>
      </c>
      <c r="C159" s="149" t="s">
        <v>125</v>
      </c>
      <c r="D159" s="185">
        <v>4500111093</v>
      </c>
      <c r="E159" s="149" t="s">
        <v>4375</v>
      </c>
      <c r="F159" s="185" t="s">
        <v>4376</v>
      </c>
      <c r="G159" s="174" t="s">
        <v>4202</v>
      </c>
      <c r="H159" s="124" t="s">
        <v>4203</v>
      </c>
      <c r="I159" s="124">
        <v>8748</v>
      </c>
      <c r="J159" s="124">
        <v>0</v>
      </c>
      <c r="K159" s="124">
        <v>18</v>
      </c>
      <c r="L159" s="127">
        <f t="shared" si="96"/>
        <v>486</v>
      </c>
      <c r="M159" s="128">
        <v>45196</v>
      </c>
      <c r="N159" s="128" t="s">
        <v>4370</v>
      </c>
      <c r="O159" s="129"/>
      <c r="P159" s="124"/>
      <c r="R159" s="130" t="s">
        <v>89</v>
      </c>
      <c r="S159" s="130" t="s">
        <v>88</v>
      </c>
      <c r="T159" s="130" t="s">
        <v>89</v>
      </c>
      <c r="U159" s="186" t="s">
        <v>4377</v>
      </c>
      <c r="V159" s="172" t="s">
        <v>4345</v>
      </c>
      <c r="W159" s="165">
        <v>1.8813</v>
      </c>
      <c r="X159" s="166">
        <f t="shared" ref="X159:X182" si="111">W159*I159</f>
        <v>16457.6124</v>
      </c>
      <c r="Y159" s="124"/>
      <c r="Z159" s="124" t="s">
        <v>93</v>
      </c>
      <c r="AA159" s="134"/>
      <c r="AB159" s="124"/>
      <c r="AC159" s="173"/>
      <c r="AD159" s="173"/>
      <c r="AE159" s="173"/>
      <c r="AF159" s="124"/>
      <c r="AG159" s="124"/>
      <c r="AH159" s="181"/>
      <c r="AI159" s="20">
        <f>I159</f>
        <v>8748</v>
      </c>
      <c r="AK159" s="20">
        <f t="shared" si="105"/>
        <v>8748</v>
      </c>
      <c r="AL159" s="22"/>
      <c r="AM159" s="20">
        <f>I159</f>
        <v>8748</v>
      </c>
      <c r="BA159" s="20">
        <f>I159/18</f>
        <v>486</v>
      </c>
    </row>
    <row r="160" s="20" customFormat="1" ht="31" customHeight="1" spans="1:57">
      <c r="A160" s="183">
        <v>45142</v>
      </c>
      <c r="B160" s="184" t="s">
        <v>420</v>
      </c>
      <c r="C160" s="149" t="s">
        <v>125</v>
      </c>
      <c r="D160" s="185">
        <v>4500110557</v>
      </c>
      <c r="E160" s="149" t="s">
        <v>4378</v>
      </c>
      <c r="F160" s="185" t="s">
        <v>4379</v>
      </c>
      <c r="G160" s="174" t="s">
        <v>4288</v>
      </c>
      <c r="H160" s="124" t="s">
        <v>4289</v>
      </c>
      <c r="I160" s="124">
        <v>120</v>
      </c>
      <c r="J160" s="124">
        <v>0</v>
      </c>
      <c r="K160" s="124">
        <v>12</v>
      </c>
      <c r="L160" s="127">
        <f t="shared" si="96"/>
        <v>10</v>
      </c>
      <c r="M160" s="128">
        <v>45175</v>
      </c>
      <c r="N160" s="92" t="s">
        <v>4380</v>
      </c>
      <c r="O160" s="129"/>
      <c r="P160" s="124"/>
      <c r="R160" s="130" t="s">
        <v>4381</v>
      </c>
      <c r="S160" s="130" t="s">
        <v>88</v>
      </c>
      <c r="T160" s="130">
        <v>45163</v>
      </c>
      <c r="U160" s="186" t="s">
        <v>4382</v>
      </c>
      <c r="V160" s="193" t="s">
        <v>1578</v>
      </c>
      <c r="W160" s="165">
        <v>4.0355</v>
      </c>
      <c r="X160" s="166">
        <f t="shared" si="111"/>
        <v>484.26</v>
      </c>
      <c r="Y160" s="124"/>
      <c r="Z160" s="124" t="s">
        <v>93</v>
      </c>
      <c r="AA160" s="134" t="s">
        <v>94</v>
      </c>
      <c r="AB160" s="124"/>
      <c r="AC160" s="126"/>
      <c r="AD160" s="173"/>
      <c r="AE160" s="173"/>
      <c r="AF160" s="124"/>
      <c r="AG160" s="124"/>
      <c r="AH160" s="181"/>
      <c r="AI160" s="20">
        <f t="shared" ref="AI160:AI178" si="112">I160*2</f>
        <v>240</v>
      </c>
      <c r="AK160" s="21">
        <f t="shared" ref="AK160:AK178" si="113">I160*2</f>
        <v>240</v>
      </c>
      <c r="AL160" s="23"/>
      <c r="AM160" s="20">
        <f t="shared" ref="AM160:AM178" si="114">I160*2</f>
        <v>240</v>
      </c>
      <c r="BC160" s="20">
        <f t="shared" ref="BC160:BC178" si="115">I160</f>
        <v>120</v>
      </c>
      <c r="BD160" s="20">
        <f t="shared" ref="BD160:BD178" si="116">I160</f>
        <v>120</v>
      </c>
      <c r="BE160" s="20">
        <f t="shared" ref="BE160:BE178" si="117">I160</f>
        <v>120</v>
      </c>
    </row>
    <row r="161" s="20" customFormat="1" ht="31" customHeight="1" spans="1:57">
      <c r="A161" s="183">
        <v>45142</v>
      </c>
      <c r="B161" s="184" t="s">
        <v>420</v>
      </c>
      <c r="C161" s="149" t="s">
        <v>125</v>
      </c>
      <c r="D161" s="185">
        <v>4500110557</v>
      </c>
      <c r="E161" s="149" t="s">
        <v>4378</v>
      </c>
      <c r="F161" s="185" t="s">
        <v>4383</v>
      </c>
      <c r="G161" s="174" t="s">
        <v>4288</v>
      </c>
      <c r="H161" s="124" t="s">
        <v>4289</v>
      </c>
      <c r="I161" s="124">
        <v>132</v>
      </c>
      <c r="J161" s="124">
        <v>0</v>
      </c>
      <c r="K161" s="124">
        <v>12</v>
      </c>
      <c r="L161" s="127">
        <f t="shared" si="96"/>
        <v>11</v>
      </c>
      <c r="M161" s="128">
        <v>45175</v>
      </c>
      <c r="N161" s="92" t="s">
        <v>4380</v>
      </c>
      <c r="O161" s="129"/>
      <c r="P161" s="124"/>
      <c r="R161" s="130" t="s">
        <v>4381</v>
      </c>
      <c r="S161" s="130" t="s">
        <v>88</v>
      </c>
      <c r="T161" s="130">
        <v>45163</v>
      </c>
      <c r="U161" s="186" t="s">
        <v>4382</v>
      </c>
      <c r="V161" s="193" t="s">
        <v>1578</v>
      </c>
      <c r="W161" s="165">
        <v>4.0355</v>
      </c>
      <c r="X161" s="166">
        <f t="shared" si="111"/>
        <v>532.686</v>
      </c>
      <c r="Y161" s="124"/>
      <c r="Z161" s="124" t="s">
        <v>93</v>
      </c>
      <c r="AA161" s="134" t="s">
        <v>94</v>
      </c>
      <c r="AB161" s="124"/>
      <c r="AC161" s="126"/>
      <c r="AD161" s="173"/>
      <c r="AE161" s="173"/>
      <c r="AF161" s="124"/>
      <c r="AG161" s="124"/>
      <c r="AH161" s="181"/>
      <c r="AI161" s="20">
        <f t="shared" si="112"/>
        <v>264</v>
      </c>
      <c r="AK161" s="21">
        <f t="shared" si="113"/>
        <v>264</v>
      </c>
      <c r="AL161" s="23"/>
      <c r="AM161" s="20">
        <f t="shared" si="114"/>
        <v>264</v>
      </c>
      <c r="BC161" s="20">
        <f t="shared" si="115"/>
        <v>132</v>
      </c>
      <c r="BD161" s="20">
        <f t="shared" si="116"/>
        <v>132</v>
      </c>
      <c r="BE161" s="20">
        <f t="shared" si="117"/>
        <v>132</v>
      </c>
    </row>
    <row r="162" s="20" customFormat="1" ht="31" customHeight="1" spans="1:57">
      <c r="A162" s="183">
        <v>45142</v>
      </c>
      <c r="B162" s="184" t="s">
        <v>420</v>
      </c>
      <c r="C162" s="149" t="s">
        <v>125</v>
      </c>
      <c r="D162" s="185">
        <v>4500110557</v>
      </c>
      <c r="E162" s="149" t="s">
        <v>4378</v>
      </c>
      <c r="F162" s="185" t="s">
        <v>4384</v>
      </c>
      <c r="G162" s="174" t="s">
        <v>4288</v>
      </c>
      <c r="H162" s="124" t="s">
        <v>4289</v>
      </c>
      <c r="I162" s="124">
        <v>132</v>
      </c>
      <c r="J162" s="124">
        <v>0</v>
      </c>
      <c r="K162" s="124">
        <v>12</v>
      </c>
      <c r="L162" s="127">
        <f t="shared" si="96"/>
        <v>11</v>
      </c>
      <c r="M162" s="128">
        <v>45175</v>
      </c>
      <c r="N162" s="92" t="s">
        <v>4380</v>
      </c>
      <c r="O162" s="129"/>
      <c r="P162" s="124"/>
      <c r="R162" s="130" t="s">
        <v>4381</v>
      </c>
      <c r="S162" s="130" t="s">
        <v>88</v>
      </c>
      <c r="T162" s="130">
        <v>45163</v>
      </c>
      <c r="U162" s="186" t="s">
        <v>4382</v>
      </c>
      <c r="V162" s="193" t="s">
        <v>1578</v>
      </c>
      <c r="W162" s="165">
        <v>4.0355</v>
      </c>
      <c r="X162" s="166">
        <f t="shared" si="111"/>
        <v>532.686</v>
      </c>
      <c r="Y162" s="124"/>
      <c r="Z162" s="124" t="s">
        <v>93</v>
      </c>
      <c r="AA162" s="134" t="s">
        <v>94</v>
      </c>
      <c r="AB162" s="124"/>
      <c r="AC162" s="126"/>
      <c r="AD162" s="173"/>
      <c r="AE162" s="173"/>
      <c r="AF162" s="124"/>
      <c r="AG162" s="124"/>
      <c r="AH162" s="181"/>
      <c r="AI162" s="20">
        <f t="shared" si="112"/>
        <v>264</v>
      </c>
      <c r="AK162" s="21">
        <f t="shared" si="113"/>
        <v>264</v>
      </c>
      <c r="AL162" s="23"/>
      <c r="AM162" s="20">
        <f t="shared" si="114"/>
        <v>264</v>
      </c>
      <c r="BC162" s="20">
        <f t="shared" si="115"/>
        <v>132</v>
      </c>
      <c r="BD162" s="20">
        <f t="shared" si="116"/>
        <v>132</v>
      </c>
      <c r="BE162" s="20">
        <f t="shared" si="117"/>
        <v>132</v>
      </c>
    </row>
    <row r="163" s="20" customFormat="1" ht="31" customHeight="1" spans="1:57">
      <c r="A163" s="183">
        <v>45142</v>
      </c>
      <c r="B163" s="184" t="s">
        <v>420</v>
      </c>
      <c r="C163" s="149" t="s">
        <v>125</v>
      </c>
      <c r="D163" s="185">
        <v>4500110557</v>
      </c>
      <c r="E163" s="149" t="s">
        <v>4378</v>
      </c>
      <c r="F163" s="185" t="s">
        <v>4385</v>
      </c>
      <c r="G163" s="174" t="s">
        <v>4288</v>
      </c>
      <c r="H163" s="124" t="s">
        <v>4289</v>
      </c>
      <c r="I163" s="124">
        <v>144</v>
      </c>
      <c r="J163" s="124">
        <v>0</v>
      </c>
      <c r="K163" s="124">
        <v>12</v>
      </c>
      <c r="L163" s="127">
        <f t="shared" si="96"/>
        <v>12</v>
      </c>
      <c r="M163" s="128">
        <v>45175</v>
      </c>
      <c r="N163" s="92" t="s">
        <v>4380</v>
      </c>
      <c r="O163" s="129"/>
      <c r="P163" s="124"/>
      <c r="R163" s="130" t="s">
        <v>4381</v>
      </c>
      <c r="S163" s="130" t="s">
        <v>88</v>
      </c>
      <c r="T163" s="130">
        <v>45163</v>
      </c>
      <c r="U163" s="186" t="s">
        <v>4382</v>
      </c>
      <c r="V163" s="193" t="s">
        <v>1578</v>
      </c>
      <c r="W163" s="165">
        <v>4.0355</v>
      </c>
      <c r="X163" s="166">
        <f t="shared" si="111"/>
        <v>581.112</v>
      </c>
      <c r="Y163" s="124"/>
      <c r="Z163" s="124" t="s">
        <v>93</v>
      </c>
      <c r="AA163" s="134" t="s">
        <v>94</v>
      </c>
      <c r="AB163" s="124"/>
      <c r="AC163" s="126"/>
      <c r="AD163" s="173"/>
      <c r="AE163" s="173"/>
      <c r="AF163" s="124"/>
      <c r="AG163" s="124"/>
      <c r="AH163" s="181"/>
      <c r="AI163" s="20">
        <f t="shared" si="112"/>
        <v>288</v>
      </c>
      <c r="AK163" s="21">
        <f t="shared" si="113"/>
        <v>288</v>
      </c>
      <c r="AL163" s="23"/>
      <c r="AM163" s="20">
        <f t="shared" si="114"/>
        <v>288</v>
      </c>
      <c r="BC163" s="20">
        <f t="shared" si="115"/>
        <v>144</v>
      </c>
      <c r="BD163" s="20">
        <f t="shared" si="116"/>
        <v>144</v>
      </c>
      <c r="BE163" s="20">
        <f t="shared" si="117"/>
        <v>144</v>
      </c>
    </row>
    <row r="164" s="20" customFormat="1" ht="31" customHeight="1" spans="1:57">
      <c r="A164" s="183">
        <v>45142</v>
      </c>
      <c r="B164" s="184" t="s">
        <v>420</v>
      </c>
      <c r="C164" s="149" t="s">
        <v>125</v>
      </c>
      <c r="D164" s="185">
        <v>4500110557</v>
      </c>
      <c r="E164" s="149" t="s">
        <v>4378</v>
      </c>
      <c r="F164" s="185" t="s">
        <v>4386</v>
      </c>
      <c r="G164" s="174" t="s">
        <v>4288</v>
      </c>
      <c r="H164" s="124" t="s">
        <v>4289</v>
      </c>
      <c r="I164" s="124">
        <v>108</v>
      </c>
      <c r="J164" s="124">
        <v>0</v>
      </c>
      <c r="K164" s="124">
        <v>12</v>
      </c>
      <c r="L164" s="127">
        <f t="shared" si="96"/>
        <v>9</v>
      </c>
      <c r="M164" s="128">
        <v>45175</v>
      </c>
      <c r="N164" s="92" t="s">
        <v>4380</v>
      </c>
      <c r="O164" s="129"/>
      <c r="P164" s="124"/>
      <c r="R164" s="130" t="s">
        <v>4381</v>
      </c>
      <c r="S164" s="130" t="s">
        <v>88</v>
      </c>
      <c r="T164" s="130">
        <v>45163</v>
      </c>
      <c r="U164" s="186" t="s">
        <v>4382</v>
      </c>
      <c r="V164" s="193" t="s">
        <v>1578</v>
      </c>
      <c r="W164" s="165">
        <v>4.0355</v>
      </c>
      <c r="X164" s="166">
        <f t="shared" si="111"/>
        <v>435.834</v>
      </c>
      <c r="Y164" s="124"/>
      <c r="Z164" s="124" t="s">
        <v>93</v>
      </c>
      <c r="AA164" s="134" t="s">
        <v>94</v>
      </c>
      <c r="AB164" s="124"/>
      <c r="AC164" s="126"/>
      <c r="AD164" s="173"/>
      <c r="AE164" s="173"/>
      <c r="AF164" s="124"/>
      <c r="AG164" s="124"/>
      <c r="AH164" s="181"/>
      <c r="AI164" s="20">
        <f t="shared" si="112"/>
        <v>216</v>
      </c>
      <c r="AK164" s="21">
        <f t="shared" si="113"/>
        <v>216</v>
      </c>
      <c r="AL164" s="23"/>
      <c r="AM164" s="20">
        <f t="shared" si="114"/>
        <v>216</v>
      </c>
      <c r="BC164" s="20">
        <f t="shared" si="115"/>
        <v>108</v>
      </c>
      <c r="BD164" s="20">
        <f t="shared" si="116"/>
        <v>108</v>
      </c>
      <c r="BE164" s="20">
        <f t="shared" si="117"/>
        <v>108</v>
      </c>
    </row>
    <row r="165" s="20" customFormat="1" ht="31" customHeight="1" spans="1:57">
      <c r="A165" s="183">
        <v>45142</v>
      </c>
      <c r="B165" s="184" t="s">
        <v>420</v>
      </c>
      <c r="C165" s="149" t="s">
        <v>125</v>
      </c>
      <c r="D165" s="185">
        <v>4500110557</v>
      </c>
      <c r="E165" s="149" t="s">
        <v>4378</v>
      </c>
      <c r="F165" s="185" t="s">
        <v>4387</v>
      </c>
      <c r="G165" s="174" t="s">
        <v>4288</v>
      </c>
      <c r="H165" s="124" t="s">
        <v>4289</v>
      </c>
      <c r="I165" s="124">
        <v>108</v>
      </c>
      <c r="J165" s="124">
        <v>0</v>
      </c>
      <c r="K165" s="124">
        <v>12</v>
      </c>
      <c r="L165" s="127">
        <f t="shared" si="96"/>
        <v>9</v>
      </c>
      <c r="M165" s="128">
        <v>45175</v>
      </c>
      <c r="N165" s="92" t="s">
        <v>4380</v>
      </c>
      <c r="O165" s="129"/>
      <c r="P165" s="124"/>
      <c r="R165" s="130" t="s">
        <v>4381</v>
      </c>
      <c r="S165" s="130" t="s">
        <v>88</v>
      </c>
      <c r="T165" s="130">
        <v>45163</v>
      </c>
      <c r="U165" s="186" t="s">
        <v>4382</v>
      </c>
      <c r="V165" s="193" t="s">
        <v>1578</v>
      </c>
      <c r="W165" s="165">
        <v>4.0355</v>
      </c>
      <c r="X165" s="166">
        <f t="shared" si="111"/>
        <v>435.834</v>
      </c>
      <c r="Y165" s="124"/>
      <c r="Z165" s="124" t="s">
        <v>93</v>
      </c>
      <c r="AA165" s="134" t="s">
        <v>94</v>
      </c>
      <c r="AB165" s="124"/>
      <c r="AC165" s="173"/>
      <c r="AD165" s="173"/>
      <c r="AE165" s="173"/>
      <c r="AF165" s="124"/>
      <c r="AG165" s="124"/>
      <c r="AH165" s="181"/>
      <c r="AI165" s="20">
        <f t="shared" si="112"/>
        <v>216</v>
      </c>
      <c r="AK165" s="21">
        <f t="shared" si="113"/>
        <v>216</v>
      </c>
      <c r="AL165" s="23"/>
      <c r="AM165" s="20">
        <f t="shared" si="114"/>
        <v>216</v>
      </c>
      <c r="BC165" s="20">
        <f t="shared" si="115"/>
        <v>108</v>
      </c>
      <c r="BD165" s="20">
        <f t="shared" si="116"/>
        <v>108</v>
      </c>
      <c r="BE165" s="20">
        <f t="shared" si="117"/>
        <v>108</v>
      </c>
    </row>
    <row r="166" s="20" customFormat="1" ht="31" customHeight="1" spans="1:57">
      <c r="A166" s="183">
        <v>45142</v>
      </c>
      <c r="B166" s="184" t="s">
        <v>420</v>
      </c>
      <c r="C166" s="149" t="s">
        <v>125</v>
      </c>
      <c r="D166" s="185">
        <v>4500110557</v>
      </c>
      <c r="E166" s="149" t="s">
        <v>4378</v>
      </c>
      <c r="F166" s="185" t="s">
        <v>4388</v>
      </c>
      <c r="G166" s="174" t="s">
        <v>4288</v>
      </c>
      <c r="H166" s="124" t="s">
        <v>4289</v>
      </c>
      <c r="I166" s="124">
        <v>132</v>
      </c>
      <c r="J166" s="124">
        <v>0</v>
      </c>
      <c r="K166" s="124">
        <v>12</v>
      </c>
      <c r="L166" s="127">
        <f t="shared" si="96"/>
        <v>11</v>
      </c>
      <c r="M166" s="128">
        <v>45175</v>
      </c>
      <c r="N166" s="92" t="s">
        <v>4380</v>
      </c>
      <c r="O166" s="129"/>
      <c r="P166" s="124"/>
      <c r="R166" s="130" t="s">
        <v>4381</v>
      </c>
      <c r="S166" s="130" t="s">
        <v>88</v>
      </c>
      <c r="T166" s="130">
        <v>45163</v>
      </c>
      <c r="U166" s="186" t="s">
        <v>4382</v>
      </c>
      <c r="V166" s="193" t="s">
        <v>1578</v>
      </c>
      <c r="W166" s="165">
        <v>4.0355</v>
      </c>
      <c r="X166" s="166">
        <f t="shared" si="111"/>
        <v>532.686</v>
      </c>
      <c r="Y166" s="124"/>
      <c r="Z166" s="124" t="s">
        <v>93</v>
      </c>
      <c r="AA166" s="134" t="s">
        <v>94</v>
      </c>
      <c r="AB166" s="124"/>
      <c r="AC166" s="173"/>
      <c r="AD166" s="173"/>
      <c r="AE166" s="173"/>
      <c r="AF166" s="124"/>
      <c r="AG166" s="124"/>
      <c r="AH166" s="181"/>
      <c r="AI166" s="20">
        <f t="shared" si="112"/>
        <v>264</v>
      </c>
      <c r="AK166" s="21">
        <f t="shared" si="113"/>
        <v>264</v>
      </c>
      <c r="AL166" s="23"/>
      <c r="AM166" s="20">
        <f t="shared" si="114"/>
        <v>264</v>
      </c>
      <c r="BC166" s="20">
        <f t="shared" si="115"/>
        <v>132</v>
      </c>
      <c r="BD166" s="20">
        <f t="shared" si="116"/>
        <v>132</v>
      </c>
      <c r="BE166" s="20">
        <f t="shared" si="117"/>
        <v>132</v>
      </c>
    </row>
    <row r="167" s="20" customFormat="1" ht="31" customHeight="1" spans="1:57">
      <c r="A167" s="183">
        <v>45142</v>
      </c>
      <c r="B167" s="184" t="s">
        <v>420</v>
      </c>
      <c r="C167" s="149" t="s">
        <v>125</v>
      </c>
      <c r="D167" s="185">
        <v>4500110557</v>
      </c>
      <c r="E167" s="149" t="s">
        <v>4378</v>
      </c>
      <c r="F167" s="185" t="s">
        <v>4389</v>
      </c>
      <c r="G167" s="174" t="s">
        <v>4288</v>
      </c>
      <c r="H167" s="124" t="s">
        <v>4289</v>
      </c>
      <c r="I167" s="124">
        <v>120</v>
      </c>
      <c r="J167" s="124">
        <v>0</v>
      </c>
      <c r="K167" s="124">
        <v>12</v>
      </c>
      <c r="L167" s="127">
        <f t="shared" si="96"/>
        <v>10</v>
      </c>
      <c r="M167" s="128">
        <v>45175</v>
      </c>
      <c r="N167" s="92" t="s">
        <v>4380</v>
      </c>
      <c r="O167" s="129"/>
      <c r="P167" s="124"/>
      <c r="R167" s="130" t="s">
        <v>4381</v>
      </c>
      <c r="S167" s="130" t="s">
        <v>88</v>
      </c>
      <c r="T167" s="130">
        <v>45163</v>
      </c>
      <c r="U167" s="186" t="s">
        <v>4382</v>
      </c>
      <c r="V167" s="193" t="s">
        <v>1578</v>
      </c>
      <c r="W167" s="165">
        <v>4.0355</v>
      </c>
      <c r="X167" s="166">
        <f t="shared" si="111"/>
        <v>484.26</v>
      </c>
      <c r="Y167" s="124"/>
      <c r="Z167" s="124" t="s">
        <v>93</v>
      </c>
      <c r="AA167" s="134" t="s">
        <v>94</v>
      </c>
      <c r="AB167" s="124"/>
      <c r="AC167" s="173"/>
      <c r="AD167" s="173"/>
      <c r="AE167" s="173"/>
      <c r="AF167" s="124"/>
      <c r="AG167" s="124"/>
      <c r="AH167" s="181"/>
      <c r="AI167" s="20">
        <f t="shared" si="112"/>
        <v>240</v>
      </c>
      <c r="AK167" s="21">
        <f t="shared" si="113"/>
        <v>240</v>
      </c>
      <c r="AL167" s="23"/>
      <c r="AM167" s="20">
        <f t="shared" si="114"/>
        <v>240</v>
      </c>
      <c r="BC167" s="20">
        <f t="shared" si="115"/>
        <v>120</v>
      </c>
      <c r="BD167" s="20">
        <f t="shared" si="116"/>
        <v>120</v>
      </c>
      <c r="BE167" s="20">
        <f t="shared" si="117"/>
        <v>120</v>
      </c>
    </row>
    <row r="168" s="20" customFormat="1" ht="31" customHeight="1" spans="1:57">
      <c r="A168" s="183">
        <v>45142</v>
      </c>
      <c r="B168" s="184" t="s">
        <v>420</v>
      </c>
      <c r="C168" s="149" t="s">
        <v>125</v>
      </c>
      <c r="D168" s="185">
        <v>4500110557</v>
      </c>
      <c r="E168" s="149" t="s">
        <v>4378</v>
      </c>
      <c r="F168" s="185" t="s">
        <v>4390</v>
      </c>
      <c r="G168" s="174" t="s">
        <v>4288</v>
      </c>
      <c r="H168" s="124" t="s">
        <v>4289</v>
      </c>
      <c r="I168" s="124">
        <v>108</v>
      </c>
      <c r="J168" s="124">
        <v>0</v>
      </c>
      <c r="K168" s="124">
        <v>12</v>
      </c>
      <c r="L168" s="127">
        <f t="shared" si="96"/>
        <v>9</v>
      </c>
      <c r="M168" s="128">
        <v>45175</v>
      </c>
      <c r="N168" s="92" t="s">
        <v>4380</v>
      </c>
      <c r="O168" s="129"/>
      <c r="P168" s="124"/>
      <c r="R168" s="130" t="s">
        <v>4381</v>
      </c>
      <c r="S168" s="130" t="s">
        <v>88</v>
      </c>
      <c r="T168" s="130">
        <v>45163</v>
      </c>
      <c r="U168" s="186" t="s">
        <v>4382</v>
      </c>
      <c r="V168" s="193" t="s">
        <v>1578</v>
      </c>
      <c r="W168" s="165">
        <v>4.0355</v>
      </c>
      <c r="X168" s="166">
        <f t="shared" si="111"/>
        <v>435.834</v>
      </c>
      <c r="Y168" s="124"/>
      <c r="Z168" s="124" t="s">
        <v>93</v>
      </c>
      <c r="AA168" s="134" t="s">
        <v>94</v>
      </c>
      <c r="AB168" s="124"/>
      <c r="AC168" s="173"/>
      <c r="AD168" s="173"/>
      <c r="AE168" s="173"/>
      <c r="AF168" s="124"/>
      <c r="AG168" s="124"/>
      <c r="AH168" s="181"/>
      <c r="AI168" s="20">
        <f t="shared" si="112"/>
        <v>216</v>
      </c>
      <c r="AK168" s="21">
        <f t="shared" si="113"/>
        <v>216</v>
      </c>
      <c r="AL168" s="23"/>
      <c r="AM168" s="20">
        <f t="shared" si="114"/>
        <v>216</v>
      </c>
      <c r="BC168" s="20">
        <f t="shared" si="115"/>
        <v>108</v>
      </c>
      <c r="BD168" s="20">
        <f t="shared" si="116"/>
        <v>108</v>
      </c>
      <c r="BE168" s="20">
        <f t="shared" si="117"/>
        <v>108</v>
      </c>
    </row>
    <row r="169" s="20" customFormat="1" ht="31" customHeight="1" spans="1:57">
      <c r="A169" s="183">
        <v>45142</v>
      </c>
      <c r="B169" s="184" t="s">
        <v>420</v>
      </c>
      <c r="C169" s="149" t="s">
        <v>125</v>
      </c>
      <c r="D169" s="185">
        <v>4500110557</v>
      </c>
      <c r="E169" s="149" t="s">
        <v>4378</v>
      </c>
      <c r="F169" s="185" t="s">
        <v>4391</v>
      </c>
      <c r="G169" s="174" t="s">
        <v>4288</v>
      </c>
      <c r="H169" s="124" t="s">
        <v>4289</v>
      </c>
      <c r="I169" s="124">
        <v>132</v>
      </c>
      <c r="J169" s="124">
        <v>0</v>
      </c>
      <c r="K169" s="124">
        <v>12</v>
      </c>
      <c r="L169" s="127">
        <f t="shared" si="96"/>
        <v>11</v>
      </c>
      <c r="M169" s="128">
        <v>45175</v>
      </c>
      <c r="N169" s="92" t="s">
        <v>4380</v>
      </c>
      <c r="O169" s="129"/>
      <c r="P169" s="124"/>
      <c r="R169" s="130" t="s">
        <v>4381</v>
      </c>
      <c r="S169" s="130" t="s">
        <v>88</v>
      </c>
      <c r="T169" s="130">
        <v>45163</v>
      </c>
      <c r="U169" s="186" t="s">
        <v>4382</v>
      </c>
      <c r="V169" s="193" t="s">
        <v>1578</v>
      </c>
      <c r="W169" s="165">
        <v>4.0355</v>
      </c>
      <c r="X169" s="166">
        <f t="shared" si="111"/>
        <v>532.686</v>
      </c>
      <c r="Y169" s="124"/>
      <c r="Z169" s="124" t="s">
        <v>93</v>
      </c>
      <c r="AA169" s="134" t="s">
        <v>94</v>
      </c>
      <c r="AB169" s="124"/>
      <c r="AC169" s="173"/>
      <c r="AD169" s="173"/>
      <c r="AE169" s="173"/>
      <c r="AF169" s="124"/>
      <c r="AG169" s="124"/>
      <c r="AH169" s="181"/>
      <c r="AI169" s="20">
        <f t="shared" si="112"/>
        <v>264</v>
      </c>
      <c r="AK169" s="21">
        <f t="shared" si="113"/>
        <v>264</v>
      </c>
      <c r="AL169" s="23"/>
      <c r="AM169" s="20">
        <f t="shared" si="114"/>
        <v>264</v>
      </c>
      <c r="BC169" s="20">
        <f t="shared" si="115"/>
        <v>132</v>
      </c>
      <c r="BD169" s="20">
        <f t="shared" si="116"/>
        <v>132</v>
      </c>
      <c r="BE169" s="20">
        <f t="shared" si="117"/>
        <v>132</v>
      </c>
    </row>
    <row r="170" s="20" customFormat="1" ht="31" customHeight="1" spans="1:57">
      <c r="A170" s="183">
        <v>45142</v>
      </c>
      <c r="B170" s="184" t="s">
        <v>420</v>
      </c>
      <c r="C170" s="149" t="s">
        <v>125</v>
      </c>
      <c r="D170" s="185">
        <v>4500110557</v>
      </c>
      <c r="E170" s="149" t="s">
        <v>4378</v>
      </c>
      <c r="F170" s="185" t="s">
        <v>4392</v>
      </c>
      <c r="G170" s="174" t="s">
        <v>4288</v>
      </c>
      <c r="H170" s="124" t="s">
        <v>4289</v>
      </c>
      <c r="I170" s="124">
        <v>144</v>
      </c>
      <c r="J170" s="124">
        <v>0</v>
      </c>
      <c r="K170" s="124">
        <v>12</v>
      </c>
      <c r="L170" s="127">
        <f t="shared" si="96"/>
        <v>12</v>
      </c>
      <c r="M170" s="128">
        <v>45175</v>
      </c>
      <c r="N170" s="92" t="s">
        <v>4380</v>
      </c>
      <c r="O170" s="129"/>
      <c r="P170" s="124"/>
      <c r="R170" s="130" t="s">
        <v>4381</v>
      </c>
      <c r="S170" s="130" t="s">
        <v>88</v>
      </c>
      <c r="T170" s="130">
        <v>45163</v>
      </c>
      <c r="U170" s="186" t="s">
        <v>4382</v>
      </c>
      <c r="V170" s="193" t="s">
        <v>1578</v>
      </c>
      <c r="W170" s="165">
        <v>4.0355</v>
      </c>
      <c r="X170" s="166">
        <f t="shared" si="111"/>
        <v>581.112</v>
      </c>
      <c r="Y170" s="124"/>
      <c r="Z170" s="124" t="s">
        <v>93</v>
      </c>
      <c r="AA170" s="134" t="s">
        <v>94</v>
      </c>
      <c r="AB170" s="124"/>
      <c r="AC170" s="173"/>
      <c r="AD170" s="173"/>
      <c r="AE170" s="173"/>
      <c r="AF170" s="124"/>
      <c r="AG170" s="124"/>
      <c r="AH170" s="181"/>
      <c r="AI170" s="20">
        <f t="shared" si="112"/>
        <v>288</v>
      </c>
      <c r="AK170" s="21">
        <f t="shared" si="113"/>
        <v>288</v>
      </c>
      <c r="AL170" s="23"/>
      <c r="AM170" s="20">
        <f t="shared" si="114"/>
        <v>288</v>
      </c>
      <c r="BC170" s="20">
        <f t="shared" si="115"/>
        <v>144</v>
      </c>
      <c r="BD170" s="20">
        <f t="shared" si="116"/>
        <v>144</v>
      </c>
      <c r="BE170" s="20">
        <f t="shared" si="117"/>
        <v>144</v>
      </c>
    </row>
    <row r="171" s="20" customFormat="1" ht="31" customHeight="1" spans="1:57">
      <c r="A171" s="183">
        <v>45142</v>
      </c>
      <c r="B171" s="184" t="s">
        <v>420</v>
      </c>
      <c r="C171" s="149" t="s">
        <v>125</v>
      </c>
      <c r="D171" s="185">
        <v>4500110557</v>
      </c>
      <c r="E171" s="149" t="s">
        <v>4378</v>
      </c>
      <c r="F171" s="185" t="s">
        <v>4393</v>
      </c>
      <c r="G171" s="174" t="s">
        <v>4288</v>
      </c>
      <c r="H171" s="124" t="s">
        <v>4289</v>
      </c>
      <c r="I171" s="124">
        <v>132</v>
      </c>
      <c r="J171" s="124">
        <v>0</v>
      </c>
      <c r="K171" s="124">
        <v>12</v>
      </c>
      <c r="L171" s="127">
        <f t="shared" si="96"/>
        <v>11</v>
      </c>
      <c r="M171" s="128">
        <v>45175</v>
      </c>
      <c r="N171" s="92" t="s">
        <v>4380</v>
      </c>
      <c r="O171" s="129"/>
      <c r="P171" s="124"/>
      <c r="R171" s="130" t="s">
        <v>4381</v>
      </c>
      <c r="S171" s="130" t="s">
        <v>88</v>
      </c>
      <c r="T171" s="130">
        <v>45163</v>
      </c>
      <c r="U171" s="186" t="s">
        <v>4382</v>
      </c>
      <c r="V171" s="193" t="s">
        <v>1578</v>
      </c>
      <c r="W171" s="165">
        <v>4.0355</v>
      </c>
      <c r="X171" s="166">
        <f t="shared" si="111"/>
        <v>532.686</v>
      </c>
      <c r="Y171" s="124"/>
      <c r="Z171" s="124" t="s">
        <v>93</v>
      </c>
      <c r="AA171" s="134" t="s">
        <v>94</v>
      </c>
      <c r="AB171" s="124"/>
      <c r="AC171" s="173"/>
      <c r="AD171" s="173"/>
      <c r="AE171" s="173"/>
      <c r="AF171" s="124"/>
      <c r="AG171" s="124"/>
      <c r="AH171" s="181"/>
      <c r="AI171" s="20">
        <f t="shared" si="112"/>
        <v>264</v>
      </c>
      <c r="AK171" s="21">
        <f t="shared" si="113"/>
        <v>264</v>
      </c>
      <c r="AL171" s="23"/>
      <c r="AM171" s="20">
        <f t="shared" si="114"/>
        <v>264</v>
      </c>
      <c r="BC171" s="20">
        <f t="shared" si="115"/>
        <v>132</v>
      </c>
      <c r="BD171" s="20">
        <f t="shared" si="116"/>
        <v>132</v>
      </c>
      <c r="BE171" s="20">
        <f t="shared" si="117"/>
        <v>132</v>
      </c>
    </row>
    <row r="172" s="20" customFormat="1" ht="31" customHeight="1" spans="1:57">
      <c r="A172" s="183">
        <v>45142</v>
      </c>
      <c r="B172" s="184" t="s">
        <v>420</v>
      </c>
      <c r="C172" s="149" t="s">
        <v>125</v>
      </c>
      <c r="D172" s="185">
        <v>4500110409</v>
      </c>
      <c r="E172" s="149" t="s">
        <v>4394</v>
      </c>
      <c r="F172" s="185" t="s">
        <v>4395</v>
      </c>
      <c r="G172" s="174" t="s">
        <v>4288</v>
      </c>
      <c r="H172" s="124" t="s">
        <v>4289</v>
      </c>
      <c r="I172" s="124">
        <v>60</v>
      </c>
      <c r="J172" s="124">
        <v>0</v>
      </c>
      <c r="K172" s="124">
        <v>12</v>
      </c>
      <c r="L172" s="127">
        <f t="shared" si="96"/>
        <v>5</v>
      </c>
      <c r="M172" s="128">
        <v>45175</v>
      </c>
      <c r="N172" s="92" t="s">
        <v>4380</v>
      </c>
      <c r="O172" s="129"/>
      <c r="P172" s="124"/>
      <c r="R172" s="130" t="s">
        <v>4381</v>
      </c>
      <c r="S172" s="130" t="s">
        <v>88</v>
      </c>
      <c r="T172" s="130">
        <v>45163</v>
      </c>
      <c r="U172" s="186" t="s">
        <v>4396</v>
      </c>
      <c r="V172" s="193" t="s">
        <v>1578</v>
      </c>
      <c r="W172" s="165">
        <v>4.0355</v>
      </c>
      <c r="X172" s="166">
        <f t="shared" si="111"/>
        <v>242.13</v>
      </c>
      <c r="Y172" s="124"/>
      <c r="Z172" s="124" t="s">
        <v>93</v>
      </c>
      <c r="AA172" s="134" t="s">
        <v>94</v>
      </c>
      <c r="AB172" s="124"/>
      <c r="AC172" s="173"/>
      <c r="AD172" s="173"/>
      <c r="AE172" s="173"/>
      <c r="AF172" s="124"/>
      <c r="AG172" s="124"/>
      <c r="AH172" s="181"/>
      <c r="AI172" s="20">
        <f t="shared" si="112"/>
        <v>120</v>
      </c>
      <c r="AK172" s="21">
        <f t="shared" si="113"/>
        <v>120</v>
      </c>
      <c r="AL172" s="23"/>
      <c r="AM172" s="20">
        <f t="shared" si="114"/>
        <v>120</v>
      </c>
      <c r="BC172" s="20">
        <f t="shared" si="115"/>
        <v>60</v>
      </c>
      <c r="BD172" s="20">
        <f t="shared" si="116"/>
        <v>60</v>
      </c>
      <c r="BE172" s="20">
        <f t="shared" si="117"/>
        <v>60</v>
      </c>
    </row>
    <row r="173" s="20" customFormat="1" ht="31" customHeight="1" spans="1:57">
      <c r="A173" s="183">
        <v>45142</v>
      </c>
      <c r="B173" s="184" t="s">
        <v>420</v>
      </c>
      <c r="C173" s="149" t="s">
        <v>125</v>
      </c>
      <c r="D173" s="185">
        <v>4500110409</v>
      </c>
      <c r="E173" s="149" t="s">
        <v>4394</v>
      </c>
      <c r="F173" s="185" t="s">
        <v>4397</v>
      </c>
      <c r="G173" s="174" t="s">
        <v>4288</v>
      </c>
      <c r="H173" s="124" t="s">
        <v>4289</v>
      </c>
      <c r="I173" s="124">
        <v>108</v>
      </c>
      <c r="J173" s="124">
        <v>0</v>
      </c>
      <c r="K173" s="124">
        <v>12</v>
      </c>
      <c r="L173" s="127">
        <f t="shared" si="96"/>
        <v>9</v>
      </c>
      <c r="M173" s="128">
        <v>45175</v>
      </c>
      <c r="N173" s="92" t="s">
        <v>4380</v>
      </c>
      <c r="O173" s="129"/>
      <c r="P173" s="124"/>
      <c r="R173" s="130" t="s">
        <v>4381</v>
      </c>
      <c r="S173" s="130" t="s">
        <v>88</v>
      </c>
      <c r="T173" s="130">
        <v>45163</v>
      </c>
      <c r="U173" s="186" t="s">
        <v>4396</v>
      </c>
      <c r="V173" s="193" t="s">
        <v>1578</v>
      </c>
      <c r="W173" s="165">
        <v>4.0355</v>
      </c>
      <c r="X173" s="166">
        <f t="shared" si="111"/>
        <v>435.834</v>
      </c>
      <c r="Y173" s="124"/>
      <c r="Z173" s="124" t="s">
        <v>93</v>
      </c>
      <c r="AA173" s="134" t="s">
        <v>94</v>
      </c>
      <c r="AB173" s="124"/>
      <c r="AC173" s="173"/>
      <c r="AD173" s="173"/>
      <c r="AE173" s="173"/>
      <c r="AF173" s="124"/>
      <c r="AG173" s="124"/>
      <c r="AH173" s="181"/>
      <c r="AI173" s="20">
        <f t="shared" si="112"/>
        <v>216</v>
      </c>
      <c r="AK173" s="21">
        <f t="shared" si="113"/>
        <v>216</v>
      </c>
      <c r="AL173" s="23"/>
      <c r="AM173" s="20">
        <f t="shared" si="114"/>
        <v>216</v>
      </c>
      <c r="BC173" s="20">
        <f t="shared" si="115"/>
        <v>108</v>
      </c>
      <c r="BD173" s="20">
        <f t="shared" si="116"/>
        <v>108</v>
      </c>
      <c r="BE173" s="20">
        <f t="shared" si="117"/>
        <v>108</v>
      </c>
    </row>
    <row r="174" s="20" customFormat="1" ht="31" customHeight="1" spans="1:57">
      <c r="A174" s="183">
        <v>45142</v>
      </c>
      <c r="B174" s="184" t="s">
        <v>420</v>
      </c>
      <c r="C174" s="149" t="s">
        <v>125</v>
      </c>
      <c r="D174" s="185">
        <v>4500110409</v>
      </c>
      <c r="E174" s="149" t="s">
        <v>4394</v>
      </c>
      <c r="F174" s="185" t="s">
        <v>4398</v>
      </c>
      <c r="G174" s="174" t="s">
        <v>4288</v>
      </c>
      <c r="H174" s="124" t="s">
        <v>4289</v>
      </c>
      <c r="I174" s="124">
        <v>96</v>
      </c>
      <c r="J174" s="124">
        <v>0</v>
      </c>
      <c r="K174" s="124">
        <v>12</v>
      </c>
      <c r="L174" s="127">
        <f t="shared" si="96"/>
        <v>8</v>
      </c>
      <c r="M174" s="128">
        <v>45175</v>
      </c>
      <c r="N174" s="92" t="s">
        <v>4380</v>
      </c>
      <c r="O174" s="129"/>
      <c r="P174" s="124"/>
      <c r="R174" s="130" t="s">
        <v>4381</v>
      </c>
      <c r="S174" s="130" t="s">
        <v>88</v>
      </c>
      <c r="T174" s="130">
        <v>45163</v>
      </c>
      <c r="U174" s="186" t="s">
        <v>4396</v>
      </c>
      <c r="V174" s="193" t="s">
        <v>1578</v>
      </c>
      <c r="W174" s="165">
        <v>4.0355</v>
      </c>
      <c r="X174" s="166">
        <f t="shared" si="111"/>
        <v>387.408</v>
      </c>
      <c r="Y174" s="124"/>
      <c r="Z174" s="124" t="s">
        <v>93</v>
      </c>
      <c r="AA174" s="134" t="s">
        <v>94</v>
      </c>
      <c r="AB174" s="124"/>
      <c r="AC174" s="173"/>
      <c r="AD174" s="173"/>
      <c r="AE174" s="173"/>
      <c r="AF174" s="124"/>
      <c r="AG174" s="124"/>
      <c r="AH174" s="181"/>
      <c r="AI174" s="20">
        <f t="shared" si="112"/>
        <v>192</v>
      </c>
      <c r="AK174" s="21">
        <f t="shared" si="113"/>
        <v>192</v>
      </c>
      <c r="AL174" s="23"/>
      <c r="AM174" s="20">
        <f t="shared" si="114"/>
        <v>192</v>
      </c>
      <c r="BC174" s="20">
        <f t="shared" si="115"/>
        <v>96</v>
      </c>
      <c r="BD174" s="20">
        <f t="shared" si="116"/>
        <v>96</v>
      </c>
      <c r="BE174" s="20">
        <f t="shared" si="117"/>
        <v>96</v>
      </c>
    </row>
    <row r="175" s="20" customFormat="1" ht="31" customHeight="1" spans="1:57">
      <c r="A175" s="183">
        <v>45142</v>
      </c>
      <c r="B175" s="184" t="s">
        <v>420</v>
      </c>
      <c r="C175" s="149" t="s">
        <v>125</v>
      </c>
      <c r="D175" s="185">
        <v>4500110409</v>
      </c>
      <c r="E175" s="149" t="s">
        <v>4394</v>
      </c>
      <c r="F175" s="185" t="s">
        <v>4399</v>
      </c>
      <c r="G175" s="174" t="s">
        <v>4288</v>
      </c>
      <c r="H175" s="124" t="s">
        <v>4289</v>
      </c>
      <c r="I175" s="124">
        <v>108</v>
      </c>
      <c r="J175" s="124">
        <v>0</v>
      </c>
      <c r="K175" s="124">
        <v>12</v>
      </c>
      <c r="L175" s="127">
        <f t="shared" si="96"/>
        <v>9</v>
      </c>
      <c r="M175" s="128">
        <v>45175</v>
      </c>
      <c r="N175" s="92" t="s">
        <v>4380</v>
      </c>
      <c r="O175" s="129"/>
      <c r="P175" s="124"/>
      <c r="R175" s="130" t="s">
        <v>4381</v>
      </c>
      <c r="S175" s="130" t="s">
        <v>88</v>
      </c>
      <c r="T175" s="130">
        <v>45163</v>
      </c>
      <c r="U175" s="186" t="s">
        <v>4396</v>
      </c>
      <c r="V175" s="193" t="s">
        <v>1578</v>
      </c>
      <c r="W175" s="165">
        <v>4.0355</v>
      </c>
      <c r="X175" s="166">
        <f t="shared" si="111"/>
        <v>435.834</v>
      </c>
      <c r="Y175" s="124"/>
      <c r="Z175" s="124" t="s">
        <v>93</v>
      </c>
      <c r="AA175" s="134" t="s">
        <v>94</v>
      </c>
      <c r="AB175" s="124"/>
      <c r="AC175" s="173"/>
      <c r="AD175" s="173"/>
      <c r="AE175" s="173"/>
      <c r="AF175" s="124"/>
      <c r="AG175" s="124"/>
      <c r="AH175" s="181"/>
      <c r="AI175" s="20">
        <f t="shared" si="112"/>
        <v>216</v>
      </c>
      <c r="AK175" s="21">
        <f t="shared" si="113"/>
        <v>216</v>
      </c>
      <c r="AL175" s="23"/>
      <c r="AM175" s="20">
        <f t="shared" si="114"/>
        <v>216</v>
      </c>
      <c r="BC175" s="20">
        <f t="shared" si="115"/>
        <v>108</v>
      </c>
      <c r="BD175" s="20">
        <f t="shared" si="116"/>
        <v>108</v>
      </c>
      <c r="BE175" s="20">
        <f t="shared" si="117"/>
        <v>108</v>
      </c>
    </row>
    <row r="176" s="20" customFormat="1" ht="31" customHeight="1" spans="1:57">
      <c r="A176" s="183">
        <v>45142</v>
      </c>
      <c r="B176" s="184" t="s">
        <v>420</v>
      </c>
      <c r="C176" s="149" t="s">
        <v>125</v>
      </c>
      <c r="D176" s="185">
        <v>4500110409</v>
      </c>
      <c r="E176" s="149" t="s">
        <v>4394</v>
      </c>
      <c r="F176" s="185" t="s">
        <v>4400</v>
      </c>
      <c r="G176" s="174" t="s">
        <v>4288</v>
      </c>
      <c r="H176" s="124" t="s">
        <v>4289</v>
      </c>
      <c r="I176" s="124">
        <v>108</v>
      </c>
      <c r="J176" s="124">
        <v>0</v>
      </c>
      <c r="K176" s="124">
        <v>12</v>
      </c>
      <c r="L176" s="127">
        <f t="shared" si="96"/>
        <v>9</v>
      </c>
      <c r="M176" s="128">
        <v>45175</v>
      </c>
      <c r="N176" s="92" t="s">
        <v>4380</v>
      </c>
      <c r="O176" s="129"/>
      <c r="P176" s="124"/>
      <c r="R176" s="130" t="s">
        <v>4381</v>
      </c>
      <c r="S176" s="130" t="s">
        <v>88</v>
      </c>
      <c r="T176" s="130">
        <v>45163</v>
      </c>
      <c r="U176" s="186" t="s">
        <v>4396</v>
      </c>
      <c r="V176" s="193" t="s">
        <v>1578</v>
      </c>
      <c r="W176" s="165">
        <v>4.0355</v>
      </c>
      <c r="X176" s="166">
        <f t="shared" si="111"/>
        <v>435.834</v>
      </c>
      <c r="Y176" s="124"/>
      <c r="Z176" s="124" t="s">
        <v>93</v>
      </c>
      <c r="AA176" s="134" t="s">
        <v>94</v>
      </c>
      <c r="AB176" s="124"/>
      <c r="AC176" s="173"/>
      <c r="AD176" s="173"/>
      <c r="AE176" s="173"/>
      <c r="AF176" s="124"/>
      <c r="AG176" s="124"/>
      <c r="AH176" s="181"/>
      <c r="AI176" s="20">
        <f t="shared" si="112"/>
        <v>216</v>
      </c>
      <c r="AK176" s="21">
        <f t="shared" si="113"/>
        <v>216</v>
      </c>
      <c r="AL176" s="23"/>
      <c r="AM176" s="20">
        <f t="shared" si="114"/>
        <v>216</v>
      </c>
      <c r="BC176" s="20">
        <f t="shared" si="115"/>
        <v>108</v>
      </c>
      <c r="BD176" s="20">
        <f t="shared" si="116"/>
        <v>108</v>
      </c>
      <c r="BE176" s="20">
        <f t="shared" si="117"/>
        <v>108</v>
      </c>
    </row>
    <row r="177" s="20" customFormat="1" ht="31" customHeight="1" spans="1:73">
      <c r="A177" s="183">
        <v>45142</v>
      </c>
      <c r="B177" s="184" t="s">
        <v>420</v>
      </c>
      <c r="C177" s="149" t="s">
        <v>125</v>
      </c>
      <c r="D177" s="185">
        <v>4500110672</v>
      </c>
      <c r="E177" s="149" t="s">
        <v>4401</v>
      </c>
      <c r="F177" s="185" t="s">
        <v>4402</v>
      </c>
      <c r="G177" s="174" t="s">
        <v>4288</v>
      </c>
      <c r="H177" s="124" t="s">
        <v>4289</v>
      </c>
      <c r="I177" s="124">
        <v>144</v>
      </c>
      <c r="J177" s="124">
        <v>0</v>
      </c>
      <c r="K177" s="124">
        <v>12</v>
      </c>
      <c r="L177" s="127">
        <f t="shared" si="96"/>
        <v>12</v>
      </c>
      <c r="M177" s="128">
        <v>45175</v>
      </c>
      <c r="N177" s="128" t="s">
        <v>4325</v>
      </c>
      <c r="O177" s="129"/>
      <c r="P177" s="124"/>
      <c r="R177" s="130" t="s">
        <v>4381</v>
      </c>
      <c r="S177" s="130" t="s">
        <v>88</v>
      </c>
      <c r="T177" s="130">
        <v>45163</v>
      </c>
      <c r="U177" s="186" t="s">
        <v>4403</v>
      </c>
      <c r="V177" s="193" t="s">
        <v>1578</v>
      </c>
      <c r="W177" s="165">
        <v>4.0355</v>
      </c>
      <c r="X177" s="166">
        <f t="shared" si="111"/>
        <v>581.112</v>
      </c>
      <c r="Y177" s="124">
        <v>0</v>
      </c>
      <c r="Z177" s="124">
        <f>Y177-I177</f>
        <v>-144</v>
      </c>
      <c r="AA177" s="134" t="s">
        <v>94</v>
      </c>
      <c r="AB177" s="124"/>
      <c r="AC177" s="126"/>
      <c r="AD177" s="126">
        <f>AC177-I177</f>
        <v>-144</v>
      </c>
      <c r="AE177" s="173"/>
      <c r="AF177" s="124"/>
      <c r="AG177" s="124"/>
      <c r="AH177" s="181"/>
      <c r="AI177" s="20">
        <f t="shared" si="112"/>
        <v>288</v>
      </c>
      <c r="AK177" s="21">
        <f t="shared" si="113"/>
        <v>288</v>
      </c>
      <c r="AL177" s="194"/>
      <c r="AM177" s="20">
        <f t="shared" si="114"/>
        <v>288</v>
      </c>
      <c r="BC177" s="20">
        <f t="shared" si="115"/>
        <v>144</v>
      </c>
      <c r="BD177" s="20">
        <f t="shared" si="116"/>
        <v>144</v>
      </c>
      <c r="BE177" s="20">
        <f t="shared" si="117"/>
        <v>144</v>
      </c>
    </row>
    <row r="178" s="20" customFormat="1" ht="31" customHeight="1" spans="1:73">
      <c r="A178" s="183">
        <v>45142</v>
      </c>
      <c r="B178" s="184" t="s">
        <v>420</v>
      </c>
      <c r="C178" s="149" t="s">
        <v>125</v>
      </c>
      <c r="D178" s="185">
        <v>4500110672</v>
      </c>
      <c r="E178" s="149" t="s">
        <v>4401</v>
      </c>
      <c r="F178" s="185" t="s">
        <v>4404</v>
      </c>
      <c r="G178" s="174" t="s">
        <v>4288</v>
      </c>
      <c r="H178" s="124" t="s">
        <v>4289</v>
      </c>
      <c r="I178" s="124">
        <v>96</v>
      </c>
      <c r="J178" s="124">
        <v>0</v>
      </c>
      <c r="K178" s="124">
        <v>12</v>
      </c>
      <c r="L178" s="127">
        <f t="shared" si="96"/>
        <v>8</v>
      </c>
      <c r="M178" s="128">
        <v>45175</v>
      </c>
      <c r="N178" s="128" t="s">
        <v>4325</v>
      </c>
      <c r="O178" s="129"/>
      <c r="P178" s="124"/>
      <c r="R178" s="130" t="s">
        <v>4381</v>
      </c>
      <c r="S178" s="130" t="s">
        <v>88</v>
      </c>
      <c r="T178" s="130">
        <v>45163</v>
      </c>
      <c r="U178" s="186" t="s">
        <v>4403</v>
      </c>
      <c r="V178" s="193" t="s">
        <v>1578</v>
      </c>
      <c r="W178" s="165">
        <v>4.0355</v>
      </c>
      <c r="X178" s="166">
        <f t="shared" si="111"/>
        <v>387.408</v>
      </c>
      <c r="Y178" s="124">
        <v>0</v>
      </c>
      <c r="Z178" s="124">
        <f>Y178-I178</f>
        <v>-96</v>
      </c>
      <c r="AA178" s="134" t="s">
        <v>94</v>
      </c>
      <c r="AB178" s="124"/>
      <c r="AC178" s="126"/>
      <c r="AD178" s="173"/>
      <c r="AE178" s="173"/>
      <c r="AF178" s="124"/>
      <c r="AG178" s="124"/>
      <c r="AH178" s="181"/>
      <c r="AI178" s="20">
        <f t="shared" si="112"/>
        <v>192</v>
      </c>
      <c r="AK178" s="21">
        <f t="shared" si="113"/>
        <v>192</v>
      </c>
      <c r="AL178" s="194"/>
      <c r="AM178" s="20">
        <f t="shared" si="114"/>
        <v>192</v>
      </c>
      <c r="BC178" s="20">
        <f t="shared" si="115"/>
        <v>96</v>
      </c>
      <c r="BD178" s="20">
        <f t="shared" si="116"/>
        <v>96</v>
      </c>
      <c r="BE178" s="20">
        <f t="shared" si="117"/>
        <v>96</v>
      </c>
    </row>
    <row r="179" s="20" customFormat="1" ht="31" customHeight="1" spans="1:73">
      <c r="A179" s="183">
        <v>45152</v>
      </c>
      <c r="B179" s="184" t="s">
        <v>1867</v>
      </c>
      <c r="C179" s="149" t="s">
        <v>377</v>
      </c>
      <c r="D179" s="185">
        <v>4500111127</v>
      </c>
      <c r="E179" s="149">
        <v>47613686</v>
      </c>
      <c r="F179" s="185" t="s">
        <v>4405</v>
      </c>
      <c r="G179" s="174" t="s">
        <v>4237</v>
      </c>
      <c r="H179" s="124" t="s">
        <v>4203</v>
      </c>
      <c r="I179" s="124">
        <v>936</v>
      </c>
      <c r="J179" s="124">
        <v>0</v>
      </c>
      <c r="K179" s="124">
        <v>36</v>
      </c>
      <c r="L179" s="127">
        <f t="shared" si="96"/>
        <v>26</v>
      </c>
      <c r="M179" s="128">
        <v>45196</v>
      </c>
      <c r="N179" s="92" t="s">
        <v>4406</v>
      </c>
      <c r="O179" s="129"/>
      <c r="P179" s="124" t="s">
        <v>4407</v>
      </c>
      <c r="R179" s="130">
        <v>45173</v>
      </c>
      <c r="S179" s="130" t="s">
        <v>98</v>
      </c>
      <c r="T179" s="130" t="s">
        <v>4408</v>
      </c>
      <c r="U179" s="186" t="s">
        <v>4409</v>
      </c>
      <c r="V179" s="172" t="s">
        <v>2708</v>
      </c>
      <c r="W179" s="165">
        <v>1.9083</v>
      </c>
      <c r="X179" s="166">
        <f t="shared" si="111"/>
        <v>1786.1688</v>
      </c>
      <c r="Y179" s="124"/>
      <c r="Z179" s="70" t="s">
        <v>93</v>
      </c>
      <c r="AA179" s="134"/>
      <c r="AB179" s="124"/>
      <c r="AC179" s="126"/>
      <c r="AD179" s="126"/>
      <c r="AE179" s="173"/>
      <c r="AF179" s="124"/>
      <c r="AG179" s="124"/>
      <c r="AH179" s="181"/>
      <c r="AI179" s="20">
        <f t="shared" ref="AI179:AI182" si="118">I179</f>
        <v>936</v>
      </c>
      <c r="AK179" s="20">
        <f t="shared" ref="AK179:AK182" si="119">I179</f>
        <v>936</v>
      </c>
      <c r="AM179" s="20">
        <f t="shared" ref="AM179:AM187" si="120">I179</f>
        <v>936</v>
      </c>
      <c r="AZ179" s="20">
        <f t="shared" ref="AZ179:AZ182" si="121">I179/18</f>
        <v>52</v>
      </c>
    </row>
    <row r="180" s="20" customFormat="1" ht="31" customHeight="1" spans="1:73">
      <c r="A180" s="183">
        <v>45152</v>
      </c>
      <c r="B180" s="184" t="s">
        <v>1867</v>
      </c>
      <c r="C180" s="149" t="s">
        <v>377</v>
      </c>
      <c r="D180" s="185">
        <v>4500111127</v>
      </c>
      <c r="E180" s="149">
        <v>47613687</v>
      </c>
      <c r="F180" s="185" t="s">
        <v>4410</v>
      </c>
      <c r="G180" s="174" t="s">
        <v>4237</v>
      </c>
      <c r="H180" s="124" t="s">
        <v>4203</v>
      </c>
      <c r="I180" s="124">
        <v>900</v>
      </c>
      <c r="J180" s="124">
        <v>0</v>
      </c>
      <c r="K180" s="124">
        <v>36</v>
      </c>
      <c r="L180" s="127">
        <f t="shared" si="96"/>
        <v>25</v>
      </c>
      <c r="M180" s="128">
        <v>45196</v>
      </c>
      <c r="N180" s="92" t="s">
        <v>4406</v>
      </c>
      <c r="O180" s="129"/>
      <c r="P180" s="124" t="s">
        <v>4407</v>
      </c>
      <c r="R180" s="130">
        <v>45173</v>
      </c>
      <c r="S180" s="130" t="s">
        <v>98</v>
      </c>
      <c r="T180" s="130" t="s">
        <v>4408</v>
      </c>
      <c r="U180" s="186" t="s">
        <v>4409</v>
      </c>
      <c r="V180" s="172" t="s">
        <v>2708</v>
      </c>
      <c r="W180" s="165">
        <v>1.9083</v>
      </c>
      <c r="X180" s="166">
        <f t="shared" si="111"/>
        <v>1717.47</v>
      </c>
      <c r="Y180" s="124"/>
      <c r="Z180" s="70" t="s">
        <v>93</v>
      </c>
      <c r="AA180" s="134"/>
      <c r="AB180" s="124"/>
      <c r="AC180" s="126"/>
      <c r="AD180" s="126"/>
      <c r="AE180" s="173"/>
      <c r="AF180" s="124"/>
      <c r="AG180" s="124"/>
      <c r="AH180" s="181"/>
      <c r="AI180" s="20">
        <f t="shared" si="118"/>
        <v>900</v>
      </c>
      <c r="AK180" s="20">
        <f t="shared" si="119"/>
        <v>900</v>
      </c>
      <c r="AM180" s="20">
        <f t="shared" si="120"/>
        <v>900</v>
      </c>
      <c r="AZ180" s="20">
        <f t="shared" si="121"/>
        <v>50</v>
      </c>
    </row>
    <row r="181" s="20" customFormat="1" ht="31" customHeight="1" spans="1:73">
      <c r="A181" s="183">
        <v>45152</v>
      </c>
      <c r="B181" s="184" t="s">
        <v>1867</v>
      </c>
      <c r="C181" s="149" t="s">
        <v>377</v>
      </c>
      <c r="D181" s="185">
        <v>4500111127</v>
      </c>
      <c r="E181" s="149">
        <v>47613688</v>
      </c>
      <c r="F181" s="185" t="s">
        <v>4411</v>
      </c>
      <c r="G181" s="174" t="s">
        <v>4237</v>
      </c>
      <c r="H181" s="124" t="s">
        <v>4203</v>
      </c>
      <c r="I181" s="124">
        <v>828</v>
      </c>
      <c r="J181" s="124">
        <v>0</v>
      </c>
      <c r="K181" s="124">
        <v>36</v>
      </c>
      <c r="L181" s="127">
        <f t="shared" si="96"/>
        <v>23</v>
      </c>
      <c r="M181" s="128">
        <v>45196</v>
      </c>
      <c r="N181" s="92" t="s">
        <v>4406</v>
      </c>
      <c r="O181" s="129"/>
      <c r="P181" s="124" t="s">
        <v>4407</v>
      </c>
      <c r="R181" s="130">
        <v>45173</v>
      </c>
      <c r="S181" s="130" t="s">
        <v>98</v>
      </c>
      <c r="T181" s="130" t="s">
        <v>4408</v>
      </c>
      <c r="U181" s="186" t="s">
        <v>4409</v>
      </c>
      <c r="V181" s="172" t="s">
        <v>2708</v>
      </c>
      <c r="W181" s="165">
        <v>1.9083</v>
      </c>
      <c r="X181" s="166">
        <f t="shared" si="111"/>
        <v>1580.0724</v>
      </c>
      <c r="Y181" s="124"/>
      <c r="Z181" s="70" t="s">
        <v>93</v>
      </c>
      <c r="AA181" s="134"/>
      <c r="AB181" s="124"/>
      <c r="AC181" s="126"/>
      <c r="AD181" s="126"/>
      <c r="AE181" s="173"/>
      <c r="AF181" s="124"/>
      <c r="AG181" s="124"/>
      <c r="AH181" s="181"/>
      <c r="AI181" s="20">
        <f t="shared" si="118"/>
        <v>828</v>
      </c>
      <c r="AK181" s="20">
        <f t="shared" si="119"/>
        <v>828</v>
      </c>
      <c r="AM181" s="20">
        <f t="shared" si="120"/>
        <v>828</v>
      </c>
      <c r="AZ181" s="20">
        <f t="shared" si="121"/>
        <v>46</v>
      </c>
    </row>
    <row r="182" s="20" customFormat="1" ht="31" customHeight="1" spans="1:73">
      <c r="A182" s="183">
        <v>45152</v>
      </c>
      <c r="B182" s="184" t="s">
        <v>1867</v>
      </c>
      <c r="C182" s="149" t="s">
        <v>377</v>
      </c>
      <c r="D182" s="185">
        <v>4500111127</v>
      </c>
      <c r="E182" s="149">
        <v>47613689</v>
      </c>
      <c r="F182" s="185" t="s">
        <v>4412</v>
      </c>
      <c r="G182" s="174" t="s">
        <v>4237</v>
      </c>
      <c r="H182" s="124" t="s">
        <v>4203</v>
      </c>
      <c r="I182" s="124">
        <v>396</v>
      </c>
      <c r="J182" s="124">
        <v>0</v>
      </c>
      <c r="K182" s="124">
        <v>36</v>
      </c>
      <c r="L182" s="127">
        <f t="shared" si="96"/>
        <v>11</v>
      </c>
      <c r="M182" s="128">
        <v>45196</v>
      </c>
      <c r="N182" s="92" t="s">
        <v>4406</v>
      </c>
      <c r="O182" s="129"/>
      <c r="P182" s="124" t="s">
        <v>4407</v>
      </c>
      <c r="R182" s="130">
        <v>45173</v>
      </c>
      <c r="S182" s="130" t="s">
        <v>98</v>
      </c>
      <c r="T182" s="130" t="s">
        <v>4408</v>
      </c>
      <c r="U182" s="186" t="s">
        <v>4409</v>
      </c>
      <c r="V182" s="172" t="s">
        <v>2708</v>
      </c>
      <c r="W182" s="165">
        <v>1.9083</v>
      </c>
      <c r="X182" s="166">
        <f t="shared" si="111"/>
        <v>755.6868</v>
      </c>
      <c r="Y182" s="124"/>
      <c r="Z182" s="70" t="s">
        <v>93</v>
      </c>
      <c r="AA182" s="134"/>
      <c r="AB182" s="124"/>
      <c r="AC182" s="126"/>
      <c r="AD182" s="126"/>
      <c r="AE182" s="173"/>
      <c r="AF182" s="124"/>
      <c r="AG182" s="124"/>
      <c r="AH182" s="181"/>
      <c r="AI182" s="20">
        <f t="shared" si="118"/>
        <v>396</v>
      </c>
      <c r="AK182" s="20">
        <f t="shared" si="119"/>
        <v>396</v>
      </c>
      <c r="AM182" s="20">
        <f t="shared" si="120"/>
        <v>396</v>
      </c>
      <c r="AZ182" s="20">
        <f t="shared" si="121"/>
        <v>22</v>
      </c>
    </row>
    <row r="183" s="20" customFormat="1" ht="31" customHeight="1" spans="1:73">
      <c r="A183" s="138">
        <v>45167</v>
      </c>
      <c r="B183" s="139" t="s">
        <v>4160</v>
      </c>
      <c r="C183" s="141" t="s">
        <v>103</v>
      </c>
      <c r="D183" s="20">
        <v>4500112169</v>
      </c>
      <c r="E183" s="141"/>
      <c r="F183" s="20" t="s">
        <v>4413</v>
      </c>
      <c r="G183" s="124" t="s">
        <v>4414</v>
      </c>
      <c r="H183" s="124" t="s">
        <v>4415</v>
      </c>
      <c r="I183" s="124">
        <v>3840</v>
      </c>
      <c r="J183" s="124">
        <v>0</v>
      </c>
      <c r="K183" s="124">
        <v>960</v>
      </c>
      <c r="L183" s="127">
        <f t="shared" si="96"/>
        <v>4</v>
      </c>
      <c r="M183" s="128">
        <v>45222</v>
      </c>
      <c r="N183" s="92" t="s">
        <v>4406</v>
      </c>
      <c r="O183" s="129"/>
      <c r="P183" s="129"/>
      <c r="Q183" s="124"/>
      <c r="R183" s="130" t="s">
        <v>89</v>
      </c>
      <c r="S183" s="124" t="s">
        <v>98</v>
      </c>
      <c r="T183" s="195">
        <v>45170</v>
      </c>
      <c r="U183" s="131" t="s">
        <v>4416</v>
      </c>
      <c r="V183" s="131" t="s">
        <v>2005</v>
      </c>
      <c r="W183" s="131">
        <v>2160.2811</v>
      </c>
      <c r="X183" s="166">
        <f>W183*L183</f>
        <v>8641.1244</v>
      </c>
      <c r="Y183" s="124"/>
      <c r="Z183" s="124" t="s">
        <v>4414</v>
      </c>
      <c r="AA183" s="134"/>
      <c r="AB183" s="124"/>
      <c r="AC183" s="126"/>
      <c r="AD183" s="126"/>
      <c r="AE183" s="173"/>
      <c r="AF183" s="124" t="s">
        <v>95</v>
      </c>
      <c r="AG183" s="124"/>
      <c r="AH183" s="124">
        <f t="shared" ref="AH183:AH191" si="122">I183</f>
        <v>3840</v>
      </c>
      <c r="AI183" s="124"/>
      <c r="AJ183" s="124">
        <f t="shared" ref="AJ183:AJ185" si="123">I183</f>
        <v>3840</v>
      </c>
      <c r="AK183" s="124"/>
      <c r="AL183" s="124"/>
      <c r="AM183" s="124">
        <f t="shared" si="120"/>
        <v>3840</v>
      </c>
      <c r="AN183" s="124"/>
      <c r="AQ183" s="20">
        <f t="shared" ref="AQ183:AQ185" si="124">I183/12</f>
        <v>320</v>
      </c>
    </row>
    <row r="184" s="20" customFormat="1" ht="31" customHeight="1" spans="1:73">
      <c r="A184" s="138">
        <v>45195</v>
      </c>
      <c r="B184" s="139" t="s">
        <v>4160</v>
      </c>
      <c r="C184" s="141" t="s">
        <v>103</v>
      </c>
      <c r="D184" s="20">
        <v>4500114429</v>
      </c>
      <c r="E184" s="141"/>
      <c r="F184" s="20" t="s">
        <v>4417</v>
      </c>
      <c r="G184" s="124" t="s">
        <v>4414</v>
      </c>
      <c r="H184" s="124" t="s">
        <v>4415</v>
      </c>
      <c r="I184" s="124">
        <v>960</v>
      </c>
      <c r="J184" s="124">
        <v>0</v>
      </c>
      <c r="K184" s="124">
        <v>960</v>
      </c>
      <c r="L184" s="127">
        <f t="shared" si="96"/>
        <v>1</v>
      </c>
      <c r="M184" s="128">
        <v>45257</v>
      </c>
      <c r="N184" s="92" t="s">
        <v>4418</v>
      </c>
      <c r="O184" s="129"/>
      <c r="P184" s="129"/>
      <c r="Q184" s="124"/>
      <c r="R184" s="130" t="s">
        <v>89</v>
      </c>
      <c r="S184" s="124" t="s">
        <v>88</v>
      </c>
      <c r="T184" s="130" t="s">
        <v>4419</v>
      </c>
      <c r="U184" s="131" t="s">
        <v>4420</v>
      </c>
      <c r="V184" s="131" t="s">
        <v>2005</v>
      </c>
      <c r="W184" s="131">
        <v>2160.2811</v>
      </c>
      <c r="X184" s="166">
        <f>W184*L184</f>
        <v>2160.2811</v>
      </c>
      <c r="Y184" s="124"/>
      <c r="Z184" s="70" t="s">
        <v>93</v>
      </c>
      <c r="AA184" s="134"/>
      <c r="AB184" s="124"/>
      <c r="AC184" s="173"/>
      <c r="AD184" s="173"/>
      <c r="AE184" s="173"/>
      <c r="AF184" s="124"/>
      <c r="AG184" s="124"/>
      <c r="AH184" s="124">
        <f t="shared" si="122"/>
        <v>960</v>
      </c>
      <c r="AI184" s="124"/>
      <c r="AJ184" s="124">
        <f t="shared" si="123"/>
        <v>960</v>
      </c>
      <c r="AL184" s="124"/>
      <c r="AM184" s="124">
        <f t="shared" si="120"/>
        <v>960</v>
      </c>
      <c r="AN184" s="124"/>
      <c r="AQ184" s="20">
        <f t="shared" si="124"/>
        <v>80</v>
      </c>
    </row>
    <row r="185" s="20" customFormat="1" ht="31" customHeight="1" spans="1:73">
      <c r="A185" s="138">
        <v>45191</v>
      </c>
      <c r="B185" s="139" t="s">
        <v>4421</v>
      </c>
      <c r="C185" s="141" t="s">
        <v>103</v>
      </c>
      <c r="D185" s="20">
        <v>4500113985</v>
      </c>
      <c r="E185" s="141" t="s">
        <v>4422</v>
      </c>
      <c r="F185" s="20" t="s">
        <v>4423</v>
      </c>
      <c r="G185" s="20" t="s">
        <v>4424</v>
      </c>
      <c r="H185" s="124" t="s">
        <v>189</v>
      </c>
      <c r="I185" s="124">
        <v>5040</v>
      </c>
      <c r="J185" s="124">
        <v>12</v>
      </c>
      <c r="K185" s="124">
        <v>48</v>
      </c>
      <c r="L185" s="127">
        <f t="shared" si="96"/>
        <v>105</v>
      </c>
      <c r="M185" s="128">
        <v>45250</v>
      </c>
      <c r="N185" s="128" t="s">
        <v>4325</v>
      </c>
      <c r="O185" s="129"/>
      <c r="P185" s="129"/>
      <c r="Q185" s="124"/>
      <c r="R185" s="130" t="s">
        <v>89</v>
      </c>
      <c r="S185" s="124" t="s">
        <v>98</v>
      </c>
      <c r="T185" s="130" t="s">
        <v>98</v>
      </c>
      <c r="U185" s="131" t="s">
        <v>4425</v>
      </c>
      <c r="V185" s="131" t="s">
        <v>2005</v>
      </c>
      <c r="W185" s="131">
        <v>2.27</v>
      </c>
      <c r="X185" s="166">
        <f t="shared" ref="X185:X189" si="125">W185*I185</f>
        <v>11440.8</v>
      </c>
      <c r="Y185" s="124"/>
      <c r="Z185" s="124" t="s">
        <v>93</v>
      </c>
      <c r="AA185" s="134"/>
      <c r="AB185" s="124"/>
      <c r="AC185" s="173"/>
      <c r="AD185" s="173"/>
      <c r="AE185" s="173"/>
      <c r="AF185" s="124"/>
      <c r="AG185" s="124"/>
      <c r="AH185" s="124">
        <f t="shared" si="122"/>
        <v>5040</v>
      </c>
      <c r="AI185" s="124"/>
      <c r="AJ185" s="124">
        <f t="shared" si="123"/>
        <v>5040</v>
      </c>
      <c r="AK185" s="124"/>
      <c r="AL185" s="124"/>
      <c r="AM185" s="124">
        <f t="shared" si="120"/>
        <v>5040</v>
      </c>
      <c r="AN185" s="124"/>
      <c r="AQ185" s="20">
        <f t="shared" si="124"/>
        <v>420</v>
      </c>
    </row>
    <row r="186" s="20" customFormat="1" ht="31" customHeight="1" spans="1:73">
      <c r="A186" s="183">
        <v>45203</v>
      </c>
      <c r="B186" s="184" t="s">
        <v>4306</v>
      </c>
      <c r="C186" s="149" t="s">
        <v>632</v>
      </c>
      <c r="D186" s="185">
        <v>4500114373</v>
      </c>
      <c r="E186" s="168">
        <v>2401526561</v>
      </c>
      <c r="F186" s="170" t="s">
        <v>4426</v>
      </c>
      <c r="G186" s="124" t="s">
        <v>4427</v>
      </c>
      <c r="H186" s="124" t="s">
        <v>189</v>
      </c>
      <c r="I186" s="124">
        <v>609</v>
      </c>
      <c r="J186" s="124">
        <v>0</v>
      </c>
      <c r="K186" s="124">
        <v>21</v>
      </c>
      <c r="L186" s="127">
        <f t="shared" si="96"/>
        <v>29</v>
      </c>
      <c r="M186" s="128">
        <v>45260</v>
      </c>
      <c r="N186" s="92" t="s">
        <v>4428</v>
      </c>
      <c r="O186" s="129"/>
      <c r="P186" s="129"/>
      <c r="Q186" s="124"/>
      <c r="R186" s="130">
        <v>45218</v>
      </c>
      <c r="S186" s="124" t="s">
        <v>98</v>
      </c>
      <c r="T186" s="130" t="s">
        <v>98</v>
      </c>
      <c r="U186" s="131" t="s">
        <v>4429</v>
      </c>
      <c r="V186" s="128" t="s">
        <v>4311</v>
      </c>
      <c r="W186" s="131">
        <v>2.08</v>
      </c>
      <c r="X186" s="166">
        <f t="shared" si="125"/>
        <v>1266.72</v>
      </c>
      <c r="Y186" s="124"/>
      <c r="Z186" s="196" t="s">
        <v>93</v>
      </c>
      <c r="AA186" s="134"/>
      <c r="AB186" s="124"/>
      <c r="AC186" s="173"/>
      <c r="AD186" s="173"/>
      <c r="AE186" s="173"/>
      <c r="AF186" s="124"/>
      <c r="AG186" s="124"/>
      <c r="AH186" s="124">
        <f t="shared" si="122"/>
        <v>609</v>
      </c>
      <c r="AI186" s="124"/>
      <c r="AJ186" s="124"/>
      <c r="AL186" s="124">
        <f t="shared" ref="AL186:AL191" si="126">I186</f>
        <v>609</v>
      </c>
      <c r="AM186" s="124">
        <f t="shared" si="120"/>
        <v>609</v>
      </c>
      <c r="AO186" s="124"/>
      <c r="AQ186" s="20">
        <f t="shared" ref="AQ186:AQ189" si="127">I186/21</f>
        <v>29</v>
      </c>
    </row>
    <row r="187" s="20" customFormat="1" ht="31" customHeight="1" spans="1:73">
      <c r="A187" s="183">
        <v>45203</v>
      </c>
      <c r="B187" s="184" t="s">
        <v>4306</v>
      </c>
      <c r="C187" s="149" t="s">
        <v>632</v>
      </c>
      <c r="D187" s="185">
        <v>4500114373</v>
      </c>
      <c r="E187" s="168">
        <v>3501526561</v>
      </c>
      <c r="F187" s="170" t="s">
        <v>4430</v>
      </c>
      <c r="G187" s="124" t="s">
        <v>4427</v>
      </c>
      <c r="H187" s="124" t="s">
        <v>189</v>
      </c>
      <c r="I187" s="124">
        <v>2058</v>
      </c>
      <c r="J187" s="124">
        <v>0</v>
      </c>
      <c r="K187" s="124">
        <v>21</v>
      </c>
      <c r="L187" s="127">
        <f t="shared" si="96"/>
        <v>98</v>
      </c>
      <c r="M187" s="128">
        <v>45260</v>
      </c>
      <c r="N187" s="92" t="s">
        <v>4428</v>
      </c>
      <c r="O187" s="129"/>
      <c r="P187" s="129"/>
      <c r="Q187" s="124"/>
      <c r="R187" s="130">
        <v>45218</v>
      </c>
      <c r="S187" s="124" t="s">
        <v>98</v>
      </c>
      <c r="T187" s="130" t="s">
        <v>98</v>
      </c>
      <c r="U187" s="131" t="s">
        <v>4429</v>
      </c>
      <c r="V187" s="128" t="s">
        <v>4311</v>
      </c>
      <c r="W187" s="131">
        <v>2.08</v>
      </c>
      <c r="X187" s="166">
        <f t="shared" si="125"/>
        <v>4280.64</v>
      </c>
      <c r="Y187" s="124"/>
      <c r="Z187" s="196" t="s">
        <v>93</v>
      </c>
      <c r="AA187" s="134"/>
      <c r="AB187" s="124"/>
      <c r="AC187" s="173"/>
      <c r="AD187" s="173"/>
      <c r="AE187" s="173"/>
      <c r="AF187" s="124"/>
      <c r="AG187" s="124"/>
      <c r="AH187" s="124">
        <f t="shared" si="122"/>
        <v>2058</v>
      </c>
      <c r="AI187" s="124"/>
      <c r="AJ187" s="124"/>
      <c r="AL187" s="124">
        <f t="shared" si="126"/>
        <v>2058</v>
      </c>
      <c r="AM187" s="124">
        <f t="shared" si="120"/>
        <v>2058</v>
      </c>
      <c r="AO187" s="124"/>
      <c r="AQ187" s="20">
        <f t="shared" si="127"/>
        <v>98</v>
      </c>
    </row>
    <row r="188" s="20" customFormat="1" ht="31" customHeight="1" spans="1:73">
      <c r="A188" s="183">
        <v>45203</v>
      </c>
      <c r="B188" s="184" t="s">
        <v>4306</v>
      </c>
      <c r="C188" s="149" t="s">
        <v>632</v>
      </c>
      <c r="D188" s="170">
        <v>4500114374</v>
      </c>
      <c r="E188" s="168">
        <v>2401526574</v>
      </c>
      <c r="F188" s="170" t="s">
        <v>4431</v>
      </c>
      <c r="G188" s="124" t="s">
        <v>4427</v>
      </c>
      <c r="H188" s="124" t="s">
        <v>189</v>
      </c>
      <c r="I188" s="124">
        <v>399</v>
      </c>
      <c r="J188" s="124">
        <v>0</v>
      </c>
      <c r="K188" s="124">
        <v>21</v>
      </c>
      <c r="L188" s="127">
        <f t="shared" si="96"/>
        <v>19</v>
      </c>
      <c r="M188" s="128">
        <v>45287</v>
      </c>
      <c r="N188" s="92" t="s">
        <v>4428</v>
      </c>
      <c r="O188" s="129"/>
      <c r="P188" s="129"/>
      <c r="Q188" s="124"/>
      <c r="R188" s="130" t="s">
        <v>89</v>
      </c>
      <c r="S188" s="124" t="s">
        <v>98</v>
      </c>
      <c r="T188" s="130" t="s">
        <v>98</v>
      </c>
      <c r="U188" s="131" t="s">
        <v>4432</v>
      </c>
      <c r="V188" s="128" t="s">
        <v>4311</v>
      </c>
      <c r="W188" s="131">
        <v>2.08</v>
      </c>
      <c r="X188" s="166">
        <f t="shared" si="125"/>
        <v>829.92</v>
      </c>
      <c r="Y188" s="124"/>
      <c r="Z188" s="196" t="s">
        <v>93</v>
      </c>
      <c r="AA188" s="134"/>
      <c r="AB188" s="124"/>
      <c r="AC188" s="173"/>
      <c r="AD188" s="173"/>
      <c r="AE188" s="173"/>
      <c r="AF188" s="124"/>
      <c r="AG188" s="124"/>
      <c r="AH188" s="124">
        <f t="shared" si="122"/>
        <v>399</v>
      </c>
      <c r="AI188" s="124"/>
      <c r="AJ188" s="124"/>
      <c r="AL188" s="124">
        <f t="shared" si="126"/>
        <v>399</v>
      </c>
      <c r="AN188" s="124">
        <f>I188</f>
        <v>399</v>
      </c>
      <c r="AO188" s="124"/>
      <c r="AQ188" s="20">
        <f t="shared" si="127"/>
        <v>19</v>
      </c>
    </row>
    <row r="189" s="20" customFormat="1" ht="31" customHeight="1" spans="1:73">
      <c r="A189" s="183">
        <v>45203</v>
      </c>
      <c r="B189" s="184" t="s">
        <v>4306</v>
      </c>
      <c r="C189" s="149" t="s">
        <v>632</v>
      </c>
      <c r="D189" s="170">
        <v>4500114374</v>
      </c>
      <c r="E189" s="168">
        <v>3501526574</v>
      </c>
      <c r="F189" s="170" t="s">
        <v>4433</v>
      </c>
      <c r="G189" s="124" t="s">
        <v>4427</v>
      </c>
      <c r="H189" s="124" t="s">
        <v>189</v>
      </c>
      <c r="I189" s="124">
        <v>1365</v>
      </c>
      <c r="J189" s="124">
        <v>0</v>
      </c>
      <c r="K189" s="124">
        <v>21</v>
      </c>
      <c r="L189" s="127">
        <f t="shared" si="96"/>
        <v>65</v>
      </c>
      <c r="M189" s="128">
        <v>45287</v>
      </c>
      <c r="N189" s="92" t="s">
        <v>4428</v>
      </c>
      <c r="O189" s="129"/>
      <c r="P189" s="129"/>
      <c r="Q189" s="124"/>
      <c r="R189" s="130" t="s">
        <v>89</v>
      </c>
      <c r="S189" s="124" t="s">
        <v>98</v>
      </c>
      <c r="T189" s="130" t="s">
        <v>98</v>
      </c>
      <c r="U189" s="131" t="s">
        <v>4432</v>
      </c>
      <c r="V189" s="128" t="s">
        <v>4311</v>
      </c>
      <c r="W189" s="131">
        <v>2.08</v>
      </c>
      <c r="X189" s="166">
        <f t="shared" si="125"/>
        <v>2839.2</v>
      </c>
      <c r="Y189" s="124"/>
      <c r="Z189" s="196" t="s">
        <v>93</v>
      </c>
      <c r="AA189" s="134"/>
      <c r="AB189" s="124"/>
      <c r="AC189" s="173"/>
      <c r="AD189" s="173"/>
      <c r="AE189" s="173"/>
      <c r="AF189" s="124"/>
      <c r="AG189" s="124"/>
      <c r="AH189" s="124">
        <f t="shared" si="122"/>
        <v>1365</v>
      </c>
      <c r="AI189" s="124"/>
      <c r="AJ189" s="124"/>
      <c r="AL189" s="124">
        <f t="shared" si="126"/>
        <v>1365</v>
      </c>
      <c r="AN189" s="124">
        <f>I189</f>
        <v>1365</v>
      </c>
      <c r="AO189" s="124"/>
      <c r="AQ189" s="20">
        <f t="shared" si="127"/>
        <v>65</v>
      </c>
    </row>
    <row r="190" s="20" customFormat="1" ht="31" customHeight="1" spans="1:73">
      <c r="A190" s="183">
        <v>45203</v>
      </c>
      <c r="B190" s="184" t="s">
        <v>4306</v>
      </c>
      <c r="C190" s="149" t="s">
        <v>632</v>
      </c>
      <c r="D190" s="185">
        <v>4500114373</v>
      </c>
      <c r="E190" s="168">
        <v>2401526561</v>
      </c>
      <c r="F190" s="170" t="s">
        <v>4434</v>
      </c>
      <c r="G190" s="142" t="s">
        <v>84</v>
      </c>
      <c r="H190" s="141" t="s">
        <v>85</v>
      </c>
      <c r="I190" s="141">
        <v>56</v>
      </c>
      <c r="J190" s="141">
        <v>0</v>
      </c>
      <c r="K190" s="141">
        <v>4</v>
      </c>
      <c r="L190" s="143">
        <f t="shared" si="96"/>
        <v>14</v>
      </c>
      <c r="M190" s="128">
        <v>45260</v>
      </c>
      <c r="N190" s="92" t="s">
        <v>4222</v>
      </c>
      <c r="O190" s="129"/>
      <c r="P190" s="129"/>
      <c r="Q190" s="124"/>
      <c r="R190" s="146">
        <v>45218</v>
      </c>
      <c r="S190" s="146" t="s">
        <v>98</v>
      </c>
      <c r="T190" s="146" t="s">
        <v>98</v>
      </c>
      <c r="U190" s="139" t="s">
        <v>4435</v>
      </c>
      <c r="V190" s="128" t="s">
        <v>4311</v>
      </c>
      <c r="W190" s="147">
        <v>7.6428</v>
      </c>
      <c r="X190" s="148">
        <f t="shared" ref="X190:X194" si="128">I190*W190</f>
        <v>427.9968</v>
      </c>
      <c r="Y190" s="124"/>
      <c r="Z190" s="142" t="s">
        <v>93</v>
      </c>
      <c r="AA190" s="134"/>
      <c r="AB190" s="124"/>
      <c r="AC190" s="191"/>
      <c r="AD190" s="191"/>
      <c r="AE190" s="126"/>
      <c r="AF190" s="192"/>
      <c r="AG190" s="124"/>
      <c r="AH190" s="21">
        <f t="shared" si="122"/>
        <v>56</v>
      </c>
      <c r="AI190" s="21"/>
      <c r="AJ190" s="21"/>
      <c r="AK190" s="21">
        <f t="shared" ref="AK190:AK195" si="129">I190</f>
        <v>56</v>
      </c>
      <c r="AL190" s="20">
        <f t="shared" si="126"/>
        <v>56</v>
      </c>
    </row>
    <row r="191" s="20" customFormat="1" ht="31" customHeight="1" spans="1:73">
      <c r="A191" s="183">
        <v>45203</v>
      </c>
      <c r="B191" s="184" t="s">
        <v>4306</v>
      </c>
      <c r="C191" s="149" t="s">
        <v>632</v>
      </c>
      <c r="D191" s="185">
        <v>4500114373</v>
      </c>
      <c r="E191" s="168">
        <v>3501526561</v>
      </c>
      <c r="F191" s="170" t="s">
        <v>4436</v>
      </c>
      <c r="G191" s="142" t="s">
        <v>84</v>
      </c>
      <c r="H191" s="141" t="s">
        <v>85</v>
      </c>
      <c r="I191" s="141">
        <v>188</v>
      </c>
      <c r="J191" s="141">
        <v>0</v>
      </c>
      <c r="K191" s="141">
        <v>4</v>
      </c>
      <c r="L191" s="143">
        <f t="shared" si="96"/>
        <v>47</v>
      </c>
      <c r="M191" s="128">
        <v>45260</v>
      </c>
      <c r="N191" s="92" t="s">
        <v>4222</v>
      </c>
      <c r="O191" s="129"/>
      <c r="P191" s="129"/>
      <c r="Q191" s="124"/>
      <c r="R191" s="146">
        <v>45218</v>
      </c>
      <c r="S191" s="146" t="s">
        <v>98</v>
      </c>
      <c r="T191" s="146" t="s">
        <v>98</v>
      </c>
      <c r="U191" s="139" t="s">
        <v>4435</v>
      </c>
      <c r="V191" s="128" t="s">
        <v>4311</v>
      </c>
      <c r="W191" s="147">
        <v>7.6428</v>
      </c>
      <c r="X191" s="148">
        <f t="shared" si="128"/>
        <v>1436.8464</v>
      </c>
      <c r="Y191" s="124"/>
      <c r="Z191" s="142" t="s">
        <v>93</v>
      </c>
      <c r="AA191" s="134"/>
      <c r="AB191" s="124"/>
      <c r="AC191" s="191"/>
      <c r="AD191" s="191"/>
      <c r="AE191" s="126"/>
      <c r="AF191" s="192"/>
      <c r="AG191" s="124"/>
      <c r="AH191" s="21">
        <f t="shared" si="122"/>
        <v>188</v>
      </c>
      <c r="AI191" s="21"/>
      <c r="AJ191" s="21"/>
      <c r="AK191" s="21">
        <f t="shared" si="129"/>
        <v>188</v>
      </c>
      <c r="AL191" s="20">
        <f t="shared" si="126"/>
        <v>188</v>
      </c>
    </row>
    <row r="192" s="17" customFormat="1" ht="31" customHeight="1" spans="1:73">
      <c r="A192" s="197">
        <v>45366</v>
      </c>
      <c r="B192" s="67" t="s">
        <v>4437</v>
      </c>
      <c r="C192" s="198" t="s">
        <v>1068</v>
      </c>
      <c r="D192" s="199">
        <v>4500127034</v>
      </c>
      <c r="E192" s="200"/>
      <c r="F192" s="199" t="s">
        <v>4438</v>
      </c>
      <c r="G192" s="70" t="s">
        <v>4439</v>
      </c>
      <c r="H192" s="70" t="s">
        <v>189</v>
      </c>
      <c r="I192" s="201">
        <v>3000</v>
      </c>
      <c r="J192" s="70">
        <v>0</v>
      </c>
      <c r="K192" s="70">
        <v>50</v>
      </c>
      <c r="L192" s="72">
        <v>60</v>
      </c>
      <c r="M192" s="75">
        <v>45401</v>
      </c>
      <c r="N192" s="75" t="s">
        <v>4325</v>
      </c>
      <c r="O192" s="73"/>
      <c r="P192" s="73"/>
      <c r="Q192" s="70"/>
      <c r="R192" s="90">
        <v>45373</v>
      </c>
      <c r="S192" s="70" t="s">
        <v>98</v>
      </c>
      <c r="T192" s="90" t="s">
        <v>4440</v>
      </c>
      <c r="U192" s="69" t="s">
        <v>4441</v>
      </c>
      <c r="V192" s="202"/>
      <c r="W192" s="203"/>
      <c r="X192" s="77"/>
      <c r="Y192" s="70"/>
      <c r="Z192" s="204"/>
      <c r="AA192" s="70"/>
      <c r="AB192" s="96"/>
      <c r="AC192" s="70"/>
      <c r="AD192" s="205"/>
      <c r="AE192" s="205"/>
      <c r="AF192" s="205"/>
      <c r="AG192" s="70"/>
      <c r="AH192" s="70"/>
      <c r="AI192" s="70"/>
      <c r="AJ192" s="70"/>
      <c r="AK192" s="70"/>
      <c r="AM192" s="70"/>
      <c r="AN192" s="70"/>
      <c r="AO192" s="70"/>
      <c r="AP192" s="70"/>
      <c r="BH192" s="206"/>
      <c r="BI192" s="206"/>
      <c r="BJ192" s="206"/>
      <c r="BK192" s="206"/>
      <c r="BL192" s="206"/>
      <c r="BM192" s="206"/>
      <c r="BP192" s="206"/>
      <c r="BQ192" s="206"/>
      <c r="BR192" s="206"/>
      <c r="BS192" s="206"/>
      <c r="BT192" s="206"/>
      <c r="BU192" s="206"/>
    </row>
    <row r="193" s="17" customFormat="1" ht="31" customHeight="1" spans="1:80">
      <c r="A193" s="207">
        <v>45380</v>
      </c>
      <c r="B193" s="200" t="s">
        <v>744</v>
      </c>
      <c r="C193" s="208" t="s">
        <v>272</v>
      </c>
      <c r="D193" s="209">
        <v>4500128497</v>
      </c>
      <c r="E193" s="210" t="s">
        <v>4442</v>
      </c>
      <c r="F193" s="209" t="s">
        <v>4443</v>
      </c>
      <c r="G193" s="70" t="s">
        <v>4444</v>
      </c>
      <c r="H193" s="70" t="s">
        <v>189</v>
      </c>
      <c r="I193" s="70">
        <v>14400</v>
      </c>
      <c r="J193" s="70">
        <v>0</v>
      </c>
      <c r="K193" s="70">
        <v>48</v>
      </c>
      <c r="L193" s="72">
        <f>I193/K193</f>
        <v>300</v>
      </c>
      <c r="M193" s="75">
        <v>45486</v>
      </c>
      <c r="N193" s="75" t="s">
        <v>4325</v>
      </c>
      <c r="O193" s="73"/>
      <c r="P193" s="73"/>
      <c r="Q193" s="70"/>
      <c r="R193" s="90">
        <v>45380</v>
      </c>
      <c r="S193" s="70" t="s">
        <v>88</v>
      </c>
      <c r="T193" s="90" t="s">
        <v>89</v>
      </c>
      <c r="U193" s="69" t="s">
        <v>4445</v>
      </c>
      <c r="V193" s="211" t="s">
        <v>277</v>
      </c>
      <c r="W193" s="69">
        <v>1.9041</v>
      </c>
      <c r="X193" s="77">
        <f t="shared" si="128"/>
        <v>27419.04</v>
      </c>
      <c r="Y193" s="70"/>
      <c r="Z193" s="70" t="s">
        <v>4444</v>
      </c>
      <c r="AA193" s="70" t="s">
        <v>93</v>
      </c>
      <c r="AB193" s="96"/>
      <c r="AC193" s="70"/>
      <c r="AD193" s="205"/>
      <c r="AE193" s="78">
        <f t="shared" ref="AE193:AE200" si="130">AD193-I193</f>
        <v>-14400</v>
      </c>
      <c r="AF193" s="205"/>
      <c r="AG193" s="70"/>
      <c r="AH193" s="70"/>
      <c r="AI193" s="70">
        <f t="shared" ref="AI193:AI195" si="131">I193</f>
        <v>14400</v>
      </c>
      <c r="AJ193" s="70"/>
      <c r="AK193" s="70">
        <f t="shared" si="129"/>
        <v>14400</v>
      </c>
      <c r="AM193" s="70"/>
      <c r="AO193" s="70">
        <f t="shared" ref="AO193:AO195" si="132">I193</f>
        <v>14400</v>
      </c>
      <c r="AP193" s="70"/>
      <c r="AQ193" s="70"/>
      <c r="AR193" s="70"/>
      <c r="AU193" s="17">
        <f>I193/12</f>
        <v>1200</v>
      </c>
      <c r="BL193" s="206">
        <f t="shared" ref="BL193:BL196" si="133">AI193+AJ193</f>
        <v>14400</v>
      </c>
      <c r="BM193" s="206">
        <f>BM191+BL193</f>
        <v>14400</v>
      </c>
      <c r="BN193" s="206"/>
      <c r="BO193" s="206"/>
      <c r="BP193" s="206"/>
      <c r="BQ193" s="206">
        <f>$BO$1+$BP$1+$BQ$1+$BR$1-BM193</f>
        <v>-14400</v>
      </c>
      <c r="BT193" s="20">
        <f t="shared" ref="BT193:BT196" si="134">AS193+AT193</f>
        <v>0</v>
      </c>
      <c r="BU193" s="212">
        <f>BU191+BT193</f>
        <v>0</v>
      </c>
      <c r="BV193" s="206"/>
      <c r="BW193" s="206"/>
      <c r="BX193" s="206"/>
      <c r="BY193" s="206">
        <f>$BW$1+$BX$1+$BY$1+$BZ$1-BU193</f>
        <v>0</v>
      </c>
      <c r="BZ193" s="206"/>
    </row>
    <row r="194" s="17" customFormat="1" ht="31" customHeight="1" spans="1:80">
      <c r="A194" s="213">
        <v>45364</v>
      </c>
      <c r="B194" s="214" t="s">
        <v>4446</v>
      </c>
      <c r="C194" s="214" t="s">
        <v>4447</v>
      </c>
      <c r="D194" s="199">
        <v>4500126776</v>
      </c>
      <c r="E194" s="214" t="s">
        <v>4448</v>
      </c>
      <c r="F194" s="215" t="s">
        <v>4449</v>
      </c>
      <c r="G194" s="70" t="s">
        <v>4450</v>
      </c>
      <c r="H194" s="70" t="s">
        <v>189</v>
      </c>
      <c r="I194" s="70">
        <v>4116</v>
      </c>
      <c r="J194" s="70">
        <v>0</v>
      </c>
      <c r="K194" s="70">
        <v>12</v>
      </c>
      <c r="L194" s="72">
        <f>I194/K194</f>
        <v>343</v>
      </c>
      <c r="M194" s="75">
        <v>45530</v>
      </c>
      <c r="N194" s="75" t="s">
        <v>4325</v>
      </c>
      <c r="O194" s="73"/>
      <c r="P194" s="73"/>
      <c r="Q194" s="70"/>
      <c r="R194" s="90" t="s">
        <v>89</v>
      </c>
      <c r="S194" s="70" t="s">
        <v>98</v>
      </c>
      <c r="T194" s="90" t="s">
        <v>98</v>
      </c>
      <c r="U194" s="69" t="s">
        <v>4451</v>
      </c>
      <c r="V194" s="211" t="s">
        <v>731</v>
      </c>
      <c r="W194" s="69">
        <v>1.9282</v>
      </c>
      <c r="X194" s="77">
        <f t="shared" si="128"/>
        <v>7936.4712</v>
      </c>
      <c r="Y194" s="70"/>
      <c r="Z194" s="70" t="s">
        <v>4450</v>
      </c>
      <c r="AA194" s="70" t="s">
        <v>93</v>
      </c>
      <c r="AB194" s="96"/>
      <c r="AC194" s="70"/>
      <c r="AD194" s="205"/>
      <c r="AE194" s="126">
        <f t="shared" si="130"/>
        <v>-4116</v>
      </c>
      <c r="AF194" s="205"/>
      <c r="AG194" s="70" t="s">
        <v>98</v>
      </c>
      <c r="AH194" s="70"/>
      <c r="AI194" s="70">
        <f t="shared" si="131"/>
        <v>4116</v>
      </c>
      <c r="AJ194" s="70"/>
      <c r="AK194" s="70">
        <f t="shared" si="129"/>
        <v>4116</v>
      </c>
      <c r="AM194" s="70"/>
      <c r="AO194" s="70">
        <f t="shared" si="132"/>
        <v>4116</v>
      </c>
      <c r="AP194" s="70"/>
      <c r="AQ194" s="70"/>
      <c r="AR194" s="70"/>
      <c r="AU194" s="17">
        <f>I194/12</f>
        <v>343</v>
      </c>
      <c r="BL194" s="206">
        <f t="shared" si="133"/>
        <v>4116</v>
      </c>
      <c r="BM194" s="212">
        <f>BM193+BL194</f>
        <v>18516</v>
      </c>
      <c r="BN194" s="206"/>
      <c r="BO194" s="206"/>
      <c r="BP194" s="212"/>
      <c r="BQ194" s="206">
        <f>$BO$1+$BP$1+$BQ$1+$BR$1-BM194</f>
        <v>-18516</v>
      </c>
      <c r="BT194" s="20">
        <f t="shared" si="134"/>
        <v>0</v>
      </c>
      <c r="BU194" s="212">
        <f>BU193+BT194</f>
        <v>0</v>
      </c>
      <c r="BV194" s="206"/>
      <c r="BW194" s="206"/>
      <c r="BX194" s="206"/>
      <c r="BY194" s="212">
        <f>$BW$1+$BX$1+$BY$1+$BZ$1-BU194</f>
        <v>0</v>
      </c>
      <c r="BZ194" s="206"/>
    </row>
    <row r="195" s="23" customFormat="1" ht="31" customHeight="1" spans="1:80">
      <c r="A195" s="216">
        <v>45413</v>
      </c>
      <c r="B195" s="217" t="s">
        <v>475</v>
      </c>
      <c r="C195" s="218" t="s">
        <v>476</v>
      </c>
      <c r="D195" s="219">
        <v>4500131403</v>
      </c>
      <c r="E195" s="220" t="s">
        <v>4452</v>
      </c>
      <c r="F195" s="219" t="s">
        <v>4453</v>
      </c>
      <c r="G195" s="221" t="s">
        <v>213</v>
      </c>
      <c r="H195" s="221" t="s">
        <v>189</v>
      </c>
      <c r="I195" s="221">
        <v>600</v>
      </c>
      <c r="J195" s="221">
        <v>0</v>
      </c>
      <c r="K195" s="221">
        <v>24</v>
      </c>
      <c r="L195" s="222">
        <v>25</v>
      </c>
      <c r="M195" s="223">
        <v>45449</v>
      </c>
      <c r="N195" s="75" t="s">
        <v>4325</v>
      </c>
      <c r="O195" s="224"/>
      <c r="P195" s="224"/>
      <c r="Q195" s="221"/>
      <c r="R195" s="225"/>
      <c r="S195" s="221"/>
      <c r="T195" s="225"/>
      <c r="U195" s="226" t="s">
        <v>4454</v>
      </c>
      <c r="V195" s="227" t="s">
        <v>481</v>
      </c>
      <c r="W195" s="226">
        <v>1.8814</v>
      </c>
      <c r="X195" s="228">
        <v>1128.84</v>
      </c>
      <c r="Y195" s="221"/>
      <c r="Z195" s="221"/>
      <c r="AA195" s="221"/>
      <c r="AB195" s="229"/>
      <c r="AC195" s="221"/>
      <c r="AD195" s="230"/>
      <c r="AE195" s="231"/>
      <c r="AF195" s="230"/>
      <c r="AG195" s="221"/>
      <c r="AH195" s="221"/>
      <c r="AI195" s="221">
        <f t="shared" si="131"/>
        <v>600</v>
      </c>
      <c r="AJ195" s="221"/>
      <c r="AK195" s="221">
        <f t="shared" si="129"/>
        <v>600</v>
      </c>
      <c r="AM195" s="221"/>
      <c r="AO195" s="221">
        <f t="shared" si="132"/>
        <v>600</v>
      </c>
      <c r="AP195" s="221"/>
      <c r="AQ195" s="221"/>
      <c r="AR195" s="221"/>
      <c r="BL195" s="232"/>
      <c r="BM195" s="232"/>
      <c r="BN195" s="232"/>
      <c r="BO195" s="232"/>
      <c r="BP195" s="232"/>
      <c r="BQ195" s="232"/>
      <c r="BU195" s="232"/>
      <c r="BV195" s="232"/>
      <c r="BW195" s="232"/>
      <c r="BX195" s="232"/>
      <c r="BY195" s="232"/>
      <c r="BZ195" s="232"/>
    </row>
    <row r="196" s="17" customFormat="1" ht="31" customHeight="1" spans="1:80">
      <c r="A196" s="207">
        <v>45405</v>
      </c>
      <c r="B196" s="233" t="s">
        <v>1067</v>
      </c>
      <c r="C196" s="234" t="s">
        <v>103</v>
      </c>
      <c r="D196" s="235">
        <v>4500130192</v>
      </c>
      <c r="E196" s="236" t="s">
        <v>4455</v>
      </c>
      <c r="F196" s="235" t="s">
        <v>4456</v>
      </c>
      <c r="G196" s="70" t="s">
        <v>196</v>
      </c>
      <c r="H196" s="70" t="s">
        <v>4457</v>
      </c>
      <c r="I196" s="70">
        <v>504</v>
      </c>
      <c r="J196" s="70">
        <v>0</v>
      </c>
      <c r="K196" s="70">
        <v>12</v>
      </c>
      <c r="L196" s="72">
        <f t="shared" ref="L196:L240" si="135">I196/K196</f>
        <v>42</v>
      </c>
      <c r="M196" s="75">
        <v>45447</v>
      </c>
      <c r="N196" s="75" t="s">
        <v>4325</v>
      </c>
      <c r="O196" s="73"/>
      <c r="P196" s="73"/>
      <c r="Q196" s="70"/>
      <c r="R196" s="90" t="s">
        <v>4458</v>
      </c>
      <c r="S196" s="70" t="s">
        <v>88</v>
      </c>
      <c r="T196" s="90" t="s">
        <v>4459</v>
      </c>
      <c r="U196" s="69" t="s">
        <v>4460</v>
      </c>
      <c r="V196" s="237" t="s">
        <v>599</v>
      </c>
      <c r="W196" s="69">
        <v>4.1259</v>
      </c>
      <c r="X196" s="77">
        <f>W196*I196</f>
        <v>2079.4536</v>
      </c>
      <c r="Y196" s="70"/>
      <c r="Z196" s="70" t="s">
        <v>196</v>
      </c>
      <c r="AA196" s="70" t="s">
        <v>93</v>
      </c>
      <c r="AB196" s="96"/>
      <c r="AC196" s="70"/>
      <c r="AD196" s="205"/>
      <c r="AE196" s="78">
        <f t="shared" si="130"/>
        <v>-504</v>
      </c>
      <c r="AF196" s="205"/>
      <c r="AG196" s="70"/>
      <c r="AH196" s="70"/>
      <c r="AI196" s="70">
        <f t="shared" ref="AI196:AI205" si="136">I196*2</f>
        <v>1008</v>
      </c>
      <c r="AJ196" s="70"/>
      <c r="AK196" s="70"/>
      <c r="AL196" s="17">
        <f t="shared" ref="AL196:AL205" si="137">I196*2</f>
        <v>1008</v>
      </c>
      <c r="AM196" s="70"/>
      <c r="AN196" s="16"/>
      <c r="AO196" s="70">
        <f>I196*2</f>
        <v>1008</v>
      </c>
      <c r="AP196" s="70"/>
      <c r="AQ196" s="70"/>
      <c r="AR196" s="70"/>
      <c r="BH196" s="17">
        <f>I196</f>
        <v>504</v>
      </c>
      <c r="BI196" s="17">
        <f>I196</f>
        <v>504</v>
      </c>
      <c r="BJ196" s="17">
        <f>I196</f>
        <v>504</v>
      </c>
      <c r="BL196" s="206">
        <f t="shared" si="133"/>
        <v>1008</v>
      </c>
      <c r="BM196" s="212" t="e">
        <f>'77485 S3 明细'!#REF!+BL196</f>
        <v>#REF!</v>
      </c>
      <c r="BN196" s="206"/>
      <c r="BO196" s="206"/>
      <c r="BP196" s="206"/>
      <c r="BQ196" s="206" t="e">
        <f>'77485 S3 明细'!$BX$1+'77485 S3 明细'!$BY$1+'77485 S3 明细'!$BZ$1+'77485 S3 明细'!$CA$1-BM196</f>
        <v>#REF!</v>
      </c>
      <c r="BT196" s="17">
        <f t="shared" si="134"/>
        <v>0</v>
      </c>
      <c r="BU196" s="206" t="e">
        <f>'77485 S3 明细'!#REF!+BT196</f>
        <v>#REF!</v>
      </c>
      <c r="BV196" s="206"/>
      <c r="BW196" s="206"/>
      <c r="BX196" s="206"/>
      <c r="BY196" s="206" t="e">
        <f>'77485 S3 明细'!$CF$1+'77485 S3 明细'!$CG$1+'77485 S3 明细'!$CH$1+'77485 S3 明细'!$CI$1-BU196</f>
        <v>#REF!</v>
      </c>
      <c r="BZ196" s="206"/>
    </row>
    <row r="197" s="17" customFormat="1" ht="31" customHeight="1" spans="1:80">
      <c r="A197" s="213">
        <v>45448</v>
      </c>
      <c r="B197" s="214" t="s">
        <v>1535</v>
      </c>
      <c r="C197" s="214" t="s">
        <v>377</v>
      </c>
      <c r="D197" s="238">
        <v>4500135946</v>
      </c>
      <c r="E197" s="239">
        <v>20083342</v>
      </c>
      <c r="F197" s="238" t="s">
        <v>4461</v>
      </c>
      <c r="G197" s="70" t="s">
        <v>234</v>
      </c>
      <c r="H197" s="70" t="s">
        <v>189</v>
      </c>
      <c r="I197" s="70">
        <v>2236</v>
      </c>
      <c r="J197" s="70">
        <v>0</v>
      </c>
      <c r="K197" s="70">
        <v>13</v>
      </c>
      <c r="L197" s="72">
        <f t="shared" si="135"/>
        <v>172</v>
      </c>
      <c r="M197" s="75">
        <v>45496</v>
      </c>
      <c r="N197" s="75">
        <v>45492</v>
      </c>
      <c r="O197" s="73"/>
      <c r="P197" s="73"/>
      <c r="Q197" s="70"/>
      <c r="R197" s="90" t="s">
        <v>89</v>
      </c>
      <c r="S197" s="70" t="s">
        <v>88</v>
      </c>
      <c r="T197" s="90" t="s">
        <v>89</v>
      </c>
      <c r="U197" s="69" t="s">
        <v>4462</v>
      </c>
      <c r="V197" s="211" t="s">
        <v>1540</v>
      </c>
      <c r="W197" s="69">
        <v>1.9425</v>
      </c>
      <c r="X197" s="77">
        <f t="shared" ref="X197:X208" si="138">I197*W197</f>
        <v>4343.43</v>
      </c>
      <c r="Y197" s="70"/>
      <c r="Z197" s="70" t="s">
        <v>234</v>
      </c>
      <c r="AA197" s="70" t="s">
        <v>93</v>
      </c>
      <c r="AB197" s="96"/>
      <c r="AC197" s="70"/>
      <c r="AD197" s="205"/>
      <c r="AE197" s="78">
        <f t="shared" si="130"/>
        <v>-2236</v>
      </c>
      <c r="AF197" s="205"/>
      <c r="AG197" s="70"/>
      <c r="AH197" s="70"/>
      <c r="AI197" s="70">
        <f t="shared" ref="AI197:AI199" si="139">I197</f>
        <v>2236</v>
      </c>
      <c r="AJ197" s="70"/>
      <c r="AK197" s="70">
        <f t="shared" ref="AK197:AK199" si="140">I197</f>
        <v>2236</v>
      </c>
      <c r="AM197" s="70"/>
      <c r="AN197" s="70"/>
      <c r="AP197" s="70">
        <f t="shared" ref="AP197:AP199" si="141">I197</f>
        <v>2236</v>
      </c>
      <c r="AQ197" s="70"/>
      <c r="AR197" s="70"/>
      <c r="AS197" s="70"/>
      <c r="AY197" s="17">
        <f t="shared" ref="AY197:AY199" si="142">I197/13</f>
        <v>172</v>
      </c>
      <c r="BM197" s="206">
        <f t="shared" ref="BM197:BM200" si="143">AI197+AJ197</f>
        <v>2236</v>
      </c>
      <c r="BN197" s="206" t="e">
        <f>'77485 S3 明细'!#REF!+BM197</f>
        <v>#REF!</v>
      </c>
      <c r="BO197" s="206"/>
      <c r="BP197" s="206"/>
      <c r="BQ197" s="206"/>
      <c r="BR197" s="206"/>
      <c r="BS197" s="17" t="e">
        <f>SUM('77485 S3 明细'!BX$1:CB$1)-BN197</f>
        <v>#REF!</v>
      </c>
      <c r="BU197" s="17">
        <f t="shared" ref="BU197:BU200" si="144">AT197+AU197+AY197+AZ197</f>
        <v>172</v>
      </c>
      <c r="BV197" s="212" t="e">
        <f>'77485 S3 明细'!#REF!+BU197</f>
        <v>#REF!</v>
      </c>
      <c r="BW197" s="206"/>
      <c r="BX197" s="206"/>
      <c r="BY197" s="206"/>
      <c r="BZ197" s="206" t="e">
        <f>'77485 S3 明细'!$CF$1+'77485 S3 明细'!$CG$1+'77485 S3 明细'!$CH$1+'77485 S3 明细'!$CI$1-BV197</f>
        <v>#REF!</v>
      </c>
      <c r="CA197" s="206"/>
    </row>
    <row r="198" s="17" customFormat="1" ht="31" customHeight="1" spans="1:80">
      <c r="A198" s="213">
        <v>45440</v>
      </c>
      <c r="B198" s="214" t="s">
        <v>1535</v>
      </c>
      <c r="C198" s="214" t="s">
        <v>377</v>
      </c>
      <c r="D198" s="238">
        <v>4500134335</v>
      </c>
      <c r="E198" s="239">
        <v>20068400</v>
      </c>
      <c r="F198" s="238" t="s">
        <v>4463</v>
      </c>
      <c r="G198" s="70" t="s">
        <v>234</v>
      </c>
      <c r="H198" s="70" t="s">
        <v>189</v>
      </c>
      <c r="I198" s="70">
        <v>1989</v>
      </c>
      <c r="J198" s="70">
        <v>0</v>
      </c>
      <c r="K198" s="70">
        <v>13</v>
      </c>
      <c r="L198" s="72">
        <f t="shared" si="135"/>
        <v>153</v>
      </c>
      <c r="M198" s="75">
        <v>45489</v>
      </c>
      <c r="N198" s="75" t="s">
        <v>4464</v>
      </c>
      <c r="O198" s="73"/>
      <c r="P198" s="73"/>
      <c r="Q198" s="70"/>
      <c r="R198" s="90">
        <v>45440</v>
      </c>
      <c r="S198" s="70" t="s">
        <v>88</v>
      </c>
      <c r="T198" s="90" t="s">
        <v>89</v>
      </c>
      <c r="U198" s="69" t="s">
        <v>4462</v>
      </c>
      <c r="V198" s="211" t="s">
        <v>1540</v>
      </c>
      <c r="W198" s="69">
        <v>1.9425</v>
      </c>
      <c r="X198" s="77">
        <f t="shared" si="138"/>
        <v>3863.6325</v>
      </c>
      <c r="Y198" s="70"/>
      <c r="Z198" s="70" t="s">
        <v>234</v>
      </c>
      <c r="AA198" s="70" t="s">
        <v>93</v>
      </c>
      <c r="AB198" s="96"/>
      <c r="AC198" s="205"/>
      <c r="AD198" s="205"/>
      <c r="AE198" s="78">
        <f t="shared" si="130"/>
        <v>-1989</v>
      </c>
      <c r="AF198" s="205"/>
      <c r="AG198" s="70"/>
      <c r="AH198" s="70"/>
      <c r="AI198" s="70">
        <f t="shared" si="139"/>
        <v>1989</v>
      </c>
      <c r="AJ198" s="70"/>
      <c r="AK198" s="70">
        <f t="shared" si="140"/>
        <v>1989</v>
      </c>
      <c r="AM198" s="70"/>
      <c r="AN198" s="70"/>
      <c r="AP198" s="70">
        <f t="shared" si="141"/>
        <v>1989</v>
      </c>
      <c r="AQ198" s="70"/>
      <c r="AR198" s="70"/>
      <c r="AS198" s="70"/>
      <c r="AY198" s="17">
        <f t="shared" si="142"/>
        <v>153</v>
      </c>
      <c r="BM198" s="206">
        <f t="shared" si="143"/>
        <v>1989</v>
      </c>
      <c r="BN198" s="206" t="e">
        <f>'77485 S3 明细'!#REF!+BM198</f>
        <v>#REF!</v>
      </c>
      <c r="BO198" s="206"/>
      <c r="BP198" s="206"/>
      <c r="BQ198" s="206"/>
      <c r="BR198" s="206"/>
      <c r="BS198" s="17" t="e">
        <f>SUM('77485 S3 明细'!BX$1:CB$1)-BN198</f>
        <v>#REF!</v>
      </c>
      <c r="BU198" s="17">
        <f t="shared" si="144"/>
        <v>153</v>
      </c>
      <c r="BV198" s="212" t="e">
        <f>'77485 S3 明细'!#REF!+BU198</f>
        <v>#REF!</v>
      </c>
      <c r="BW198" s="206"/>
      <c r="BX198" s="206"/>
      <c r="BY198" s="206"/>
      <c r="BZ198" s="206" t="e">
        <f>'77485 S3 明细'!$CF$1+'77485 S3 明细'!$CG$1+'77485 S3 明细'!$CH$1+'77485 S3 明细'!$CI$1-BV198</f>
        <v>#REF!</v>
      </c>
      <c r="CA198" s="206"/>
    </row>
    <row r="199" s="17" customFormat="1" ht="31" customHeight="1" spans="1:80">
      <c r="A199" s="207">
        <v>45435</v>
      </c>
      <c r="B199" s="240" t="s">
        <v>1535</v>
      </c>
      <c r="C199" s="241" t="s">
        <v>377</v>
      </c>
      <c r="D199" s="199">
        <v>4500134469</v>
      </c>
      <c r="E199" s="242" t="s">
        <v>4465</v>
      </c>
      <c r="F199" s="199" t="s">
        <v>4466</v>
      </c>
      <c r="G199" s="70" t="s">
        <v>234</v>
      </c>
      <c r="H199" s="70" t="s">
        <v>189</v>
      </c>
      <c r="I199" s="70">
        <v>1508</v>
      </c>
      <c r="J199" s="70">
        <v>0</v>
      </c>
      <c r="K199" s="70">
        <v>13</v>
      </c>
      <c r="L199" s="72">
        <f t="shared" si="135"/>
        <v>116</v>
      </c>
      <c r="M199" s="75">
        <v>45479</v>
      </c>
      <c r="N199" s="75" t="s">
        <v>4464</v>
      </c>
      <c r="O199" s="73"/>
      <c r="P199" s="73"/>
      <c r="Q199" s="70"/>
      <c r="R199" s="90">
        <v>45435</v>
      </c>
      <c r="S199" s="70" t="s">
        <v>88</v>
      </c>
      <c r="T199" s="90" t="s">
        <v>4467</v>
      </c>
      <c r="U199" s="69" t="s">
        <v>4468</v>
      </c>
      <c r="V199" s="200" t="s">
        <v>1540</v>
      </c>
      <c r="W199" s="69">
        <v>1.9425</v>
      </c>
      <c r="X199" s="77">
        <f t="shared" si="138"/>
        <v>2929.29</v>
      </c>
      <c r="Y199" s="70"/>
      <c r="Z199" s="70" t="s">
        <v>234</v>
      </c>
      <c r="AA199" s="70" t="s">
        <v>93</v>
      </c>
      <c r="AB199" s="96"/>
      <c r="AC199" s="205"/>
      <c r="AD199" s="205"/>
      <c r="AE199" s="78">
        <f t="shared" si="130"/>
        <v>-1508</v>
      </c>
      <c r="AF199" s="205"/>
      <c r="AG199" s="70"/>
      <c r="AH199" s="70"/>
      <c r="AI199" s="70">
        <f t="shared" si="139"/>
        <v>1508</v>
      </c>
      <c r="AJ199" s="70"/>
      <c r="AK199" s="70">
        <f t="shared" si="140"/>
        <v>1508</v>
      </c>
      <c r="AM199" s="70"/>
      <c r="AN199" s="70"/>
      <c r="AP199" s="70">
        <f t="shared" si="141"/>
        <v>1508</v>
      </c>
      <c r="AQ199" s="70"/>
      <c r="AR199" s="70"/>
      <c r="AS199" s="70"/>
      <c r="AY199" s="17">
        <f t="shared" si="142"/>
        <v>116</v>
      </c>
      <c r="BM199" s="206">
        <f t="shared" si="143"/>
        <v>1508</v>
      </c>
      <c r="BN199" s="206" t="e">
        <f>'77485 S3 明细'!#REF!+BM199</f>
        <v>#REF!</v>
      </c>
      <c r="BO199" s="206"/>
      <c r="BP199" s="206"/>
      <c r="BQ199" s="206"/>
      <c r="BR199" s="206" t="e">
        <f>'77485 S3 明细'!$BX$1+'77485 S3 明细'!$BY$1+'77485 S3 明细'!$BZ$1+'77485 S3 明细'!$CA$1-BN199</f>
        <v>#REF!</v>
      </c>
      <c r="BU199" s="17">
        <f t="shared" si="144"/>
        <v>116</v>
      </c>
      <c r="BV199" s="212" t="e">
        <f>'77485 S3 明细'!#REF!+BU199</f>
        <v>#REF!</v>
      </c>
      <c r="BW199" s="206"/>
      <c r="BX199" s="206"/>
      <c r="BY199" s="206"/>
      <c r="BZ199" s="206" t="e">
        <f>'77485 S3 明细'!$CF$1+'77485 S3 明细'!$CG$1+'77485 S3 明细'!$CH$1+'77485 S3 明细'!$CI$1-BV199</f>
        <v>#REF!</v>
      </c>
      <c r="CA199" s="206"/>
    </row>
    <row r="200" s="17" customFormat="1" ht="31" customHeight="1" spans="1:80">
      <c r="A200" s="243">
        <v>45463</v>
      </c>
      <c r="B200" s="244" t="s">
        <v>420</v>
      </c>
      <c r="C200" s="214" t="s">
        <v>125</v>
      </c>
      <c r="D200" s="245">
        <v>4500137717</v>
      </c>
      <c r="E200" s="245" t="s">
        <v>4469</v>
      </c>
      <c r="F200" s="245" t="s">
        <v>4470</v>
      </c>
      <c r="G200" s="70" t="s">
        <v>196</v>
      </c>
      <c r="H200" s="70" t="s">
        <v>197</v>
      </c>
      <c r="I200" s="70">
        <v>24</v>
      </c>
      <c r="J200" s="70">
        <v>0</v>
      </c>
      <c r="K200" s="70">
        <v>12</v>
      </c>
      <c r="L200" s="72">
        <f t="shared" si="135"/>
        <v>2</v>
      </c>
      <c r="M200" s="75">
        <v>45525</v>
      </c>
      <c r="N200" s="75">
        <v>45521</v>
      </c>
      <c r="O200" s="73"/>
      <c r="P200" s="73"/>
      <c r="Q200" s="70"/>
      <c r="R200" s="90">
        <v>45463</v>
      </c>
      <c r="S200" s="70" t="s">
        <v>88</v>
      </c>
      <c r="T200" s="90" t="s">
        <v>1234</v>
      </c>
      <c r="U200" s="69" t="s">
        <v>4471</v>
      </c>
      <c r="V200" s="246" t="s">
        <v>1578</v>
      </c>
      <c r="W200" s="69">
        <v>4.087</v>
      </c>
      <c r="X200" s="77">
        <f t="shared" si="138"/>
        <v>98.088</v>
      </c>
      <c r="Y200" s="70"/>
      <c r="Z200" s="204" t="s">
        <v>196</v>
      </c>
      <c r="AA200" s="70" t="s">
        <v>93</v>
      </c>
      <c r="AB200" s="96"/>
      <c r="AC200" s="70"/>
      <c r="AD200" s="205"/>
      <c r="AE200" s="78">
        <f t="shared" si="130"/>
        <v>-24</v>
      </c>
      <c r="AF200" s="205"/>
      <c r="AG200" s="70"/>
      <c r="AH200" s="70"/>
      <c r="AI200" s="70">
        <f t="shared" si="136"/>
        <v>48</v>
      </c>
      <c r="AJ200" s="70"/>
      <c r="AK200" s="70"/>
      <c r="AL200" s="17">
        <f t="shared" si="137"/>
        <v>48</v>
      </c>
      <c r="AM200" s="70"/>
      <c r="AN200" s="70"/>
      <c r="AP200" s="70">
        <f t="shared" ref="AP200:AP205" si="145">I200*2</f>
        <v>48</v>
      </c>
      <c r="AQ200" s="70"/>
      <c r="AR200" s="70"/>
      <c r="AS200" s="70"/>
      <c r="BI200" s="17">
        <f>I200</f>
        <v>24</v>
      </c>
      <c r="BJ200" s="17">
        <f t="shared" ref="BJ200:BJ205" si="146">I200</f>
        <v>24</v>
      </c>
      <c r="BK200" s="17">
        <f t="shared" ref="BK200:BK205" si="147">I200</f>
        <v>24</v>
      </c>
      <c r="BM200" s="206">
        <f t="shared" si="143"/>
        <v>48</v>
      </c>
      <c r="BN200" s="206" t="e">
        <f>'77485 S3 明细'!#REF!+BM200</f>
        <v>#REF!</v>
      </c>
      <c r="BO200" s="206"/>
      <c r="BP200" s="206"/>
      <c r="BQ200" s="206"/>
      <c r="BR200" s="206"/>
      <c r="BS200" s="17" t="e">
        <f>SUM('77485 S3 明细'!BX$1:CB$1)-BN200</f>
        <v>#REF!</v>
      </c>
      <c r="BU200" s="17">
        <f t="shared" si="144"/>
        <v>0</v>
      </c>
      <c r="BV200" s="212" t="e">
        <f>'77485 S3 明细'!#REF!+BU200</f>
        <v>#REF!</v>
      </c>
      <c r="BW200" s="206"/>
      <c r="BX200" s="206"/>
      <c r="BY200" s="206"/>
      <c r="BZ200" s="206" t="e">
        <f>'77485 S3 明细'!$CF$1+'77485 S3 明细'!$CG$1+'77485 S3 明细'!$CH$1+'77485 S3 明细'!$CI$1-BV200</f>
        <v>#REF!</v>
      </c>
      <c r="CA200" s="206"/>
    </row>
    <row r="201" s="23" customFormat="1" ht="31" customHeight="1" spans="1:80">
      <c r="A201" s="247">
        <v>45482</v>
      </c>
      <c r="B201" s="248" t="s">
        <v>420</v>
      </c>
      <c r="C201" s="249" t="s">
        <v>125</v>
      </c>
      <c r="D201" s="250">
        <v>4500139622</v>
      </c>
      <c r="E201" s="250" t="s">
        <v>4472</v>
      </c>
      <c r="F201" s="250" t="s">
        <v>4473</v>
      </c>
      <c r="G201" s="221" t="s">
        <v>196</v>
      </c>
      <c r="H201" s="221" t="s">
        <v>197</v>
      </c>
      <c r="I201" s="221">
        <v>540</v>
      </c>
      <c r="J201" s="221">
        <v>0</v>
      </c>
      <c r="K201" s="221">
        <v>12</v>
      </c>
      <c r="L201" s="222">
        <f t="shared" si="135"/>
        <v>45</v>
      </c>
      <c r="M201" s="223">
        <v>45533</v>
      </c>
      <c r="N201" s="223">
        <v>45530</v>
      </c>
      <c r="O201" s="224"/>
      <c r="P201" s="224"/>
      <c r="Q201" s="221"/>
      <c r="R201" s="225"/>
      <c r="S201" s="221"/>
      <c r="T201" s="225"/>
      <c r="U201" s="226" t="s">
        <v>4474</v>
      </c>
      <c r="V201" s="251" t="s">
        <v>1578</v>
      </c>
      <c r="W201" s="226">
        <v>4.087</v>
      </c>
      <c r="X201" s="228">
        <f t="shared" si="138"/>
        <v>2206.98</v>
      </c>
      <c r="Y201" s="221"/>
      <c r="Z201" s="252"/>
      <c r="AA201" s="221"/>
      <c r="AB201" s="229"/>
      <c r="AC201" s="221"/>
      <c r="AD201" s="230"/>
      <c r="AE201" s="231"/>
      <c r="AF201" s="230"/>
      <c r="AG201" s="221"/>
      <c r="AH201" s="221"/>
      <c r="AI201" s="221">
        <f t="shared" si="136"/>
        <v>1080</v>
      </c>
      <c r="AJ201" s="221"/>
      <c r="AK201" s="221"/>
      <c r="AL201" s="23">
        <f t="shared" si="137"/>
        <v>1080</v>
      </c>
      <c r="AM201" s="221"/>
      <c r="AN201" s="221"/>
      <c r="AP201" s="221">
        <f t="shared" si="145"/>
        <v>1080</v>
      </c>
      <c r="AQ201" s="221"/>
      <c r="AR201" s="221"/>
      <c r="AS201" s="221"/>
      <c r="BM201" s="232"/>
      <c r="BN201" s="232"/>
      <c r="BO201" s="232"/>
      <c r="BP201" s="232"/>
      <c r="BQ201" s="232"/>
      <c r="BR201" s="232"/>
      <c r="BV201" s="232"/>
      <c r="BW201" s="232"/>
      <c r="BX201" s="232"/>
      <c r="BY201" s="232"/>
      <c r="BZ201" s="232"/>
      <c r="CA201" s="232"/>
    </row>
    <row r="202" s="23" customFormat="1" ht="31" customHeight="1" spans="1:80">
      <c r="A202" s="247">
        <v>45482</v>
      </c>
      <c r="B202" s="248" t="s">
        <v>420</v>
      </c>
      <c r="C202" s="249" t="s">
        <v>125</v>
      </c>
      <c r="D202" s="250">
        <v>4500139622</v>
      </c>
      <c r="E202" s="250" t="s">
        <v>4475</v>
      </c>
      <c r="F202" s="250" t="s">
        <v>4476</v>
      </c>
      <c r="G202" s="221" t="s">
        <v>196</v>
      </c>
      <c r="H202" s="221" t="s">
        <v>197</v>
      </c>
      <c r="I202" s="221">
        <v>336</v>
      </c>
      <c r="J202" s="221">
        <v>0</v>
      </c>
      <c r="K202" s="221">
        <v>12</v>
      </c>
      <c r="L202" s="222">
        <f t="shared" si="135"/>
        <v>28</v>
      </c>
      <c r="M202" s="223">
        <v>45533</v>
      </c>
      <c r="N202" s="223">
        <v>45530</v>
      </c>
      <c r="O202" s="224"/>
      <c r="P202" s="224"/>
      <c r="Q202" s="221"/>
      <c r="R202" s="225"/>
      <c r="S202" s="221"/>
      <c r="T202" s="225"/>
      <c r="U202" s="226" t="s">
        <v>4474</v>
      </c>
      <c r="V202" s="251" t="s">
        <v>1578</v>
      </c>
      <c r="W202" s="226">
        <v>4.087</v>
      </c>
      <c r="X202" s="228">
        <f t="shared" si="138"/>
        <v>1373.232</v>
      </c>
      <c r="Y202" s="221"/>
      <c r="Z202" s="252"/>
      <c r="AA202" s="221"/>
      <c r="AB202" s="229"/>
      <c r="AC202" s="221"/>
      <c r="AD202" s="230"/>
      <c r="AE202" s="231"/>
      <c r="AF202" s="230"/>
      <c r="AG202" s="221"/>
      <c r="AH202" s="221"/>
      <c r="AI202" s="221">
        <f t="shared" si="136"/>
        <v>672</v>
      </c>
      <c r="AJ202" s="221"/>
      <c r="AK202" s="221"/>
      <c r="AL202" s="23">
        <f t="shared" si="137"/>
        <v>672</v>
      </c>
      <c r="AM202" s="221"/>
      <c r="AN202" s="221"/>
      <c r="AP202" s="221">
        <f t="shared" si="145"/>
        <v>672</v>
      </c>
      <c r="AQ202" s="221"/>
      <c r="AR202" s="221"/>
      <c r="AS202" s="221"/>
      <c r="BM202" s="232"/>
      <c r="BN202" s="232"/>
      <c r="BO202" s="232"/>
      <c r="BP202" s="232"/>
      <c r="BQ202" s="232"/>
      <c r="BR202" s="232"/>
      <c r="BV202" s="232"/>
      <c r="BW202" s="232"/>
      <c r="BX202" s="232"/>
      <c r="BY202" s="232"/>
      <c r="BZ202" s="232"/>
      <c r="CA202" s="232"/>
    </row>
    <row r="203" s="17" customFormat="1" ht="31" customHeight="1" spans="1:80">
      <c r="A203" s="243">
        <v>45526</v>
      </c>
      <c r="B203" s="244" t="s">
        <v>420</v>
      </c>
      <c r="C203" s="214" t="s">
        <v>125</v>
      </c>
      <c r="D203" s="245">
        <v>4500143709</v>
      </c>
      <c r="E203" s="245" t="s">
        <v>4477</v>
      </c>
      <c r="F203" s="245" t="s">
        <v>4478</v>
      </c>
      <c r="G203" s="70" t="s">
        <v>196</v>
      </c>
      <c r="H203" s="70" t="s">
        <v>197</v>
      </c>
      <c r="I203" s="70">
        <v>3156</v>
      </c>
      <c r="J203" s="70">
        <v>0</v>
      </c>
      <c r="K203" s="70">
        <v>12</v>
      </c>
      <c r="L203" s="72">
        <f t="shared" si="135"/>
        <v>263</v>
      </c>
      <c r="M203" s="75">
        <v>45576</v>
      </c>
      <c r="N203" s="75" t="s">
        <v>4479</v>
      </c>
      <c r="O203" s="118"/>
      <c r="P203" s="73"/>
      <c r="Q203" s="70"/>
      <c r="R203" s="90">
        <v>45526</v>
      </c>
      <c r="S203" s="70" t="s">
        <v>88</v>
      </c>
      <c r="T203" s="90" t="s">
        <v>89</v>
      </c>
      <c r="U203" s="57" t="s">
        <v>4480</v>
      </c>
      <c r="V203" s="246" t="s">
        <v>1578</v>
      </c>
      <c r="W203" s="69">
        <v>4.12024</v>
      </c>
      <c r="X203" s="77">
        <f t="shared" si="138"/>
        <v>13003.47744</v>
      </c>
      <c r="Y203" s="70"/>
      <c r="Z203" s="70"/>
      <c r="AA203" s="70"/>
      <c r="AB203" s="96"/>
      <c r="AC203" s="70"/>
      <c r="AD203" s="78"/>
      <c r="AE203" s="78"/>
      <c r="AF203" s="205"/>
      <c r="AG203" s="70"/>
      <c r="AH203" s="70"/>
      <c r="AI203" s="70">
        <f t="shared" si="136"/>
        <v>6312</v>
      </c>
      <c r="AJ203" s="70"/>
      <c r="AK203" s="70"/>
      <c r="AL203" s="17">
        <f t="shared" si="137"/>
        <v>6312</v>
      </c>
      <c r="AM203" s="70"/>
      <c r="AN203" s="70"/>
      <c r="AP203" s="70">
        <f t="shared" si="145"/>
        <v>6312</v>
      </c>
      <c r="AQ203" s="70"/>
      <c r="AR203" s="70"/>
      <c r="AS203" s="70"/>
      <c r="BJ203" s="17">
        <f t="shared" si="146"/>
        <v>3156</v>
      </c>
      <c r="BK203" s="17">
        <f t="shared" si="147"/>
        <v>3156</v>
      </c>
      <c r="BL203" s="17">
        <f t="shared" ref="BL203:BL205" si="148">I203</f>
        <v>3156</v>
      </c>
      <c r="BN203" s="206">
        <f t="shared" ref="BN203:BN205" si="149">AI203+AJ203</f>
        <v>6312</v>
      </c>
      <c r="BO203" s="206" t="e">
        <f>取消单!BO205+BN203</f>
        <v>#REF!</v>
      </c>
      <c r="BP203" s="206"/>
      <c r="BQ203" s="206"/>
      <c r="BR203" s="206"/>
      <c r="BS203" s="206"/>
      <c r="BT203" s="17" t="e">
        <f>SUM('77485 S3 明细'!BX$1:CB$1)-BO203</f>
        <v>#REF!</v>
      </c>
      <c r="BV203" s="17">
        <f t="shared" ref="BV203:BV205" si="150">AT203+AU203+AY203+AZ203</f>
        <v>0</v>
      </c>
      <c r="BW203" s="206" t="e">
        <f>取消单!BW205+BV203</f>
        <v>#REF!</v>
      </c>
      <c r="BX203" s="206"/>
      <c r="BY203" s="206"/>
      <c r="BZ203" s="206"/>
      <c r="CA203" s="206"/>
      <c r="CB203" s="206"/>
    </row>
    <row r="204" s="17" customFormat="1" ht="31" customHeight="1" spans="1:80">
      <c r="A204" s="243">
        <v>45526</v>
      </c>
      <c r="B204" s="244" t="s">
        <v>420</v>
      </c>
      <c r="C204" s="214" t="s">
        <v>125</v>
      </c>
      <c r="D204" s="245">
        <v>4500143730</v>
      </c>
      <c r="E204" s="245" t="s">
        <v>4481</v>
      </c>
      <c r="F204" s="245" t="s">
        <v>4482</v>
      </c>
      <c r="G204" s="70" t="s">
        <v>196</v>
      </c>
      <c r="H204" s="70" t="s">
        <v>197</v>
      </c>
      <c r="I204" s="70">
        <v>2628</v>
      </c>
      <c r="J204" s="70">
        <v>0</v>
      </c>
      <c r="K204" s="70">
        <v>12</v>
      </c>
      <c r="L204" s="72">
        <f t="shared" si="135"/>
        <v>219</v>
      </c>
      <c r="M204" s="75">
        <v>45576</v>
      </c>
      <c r="N204" s="75" t="s">
        <v>4479</v>
      </c>
      <c r="O204" s="118"/>
      <c r="P204" s="73"/>
      <c r="Q204" s="70"/>
      <c r="R204" s="90">
        <v>45526</v>
      </c>
      <c r="S204" s="70" t="s">
        <v>88</v>
      </c>
      <c r="T204" s="90" t="s">
        <v>89</v>
      </c>
      <c r="U204" s="57" t="s">
        <v>4483</v>
      </c>
      <c r="V204" s="246" t="s">
        <v>1578</v>
      </c>
      <c r="W204" s="69">
        <v>4.1142</v>
      </c>
      <c r="X204" s="77">
        <f t="shared" si="138"/>
        <v>10812.1176</v>
      </c>
      <c r="Y204" s="70"/>
      <c r="Z204" s="70"/>
      <c r="AA204" s="70"/>
      <c r="AB204" s="96"/>
      <c r="AC204" s="70"/>
      <c r="AD204" s="78"/>
      <c r="AE204" s="78"/>
      <c r="AF204" s="205"/>
      <c r="AG204" s="70"/>
      <c r="AH204" s="70"/>
      <c r="AI204" s="70">
        <f t="shared" si="136"/>
        <v>5256</v>
      </c>
      <c r="AJ204" s="70"/>
      <c r="AK204" s="70"/>
      <c r="AL204" s="17">
        <f t="shared" si="137"/>
        <v>5256</v>
      </c>
      <c r="AM204" s="70"/>
      <c r="AN204" s="70"/>
      <c r="AP204" s="70">
        <f t="shared" si="145"/>
        <v>5256</v>
      </c>
      <c r="AQ204" s="70"/>
      <c r="AR204" s="70"/>
      <c r="AS204" s="70"/>
      <c r="BJ204" s="17">
        <f t="shared" si="146"/>
        <v>2628</v>
      </c>
      <c r="BK204" s="17">
        <f t="shared" si="147"/>
        <v>2628</v>
      </c>
      <c r="BL204" s="17">
        <f t="shared" si="148"/>
        <v>2628</v>
      </c>
      <c r="BN204" s="206">
        <f t="shared" si="149"/>
        <v>5256</v>
      </c>
      <c r="BO204" s="206" t="e">
        <f>'77485 S3 明细'!#REF!+BN204</f>
        <v>#REF!</v>
      </c>
      <c r="BP204" s="206"/>
      <c r="BQ204" s="206"/>
      <c r="BR204" s="206"/>
      <c r="BS204" s="206"/>
      <c r="BT204" s="17" t="e">
        <f>SUM('77485 S3 明细'!BX$1:CB$1)-BO204</f>
        <v>#REF!</v>
      </c>
      <c r="BV204" s="17">
        <f t="shared" si="150"/>
        <v>0</v>
      </c>
      <c r="BW204" s="206" t="e">
        <f>'77485 S3 明细'!#REF!+BV204</f>
        <v>#REF!</v>
      </c>
      <c r="BX204" s="206"/>
      <c r="BY204" s="206"/>
      <c r="BZ204" s="206"/>
      <c r="CA204" s="206"/>
      <c r="CB204" s="206"/>
    </row>
    <row r="205" s="17" customFormat="1" ht="31" customHeight="1" spans="1:80">
      <c r="A205" s="243">
        <v>45526</v>
      </c>
      <c r="B205" s="244" t="s">
        <v>420</v>
      </c>
      <c r="C205" s="214" t="s">
        <v>125</v>
      </c>
      <c r="D205" s="245" t="s">
        <v>4484</v>
      </c>
      <c r="E205" s="245" t="s">
        <v>4485</v>
      </c>
      <c r="F205" s="245" t="s">
        <v>4486</v>
      </c>
      <c r="G205" s="70" t="s">
        <v>196</v>
      </c>
      <c r="H205" s="70" t="s">
        <v>197</v>
      </c>
      <c r="I205" s="70">
        <v>180</v>
      </c>
      <c r="J205" s="70">
        <v>0</v>
      </c>
      <c r="K205" s="70">
        <v>12</v>
      </c>
      <c r="L205" s="72">
        <f t="shared" si="135"/>
        <v>15</v>
      </c>
      <c r="M205" s="75">
        <v>45576</v>
      </c>
      <c r="N205" s="75" t="s">
        <v>4479</v>
      </c>
      <c r="O205" s="118"/>
      <c r="P205" s="73"/>
      <c r="Q205" s="70"/>
      <c r="R205" s="90">
        <v>45526</v>
      </c>
      <c r="S205" s="70" t="s">
        <v>88</v>
      </c>
      <c r="T205" s="90" t="s">
        <v>89</v>
      </c>
      <c r="U205" s="57" t="s">
        <v>4483</v>
      </c>
      <c r="V205" s="246" t="s">
        <v>1578</v>
      </c>
      <c r="W205" s="69">
        <v>4.1142</v>
      </c>
      <c r="X205" s="77">
        <f t="shared" si="138"/>
        <v>740.556</v>
      </c>
      <c r="Y205" s="70"/>
      <c r="Z205" s="70"/>
      <c r="AA205" s="70"/>
      <c r="AB205" s="96"/>
      <c r="AC205" s="70"/>
      <c r="AD205" s="78"/>
      <c r="AE205" s="78"/>
      <c r="AF205" s="205"/>
      <c r="AG205" s="70"/>
      <c r="AH205" s="70"/>
      <c r="AI205" s="70">
        <f t="shared" si="136"/>
        <v>360</v>
      </c>
      <c r="AJ205" s="70"/>
      <c r="AK205" s="70"/>
      <c r="AL205" s="17">
        <f t="shared" si="137"/>
        <v>360</v>
      </c>
      <c r="AM205" s="70"/>
      <c r="AN205" s="70"/>
      <c r="AP205" s="70">
        <f t="shared" si="145"/>
        <v>360</v>
      </c>
      <c r="AQ205" s="70"/>
      <c r="AR205" s="70"/>
      <c r="AS205" s="70"/>
      <c r="BJ205" s="17">
        <f t="shared" si="146"/>
        <v>180</v>
      </c>
      <c r="BK205" s="17">
        <f t="shared" si="147"/>
        <v>180</v>
      </c>
      <c r="BL205" s="17">
        <f t="shared" si="148"/>
        <v>180</v>
      </c>
      <c r="BN205" s="206">
        <f t="shared" si="149"/>
        <v>360</v>
      </c>
      <c r="BO205" s="206" t="e">
        <f>BO204+BN205</f>
        <v>#REF!</v>
      </c>
      <c r="BP205" s="206"/>
      <c r="BQ205" s="206"/>
      <c r="BR205" s="206"/>
      <c r="BS205" s="206"/>
      <c r="BT205" s="17" t="e">
        <f>SUM('77485 S3 明细'!BX$1:CB$1)-BO205</f>
        <v>#REF!</v>
      </c>
      <c r="BV205" s="17">
        <f t="shared" si="150"/>
        <v>0</v>
      </c>
      <c r="BW205" s="206" t="e">
        <f>BW204+BV205</f>
        <v>#REF!</v>
      </c>
      <c r="BX205" s="206"/>
      <c r="BY205" s="206"/>
      <c r="BZ205" s="206"/>
      <c r="CA205" s="206"/>
      <c r="CB205" s="206"/>
    </row>
    <row r="206" s="17" customFormat="1" ht="31" customHeight="1" spans="1:80">
      <c r="A206" s="213">
        <v>45526</v>
      </c>
      <c r="B206" s="214" t="s">
        <v>420</v>
      </c>
      <c r="C206" s="214" t="s">
        <v>125</v>
      </c>
      <c r="D206" s="238">
        <v>4500143730</v>
      </c>
      <c r="E206" s="239" t="s">
        <v>4487</v>
      </c>
      <c r="F206" s="238" t="s">
        <v>4488</v>
      </c>
      <c r="G206" s="253" t="s">
        <v>84</v>
      </c>
      <c r="H206" s="58" t="s">
        <v>85</v>
      </c>
      <c r="I206" s="58">
        <v>2396</v>
      </c>
      <c r="J206" s="58">
        <v>0</v>
      </c>
      <c r="K206" s="58">
        <v>4</v>
      </c>
      <c r="L206" s="60">
        <f t="shared" si="135"/>
        <v>599</v>
      </c>
      <c r="M206" s="75">
        <v>45576</v>
      </c>
      <c r="N206" s="75" t="s">
        <v>4479</v>
      </c>
      <c r="O206" s="73"/>
      <c r="P206" s="73"/>
      <c r="Q206" s="70"/>
      <c r="R206" s="74"/>
      <c r="S206" s="74"/>
      <c r="T206" s="74"/>
      <c r="U206" s="57" t="s">
        <v>4489</v>
      </c>
      <c r="V206" s="211" t="s">
        <v>1578</v>
      </c>
      <c r="W206" s="254">
        <v>7.6184</v>
      </c>
      <c r="X206" s="65">
        <f t="shared" si="138"/>
        <v>18253.6864</v>
      </c>
      <c r="Y206" s="70"/>
      <c r="Z206" s="253"/>
      <c r="AA206" s="70"/>
      <c r="AB206" s="70"/>
      <c r="AC206" s="73"/>
      <c r="AD206" s="73">
        <f>AC206-I206</f>
        <v>-2396</v>
      </c>
      <c r="AE206" s="70"/>
      <c r="AF206" s="70"/>
      <c r="AG206" s="70"/>
      <c r="AH206" s="16">
        <f>I206</f>
        <v>2396</v>
      </c>
      <c r="AJ206" s="17">
        <f>I206</f>
        <v>2396</v>
      </c>
      <c r="AK206" s="16">
        <f>I206</f>
        <v>2396</v>
      </c>
    </row>
    <row r="207" s="17" customFormat="1" ht="31" customHeight="1" spans="1:80">
      <c r="A207" s="243">
        <v>45544</v>
      </c>
      <c r="B207" s="244" t="s">
        <v>1535</v>
      </c>
      <c r="C207" s="214" t="s">
        <v>377</v>
      </c>
      <c r="D207" s="245">
        <v>4500144899</v>
      </c>
      <c r="E207" s="245">
        <v>20301505</v>
      </c>
      <c r="F207" s="245" t="s">
        <v>4490</v>
      </c>
      <c r="G207" s="70" t="s">
        <v>234</v>
      </c>
      <c r="H207" s="70" t="s">
        <v>189</v>
      </c>
      <c r="I207" s="70">
        <v>1508</v>
      </c>
      <c r="J207" s="70">
        <v>0</v>
      </c>
      <c r="K207" s="70">
        <v>13</v>
      </c>
      <c r="L207" s="72">
        <f t="shared" si="135"/>
        <v>116</v>
      </c>
      <c r="M207" s="75">
        <v>45586</v>
      </c>
      <c r="N207" s="75">
        <v>45582</v>
      </c>
      <c r="O207" s="118"/>
      <c r="P207" s="73"/>
      <c r="Q207" s="70"/>
      <c r="R207" s="90">
        <v>45549</v>
      </c>
      <c r="S207" s="70" t="s">
        <v>88</v>
      </c>
      <c r="T207" s="90" t="s">
        <v>89</v>
      </c>
      <c r="U207" s="57" t="s">
        <v>4462</v>
      </c>
      <c r="V207" s="246" t="s">
        <v>1540</v>
      </c>
      <c r="W207" s="69">
        <v>1.9425</v>
      </c>
      <c r="X207" s="77">
        <f t="shared" si="138"/>
        <v>2929.29</v>
      </c>
      <c r="Y207" s="70"/>
      <c r="Z207" s="70" t="s">
        <v>234</v>
      </c>
      <c r="AA207" s="70" t="s">
        <v>93</v>
      </c>
      <c r="AB207" s="96" t="s">
        <v>94</v>
      </c>
      <c r="AC207" s="70"/>
      <c r="AD207" s="78"/>
      <c r="AE207" s="78">
        <f>AD207-I207</f>
        <v>-1508</v>
      </c>
      <c r="AF207" s="205"/>
      <c r="AG207" s="70" t="s">
        <v>95</v>
      </c>
      <c r="AH207" s="70"/>
      <c r="AI207" s="70">
        <f>I207</f>
        <v>1508</v>
      </c>
      <c r="AJ207" s="70"/>
      <c r="AK207" s="70">
        <f>I207</f>
        <v>1508</v>
      </c>
      <c r="AM207" s="70"/>
      <c r="AN207" s="70"/>
      <c r="AP207" s="70">
        <f>I207</f>
        <v>1508</v>
      </c>
      <c r="AQ207" s="70"/>
      <c r="AR207" s="70"/>
      <c r="AS207" s="70"/>
      <c r="AY207" s="17">
        <f>I207/13</f>
        <v>116</v>
      </c>
      <c r="BN207" s="206">
        <f>AI207+AJ207</f>
        <v>1508</v>
      </c>
      <c r="BO207" s="212" t="e">
        <f>'77485 S3 明细'!#REF!+BN207</f>
        <v>#REF!</v>
      </c>
      <c r="BP207" s="206"/>
      <c r="BQ207" s="206"/>
      <c r="BR207" s="206"/>
      <c r="BS207" s="206"/>
      <c r="BT207" s="17" t="e">
        <f>SUM('77485 S3 明细'!BX$1:CB$1)-BO207</f>
        <v>#REF!</v>
      </c>
      <c r="BV207" s="20">
        <f>AT207+AU207+BA207+BB207</f>
        <v>0</v>
      </c>
      <c r="BW207" s="212" t="e">
        <f>'77485 S3 明细'!#REF!+BV207</f>
        <v>#REF!</v>
      </c>
      <c r="BX207" s="206"/>
      <c r="BY207" s="206"/>
      <c r="BZ207" s="206"/>
      <c r="CA207" s="206" t="e">
        <f>'77485 S3 明细'!$CF$1+'77485 S3 明细'!$CG$1+'77485 S3 明细'!$CH$1+'77485 S3 明细'!$CI$1-BW207</f>
        <v>#REF!</v>
      </c>
      <c r="CB207" s="206"/>
    </row>
    <row r="208" s="17" customFormat="1" ht="31" customHeight="1" spans="1:80">
      <c r="A208" s="243">
        <v>45545</v>
      </c>
      <c r="B208" s="244" t="s">
        <v>1535</v>
      </c>
      <c r="C208" s="214" t="s">
        <v>377</v>
      </c>
      <c r="D208" s="245">
        <v>4500145062</v>
      </c>
      <c r="E208" s="245">
        <v>20301506</v>
      </c>
      <c r="F208" s="245" t="s">
        <v>4491</v>
      </c>
      <c r="G208" s="70" t="s">
        <v>234</v>
      </c>
      <c r="H208" s="70" t="s">
        <v>189</v>
      </c>
      <c r="I208" s="70">
        <v>1508</v>
      </c>
      <c r="J208" s="70">
        <v>0</v>
      </c>
      <c r="K208" s="70">
        <v>13</v>
      </c>
      <c r="L208" s="72">
        <f t="shared" si="135"/>
        <v>116</v>
      </c>
      <c r="M208" s="75">
        <v>45593</v>
      </c>
      <c r="N208" s="75">
        <v>45589</v>
      </c>
      <c r="O208" s="118"/>
      <c r="P208" s="73"/>
      <c r="Q208" s="70"/>
      <c r="R208" s="90" t="s">
        <v>89</v>
      </c>
      <c r="S208" s="70" t="s">
        <v>88</v>
      </c>
      <c r="T208" s="90" t="s">
        <v>89</v>
      </c>
      <c r="U208" s="57" t="s">
        <v>4462</v>
      </c>
      <c r="V208" s="246" t="s">
        <v>1540</v>
      </c>
      <c r="W208" s="69">
        <v>1.9425</v>
      </c>
      <c r="X208" s="77">
        <f t="shared" si="138"/>
        <v>2929.29</v>
      </c>
      <c r="Y208" s="70"/>
      <c r="Z208" s="70" t="s">
        <v>234</v>
      </c>
      <c r="AA208" s="70" t="s">
        <v>93</v>
      </c>
      <c r="AB208" s="96" t="s">
        <v>94</v>
      </c>
      <c r="AC208" s="70"/>
      <c r="AD208" s="78"/>
      <c r="AE208" s="78">
        <f>AD208-I208</f>
        <v>-1508</v>
      </c>
      <c r="AF208" s="205"/>
      <c r="AG208" s="70"/>
      <c r="AH208" s="70"/>
      <c r="AI208" s="70">
        <f>I208</f>
        <v>1508</v>
      </c>
      <c r="AJ208" s="70"/>
      <c r="AK208" s="70">
        <f>I208</f>
        <v>1508</v>
      </c>
      <c r="AM208" s="70"/>
      <c r="AN208" s="70"/>
      <c r="AP208" s="70">
        <f>I208</f>
        <v>1508</v>
      </c>
      <c r="AQ208" s="70"/>
      <c r="AR208" s="70"/>
      <c r="AS208" s="70"/>
      <c r="AY208" s="17">
        <f>I208/13</f>
        <v>116</v>
      </c>
      <c r="BN208" s="206">
        <f>AI208+AJ208</f>
        <v>1508</v>
      </c>
      <c r="BO208" s="212" t="e">
        <f>'77485 S3 明细'!#REF!+BN208</f>
        <v>#REF!</v>
      </c>
      <c r="BP208" s="206"/>
      <c r="BQ208" s="206"/>
      <c r="BR208" s="206"/>
      <c r="BS208" s="206"/>
      <c r="BT208" s="17" t="e">
        <f>SUM('77485 S3 明细'!BX$1:CB$1)-BO208</f>
        <v>#REF!</v>
      </c>
      <c r="BV208" s="20">
        <f>AT208+AU208+BA208+BB208</f>
        <v>0</v>
      </c>
      <c r="BW208" s="212" t="e">
        <f>'77485 S3 明细'!#REF!+BV208</f>
        <v>#REF!</v>
      </c>
      <c r="BX208" s="206"/>
      <c r="BY208" s="206"/>
      <c r="BZ208" s="206"/>
      <c r="CA208" s="206" t="e">
        <f>'77485 S3 明细'!$CF$1+'77485 S3 明细'!$CG$1+'77485 S3 明细'!$CH$1+'77485 S3 明细'!$CI$1-BW208</f>
        <v>#REF!</v>
      </c>
      <c r="CB208" s="206"/>
    </row>
    <row r="209" s="20" customFormat="1" ht="31" customHeight="1" spans="1:103">
      <c r="A209" s="255">
        <v>45383</v>
      </c>
      <c r="B209" s="256" t="s">
        <v>594</v>
      </c>
      <c r="C209" s="257" t="s">
        <v>110</v>
      </c>
      <c r="D209" s="170">
        <v>4500128257</v>
      </c>
      <c r="E209" s="256" t="s">
        <v>4492</v>
      </c>
      <c r="F209" s="258" t="s">
        <v>4493</v>
      </c>
      <c r="G209" s="124" t="s">
        <v>196</v>
      </c>
      <c r="H209" s="124" t="s">
        <v>4457</v>
      </c>
      <c r="I209" s="124">
        <v>516</v>
      </c>
      <c r="J209" s="124">
        <v>0</v>
      </c>
      <c r="K209" s="124">
        <v>12</v>
      </c>
      <c r="L209" s="127">
        <f t="shared" si="135"/>
        <v>43</v>
      </c>
      <c r="M209" s="75">
        <v>45432</v>
      </c>
      <c r="N209" s="75" t="s">
        <v>4494</v>
      </c>
      <c r="O209" s="73"/>
      <c r="P209" s="259" t="s">
        <v>86</v>
      </c>
      <c r="Q209" s="124"/>
      <c r="R209" s="130" t="s">
        <v>88</v>
      </c>
      <c r="S209" s="124" t="s">
        <v>2645</v>
      </c>
      <c r="T209" s="130" t="s">
        <v>4495</v>
      </c>
      <c r="U209" s="131" t="s">
        <v>4496</v>
      </c>
      <c r="V209" s="260" t="s">
        <v>599</v>
      </c>
      <c r="W209" s="261">
        <v>4.087</v>
      </c>
      <c r="X209" s="166">
        <f>W209*I209</f>
        <v>2108.892</v>
      </c>
      <c r="Y209" s="124"/>
      <c r="Z209" s="124" t="s">
        <v>4497</v>
      </c>
      <c r="AA209" s="124" t="s">
        <v>93</v>
      </c>
      <c r="AB209" s="134" t="s">
        <v>94</v>
      </c>
      <c r="AC209" s="124" t="s">
        <v>95</v>
      </c>
      <c r="AD209" s="126">
        <v>516</v>
      </c>
      <c r="AE209" s="78">
        <f>AD209-I209</f>
        <v>0</v>
      </c>
      <c r="AF209" s="173"/>
      <c r="AG209" s="124" t="s">
        <v>95</v>
      </c>
      <c r="AH209" s="124"/>
      <c r="AI209" s="124">
        <f>I209*2</f>
        <v>1032</v>
      </c>
      <c r="AJ209" s="124"/>
      <c r="AK209" s="124"/>
      <c r="AM209" s="124">
        <f>I209*2</f>
        <v>1032</v>
      </c>
      <c r="AN209" s="124"/>
      <c r="AO209" s="17"/>
      <c r="AP209" s="124">
        <f>I209*2</f>
        <v>1032</v>
      </c>
      <c r="AQ209" s="124"/>
      <c r="AR209" s="124"/>
      <c r="AS209" s="124"/>
      <c r="BJ209" s="20">
        <f>I209</f>
        <v>516</v>
      </c>
      <c r="BK209" s="20">
        <f>I209</f>
        <v>516</v>
      </c>
      <c r="BL209" s="20">
        <f>I209</f>
        <v>516</v>
      </c>
      <c r="BN209" s="206">
        <f>AI209+AJ209</f>
        <v>1032</v>
      </c>
      <c r="BO209" s="262" t="e">
        <f>'77485 S3 明细'!#REF!+BN209</f>
        <v>#REF!</v>
      </c>
      <c r="BP209" s="212"/>
      <c r="BQ209" s="212"/>
      <c r="BR209" s="206"/>
      <c r="BS209" s="212" t="e">
        <f>'77485 S3 明细'!$BX$1+'77485 S3 明细'!$BY$1+'77485 S3 明细'!$BZ$1+'77485 S3 明细'!$CA$1-BO209</f>
        <v>#REF!</v>
      </c>
      <c r="BV209" s="263">
        <f>AT209+AU209+BA209+BB209</f>
        <v>0</v>
      </c>
      <c r="BW209" s="262" t="e">
        <f>'77485 S3 明细'!#REF!+BV209</f>
        <v>#REF!</v>
      </c>
      <c r="BX209" s="212"/>
      <c r="BY209" s="212"/>
      <c r="BZ209" s="212"/>
      <c r="CA209" s="212" t="e">
        <f>'77485 S3 明细'!$CF$1+'77485 S3 明细'!$CG$1+'77485 S3 明细'!$CH$1+'77485 S3 明细'!$CI$1-BW209</f>
        <v>#REF!</v>
      </c>
      <c r="CB209" s="212"/>
    </row>
    <row r="210" s="17" customFormat="1" ht="31" customHeight="1" spans="1:103">
      <c r="A210" s="243">
        <v>45587</v>
      </c>
      <c r="B210" s="244" t="s">
        <v>420</v>
      </c>
      <c r="C210" s="214" t="s">
        <v>125</v>
      </c>
      <c r="D210" s="245">
        <v>4500148503</v>
      </c>
      <c r="E210" s="244" t="s">
        <v>4498</v>
      </c>
      <c r="F210" s="245" t="s">
        <v>4499</v>
      </c>
      <c r="G210" s="70" t="s">
        <v>196</v>
      </c>
      <c r="H210" s="70" t="s">
        <v>197</v>
      </c>
      <c r="I210" s="70">
        <v>768</v>
      </c>
      <c r="J210" s="70">
        <v>0</v>
      </c>
      <c r="K210" s="70">
        <v>12</v>
      </c>
      <c r="L210" s="72">
        <f t="shared" si="135"/>
        <v>64</v>
      </c>
      <c r="M210" s="75">
        <v>45644</v>
      </c>
      <c r="N210" s="75" t="s">
        <v>4500</v>
      </c>
      <c r="O210" s="118"/>
      <c r="P210" s="73"/>
      <c r="Q210" s="70"/>
      <c r="R210" s="90" t="s">
        <v>4501</v>
      </c>
      <c r="S210" s="70" t="s">
        <v>88</v>
      </c>
      <c r="T210" s="90" t="s">
        <v>89</v>
      </c>
      <c r="U210" s="264" t="s">
        <v>4502</v>
      </c>
      <c r="V210" s="75" t="s">
        <v>731</v>
      </c>
      <c r="W210" s="69">
        <v>4.1259</v>
      </c>
      <c r="X210" s="77">
        <f>I210*W210</f>
        <v>3168.6912</v>
      </c>
      <c r="Y210" s="70"/>
      <c r="Z210" s="70" t="s">
        <v>196</v>
      </c>
      <c r="AA210" s="70" t="s">
        <v>93</v>
      </c>
      <c r="AB210" s="96"/>
      <c r="AC210" s="70"/>
      <c r="AD210" s="78"/>
      <c r="AE210" s="78"/>
      <c r="AF210" s="205"/>
      <c r="AG210" s="70"/>
      <c r="AH210" s="70"/>
      <c r="AI210" s="70">
        <f>I210*2</f>
        <v>1536</v>
      </c>
      <c r="AJ210" s="70"/>
      <c r="AK210" s="70">
        <f t="shared" ref="AK210:AK215" si="151">I210*2</f>
        <v>1536</v>
      </c>
      <c r="AM210" s="70"/>
      <c r="AN210" s="70"/>
      <c r="AP210" s="70">
        <f>I210*2</f>
        <v>1536</v>
      </c>
      <c r="AQ210" s="70"/>
      <c r="AR210" s="70"/>
      <c r="AS210" s="70"/>
      <c r="BJ210" s="17">
        <f>I210</f>
        <v>768</v>
      </c>
      <c r="BK210" s="17">
        <f>I210</f>
        <v>768</v>
      </c>
      <c r="BL210" s="17">
        <f>I210</f>
        <v>768</v>
      </c>
      <c r="BN210" s="206">
        <f>AI210+AJ210</f>
        <v>1536</v>
      </c>
      <c r="BO210" s="206" t="e">
        <f>取消单!#REF!+BN210</f>
        <v>#REF!</v>
      </c>
      <c r="BP210" s="206"/>
      <c r="BQ210" s="206"/>
      <c r="BR210" s="206"/>
      <c r="BS210" s="206"/>
      <c r="BW210" s="206"/>
      <c r="BX210" s="206"/>
      <c r="BY210" s="206"/>
      <c r="BZ210" s="206"/>
      <c r="CA210" s="206"/>
      <c r="CB210" s="206"/>
    </row>
    <row r="211" s="17" customFormat="1" ht="31" customHeight="1" spans="1:103">
      <c r="A211" s="243">
        <v>45587</v>
      </c>
      <c r="B211" s="244" t="s">
        <v>420</v>
      </c>
      <c r="C211" s="214" t="s">
        <v>125</v>
      </c>
      <c r="D211" s="245" t="s">
        <v>4503</v>
      </c>
      <c r="E211" s="244" t="s">
        <v>4504</v>
      </c>
      <c r="F211" s="245" t="s">
        <v>4505</v>
      </c>
      <c r="G211" s="70" t="s">
        <v>196</v>
      </c>
      <c r="H211" s="70" t="s">
        <v>197</v>
      </c>
      <c r="I211" s="70">
        <v>576</v>
      </c>
      <c r="J211" s="70">
        <v>0</v>
      </c>
      <c r="K211" s="70">
        <v>12</v>
      </c>
      <c r="L211" s="72">
        <f t="shared" si="135"/>
        <v>48</v>
      </c>
      <c r="M211" s="75">
        <v>45644</v>
      </c>
      <c r="N211" s="75" t="s">
        <v>4500</v>
      </c>
      <c r="O211" s="118"/>
      <c r="P211" s="73"/>
      <c r="Q211" s="70"/>
      <c r="R211" s="90" t="s">
        <v>4501</v>
      </c>
      <c r="S211" s="70" t="s">
        <v>88</v>
      </c>
      <c r="T211" s="90" t="s">
        <v>89</v>
      </c>
      <c r="U211" s="264" t="s">
        <v>4502</v>
      </c>
      <c r="V211" s="75" t="s">
        <v>731</v>
      </c>
      <c r="W211" s="69">
        <v>4.1259</v>
      </c>
      <c r="X211" s="77">
        <f>I211*W211</f>
        <v>2376.5184</v>
      </c>
      <c r="Y211" s="70"/>
      <c r="Z211" s="70" t="s">
        <v>196</v>
      </c>
      <c r="AA211" s="70" t="s">
        <v>93</v>
      </c>
      <c r="AB211" s="96"/>
      <c r="AC211" s="70"/>
      <c r="AD211" s="78"/>
      <c r="AE211" s="78"/>
      <c r="AF211" s="205"/>
      <c r="AG211" s="70"/>
      <c r="AH211" s="70"/>
      <c r="AI211" s="70">
        <f>I211*2</f>
        <v>1152</v>
      </c>
      <c r="AJ211" s="70"/>
      <c r="AK211" s="70">
        <f t="shared" si="151"/>
        <v>1152</v>
      </c>
      <c r="AM211" s="70"/>
      <c r="AN211" s="70"/>
      <c r="AP211" s="70">
        <f>I211*2</f>
        <v>1152</v>
      </c>
      <c r="AQ211" s="70"/>
      <c r="AR211" s="70"/>
      <c r="AS211" s="70"/>
      <c r="BJ211" s="17">
        <f>I211</f>
        <v>576</v>
      </c>
      <c r="BK211" s="17">
        <f>I211</f>
        <v>576</v>
      </c>
      <c r="BL211" s="17">
        <f>I211</f>
        <v>576</v>
      </c>
      <c r="BN211" s="206">
        <f>AI211+AJ211</f>
        <v>1152</v>
      </c>
      <c r="BO211" s="206" t="e">
        <f>取消单!#REF!+BN211</f>
        <v>#REF!</v>
      </c>
      <c r="BP211" s="206"/>
      <c r="BQ211" s="206"/>
      <c r="BR211" s="206"/>
      <c r="BS211" s="206"/>
      <c r="BW211" s="206"/>
      <c r="BX211" s="206"/>
      <c r="BY211" s="206"/>
      <c r="BZ211" s="206"/>
      <c r="CA211" s="206"/>
      <c r="CB211" s="206"/>
    </row>
    <row r="212" s="17" customFormat="1" ht="26" customHeight="1" spans="1:103">
      <c r="A212" s="207">
        <v>45593</v>
      </c>
      <c r="B212" s="240"/>
      <c r="C212" s="265"/>
      <c r="D212" s="199" t="s">
        <v>4506</v>
      </c>
      <c r="E212" s="242"/>
      <c r="F212" s="199"/>
      <c r="G212" s="84" t="s">
        <v>4507</v>
      </c>
      <c r="H212" s="70" t="s">
        <v>4508</v>
      </c>
      <c r="I212" s="70">
        <v>3000</v>
      </c>
      <c r="J212" s="70">
        <v>0</v>
      </c>
      <c r="K212" s="70">
        <v>24</v>
      </c>
      <c r="L212" s="72">
        <f t="shared" si="135"/>
        <v>125</v>
      </c>
      <c r="M212" s="75">
        <v>45608</v>
      </c>
      <c r="N212" s="75" t="s">
        <v>4509</v>
      </c>
      <c r="O212" s="73"/>
      <c r="P212" s="73"/>
      <c r="Q212" s="70"/>
      <c r="R212" s="90" t="s">
        <v>97</v>
      </c>
      <c r="S212" s="90" t="s">
        <v>98</v>
      </c>
      <c r="T212" s="90" t="s">
        <v>98</v>
      </c>
      <c r="U212" s="266" t="s">
        <v>4510</v>
      </c>
      <c r="V212" s="211" t="s">
        <v>100</v>
      </c>
      <c r="W212" s="117"/>
      <c r="X212" s="89"/>
      <c r="Y212" s="70"/>
      <c r="Z212" s="78"/>
      <c r="AA212" s="84"/>
      <c r="AB212" s="96"/>
      <c r="AC212" s="70"/>
      <c r="AD212" s="70"/>
      <c r="AE212" s="70"/>
      <c r="AF212" s="70"/>
      <c r="AG212" s="70"/>
      <c r="AH212" s="70"/>
      <c r="AI212" s="17">
        <f>I212</f>
        <v>3000</v>
      </c>
      <c r="AS212" s="18"/>
      <c r="AT212" s="18"/>
      <c r="AU212" s="18"/>
      <c r="AV212" s="18"/>
      <c r="AW212" s="18"/>
      <c r="BM212" s="18"/>
      <c r="BN212" s="18"/>
      <c r="BO212" s="18"/>
      <c r="BX212" s="79" t="e">
        <f>$AI212*#REF!</f>
        <v>#REF!</v>
      </c>
      <c r="BY212" s="79" t="e">
        <f>$AI212*#REF!</f>
        <v>#REF!</v>
      </c>
      <c r="BZ212" s="79" t="e">
        <f>$AI212*#REF!</f>
        <v>#REF!</v>
      </c>
      <c r="CA212" s="79" t="e">
        <f>$AI212*#REF!</f>
        <v>#REF!</v>
      </c>
      <c r="CB212" s="79" t="e">
        <f>$AI212*#REF!</f>
        <v>#REF!</v>
      </c>
      <c r="CC212" s="79" t="e">
        <f>$AI212*#REF!</f>
        <v>#REF!</v>
      </c>
      <c r="CD212" s="79" t="e">
        <f>$AI212*#REF!</f>
        <v>#REF!</v>
      </c>
      <c r="CE212" s="79" t="e">
        <f>$AI212*#REF!</f>
        <v>#REF!</v>
      </c>
      <c r="CF212" s="79" t="e">
        <f>$AI212*#REF!</f>
        <v>#REF!</v>
      </c>
      <c r="CG212" s="79" t="e">
        <f>$AI212*#REF!</f>
        <v>#REF!</v>
      </c>
      <c r="CH212" s="79" t="e">
        <f>$AI212*#REF!</f>
        <v>#REF!</v>
      </c>
      <c r="CI212" s="79" t="e">
        <f>$AI212*#REF!</f>
        <v>#REF!</v>
      </c>
      <c r="CJ212" s="79" t="e">
        <f>$AI212*#REF!</f>
        <v>#REF!</v>
      </c>
      <c r="CK212" s="79" t="e">
        <f>$AI212*#REF!</f>
        <v>#REF!</v>
      </c>
      <c r="CL212" s="79" t="e">
        <f>$AI212*#REF!</f>
        <v>#REF!</v>
      </c>
      <c r="CM212" s="79" t="e">
        <f>$AI212*#REF!</f>
        <v>#REF!</v>
      </c>
      <c r="CN212" s="79" t="e">
        <f>$AI212*#REF!</f>
        <v>#REF!</v>
      </c>
      <c r="CO212" s="79" t="e">
        <f>$AI212*#REF!</f>
        <v>#REF!</v>
      </c>
      <c r="CP212" s="79" t="e">
        <f>$AI212*#REF!</f>
        <v>#REF!</v>
      </c>
      <c r="CQ212" s="79" t="e">
        <f>$AI212*#REF!</f>
        <v>#REF!</v>
      </c>
      <c r="CR212" s="79" t="e">
        <f>$AI212*#REF!</f>
        <v>#REF!</v>
      </c>
      <c r="CS212" s="79"/>
    </row>
    <row r="213" s="17" customFormat="1" ht="31" customHeight="1" spans="1:103">
      <c r="A213" s="207">
        <v>45589</v>
      </c>
      <c r="B213" s="240" t="s">
        <v>4149</v>
      </c>
      <c r="C213" s="267" t="s">
        <v>632</v>
      </c>
      <c r="D213" s="199">
        <v>4500148922</v>
      </c>
      <c r="E213" s="242" t="s">
        <v>4511</v>
      </c>
      <c r="F213" s="199" t="s">
        <v>4512</v>
      </c>
      <c r="G213" s="70" t="s">
        <v>234</v>
      </c>
      <c r="H213" s="70" t="s">
        <v>189</v>
      </c>
      <c r="I213" s="70">
        <v>598</v>
      </c>
      <c r="J213" s="70">
        <v>0</v>
      </c>
      <c r="K213" s="70">
        <v>13</v>
      </c>
      <c r="L213" s="72">
        <f t="shared" si="135"/>
        <v>46</v>
      </c>
      <c r="M213" s="75">
        <v>45625</v>
      </c>
      <c r="N213" s="75">
        <v>45621</v>
      </c>
      <c r="O213" s="118"/>
      <c r="P213" s="73"/>
      <c r="Q213" s="70"/>
      <c r="R213" s="90">
        <v>45595</v>
      </c>
      <c r="S213" s="70" t="s">
        <v>98</v>
      </c>
      <c r="T213" s="90">
        <v>45593</v>
      </c>
      <c r="U213" s="57" t="s">
        <v>4513</v>
      </c>
      <c r="V213" s="246" t="s">
        <v>874</v>
      </c>
      <c r="W213" s="203">
        <v>1.9068</v>
      </c>
      <c r="X213" s="77">
        <f>I213*W213</f>
        <v>1140.2664</v>
      </c>
      <c r="Y213" s="70"/>
      <c r="Z213" s="70" t="s">
        <v>4514</v>
      </c>
      <c r="AA213" s="70" t="s">
        <v>93</v>
      </c>
      <c r="AB213" s="134" t="s">
        <v>94</v>
      </c>
      <c r="AC213" s="70"/>
      <c r="AD213" s="78"/>
      <c r="AE213" s="78">
        <f>AD213-I213</f>
        <v>-598</v>
      </c>
      <c r="AF213" s="205"/>
      <c r="AG213" s="70" t="s">
        <v>95</v>
      </c>
      <c r="AH213" s="70"/>
      <c r="AI213" s="70"/>
      <c r="AJ213" s="70">
        <f>I213</f>
        <v>598</v>
      </c>
      <c r="AK213" s="70"/>
      <c r="AM213" s="70">
        <f>I213</f>
        <v>598</v>
      </c>
      <c r="AN213" s="70"/>
      <c r="AP213" s="70">
        <f>I213</f>
        <v>598</v>
      </c>
      <c r="AQ213" s="70"/>
      <c r="AR213" s="70"/>
      <c r="AS213" s="70"/>
      <c r="AZ213" s="17">
        <f>I213/13</f>
        <v>46</v>
      </c>
      <c r="BN213" s="206">
        <f t="shared" ref="BN213:BN215" si="152">AI213+AJ213</f>
        <v>598</v>
      </c>
      <c r="BO213" s="212" t="e">
        <f>'77485 S3 明细'!#REF!+BN213</f>
        <v>#REF!</v>
      </c>
      <c r="BP213" s="206"/>
      <c r="BQ213" s="206"/>
      <c r="BR213" s="206"/>
      <c r="BS213" s="206"/>
      <c r="BT213" s="20" t="e">
        <f>SUM('77485 S3 明细'!BX$1:CB$1)-BO213</f>
        <v>#REF!</v>
      </c>
      <c r="BV213" s="20">
        <f t="shared" ref="BV213:BV215" si="153">AT213+AU213+BA213+BB213</f>
        <v>0</v>
      </c>
      <c r="BW213" s="212" t="e">
        <f>'77485 S3 明细'!#REF!+BV213</f>
        <v>#REF!</v>
      </c>
      <c r="BX213" s="206"/>
      <c r="BY213" s="206"/>
      <c r="BZ213" s="206"/>
      <c r="CA213" s="212" t="e">
        <f>'77485 S3 明细'!$CF$1+'77485 S3 明细'!$CG$1+'77485 S3 明细'!$CH$1+'77485 S3 明细'!$CI$1-BW213</f>
        <v>#REF!</v>
      </c>
      <c r="CB213" s="206"/>
    </row>
    <row r="214" s="17" customFormat="1" ht="31" customHeight="1" spans="1:103">
      <c r="A214" s="243">
        <v>45600</v>
      </c>
      <c r="B214" s="244" t="s">
        <v>420</v>
      </c>
      <c r="C214" s="214" t="s">
        <v>125</v>
      </c>
      <c r="D214" s="245">
        <v>4500148503</v>
      </c>
      <c r="E214" s="244" t="s">
        <v>4498</v>
      </c>
      <c r="F214" s="245" t="s">
        <v>4515</v>
      </c>
      <c r="G214" s="70" t="s">
        <v>196</v>
      </c>
      <c r="H214" s="70" t="s">
        <v>197</v>
      </c>
      <c r="I214" s="70">
        <v>768</v>
      </c>
      <c r="J214" s="70">
        <v>0</v>
      </c>
      <c r="K214" s="70">
        <v>12</v>
      </c>
      <c r="L214" s="72">
        <f t="shared" si="135"/>
        <v>64</v>
      </c>
      <c r="M214" s="75">
        <v>45644</v>
      </c>
      <c r="N214" s="75">
        <v>45640</v>
      </c>
      <c r="O214" s="118"/>
      <c r="P214" s="73"/>
      <c r="Q214" s="70"/>
      <c r="R214" s="90">
        <v>45587</v>
      </c>
      <c r="S214" s="70" t="s">
        <v>88</v>
      </c>
      <c r="T214" s="90" t="s">
        <v>89</v>
      </c>
      <c r="U214" s="69" t="s">
        <v>4502</v>
      </c>
      <c r="V214" s="75" t="s">
        <v>731</v>
      </c>
      <c r="W214" s="69">
        <v>4.1259</v>
      </c>
      <c r="X214" s="77">
        <f t="shared" ref="X214:X221" si="154">I214*W214</f>
        <v>3168.6912</v>
      </c>
      <c r="Y214" s="70"/>
      <c r="Z214" s="70" t="s">
        <v>196</v>
      </c>
      <c r="AA214" s="70" t="s">
        <v>93</v>
      </c>
      <c r="AB214" s="134" t="s">
        <v>94</v>
      </c>
      <c r="AC214" s="70"/>
      <c r="AD214" s="78"/>
      <c r="AE214" s="78"/>
      <c r="AF214" s="205"/>
      <c r="AG214" s="70" t="s">
        <v>95</v>
      </c>
      <c r="AH214" s="70"/>
      <c r="AI214" s="70">
        <f>I214*2</f>
        <v>1536</v>
      </c>
      <c r="AJ214" s="70"/>
      <c r="AK214" s="70">
        <f t="shared" si="151"/>
        <v>1536</v>
      </c>
      <c r="AM214" s="70"/>
      <c r="AN214" s="70"/>
      <c r="AP214" s="70">
        <f>I214*2</f>
        <v>1536</v>
      </c>
      <c r="AQ214" s="70"/>
      <c r="AR214" s="70"/>
      <c r="AS214" s="70"/>
      <c r="BJ214" s="17">
        <f>I214</f>
        <v>768</v>
      </c>
      <c r="BK214" s="17">
        <f>I214</f>
        <v>768</v>
      </c>
      <c r="BL214" s="17">
        <f>I214</f>
        <v>768</v>
      </c>
      <c r="BN214" s="206">
        <f t="shared" si="152"/>
        <v>1536</v>
      </c>
      <c r="BO214" s="212" t="e">
        <f>'77485 S3 明细'!#REF!+BN214</f>
        <v>#REF!</v>
      </c>
      <c r="BP214" s="206"/>
      <c r="BQ214" s="206"/>
      <c r="BR214" s="206"/>
      <c r="BS214" s="206"/>
      <c r="BT214" s="20" t="e">
        <f>SUM('77485 S3 明细'!BX$1:CB$1)-BO214</f>
        <v>#REF!</v>
      </c>
      <c r="BV214" s="20">
        <f t="shared" si="153"/>
        <v>0</v>
      </c>
      <c r="BW214" s="212" t="e">
        <f>'77485 S3 明细'!#REF!+BV214</f>
        <v>#REF!</v>
      </c>
      <c r="BX214" s="206"/>
      <c r="BY214" s="206"/>
      <c r="BZ214" s="206"/>
      <c r="CA214" s="212" t="e">
        <f>'77485 S3 明细'!$CF$1+'77485 S3 明细'!$CG$1+'77485 S3 明细'!$CH$1+'77485 S3 明细'!$CI$1-BW214</f>
        <v>#REF!</v>
      </c>
      <c r="CB214" s="206"/>
    </row>
    <row r="215" s="17" customFormat="1" ht="31" customHeight="1" spans="1:103">
      <c r="A215" s="243">
        <v>45600</v>
      </c>
      <c r="B215" s="244" t="s">
        <v>420</v>
      </c>
      <c r="C215" s="214" t="s">
        <v>125</v>
      </c>
      <c r="D215" s="245">
        <v>4500148503</v>
      </c>
      <c r="E215" s="244" t="s">
        <v>4504</v>
      </c>
      <c r="F215" s="245" t="s">
        <v>4516</v>
      </c>
      <c r="G215" s="70" t="s">
        <v>196</v>
      </c>
      <c r="H215" s="70" t="s">
        <v>197</v>
      </c>
      <c r="I215" s="70">
        <v>576</v>
      </c>
      <c r="J215" s="70">
        <v>0</v>
      </c>
      <c r="K215" s="70">
        <v>12</v>
      </c>
      <c r="L215" s="72">
        <f t="shared" si="135"/>
        <v>48</v>
      </c>
      <c r="M215" s="75">
        <v>45644</v>
      </c>
      <c r="N215" s="75">
        <v>45640</v>
      </c>
      <c r="O215" s="118"/>
      <c r="P215" s="73"/>
      <c r="Q215" s="70"/>
      <c r="R215" s="90">
        <v>45587</v>
      </c>
      <c r="S215" s="70" t="s">
        <v>88</v>
      </c>
      <c r="T215" s="90" t="s">
        <v>89</v>
      </c>
      <c r="U215" s="69" t="s">
        <v>4502</v>
      </c>
      <c r="V215" s="75" t="s">
        <v>731</v>
      </c>
      <c r="W215" s="69">
        <v>4.1259</v>
      </c>
      <c r="X215" s="77">
        <f t="shared" si="154"/>
        <v>2376.5184</v>
      </c>
      <c r="Y215" s="70"/>
      <c r="Z215" s="70" t="s">
        <v>196</v>
      </c>
      <c r="AA215" s="70" t="s">
        <v>93</v>
      </c>
      <c r="AB215" s="134" t="s">
        <v>94</v>
      </c>
      <c r="AC215" s="70"/>
      <c r="AD215" s="78"/>
      <c r="AE215" s="78"/>
      <c r="AF215" s="205"/>
      <c r="AG215" s="70" t="s">
        <v>95</v>
      </c>
      <c r="AH215" s="70"/>
      <c r="AI215" s="70">
        <f>I215*2</f>
        <v>1152</v>
      </c>
      <c r="AJ215" s="70"/>
      <c r="AK215" s="70">
        <f t="shared" si="151"/>
        <v>1152</v>
      </c>
      <c r="AM215" s="70"/>
      <c r="AN215" s="70"/>
      <c r="AP215" s="70">
        <f>I215*2</f>
        <v>1152</v>
      </c>
      <c r="AQ215" s="70"/>
      <c r="AR215" s="70"/>
      <c r="AS215" s="70"/>
      <c r="BJ215" s="17">
        <f>I215</f>
        <v>576</v>
      </c>
      <c r="BK215" s="17">
        <f>I215</f>
        <v>576</v>
      </c>
      <c r="BL215" s="17">
        <f>I215</f>
        <v>576</v>
      </c>
      <c r="BN215" s="206">
        <f t="shared" si="152"/>
        <v>1152</v>
      </c>
      <c r="BO215" s="212" t="e">
        <f>BO214+BN215</f>
        <v>#REF!</v>
      </c>
      <c r="BP215" s="206"/>
      <c r="BQ215" s="206"/>
      <c r="BR215" s="206"/>
      <c r="BS215" s="206"/>
      <c r="BT215" s="20" t="e">
        <f>SUM('77485 S3 明细'!BX$1:CB$1)-BO215</f>
        <v>#REF!</v>
      </c>
      <c r="BV215" s="20">
        <f t="shared" si="153"/>
        <v>0</v>
      </c>
      <c r="BW215" s="212" t="e">
        <f>BW214+BV215</f>
        <v>#REF!</v>
      </c>
      <c r="BX215" s="206"/>
      <c r="BY215" s="206"/>
      <c r="BZ215" s="206"/>
      <c r="CA215" s="212" t="e">
        <f>'77485 S3 明细'!$CF$1+'77485 S3 明细'!$CG$1+'77485 S3 明细'!$CH$1+'77485 S3 明细'!$CI$1-BW215</f>
        <v>#REF!</v>
      </c>
      <c r="CB215" s="206"/>
    </row>
    <row r="216" s="17" customFormat="1" ht="31" customHeight="1" spans="1:103">
      <c r="A216" s="243">
        <v>45623</v>
      </c>
      <c r="B216" s="244" t="s">
        <v>185</v>
      </c>
      <c r="C216" s="214" t="s">
        <v>103</v>
      </c>
      <c r="D216" s="245">
        <v>4500152538</v>
      </c>
      <c r="E216" s="244" t="s">
        <v>4517</v>
      </c>
      <c r="F216" s="245" t="s">
        <v>4518</v>
      </c>
      <c r="G216" s="70" t="s">
        <v>188</v>
      </c>
      <c r="H216" s="70" t="s">
        <v>189</v>
      </c>
      <c r="I216" s="70">
        <v>3120</v>
      </c>
      <c r="J216" s="70">
        <v>0</v>
      </c>
      <c r="K216" s="70">
        <v>52</v>
      </c>
      <c r="L216" s="72">
        <f t="shared" si="135"/>
        <v>60</v>
      </c>
      <c r="M216" s="75">
        <v>45696</v>
      </c>
      <c r="N216" s="75">
        <v>45692</v>
      </c>
      <c r="O216" s="118"/>
      <c r="P216" s="73"/>
      <c r="Q216" s="70"/>
      <c r="R216" s="90">
        <v>45624</v>
      </c>
      <c r="S216" s="70" t="s">
        <v>98</v>
      </c>
      <c r="T216" s="70" t="s">
        <v>366</v>
      </c>
      <c r="U216" s="264" t="s">
        <v>367</v>
      </c>
      <c r="V216" s="75" t="s">
        <v>368</v>
      </c>
      <c r="W216" s="203">
        <v>1.8967</v>
      </c>
      <c r="X216" s="77">
        <f t="shared" si="154"/>
        <v>5917.704</v>
      </c>
      <c r="Y216" s="70"/>
      <c r="Z216" s="70" t="s">
        <v>188</v>
      </c>
      <c r="AA216" s="70" t="s">
        <v>93</v>
      </c>
      <c r="AB216" s="96"/>
      <c r="AC216" s="70"/>
      <c r="AD216" s="78"/>
      <c r="AE216" s="78"/>
      <c r="AF216" s="205"/>
      <c r="AG216" s="96"/>
      <c r="AH216" s="70"/>
      <c r="AI216" s="70">
        <f t="shared" ref="AI216:AI220" si="155">I216</f>
        <v>3120</v>
      </c>
      <c r="AJ216" s="70"/>
      <c r="AK216" s="70">
        <f>I216</f>
        <v>3120</v>
      </c>
      <c r="AM216" s="70"/>
      <c r="AN216" s="70"/>
      <c r="AP216" s="70">
        <f t="shared" ref="AP216:AP220" si="156">I216</f>
        <v>3120</v>
      </c>
      <c r="AQ216" s="70"/>
      <c r="AR216" s="70"/>
      <c r="AS216" s="70"/>
      <c r="AZ216" s="17">
        <f>I216/13</f>
        <v>240</v>
      </c>
      <c r="BO216" s="206">
        <f>AI216+AJ216</f>
        <v>3120</v>
      </c>
      <c r="BP216" s="206" t="e">
        <f>#REF!+BO216</f>
        <v>#REF!</v>
      </c>
      <c r="BQ216" s="206"/>
      <c r="BR216" s="206"/>
      <c r="BS216" s="206"/>
      <c r="BT216" s="206"/>
      <c r="BU216" s="17" t="e">
        <f>SUM(BR$1:BV$1)-BP216</f>
        <v>#REF!</v>
      </c>
      <c r="BW216" s="17">
        <f>AT216+AU216+BB216+BC216</f>
        <v>0</v>
      </c>
      <c r="BX216" s="206" t="e">
        <f>#REF!+BW216</f>
        <v>#REF!</v>
      </c>
      <c r="BY216" s="206"/>
      <c r="BZ216" s="206"/>
      <c r="CA216" s="206"/>
      <c r="CB216" s="206" t="e">
        <f>$BZ$1+$CA$1+$CB$1+$CC$1-BX216</f>
        <v>#REF!</v>
      </c>
      <c r="CC216" s="206"/>
    </row>
    <row r="217" s="17" customFormat="1" ht="31" customHeight="1" spans="1:103">
      <c r="A217" s="213">
        <v>45694</v>
      </c>
      <c r="B217" s="67" t="s">
        <v>4519</v>
      </c>
      <c r="C217" s="198" t="s">
        <v>125</v>
      </c>
      <c r="D217" s="199">
        <v>4500156785</v>
      </c>
      <c r="E217" s="200" t="s">
        <v>4520</v>
      </c>
      <c r="F217" s="199" t="s">
        <v>4521</v>
      </c>
      <c r="G217" s="253" t="s">
        <v>84</v>
      </c>
      <c r="H217" s="58" t="s">
        <v>85</v>
      </c>
      <c r="I217" s="58">
        <v>408</v>
      </c>
      <c r="J217" s="58">
        <v>0</v>
      </c>
      <c r="K217" s="58">
        <v>4</v>
      </c>
      <c r="L217" s="60">
        <f t="shared" si="135"/>
        <v>102</v>
      </c>
      <c r="M217" s="213">
        <v>45744</v>
      </c>
      <c r="N217" s="75" t="s">
        <v>4522</v>
      </c>
      <c r="O217" s="73"/>
      <c r="P217" s="61"/>
      <c r="Q217" s="70"/>
      <c r="R217" s="62"/>
      <c r="S217" s="62"/>
      <c r="T217" s="62"/>
      <c r="U217" s="57" t="s">
        <v>4523</v>
      </c>
      <c r="V217" s="264" t="s">
        <v>4524</v>
      </c>
      <c r="W217" s="254">
        <v>8.2879</v>
      </c>
      <c r="X217" s="65">
        <f>W217*I217</f>
        <v>3381.4632</v>
      </c>
      <c r="Y217" s="70"/>
      <c r="Z217" s="253"/>
      <c r="AA217" s="70"/>
      <c r="AB217" s="96"/>
      <c r="AC217" s="86"/>
      <c r="AD217" s="73"/>
      <c r="AE217" s="78"/>
      <c r="AF217" s="268"/>
      <c r="AG217" s="70"/>
      <c r="AH217" s="16">
        <f>I217</f>
        <v>408</v>
      </c>
      <c r="AI217" s="16"/>
      <c r="AK217" s="16"/>
      <c r="AL217" s="16"/>
    </row>
    <row r="218" s="17" customFormat="1" ht="31" customHeight="1" spans="1:103">
      <c r="A218" s="213">
        <v>45694</v>
      </c>
      <c r="B218" s="67" t="s">
        <v>4519</v>
      </c>
      <c r="C218" s="198" t="s">
        <v>125</v>
      </c>
      <c r="D218" s="199">
        <v>4500156785</v>
      </c>
      <c r="E218" s="200" t="s">
        <v>4525</v>
      </c>
      <c r="F218" s="199" t="s">
        <v>4526</v>
      </c>
      <c r="G218" s="253" t="s">
        <v>84</v>
      </c>
      <c r="H218" s="58" t="s">
        <v>85</v>
      </c>
      <c r="I218" s="58">
        <v>192</v>
      </c>
      <c r="J218" s="58">
        <v>0</v>
      </c>
      <c r="K218" s="58">
        <v>4</v>
      </c>
      <c r="L218" s="60">
        <f t="shared" si="135"/>
        <v>48</v>
      </c>
      <c r="M218" s="213">
        <v>45744</v>
      </c>
      <c r="N218" s="75" t="s">
        <v>4522</v>
      </c>
      <c r="O218" s="73"/>
      <c r="P218" s="61"/>
      <c r="Q218" s="70"/>
      <c r="R218" s="62"/>
      <c r="S218" s="62"/>
      <c r="T218" s="62"/>
      <c r="U218" s="57" t="s">
        <v>4523</v>
      </c>
      <c r="V218" s="264" t="s">
        <v>4524</v>
      </c>
      <c r="W218" s="254">
        <v>8.2879</v>
      </c>
      <c r="X218" s="65">
        <f>W218*I218</f>
        <v>1591.2768</v>
      </c>
      <c r="Y218" s="70"/>
      <c r="Z218" s="253"/>
      <c r="AA218" s="70"/>
      <c r="AB218" s="96"/>
      <c r="AC218" s="86"/>
      <c r="AD218" s="73"/>
      <c r="AE218" s="78"/>
      <c r="AF218" s="268"/>
      <c r="AG218" s="70"/>
      <c r="AH218" s="16">
        <f>I218</f>
        <v>192</v>
      </c>
      <c r="AI218" s="16"/>
      <c r="AK218" s="16"/>
      <c r="AL218" s="16"/>
    </row>
    <row r="219" s="16" customFormat="1" ht="31" customHeight="1" spans="1:103">
      <c r="A219" s="243">
        <v>45650</v>
      </c>
      <c r="B219" s="67" t="s">
        <v>4527</v>
      </c>
      <c r="C219" s="269" t="s">
        <v>377</v>
      </c>
      <c r="D219" s="270">
        <v>4500154618</v>
      </c>
      <c r="E219" s="198">
        <v>2385723</v>
      </c>
      <c r="F219" s="270" t="s">
        <v>4528</v>
      </c>
      <c r="G219" s="253" t="s">
        <v>234</v>
      </c>
      <c r="H219" s="70" t="s">
        <v>189</v>
      </c>
      <c r="I219" s="70">
        <v>1508</v>
      </c>
      <c r="J219" s="70">
        <v>0</v>
      </c>
      <c r="K219" s="70">
        <v>13</v>
      </c>
      <c r="L219" s="72">
        <f t="shared" si="135"/>
        <v>116</v>
      </c>
      <c r="M219" s="59">
        <v>45712</v>
      </c>
      <c r="N219" s="271" t="s">
        <v>4529</v>
      </c>
      <c r="O219" s="61"/>
      <c r="P219" s="61"/>
      <c r="Q219" s="58"/>
      <c r="R219" s="272">
        <v>45650</v>
      </c>
      <c r="S219" s="62" t="s">
        <v>88</v>
      </c>
      <c r="T219" s="272" t="s">
        <v>89</v>
      </c>
      <c r="U219" s="264" t="s">
        <v>4530</v>
      </c>
      <c r="V219" s="59" t="s">
        <v>381</v>
      </c>
      <c r="W219" s="69">
        <v>1.9425</v>
      </c>
      <c r="X219" s="77">
        <f t="shared" si="154"/>
        <v>2929.29</v>
      </c>
      <c r="Y219" s="58"/>
      <c r="Z219" s="70" t="s">
        <v>234</v>
      </c>
      <c r="AA219" s="58" t="s">
        <v>93</v>
      </c>
      <c r="AB219" s="96" t="s">
        <v>94</v>
      </c>
      <c r="AC219" s="58"/>
      <c r="AD219" s="78"/>
      <c r="AE219" s="78">
        <f t="shared" ref="AE219:AE235" si="157">AD219-I219</f>
        <v>-1508</v>
      </c>
      <c r="AF219" s="205"/>
      <c r="AG219" s="58"/>
      <c r="AH219" s="58"/>
      <c r="AI219" s="70">
        <f t="shared" si="155"/>
        <v>1508</v>
      </c>
      <c r="AK219" s="70">
        <f>I219</f>
        <v>1508</v>
      </c>
      <c r="AP219" s="70">
        <f t="shared" si="156"/>
        <v>1508</v>
      </c>
      <c r="AZ219" s="17">
        <f>I219/13</f>
        <v>116</v>
      </c>
      <c r="BO219" s="206">
        <f>AI219+AJ219</f>
        <v>1508</v>
      </c>
      <c r="BP219" s="206">
        <f>'77485 S3 明细'!BV59+BO219</f>
        <v>2363812</v>
      </c>
      <c r="BQ219" s="206"/>
      <c r="BR219" s="206"/>
      <c r="BS219" s="206"/>
      <c r="BT219" s="206"/>
      <c r="BU219" s="17">
        <f>SUM('77485 S3 明细'!BX$1:CB$1)-BP219</f>
        <v>456188</v>
      </c>
      <c r="BV219" s="17"/>
      <c r="BW219" s="17">
        <f>AT219+AU219+BB219+BC219</f>
        <v>0</v>
      </c>
      <c r="BX219" s="206">
        <f>'77485 S3 明细'!CD59+BW219</f>
        <v>48086.5714285714</v>
      </c>
      <c r="BY219" s="206"/>
      <c r="BZ219" s="206"/>
      <c r="CA219" s="206"/>
      <c r="CB219" s="206"/>
      <c r="CC219" s="273"/>
    </row>
    <row r="220" s="17" customFormat="1" ht="31" customHeight="1" spans="1:103">
      <c r="A220" s="243">
        <v>45808</v>
      </c>
      <c r="B220" s="244" t="s">
        <v>719</v>
      </c>
      <c r="C220" s="214" t="s">
        <v>720</v>
      </c>
      <c r="D220" s="245">
        <v>4500168594</v>
      </c>
      <c r="E220" s="244"/>
      <c r="F220" s="245" t="s">
        <v>4531</v>
      </c>
      <c r="G220" s="70" t="s">
        <v>205</v>
      </c>
      <c r="H220" s="70" t="s">
        <v>189</v>
      </c>
      <c r="I220" s="70">
        <v>200</v>
      </c>
      <c r="J220" s="70">
        <v>0</v>
      </c>
      <c r="K220" s="70">
        <v>50</v>
      </c>
      <c r="L220" s="72">
        <f t="shared" si="135"/>
        <v>4</v>
      </c>
      <c r="M220" s="75">
        <v>45840</v>
      </c>
      <c r="N220" s="75">
        <f>M220-4</f>
        <v>45836</v>
      </c>
      <c r="O220" s="118"/>
      <c r="P220" s="73" t="s">
        <v>86</v>
      </c>
      <c r="Q220" s="70">
        <v>4500173135</v>
      </c>
      <c r="R220" s="90">
        <v>45814</v>
      </c>
      <c r="S220" s="70" t="s">
        <v>98</v>
      </c>
      <c r="T220" s="272">
        <v>45813</v>
      </c>
      <c r="U220" s="264" t="s">
        <v>722</v>
      </c>
      <c r="V220" s="75" t="s">
        <v>723</v>
      </c>
      <c r="W220" s="203">
        <v>1.9605</v>
      </c>
      <c r="X220" s="77">
        <f t="shared" si="154"/>
        <v>392.1</v>
      </c>
      <c r="Y220" s="70"/>
      <c r="Z220" s="70" t="s">
        <v>210</v>
      </c>
      <c r="AA220" s="70" t="s">
        <v>93</v>
      </c>
      <c r="AB220" s="96" t="s">
        <v>94</v>
      </c>
      <c r="AC220" s="70"/>
      <c r="AD220" s="78">
        <v>200</v>
      </c>
      <c r="AE220" s="78">
        <f t="shared" si="157"/>
        <v>0</v>
      </c>
      <c r="AF220" s="205"/>
      <c r="AG220" s="70" t="s">
        <v>95</v>
      </c>
      <c r="AH220" s="70"/>
      <c r="AI220" s="70">
        <f t="shared" si="155"/>
        <v>200</v>
      </c>
      <c r="AJ220" s="70"/>
      <c r="AK220" s="70"/>
      <c r="AM220" s="70">
        <f t="shared" ref="AM220:AM229" si="158">I220</f>
        <v>200</v>
      </c>
      <c r="AN220" s="70"/>
      <c r="AP220" s="70">
        <f t="shared" si="156"/>
        <v>200</v>
      </c>
      <c r="AQ220" s="70"/>
      <c r="AR220" s="70"/>
      <c r="AS220" s="70"/>
      <c r="BC220" s="17">
        <f>I220/25</f>
        <v>8</v>
      </c>
      <c r="BQ220" s="206">
        <f>AI220+AJ220</f>
        <v>200</v>
      </c>
      <c r="BR220" s="206">
        <f>'77485 S3 明细'!BV125+BQ220</f>
        <v>2461294</v>
      </c>
      <c r="BS220" s="206"/>
      <c r="BT220" s="206"/>
      <c r="BU220" s="206"/>
      <c r="BV220" s="206"/>
      <c r="BY220" s="17">
        <f>AT220+AU220+BB220+BC220</f>
        <v>8</v>
      </c>
      <c r="BZ220" s="206">
        <f>'77485 S3 明细'!CD107+BY220</f>
        <v>49638.5714285714</v>
      </c>
      <c r="CA220" s="206"/>
      <c r="CB220" s="206"/>
      <c r="CC220" s="206"/>
      <c r="CD220" s="206">
        <f>'77485 S3 明细'!$CF$1+'77485 S3 明细'!$CG$1+'77485 S3 明细'!$CH$1+'77485 S3 明细'!$CI$1-BZ220</f>
        <v>10361.4285714286</v>
      </c>
      <c r="CE220" s="206"/>
    </row>
    <row r="221" s="24" customFormat="1" ht="32" customHeight="1" spans="1:103">
      <c r="A221" s="274">
        <v>45888</v>
      </c>
      <c r="B221" s="275" t="s">
        <v>124</v>
      </c>
      <c r="C221" s="276" t="s">
        <v>125</v>
      </c>
      <c r="D221" s="277">
        <v>4500177327</v>
      </c>
      <c r="E221" s="275" t="s">
        <v>4532</v>
      </c>
      <c r="F221" s="278" t="s">
        <v>4533</v>
      </c>
      <c r="G221" s="279" t="s">
        <v>2337</v>
      </c>
      <c r="H221" s="280" t="s">
        <v>1747</v>
      </c>
      <c r="I221" s="279">
        <v>1500</v>
      </c>
      <c r="J221" s="279">
        <v>0</v>
      </c>
      <c r="K221" s="279">
        <v>12</v>
      </c>
      <c r="L221" s="281">
        <f t="shared" si="135"/>
        <v>125</v>
      </c>
      <c r="M221" s="282">
        <v>45947</v>
      </c>
      <c r="N221" s="282">
        <v>45945</v>
      </c>
      <c r="O221" s="283"/>
      <c r="P221" s="284"/>
      <c r="Q221" s="279"/>
      <c r="R221" s="285">
        <v>45888</v>
      </c>
      <c r="S221" s="285" t="s">
        <v>98</v>
      </c>
      <c r="T221" s="285">
        <v>45912</v>
      </c>
      <c r="U221" s="286" t="s">
        <v>4534</v>
      </c>
      <c r="V221" s="282" t="s">
        <v>130</v>
      </c>
      <c r="W221" s="287">
        <v>3.096</v>
      </c>
      <c r="X221" s="288">
        <f t="shared" si="154"/>
        <v>4644</v>
      </c>
      <c r="Y221" s="279"/>
      <c r="Z221" s="280" t="s">
        <v>2337</v>
      </c>
      <c r="AA221" s="279" t="s">
        <v>93</v>
      </c>
      <c r="AB221" s="289"/>
      <c r="AC221" s="279"/>
      <c r="AD221" s="279"/>
      <c r="AE221" s="290">
        <f t="shared" si="157"/>
        <v>-1500</v>
      </c>
      <c r="AF221" s="291"/>
      <c r="AG221" s="279" t="s">
        <v>95</v>
      </c>
      <c r="AH221" s="279"/>
      <c r="AI221" s="279">
        <f>I221*2</f>
        <v>3000</v>
      </c>
      <c r="AJ221" s="279">
        <f>I221*2</f>
        <v>3000</v>
      </c>
      <c r="AK221" s="292"/>
      <c r="AN221" s="279">
        <f>I221*2</f>
        <v>3000</v>
      </c>
      <c r="AO221" s="279"/>
      <c r="AR221" s="279"/>
      <c r="AS221" s="279"/>
      <c r="AT221" s="279"/>
      <c r="AU221" s="279"/>
      <c r="BD221" s="292"/>
      <c r="BF221" s="24">
        <f>I221</f>
        <v>1500</v>
      </c>
      <c r="BG221" s="24">
        <f>I221</f>
        <v>1500</v>
      </c>
      <c r="BH221" s="24">
        <f>I221</f>
        <v>1500</v>
      </c>
      <c r="BS221" s="293"/>
      <c r="BT221" s="293"/>
      <c r="BU221" s="293"/>
      <c r="BV221" s="293"/>
      <c r="BW221" s="293"/>
      <c r="BX221" s="293"/>
      <c r="CB221" s="293"/>
      <c r="CC221" s="293"/>
      <c r="CD221" s="293"/>
      <c r="CE221" s="293"/>
      <c r="CF221" s="293"/>
      <c r="CG221" s="293"/>
    </row>
    <row r="222" s="24" customFormat="1" ht="31" customHeight="1" spans="1:103">
      <c r="A222" s="294">
        <v>45925</v>
      </c>
      <c r="B222" s="295" t="s">
        <v>1758</v>
      </c>
      <c r="C222" s="276" t="s">
        <v>125</v>
      </c>
      <c r="D222" s="295" t="s">
        <v>4535</v>
      </c>
      <c r="E222" s="279" t="s">
        <v>4536</v>
      </c>
      <c r="F222" s="295"/>
      <c r="G222" s="280" t="s">
        <v>1761</v>
      </c>
      <c r="H222" s="276"/>
      <c r="I222" s="276">
        <v>0</v>
      </c>
      <c r="J222" s="276">
        <v>0</v>
      </c>
      <c r="K222" s="276">
        <v>30</v>
      </c>
      <c r="L222" s="296">
        <f t="shared" si="135"/>
        <v>0</v>
      </c>
      <c r="M222" s="282">
        <v>45965</v>
      </c>
      <c r="N222" s="282">
        <f>M222-4</f>
        <v>45961</v>
      </c>
      <c r="O222" s="283" t="s">
        <v>4537</v>
      </c>
      <c r="P222" s="297"/>
      <c r="Q222" s="279"/>
      <c r="R222" s="298"/>
      <c r="S222" s="298"/>
      <c r="T222" s="298"/>
      <c r="U222" s="286" t="s">
        <v>4538</v>
      </c>
      <c r="V222" s="299" t="s">
        <v>1766</v>
      </c>
      <c r="W222" s="300"/>
      <c r="X222" s="301"/>
      <c r="Y222" s="279"/>
      <c r="Z222" s="280"/>
      <c r="AA222" s="276"/>
      <c r="AB222" s="276"/>
      <c r="AC222" s="279"/>
      <c r="AD222" s="290"/>
      <c r="AE222" s="290">
        <f t="shared" si="157"/>
        <v>0</v>
      </c>
      <c r="AF222" s="302"/>
      <c r="AG222" s="279"/>
      <c r="AH222" s="279"/>
      <c r="AI222" s="279">
        <f t="shared" ref="AI222:AI229" si="159">I222</f>
        <v>0</v>
      </c>
      <c r="AJ222" s="292">
        <f t="shared" ref="AJ222:AJ229" si="160">I222</f>
        <v>0</v>
      </c>
      <c r="AL222" s="292"/>
      <c r="AM222" s="292"/>
      <c r="AN222" s="24">
        <f>I222</f>
        <v>0</v>
      </c>
      <c r="AP222" s="303"/>
      <c r="BC222" s="304"/>
      <c r="BD222" s="304"/>
      <c r="BE222" s="304"/>
      <c r="BJ222" s="293"/>
      <c r="BK222" s="293"/>
      <c r="BL222" s="293"/>
      <c r="BM222" s="293"/>
      <c r="BN222" s="293"/>
      <c r="BO222" s="293"/>
      <c r="BS222" s="293"/>
      <c r="BT222" s="293"/>
      <c r="BU222" s="305"/>
      <c r="BV222" s="293"/>
      <c r="BW222" s="293"/>
      <c r="BX222" s="293"/>
      <c r="CC222" s="303"/>
      <c r="CD222" s="303"/>
      <c r="CE222" s="303"/>
      <c r="CF222" s="303"/>
      <c r="CG222" s="303"/>
      <c r="CH222" s="303"/>
      <c r="CI222" s="303"/>
      <c r="CJ222" s="303"/>
      <c r="CK222" s="303"/>
      <c r="CL222" s="303"/>
      <c r="CM222" s="303"/>
      <c r="CN222" s="303"/>
      <c r="CO222" s="303"/>
      <c r="CP222" s="303"/>
      <c r="CQ222" s="303"/>
      <c r="CR222" s="303"/>
      <c r="CS222" s="303"/>
      <c r="CT222" s="303"/>
      <c r="CU222" s="303"/>
      <c r="CV222" s="303"/>
      <c r="CW222" s="303"/>
      <c r="CX222" s="303"/>
    </row>
    <row r="223" s="24" customFormat="1" ht="31" customHeight="1" spans="1:103">
      <c r="A223" s="294">
        <v>45965</v>
      </c>
      <c r="B223" s="295" t="s">
        <v>2114</v>
      </c>
      <c r="C223" s="304" t="s">
        <v>562</v>
      </c>
      <c r="D223" s="295">
        <v>4500184399</v>
      </c>
      <c r="E223" s="279"/>
      <c r="F223" s="295" t="s">
        <v>4539</v>
      </c>
      <c r="G223" s="280" t="s">
        <v>1523</v>
      </c>
      <c r="H223" s="276" t="s">
        <v>1524</v>
      </c>
      <c r="I223" s="276">
        <v>300</v>
      </c>
      <c r="J223" s="276">
        <v>0</v>
      </c>
      <c r="K223" s="276">
        <v>50</v>
      </c>
      <c r="L223" s="296">
        <f t="shared" si="135"/>
        <v>6</v>
      </c>
      <c r="M223" s="282">
        <v>46009</v>
      </c>
      <c r="N223" s="282">
        <v>46006</v>
      </c>
      <c r="O223" s="279"/>
      <c r="P223" s="297"/>
      <c r="Q223" s="279"/>
      <c r="R223" s="298" t="s">
        <v>89</v>
      </c>
      <c r="S223" s="298" t="s">
        <v>98</v>
      </c>
      <c r="T223" s="298" t="s">
        <v>2111</v>
      </c>
      <c r="U223" s="286" t="s">
        <v>4540</v>
      </c>
      <c r="V223" s="299" t="s">
        <v>119</v>
      </c>
      <c r="W223" s="300">
        <v>1.9324</v>
      </c>
      <c r="X223" s="301">
        <f t="shared" ref="X223:X227" si="161">W223*I223</f>
        <v>579.72</v>
      </c>
      <c r="Y223" s="279"/>
      <c r="Z223" s="280" t="s">
        <v>1727</v>
      </c>
      <c r="AA223" s="276" t="s">
        <v>93</v>
      </c>
      <c r="AB223" s="276"/>
      <c r="AC223" s="279"/>
      <c r="AD223" s="290"/>
      <c r="AE223" s="290">
        <f t="shared" si="157"/>
        <v>-300</v>
      </c>
      <c r="AF223" s="302"/>
      <c r="AG223" s="279"/>
      <c r="AH223" s="279"/>
      <c r="AI223" s="279">
        <f t="shared" si="159"/>
        <v>300</v>
      </c>
      <c r="AJ223" s="292"/>
      <c r="AL223" s="24">
        <f>I223</f>
        <v>300</v>
      </c>
      <c r="AM223" s="292">
        <f t="shared" si="158"/>
        <v>300</v>
      </c>
      <c r="AO223" s="292"/>
      <c r="AS223" s="279">
        <f>I223/25</f>
        <v>12</v>
      </c>
      <c r="BC223" s="304"/>
      <c r="BD223" s="304"/>
      <c r="BE223" s="304"/>
      <c r="BF223" s="304"/>
      <c r="BK223" s="293"/>
      <c r="BL223" s="293"/>
      <c r="BM223" s="293"/>
      <c r="BN223" s="293"/>
      <c r="BO223" s="293"/>
      <c r="BP223" s="293"/>
      <c r="BS223" s="24">
        <f>AS223</f>
        <v>12</v>
      </c>
      <c r="BT223" s="293">
        <f>'77770 S4 明细'!BX147+I223</f>
        <v>766287</v>
      </c>
      <c r="BU223" s="293"/>
      <c r="BV223" s="293">
        <f>'77770 S4 明细'!$BZ$1-BT223</f>
        <v>-346287</v>
      </c>
      <c r="BW223" s="293">
        <f>'77770 S4 明细'!$BZ$1+'77770 S4 明细'!$CA$1-BT223</f>
        <v>93713</v>
      </c>
      <c r="BX223" s="293"/>
      <c r="BY223" s="293"/>
      <c r="CD223" s="303"/>
      <c r="CE223" s="303"/>
      <c r="CF223" s="303"/>
      <c r="CG223" s="303"/>
      <c r="CH223" s="303"/>
      <c r="CI223" s="303"/>
      <c r="CJ223" s="303"/>
      <c r="CK223" s="303"/>
      <c r="CL223" s="303"/>
      <c r="CM223" s="303"/>
      <c r="CN223" s="303"/>
      <c r="CO223" s="303"/>
      <c r="CP223" s="303"/>
      <c r="CQ223" s="303"/>
      <c r="CR223" s="303"/>
      <c r="CS223" s="303"/>
      <c r="CT223" s="303"/>
      <c r="CU223" s="303"/>
      <c r="CV223" s="303"/>
      <c r="CW223" s="303"/>
      <c r="CX223" s="303"/>
      <c r="CY223" s="303"/>
    </row>
    <row r="224" s="24" customFormat="1" ht="31" customHeight="1" spans="1:103">
      <c r="A224" s="294">
        <v>45950</v>
      </c>
      <c r="B224" s="295" t="s">
        <v>1867</v>
      </c>
      <c r="C224" s="304" t="s">
        <v>377</v>
      </c>
      <c r="D224" s="295">
        <v>4500182440</v>
      </c>
      <c r="E224" s="279" t="s">
        <v>4541</v>
      </c>
      <c r="F224" s="295" t="s">
        <v>4542</v>
      </c>
      <c r="G224" s="280" t="s">
        <v>1532</v>
      </c>
      <c r="H224" s="276" t="s">
        <v>1524</v>
      </c>
      <c r="I224" s="276">
        <v>520</v>
      </c>
      <c r="J224" s="276">
        <v>0</v>
      </c>
      <c r="K224" s="276">
        <v>52</v>
      </c>
      <c r="L224" s="296">
        <f t="shared" si="135"/>
        <v>10</v>
      </c>
      <c r="M224" s="282">
        <v>46001</v>
      </c>
      <c r="N224" s="282">
        <v>45997</v>
      </c>
      <c r="O224" s="279"/>
      <c r="P224" s="297"/>
      <c r="Q224" s="279"/>
      <c r="R224" s="298">
        <v>45950</v>
      </c>
      <c r="S224" s="298" t="s">
        <v>98</v>
      </c>
      <c r="T224" s="298" t="s">
        <v>2363</v>
      </c>
      <c r="U224" s="286" t="s">
        <v>2364</v>
      </c>
      <c r="V224" s="299" t="s">
        <v>381</v>
      </c>
      <c r="W224" s="300">
        <v>1.8769</v>
      </c>
      <c r="X224" s="301">
        <f t="shared" si="161"/>
        <v>975.988</v>
      </c>
      <c r="Y224" s="279"/>
      <c r="Z224" s="280" t="s">
        <v>1532</v>
      </c>
      <c r="AA224" s="276" t="s">
        <v>93</v>
      </c>
      <c r="AB224" s="276" t="s">
        <v>94</v>
      </c>
      <c r="AC224" s="279"/>
      <c r="AD224" s="290"/>
      <c r="AE224" s="290">
        <f t="shared" si="157"/>
        <v>-520</v>
      </c>
      <c r="AF224" s="302"/>
      <c r="AG224" s="295" t="s">
        <v>95</v>
      </c>
      <c r="AH224" s="279"/>
      <c r="AI224" s="279">
        <f t="shared" si="159"/>
        <v>520</v>
      </c>
      <c r="AJ224" s="292">
        <f t="shared" si="160"/>
        <v>520</v>
      </c>
      <c r="AM224" s="24">
        <f t="shared" si="158"/>
        <v>520</v>
      </c>
      <c r="AO224" s="292"/>
      <c r="AP224" s="24">
        <f t="shared" ref="AP224:AP227" si="162">I224/13</f>
        <v>40</v>
      </c>
      <c r="AS224" s="279"/>
      <c r="BC224" s="304"/>
      <c r="BD224" s="304"/>
      <c r="BE224" s="304"/>
      <c r="BF224" s="304"/>
      <c r="BK224" s="293"/>
      <c r="BL224" s="293"/>
      <c r="BM224" s="293"/>
      <c r="BN224" s="293"/>
      <c r="BO224" s="293"/>
      <c r="BP224" s="293"/>
      <c r="BT224" s="293">
        <f>'77770 S4 明细'!BX120+I224</f>
        <v>700240</v>
      </c>
      <c r="BU224" s="293"/>
      <c r="BV224" s="293">
        <f>'77770 S4 明细'!$BZ$1-BT224</f>
        <v>-280240</v>
      </c>
      <c r="BW224" s="293">
        <f>'77770 S4 明细'!$BZ$1+'77770 S4 明细'!$CA$1-BT224</f>
        <v>159760</v>
      </c>
      <c r="BX224" s="293"/>
      <c r="BY224" s="293"/>
      <c r="CD224" s="303"/>
      <c r="CE224" s="303"/>
      <c r="CF224" s="303"/>
      <c r="CG224" s="303"/>
      <c r="CH224" s="303"/>
      <c r="CI224" s="303"/>
      <c r="CJ224" s="303"/>
      <c r="CK224" s="303"/>
      <c r="CL224" s="303"/>
      <c r="CM224" s="303"/>
      <c r="CN224" s="303"/>
      <c r="CO224" s="303"/>
      <c r="CP224" s="303"/>
      <c r="CQ224" s="303"/>
      <c r="CR224" s="303"/>
      <c r="CS224" s="303"/>
      <c r="CT224" s="303"/>
      <c r="CU224" s="303"/>
      <c r="CV224" s="303"/>
      <c r="CW224" s="303"/>
      <c r="CX224" s="303"/>
      <c r="CY224" s="303"/>
    </row>
    <row r="225" s="24" customFormat="1" ht="31" customHeight="1" spans="1:103">
      <c r="A225" s="294">
        <v>45950</v>
      </c>
      <c r="B225" s="295" t="s">
        <v>1867</v>
      </c>
      <c r="C225" s="304" t="s">
        <v>377</v>
      </c>
      <c r="D225" s="295">
        <v>4500182440</v>
      </c>
      <c r="E225" s="279" t="s">
        <v>4543</v>
      </c>
      <c r="F225" s="295" t="s">
        <v>4544</v>
      </c>
      <c r="G225" s="280" t="s">
        <v>1532</v>
      </c>
      <c r="H225" s="276" t="s">
        <v>1524</v>
      </c>
      <c r="I225" s="276">
        <v>468</v>
      </c>
      <c r="J225" s="276">
        <v>0</v>
      </c>
      <c r="K225" s="276">
        <v>52</v>
      </c>
      <c r="L225" s="296">
        <f t="shared" si="135"/>
        <v>9</v>
      </c>
      <c r="M225" s="282">
        <v>46001</v>
      </c>
      <c r="N225" s="282">
        <v>45997</v>
      </c>
      <c r="O225" s="279"/>
      <c r="P225" s="297"/>
      <c r="Q225" s="279"/>
      <c r="R225" s="298">
        <v>45950</v>
      </c>
      <c r="S225" s="298" t="s">
        <v>98</v>
      </c>
      <c r="T225" s="298" t="s">
        <v>2363</v>
      </c>
      <c r="U225" s="286" t="s">
        <v>2364</v>
      </c>
      <c r="V225" s="299" t="s">
        <v>381</v>
      </c>
      <c r="W225" s="300">
        <v>1.8769</v>
      </c>
      <c r="X225" s="301">
        <f t="shared" si="161"/>
        <v>878.3892</v>
      </c>
      <c r="Y225" s="279"/>
      <c r="Z225" s="280" t="s">
        <v>1532</v>
      </c>
      <c r="AA225" s="276" t="s">
        <v>93</v>
      </c>
      <c r="AB225" s="276" t="s">
        <v>94</v>
      </c>
      <c r="AC225" s="279"/>
      <c r="AD225" s="290"/>
      <c r="AE225" s="290">
        <f t="shared" si="157"/>
        <v>-468</v>
      </c>
      <c r="AF225" s="302"/>
      <c r="AG225" s="306"/>
      <c r="AH225" s="279"/>
      <c r="AI225" s="279">
        <f t="shared" si="159"/>
        <v>468</v>
      </c>
      <c r="AJ225" s="292">
        <f t="shared" si="160"/>
        <v>468</v>
      </c>
      <c r="AM225" s="24">
        <f t="shared" si="158"/>
        <v>468</v>
      </c>
      <c r="AO225" s="292"/>
      <c r="AP225" s="24">
        <f t="shared" si="162"/>
        <v>36</v>
      </c>
      <c r="AS225" s="279"/>
      <c r="BC225" s="304"/>
      <c r="BD225" s="304"/>
      <c r="BE225" s="304"/>
      <c r="BF225" s="304"/>
      <c r="BK225" s="293"/>
      <c r="BL225" s="293"/>
      <c r="BM225" s="293"/>
      <c r="BN225" s="293"/>
      <c r="BO225" s="293"/>
      <c r="BP225" s="293"/>
      <c r="BT225" s="293">
        <f t="shared" ref="BT225:BT227" si="163">BT224+I225</f>
        <v>700708</v>
      </c>
      <c r="BU225" s="293"/>
      <c r="BV225" s="293">
        <f>'77770 S4 明细'!$BZ$1-BT225</f>
        <v>-280708</v>
      </c>
      <c r="BW225" s="293">
        <f>'77770 S4 明细'!$BZ$1+'77770 S4 明细'!$CA$1-BT225</f>
        <v>159292</v>
      </c>
      <c r="BX225" s="293"/>
      <c r="BY225" s="293"/>
      <c r="CD225" s="303"/>
      <c r="CE225" s="303"/>
      <c r="CF225" s="303"/>
      <c r="CG225" s="303"/>
      <c r="CH225" s="303"/>
      <c r="CI225" s="303"/>
      <c r="CJ225" s="303"/>
      <c r="CK225" s="303"/>
      <c r="CL225" s="303"/>
      <c r="CM225" s="303"/>
      <c r="CN225" s="303"/>
      <c r="CO225" s="303"/>
      <c r="CP225" s="303"/>
      <c r="CQ225" s="303"/>
      <c r="CR225" s="303"/>
      <c r="CS225" s="303"/>
      <c r="CT225" s="303"/>
      <c r="CU225" s="303"/>
      <c r="CV225" s="303"/>
      <c r="CW225" s="303"/>
      <c r="CX225" s="303"/>
      <c r="CY225" s="303"/>
    </row>
    <row r="226" s="24" customFormat="1" ht="31" customHeight="1" spans="1:103">
      <c r="A226" s="294">
        <v>45950</v>
      </c>
      <c r="B226" s="295" t="s">
        <v>1867</v>
      </c>
      <c r="C226" s="304" t="s">
        <v>377</v>
      </c>
      <c r="D226" s="295">
        <v>4500182440</v>
      </c>
      <c r="E226" s="279" t="s">
        <v>4545</v>
      </c>
      <c r="F226" s="295" t="s">
        <v>4546</v>
      </c>
      <c r="G226" s="280" t="s">
        <v>1532</v>
      </c>
      <c r="H226" s="276" t="s">
        <v>1524</v>
      </c>
      <c r="I226" s="276">
        <v>364</v>
      </c>
      <c r="J226" s="276">
        <v>0</v>
      </c>
      <c r="K226" s="276">
        <v>52</v>
      </c>
      <c r="L226" s="296">
        <f t="shared" si="135"/>
        <v>7</v>
      </c>
      <c r="M226" s="282">
        <v>46001</v>
      </c>
      <c r="N226" s="282">
        <v>45997</v>
      </c>
      <c r="O226" s="279"/>
      <c r="P226" s="297"/>
      <c r="Q226" s="279"/>
      <c r="R226" s="298">
        <v>45950</v>
      </c>
      <c r="S226" s="298" t="s">
        <v>98</v>
      </c>
      <c r="T226" s="298" t="s">
        <v>2363</v>
      </c>
      <c r="U226" s="286" t="s">
        <v>2364</v>
      </c>
      <c r="V226" s="299" t="s">
        <v>381</v>
      </c>
      <c r="W226" s="300">
        <v>1.8769</v>
      </c>
      <c r="X226" s="301">
        <f t="shared" si="161"/>
        <v>683.1916</v>
      </c>
      <c r="Y226" s="279"/>
      <c r="Z226" s="280" t="s">
        <v>1532</v>
      </c>
      <c r="AA226" s="276" t="s">
        <v>93</v>
      </c>
      <c r="AB226" s="276" t="s">
        <v>94</v>
      </c>
      <c r="AC226" s="279"/>
      <c r="AD226" s="290"/>
      <c r="AE226" s="290">
        <f t="shared" si="157"/>
        <v>-364</v>
      </c>
      <c r="AF226" s="302"/>
      <c r="AG226" s="306"/>
      <c r="AH226" s="279"/>
      <c r="AI226" s="279">
        <f t="shared" si="159"/>
        <v>364</v>
      </c>
      <c r="AJ226" s="292">
        <f t="shared" si="160"/>
        <v>364</v>
      </c>
      <c r="AM226" s="24">
        <f t="shared" si="158"/>
        <v>364</v>
      </c>
      <c r="AO226" s="292"/>
      <c r="AP226" s="24">
        <f t="shared" si="162"/>
        <v>28</v>
      </c>
      <c r="AS226" s="279"/>
      <c r="BC226" s="304"/>
      <c r="BD226" s="304"/>
      <c r="BE226" s="304"/>
      <c r="BF226" s="304"/>
      <c r="BK226" s="293"/>
      <c r="BL226" s="293"/>
      <c r="BM226" s="293"/>
      <c r="BN226" s="293"/>
      <c r="BO226" s="293"/>
      <c r="BP226" s="293"/>
      <c r="BT226" s="293">
        <f t="shared" si="163"/>
        <v>701072</v>
      </c>
      <c r="BU226" s="293"/>
      <c r="BV226" s="293">
        <f>'77770 S4 明细'!$BZ$1-BT226</f>
        <v>-281072</v>
      </c>
      <c r="BW226" s="293">
        <f>'77770 S4 明细'!$BZ$1+'77770 S4 明细'!$CA$1-BT226</f>
        <v>158928</v>
      </c>
      <c r="BX226" s="293"/>
      <c r="BY226" s="293"/>
      <c r="CD226" s="303"/>
      <c r="CE226" s="303"/>
      <c r="CF226" s="303"/>
      <c r="CG226" s="303"/>
      <c r="CH226" s="303"/>
      <c r="CI226" s="303"/>
      <c r="CJ226" s="303"/>
      <c r="CK226" s="303"/>
      <c r="CL226" s="303"/>
      <c r="CM226" s="303"/>
      <c r="CN226" s="303"/>
      <c r="CO226" s="303"/>
      <c r="CP226" s="303"/>
      <c r="CQ226" s="303"/>
      <c r="CR226" s="303"/>
      <c r="CS226" s="303"/>
      <c r="CT226" s="303"/>
      <c r="CU226" s="303"/>
      <c r="CV226" s="303"/>
      <c r="CW226" s="303"/>
      <c r="CX226" s="303"/>
      <c r="CY226" s="303"/>
    </row>
    <row r="227" s="24" customFormat="1" ht="31" customHeight="1" spans="1:103">
      <c r="A227" s="294">
        <v>45950</v>
      </c>
      <c r="B227" s="295" t="s">
        <v>1867</v>
      </c>
      <c r="C227" s="304" t="s">
        <v>377</v>
      </c>
      <c r="D227" s="295">
        <v>4500182440</v>
      </c>
      <c r="E227" s="279" t="s">
        <v>4547</v>
      </c>
      <c r="F227" s="295" t="s">
        <v>4548</v>
      </c>
      <c r="G227" s="280" t="s">
        <v>1532</v>
      </c>
      <c r="H227" s="276" t="s">
        <v>1524</v>
      </c>
      <c r="I227" s="276">
        <v>156</v>
      </c>
      <c r="J227" s="276">
        <v>0</v>
      </c>
      <c r="K227" s="276">
        <v>52</v>
      </c>
      <c r="L227" s="296">
        <f t="shared" si="135"/>
        <v>3</v>
      </c>
      <c r="M227" s="282">
        <v>46001</v>
      </c>
      <c r="N227" s="282">
        <v>45997</v>
      </c>
      <c r="O227" s="279"/>
      <c r="P227" s="297"/>
      <c r="Q227" s="279"/>
      <c r="R227" s="298">
        <v>45950</v>
      </c>
      <c r="S227" s="298" t="s">
        <v>98</v>
      </c>
      <c r="T227" s="298" t="s">
        <v>2363</v>
      </c>
      <c r="U227" s="286" t="s">
        <v>2364</v>
      </c>
      <c r="V227" s="299" t="s">
        <v>381</v>
      </c>
      <c r="W227" s="300">
        <v>1.8769</v>
      </c>
      <c r="X227" s="301">
        <f t="shared" si="161"/>
        <v>292.7964</v>
      </c>
      <c r="Y227" s="279"/>
      <c r="Z227" s="280" t="s">
        <v>1532</v>
      </c>
      <c r="AA227" s="276" t="s">
        <v>93</v>
      </c>
      <c r="AB227" s="276" t="s">
        <v>94</v>
      </c>
      <c r="AC227" s="279"/>
      <c r="AD227" s="290"/>
      <c r="AE227" s="290">
        <f t="shared" si="157"/>
        <v>-156</v>
      </c>
      <c r="AF227" s="302"/>
      <c r="AG227" s="289"/>
      <c r="AH227" s="279"/>
      <c r="AI227" s="279">
        <f t="shared" si="159"/>
        <v>156</v>
      </c>
      <c r="AJ227" s="292">
        <f t="shared" si="160"/>
        <v>156</v>
      </c>
      <c r="AM227" s="24">
        <f t="shared" si="158"/>
        <v>156</v>
      </c>
      <c r="AO227" s="292"/>
      <c r="AP227" s="24">
        <f t="shared" si="162"/>
        <v>12</v>
      </c>
      <c r="AS227" s="279"/>
      <c r="BC227" s="304"/>
      <c r="BD227" s="304"/>
      <c r="BE227" s="304"/>
      <c r="BF227" s="304"/>
      <c r="BK227" s="293"/>
      <c r="BL227" s="293"/>
      <c r="BM227" s="293"/>
      <c r="BN227" s="293"/>
      <c r="BO227" s="293"/>
      <c r="BP227" s="293"/>
      <c r="BT227" s="293">
        <f t="shared" si="163"/>
        <v>701228</v>
      </c>
      <c r="BU227" s="293"/>
      <c r="BV227" s="293">
        <f>'77770 S4 明细'!$BZ$1-BT227</f>
        <v>-281228</v>
      </c>
      <c r="BW227" s="293">
        <f>'77770 S4 明细'!$BZ$1+'77770 S4 明细'!$CA$1-BT227</f>
        <v>158772</v>
      </c>
      <c r="BX227" s="293"/>
      <c r="BY227" s="293"/>
      <c r="CD227" s="303"/>
      <c r="CE227" s="303"/>
      <c r="CF227" s="303"/>
      <c r="CG227" s="303"/>
      <c r="CH227" s="303"/>
      <c r="CI227" s="303"/>
      <c r="CJ227" s="303"/>
      <c r="CK227" s="303"/>
      <c r="CL227" s="303"/>
      <c r="CM227" s="303"/>
      <c r="CN227" s="303"/>
      <c r="CO227" s="303"/>
      <c r="CP227" s="303"/>
      <c r="CQ227" s="303"/>
      <c r="CR227" s="303"/>
      <c r="CS227" s="303"/>
      <c r="CT227" s="303"/>
      <c r="CU227" s="303"/>
      <c r="CV227" s="303"/>
      <c r="CW227" s="303"/>
      <c r="CX227" s="303"/>
      <c r="CY227" s="303"/>
    </row>
    <row r="228" s="24" customFormat="1" ht="31" customHeight="1" spans="1:103">
      <c r="A228" s="294">
        <v>45965</v>
      </c>
      <c r="B228" s="295" t="s">
        <v>1548</v>
      </c>
      <c r="C228" s="304" t="s">
        <v>125</v>
      </c>
      <c r="D228" s="295">
        <v>4500184412</v>
      </c>
      <c r="E228" s="279" t="s">
        <v>4549</v>
      </c>
      <c r="F228" s="286" t="s">
        <v>4550</v>
      </c>
      <c r="G228" s="280" t="s">
        <v>1570</v>
      </c>
      <c r="H228" s="276" t="s">
        <v>1853</v>
      </c>
      <c r="I228" s="276">
        <v>24600</v>
      </c>
      <c r="J228" s="276">
        <v>0</v>
      </c>
      <c r="K228" s="276">
        <v>25</v>
      </c>
      <c r="L228" s="296">
        <f t="shared" si="135"/>
        <v>984</v>
      </c>
      <c r="M228" s="282">
        <v>46010</v>
      </c>
      <c r="N228" s="282">
        <v>46006</v>
      </c>
      <c r="O228" s="279" t="s">
        <v>4299</v>
      </c>
      <c r="P228" s="297"/>
      <c r="Q228" s="279"/>
      <c r="R228" s="298">
        <v>45967</v>
      </c>
      <c r="S228" s="298" t="s">
        <v>98</v>
      </c>
      <c r="T228" s="298" t="s">
        <v>98</v>
      </c>
      <c r="U228" s="286" t="s">
        <v>4551</v>
      </c>
      <c r="V228" s="299" t="s">
        <v>1554</v>
      </c>
      <c r="W228" s="300">
        <v>1.1295</v>
      </c>
      <c r="X228" s="301">
        <f t="shared" ref="X228:X234" si="164">I228*W228</f>
        <v>27785.7</v>
      </c>
      <c r="Y228" s="279"/>
      <c r="Z228" s="280" t="s">
        <v>1570</v>
      </c>
      <c r="AA228" s="276" t="s">
        <v>93</v>
      </c>
      <c r="AB228" s="276" t="s">
        <v>94</v>
      </c>
      <c r="AC228" s="279"/>
      <c r="AD228" s="290"/>
      <c r="AE228" s="290">
        <f t="shared" si="157"/>
        <v>-24600</v>
      </c>
      <c r="AF228" s="302"/>
      <c r="AG228" s="279" t="s">
        <v>95</v>
      </c>
      <c r="AH228" s="279"/>
      <c r="AI228" s="307">
        <f t="shared" si="159"/>
        <v>24600</v>
      </c>
      <c r="AJ228" s="292">
        <f t="shared" si="160"/>
        <v>24600</v>
      </c>
      <c r="AM228" s="24">
        <f t="shared" si="158"/>
        <v>24600</v>
      </c>
      <c r="AR228" s="24">
        <f>I228/25</f>
        <v>984</v>
      </c>
      <c r="AS228" s="279"/>
      <c r="BC228" s="304"/>
      <c r="BD228" s="304"/>
      <c r="BE228" s="304"/>
      <c r="BF228" s="304"/>
      <c r="BK228" s="293"/>
      <c r="BL228" s="293"/>
      <c r="BM228" s="293"/>
      <c r="BN228" s="293"/>
      <c r="BO228" s="293"/>
      <c r="BP228" s="293"/>
      <c r="BT228" s="308">
        <f>'77770 S4 明细'!BX143+I228</f>
        <v>775229</v>
      </c>
      <c r="BU228" s="293"/>
      <c r="BV228" s="293">
        <f>'77770 S4 明细'!$BZ$1-BT228</f>
        <v>-355229</v>
      </c>
      <c r="BW228" s="293">
        <f>'77770 S4 明细'!$BZ$1+'77770 S4 明细'!$CA$1-BT228</f>
        <v>84771</v>
      </c>
      <c r="BX228" s="293"/>
      <c r="BY228" s="293"/>
      <c r="CD228" s="303"/>
      <c r="CE228" s="303"/>
      <c r="CF228" s="303"/>
      <c r="CG228" s="303"/>
      <c r="CH228" s="303"/>
      <c r="CI228" s="303"/>
      <c r="CJ228" s="303"/>
      <c r="CK228" s="303"/>
      <c r="CL228" s="303"/>
      <c r="CM228" s="303"/>
      <c r="CN228" s="303"/>
      <c r="CO228" s="303"/>
      <c r="CP228" s="303"/>
      <c r="CQ228" s="303"/>
      <c r="CR228" s="303"/>
      <c r="CS228" s="303"/>
      <c r="CT228" s="303"/>
      <c r="CU228" s="303"/>
      <c r="CV228" s="303"/>
      <c r="CW228" s="303"/>
      <c r="CX228" s="303"/>
      <c r="CY228" s="303"/>
    </row>
    <row r="229" s="24" customFormat="1" ht="31" customHeight="1" spans="1:103">
      <c r="A229" s="294">
        <v>45965</v>
      </c>
      <c r="B229" s="295" t="s">
        <v>1548</v>
      </c>
      <c r="C229" s="304" t="s">
        <v>125</v>
      </c>
      <c r="D229" s="295">
        <v>4500184413</v>
      </c>
      <c r="E229" s="279" t="s">
        <v>4552</v>
      </c>
      <c r="F229" s="286" t="s">
        <v>4553</v>
      </c>
      <c r="G229" s="280" t="s">
        <v>1570</v>
      </c>
      <c r="H229" s="276" t="s">
        <v>1853</v>
      </c>
      <c r="I229" s="276">
        <v>10775</v>
      </c>
      <c r="J229" s="276">
        <v>0</v>
      </c>
      <c r="K229" s="276">
        <v>25</v>
      </c>
      <c r="L229" s="296">
        <f t="shared" si="135"/>
        <v>431</v>
      </c>
      <c r="M229" s="282">
        <v>46012</v>
      </c>
      <c r="N229" s="282">
        <v>46008</v>
      </c>
      <c r="O229" s="279" t="s">
        <v>4299</v>
      </c>
      <c r="P229" s="297"/>
      <c r="Q229" s="279"/>
      <c r="R229" s="298">
        <v>45967</v>
      </c>
      <c r="S229" s="298" t="s">
        <v>98</v>
      </c>
      <c r="T229" s="298" t="s">
        <v>98</v>
      </c>
      <c r="U229" s="286" t="s">
        <v>4554</v>
      </c>
      <c r="V229" s="299" t="s">
        <v>1554</v>
      </c>
      <c r="W229" s="300">
        <v>1.1357</v>
      </c>
      <c r="X229" s="301">
        <f t="shared" si="164"/>
        <v>12237.1675</v>
      </c>
      <c r="Y229" s="279"/>
      <c r="Z229" s="280" t="s">
        <v>1570</v>
      </c>
      <c r="AA229" s="276" t="s">
        <v>93</v>
      </c>
      <c r="AB229" s="276" t="s">
        <v>94</v>
      </c>
      <c r="AC229" s="279"/>
      <c r="AD229" s="290"/>
      <c r="AE229" s="290">
        <f t="shared" si="157"/>
        <v>-10775</v>
      </c>
      <c r="AF229" s="302"/>
      <c r="AG229" s="279" t="s">
        <v>95</v>
      </c>
      <c r="AH229" s="279"/>
      <c r="AI229" s="307">
        <f t="shared" si="159"/>
        <v>10775</v>
      </c>
      <c r="AJ229" s="292">
        <f t="shared" si="160"/>
        <v>10775</v>
      </c>
      <c r="AM229" s="24">
        <f t="shared" si="158"/>
        <v>10775</v>
      </c>
      <c r="AR229" s="24">
        <f>I229/25</f>
        <v>431</v>
      </c>
      <c r="AS229" s="279"/>
      <c r="BC229" s="304"/>
      <c r="BD229" s="304"/>
      <c r="BE229" s="304"/>
      <c r="BF229" s="304"/>
      <c r="BK229" s="293"/>
      <c r="BL229" s="293"/>
      <c r="BM229" s="293"/>
      <c r="BN229" s="293"/>
      <c r="BO229" s="293"/>
      <c r="BP229" s="293"/>
      <c r="BT229" s="308">
        <f>'77770 S4 明细'!BX153+I229</f>
        <v>812279</v>
      </c>
      <c r="BU229" s="293"/>
      <c r="BV229" s="293">
        <f>'77770 S4 明细'!$BZ$1-BT229</f>
        <v>-392279</v>
      </c>
      <c r="BW229" s="293">
        <f>'77770 S4 明细'!$BZ$1+'77770 S4 明细'!$CA$1-BT229</f>
        <v>47721</v>
      </c>
      <c r="BX229" s="293"/>
      <c r="BY229" s="293"/>
      <c r="CD229" s="303"/>
      <c r="CE229" s="303"/>
      <c r="CF229" s="303"/>
      <c r="CG229" s="303"/>
      <c r="CH229" s="303"/>
      <c r="CI229" s="303"/>
      <c r="CJ229" s="303"/>
      <c r="CK229" s="303"/>
      <c r="CL229" s="303"/>
      <c r="CM229" s="303"/>
      <c r="CN229" s="303"/>
      <c r="CO229" s="303"/>
      <c r="CP229" s="303"/>
      <c r="CQ229" s="303"/>
      <c r="CR229" s="303"/>
      <c r="CS229" s="303"/>
      <c r="CT229" s="303"/>
      <c r="CU229" s="303"/>
      <c r="CV229" s="303"/>
      <c r="CW229" s="303"/>
      <c r="CX229" s="303"/>
      <c r="CY229" s="303"/>
    </row>
    <row r="230" s="25" customFormat="1" ht="32" customHeight="1" spans="1:103">
      <c r="A230" s="274">
        <v>46058</v>
      </c>
      <c r="B230" s="275" t="s">
        <v>761</v>
      </c>
      <c r="C230" s="276" t="s">
        <v>632</v>
      </c>
      <c r="D230" s="277">
        <v>4500193215</v>
      </c>
      <c r="E230" s="275" t="s">
        <v>4555</v>
      </c>
      <c r="F230" s="277" t="s">
        <v>4556</v>
      </c>
      <c r="G230" s="279" t="s">
        <v>196</v>
      </c>
      <c r="H230" s="279" t="s">
        <v>197</v>
      </c>
      <c r="I230" s="279">
        <v>12</v>
      </c>
      <c r="J230" s="279">
        <v>0</v>
      </c>
      <c r="K230" s="279">
        <v>12</v>
      </c>
      <c r="L230" s="281">
        <f t="shared" si="135"/>
        <v>1</v>
      </c>
      <c r="M230" s="282">
        <v>46127</v>
      </c>
      <c r="N230" s="282">
        <v>46123</v>
      </c>
      <c r="O230" s="283"/>
      <c r="P230" s="284"/>
      <c r="Q230" s="279"/>
      <c r="R230" s="285">
        <v>46058</v>
      </c>
      <c r="S230" s="285" t="s">
        <v>88</v>
      </c>
      <c r="T230" s="285" t="s">
        <v>1212</v>
      </c>
      <c r="U230" s="286" t="s">
        <v>1213</v>
      </c>
      <c r="V230" s="282" t="s">
        <v>731</v>
      </c>
      <c r="W230" s="286">
        <v>4.0025</v>
      </c>
      <c r="X230" s="288">
        <f t="shared" si="164"/>
        <v>48.03</v>
      </c>
      <c r="Y230" s="279"/>
      <c r="Z230" s="279" t="s">
        <v>808</v>
      </c>
      <c r="AA230" s="279" t="s">
        <v>93</v>
      </c>
      <c r="AB230" s="289" t="s">
        <v>94</v>
      </c>
      <c r="AC230" s="279"/>
      <c r="AD230" s="279"/>
      <c r="AE230" s="295">
        <f t="shared" si="157"/>
        <v>-12</v>
      </c>
      <c r="AF230" s="291"/>
      <c r="AG230" s="279"/>
      <c r="AH230" s="279"/>
      <c r="AI230" s="279">
        <f t="shared" ref="AI230:AI234" si="165">I230*2</f>
        <v>24</v>
      </c>
      <c r="AJ230" s="279"/>
      <c r="AK230" s="292"/>
      <c r="AL230" s="24"/>
      <c r="AM230" s="24">
        <f t="shared" ref="AM230:AM234" si="166">I230*2</f>
        <v>24</v>
      </c>
      <c r="AN230" s="279"/>
      <c r="AO230" s="279"/>
      <c r="AP230" s="24"/>
      <c r="AQ230" s="279">
        <f t="shared" ref="AQ230:AQ234" si="167">I230*2</f>
        <v>24</v>
      </c>
      <c r="AR230" s="279"/>
      <c r="AS230" s="279"/>
      <c r="AT230" s="279"/>
      <c r="AU230" s="24"/>
      <c r="AV230" s="24"/>
      <c r="AW230" s="24"/>
      <c r="AX230" s="24"/>
      <c r="AY230" s="24"/>
      <c r="AZ230" s="24"/>
      <c r="BA230" s="24"/>
      <c r="BB230" s="24"/>
      <c r="BC230" s="292"/>
      <c r="BD230" s="24"/>
      <c r="BE230" s="24"/>
      <c r="BF230" s="24"/>
      <c r="BG230" s="24"/>
      <c r="BH230" s="24"/>
      <c r="BI230" s="24"/>
      <c r="BJ230" s="24"/>
      <c r="BK230" s="24"/>
      <c r="BL230" s="24">
        <f t="shared" ref="BL230:BL234" si="168">I230</f>
        <v>12</v>
      </c>
      <c r="BM230" s="24"/>
      <c r="BN230" s="24">
        <f t="shared" ref="BN230:BN234" si="169">I230</f>
        <v>12</v>
      </c>
      <c r="BO230" s="24">
        <f t="shared" ref="BO230:BO234" si="170">I230</f>
        <v>12</v>
      </c>
      <c r="BP230" s="24"/>
      <c r="BQ230" s="24"/>
      <c r="BR230" s="24"/>
      <c r="BS230" s="293">
        <f t="shared" ref="BS230:BS234" si="171">AI230+AJ230</f>
        <v>24</v>
      </c>
      <c r="BT230" s="293">
        <f>'77485 S3 明细'!BV306+BS230</f>
        <v>2685384</v>
      </c>
      <c r="BU230" s="293"/>
      <c r="BV230" s="293"/>
      <c r="BW230" s="293"/>
      <c r="BX230" s="293"/>
      <c r="BY230" s="24">
        <f>SUM('77485 S3 明细'!BX$1:CB$1)-BT230</f>
        <v>134616</v>
      </c>
      <c r="BZ230" s="24"/>
      <c r="CA230" s="24">
        <f t="shared" ref="CA230:CA234" si="172">AU230+AV230+BC230+BD230</f>
        <v>0</v>
      </c>
      <c r="CB230" s="293">
        <f>'77485 S3 明细'!CD345+CA230</f>
        <v>51536.5714285714</v>
      </c>
      <c r="CC230" s="293"/>
      <c r="CD230" s="293"/>
      <c r="CE230" s="293"/>
      <c r="CF230" s="293">
        <f>'77485 S3 明细'!$CF$1+'77485 S3 明细'!$CG$1+'77485 S3 明细'!$CH$1+'77485 S3 明细'!$CI$1-CB230</f>
        <v>8463.4285714286</v>
      </c>
      <c r="CG230" s="293"/>
    </row>
    <row r="231" s="25" customFormat="1" ht="32" customHeight="1" spans="1:103">
      <c r="A231" s="274">
        <v>46058</v>
      </c>
      <c r="B231" s="275" t="s">
        <v>761</v>
      </c>
      <c r="C231" s="276" t="s">
        <v>632</v>
      </c>
      <c r="D231" s="277">
        <v>4500193215</v>
      </c>
      <c r="E231" s="275" t="s">
        <v>4557</v>
      </c>
      <c r="F231" s="277" t="s">
        <v>4558</v>
      </c>
      <c r="G231" s="279" t="s">
        <v>196</v>
      </c>
      <c r="H231" s="279" t="s">
        <v>197</v>
      </c>
      <c r="I231" s="279">
        <v>48</v>
      </c>
      <c r="J231" s="279">
        <v>0</v>
      </c>
      <c r="K231" s="279">
        <v>12</v>
      </c>
      <c r="L231" s="281">
        <f t="shared" si="135"/>
        <v>4</v>
      </c>
      <c r="M231" s="282">
        <v>46127</v>
      </c>
      <c r="N231" s="282">
        <v>46123</v>
      </c>
      <c r="O231" s="283"/>
      <c r="P231" s="284"/>
      <c r="Q231" s="279"/>
      <c r="R231" s="285">
        <v>46058</v>
      </c>
      <c r="S231" s="285" t="s">
        <v>88</v>
      </c>
      <c r="T231" s="285" t="s">
        <v>1212</v>
      </c>
      <c r="U231" s="286" t="s">
        <v>1213</v>
      </c>
      <c r="V231" s="282" t="s">
        <v>731</v>
      </c>
      <c r="W231" s="286">
        <v>4.0025</v>
      </c>
      <c r="X231" s="288">
        <f t="shared" si="164"/>
        <v>192.12</v>
      </c>
      <c r="Y231" s="279"/>
      <c r="Z231" s="279" t="s">
        <v>808</v>
      </c>
      <c r="AA231" s="279" t="s">
        <v>93</v>
      </c>
      <c r="AB231" s="289" t="s">
        <v>94</v>
      </c>
      <c r="AC231" s="279"/>
      <c r="AD231" s="279"/>
      <c r="AE231" s="295">
        <f t="shared" si="157"/>
        <v>-48</v>
      </c>
      <c r="AF231" s="291"/>
      <c r="AG231" s="279"/>
      <c r="AH231" s="279"/>
      <c r="AI231" s="279">
        <f t="shared" si="165"/>
        <v>96</v>
      </c>
      <c r="AJ231" s="279"/>
      <c r="AK231" s="292"/>
      <c r="AL231" s="24"/>
      <c r="AM231" s="24">
        <f t="shared" si="166"/>
        <v>96</v>
      </c>
      <c r="AN231" s="279"/>
      <c r="AO231" s="279"/>
      <c r="AP231" s="24"/>
      <c r="AQ231" s="279">
        <f t="shared" si="167"/>
        <v>96</v>
      </c>
      <c r="AR231" s="279"/>
      <c r="AS231" s="279"/>
      <c r="AT231" s="279"/>
      <c r="AU231" s="24"/>
      <c r="AV231" s="24"/>
      <c r="AW231" s="24"/>
      <c r="AX231" s="24"/>
      <c r="AY231" s="24"/>
      <c r="AZ231" s="24"/>
      <c r="BA231" s="24"/>
      <c r="BB231" s="24"/>
      <c r="BC231" s="292"/>
      <c r="BD231" s="24"/>
      <c r="BE231" s="24"/>
      <c r="BF231" s="24"/>
      <c r="BG231" s="24"/>
      <c r="BH231" s="24"/>
      <c r="BI231" s="24"/>
      <c r="BJ231" s="24"/>
      <c r="BK231" s="24"/>
      <c r="BL231" s="24">
        <f t="shared" si="168"/>
        <v>48</v>
      </c>
      <c r="BM231" s="24"/>
      <c r="BN231" s="24">
        <f t="shared" si="169"/>
        <v>48</v>
      </c>
      <c r="BO231" s="24">
        <f t="shared" si="170"/>
        <v>48</v>
      </c>
      <c r="BP231" s="24"/>
      <c r="BQ231" s="24"/>
      <c r="BR231" s="24"/>
      <c r="BS231" s="293">
        <f t="shared" si="171"/>
        <v>96</v>
      </c>
      <c r="BT231" s="293">
        <f>'77485 S3 明细'!BV307+BS231</f>
        <v>2687640</v>
      </c>
      <c r="BU231" s="293"/>
      <c r="BV231" s="293"/>
      <c r="BW231" s="293"/>
      <c r="BX231" s="293"/>
      <c r="BY231" s="24">
        <f>SUM('77485 S3 明细'!BX$1:CB$1)-BT231</f>
        <v>132360</v>
      </c>
      <c r="BZ231" s="24"/>
      <c r="CA231" s="24">
        <f t="shared" si="172"/>
        <v>0</v>
      </c>
      <c r="CB231" s="293">
        <f t="shared" ref="CB231:CB234" si="173">CB230+CA231</f>
        <v>51536.5714285714</v>
      </c>
      <c r="CC231" s="293"/>
      <c r="CD231" s="293"/>
      <c r="CE231" s="293"/>
      <c r="CF231" s="293">
        <f>'77485 S3 明细'!$CF$1+'77485 S3 明细'!$CG$1+'77485 S3 明细'!$CH$1+'77485 S3 明细'!$CI$1-CB231</f>
        <v>8463.4285714286</v>
      </c>
      <c r="CG231" s="293"/>
    </row>
    <row r="232" s="25" customFormat="1" ht="32" customHeight="1" spans="1:103">
      <c r="A232" s="274">
        <v>46058</v>
      </c>
      <c r="B232" s="275" t="s">
        <v>761</v>
      </c>
      <c r="C232" s="276" t="s">
        <v>632</v>
      </c>
      <c r="D232" s="277">
        <v>4500193215</v>
      </c>
      <c r="E232" s="275" t="s">
        <v>4559</v>
      </c>
      <c r="F232" s="277" t="s">
        <v>4560</v>
      </c>
      <c r="G232" s="279" t="s">
        <v>196</v>
      </c>
      <c r="H232" s="279" t="s">
        <v>197</v>
      </c>
      <c r="I232" s="279">
        <v>48</v>
      </c>
      <c r="J232" s="279">
        <v>0</v>
      </c>
      <c r="K232" s="279">
        <v>12</v>
      </c>
      <c r="L232" s="281">
        <f t="shared" si="135"/>
        <v>4</v>
      </c>
      <c r="M232" s="282">
        <v>46127</v>
      </c>
      <c r="N232" s="282">
        <v>46123</v>
      </c>
      <c r="O232" s="283"/>
      <c r="P232" s="284"/>
      <c r="Q232" s="279"/>
      <c r="R232" s="285">
        <v>46058</v>
      </c>
      <c r="S232" s="285" t="s">
        <v>88</v>
      </c>
      <c r="T232" s="285" t="s">
        <v>1212</v>
      </c>
      <c r="U232" s="286" t="s">
        <v>1213</v>
      </c>
      <c r="V232" s="282" t="s">
        <v>731</v>
      </c>
      <c r="W232" s="286">
        <v>4.0025</v>
      </c>
      <c r="X232" s="288">
        <f t="shared" si="164"/>
        <v>192.12</v>
      </c>
      <c r="Y232" s="279"/>
      <c r="Z232" s="279" t="s">
        <v>808</v>
      </c>
      <c r="AA232" s="279" t="s">
        <v>93</v>
      </c>
      <c r="AB232" s="289" t="s">
        <v>94</v>
      </c>
      <c r="AC232" s="279"/>
      <c r="AD232" s="279"/>
      <c r="AE232" s="295">
        <f t="shared" si="157"/>
        <v>-48</v>
      </c>
      <c r="AF232" s="291"/>
      <c r="AG232" s="279"/>
      <c r="AH232" s="279"/>
      <c r="AI232" s="279">
        <f t="shared" si="165"/>
        <v>96</v>
      </c>
      <c r="AJ232" s="279"/>
      <c r="AK232" s="292"/>
      <c r="AL232" s="24"/>
      <c r="AM232" s="24">
        <f t="shared" si="166"/>
        <v>96</v>
      </c>
      <c r="AN232" s="279"/>
      <c r="AO232" s="279"/>
      <c r="AP232" s="24"/>
      <c r="AQ232" s="279">
        <f t="shared" si="167"/>
        <v>96</v>
      </c>
      <c r="AR232" s="279"/>
      <c r="AS232" s="279"/>
      <c r="AT232" s="279"/>
      <c r="AU232" s="24"/>
      <c r="AV232" s="24"/>
      <c r="AW232" s="24"/>
      <c r="AX232" s="24"/>
      <c r="AY232" s="24"/>
      <c r="AZ232" s="24"/>
      <c r="BA232" s="24"/>
      <c r="BB232" s="24"/>
      <c r="BC232" s="292"/>
      <c r="BD232" s="24"/>
      <c r="BE232" s="24"/>
      <c r="BF232" s="24"/>
      <c r="BG232" s="24"/>
      <c r="BH232" s="24"/>
      <c r="BI232" s="24"/>
      <c r="BJ232" s="24"/>
      <c r="BK232" s="24"/>
      <c r="BL232" s="24">
        <f t="shared" si="168"/>
        <v>48</v>
      </c>
      <c r="BM232" s="24"/>
      <c r="BN232" s="24">
        <f t="shared" si="169"/>
        <v>48</v>
      </c>
      <c r="BO232" s="24">
        <f t="shared" si="170"/>
        <v>48</v>
      </c>
      <c r="BP232" s="24"/>
      <c r="BQ232" s="24"/>
      <c r="BR232" s="24"/>
      <c r="BS232" s="293">
        <f t="shared" si="171"/>
        <v>96</v>
      </c>
      <c r="BT232" s="293">
        <f t="shared" ref="BT232:BT234" si="174">BT230+BS232</f>
        <v>2685480</v>
      </c>
      <c r="BU232" s="293"/>
      <c r="BV232" s="293"/>
      <c r="BW232" s="293"/>
      <c r="BX232" s="293"/>
      <c r="BY232" s="24">
        <f>SUM('77485 S3 明细'!BX$1:CB$1)-BT232</f>
        <v>134520</v>
      </c>
      <c r="BZ232" s="24"/>
      <c r="CA232" s="24">
        <f t="shared" si="172"/>
        <v>0</v>
      </c>
      <c r="CB232" s="293">
        <f t="shared" si="173"/>
        <v>51536.5714285714</v>
      </c>
      <c r="CC232" s="293"/>
      <c r="CD232" s="293"/>
      <c r="CE232" s="293"/>
      <c r="CF232" s="293">
        <f>'77485 S3 明细'!$CF$1+'77485 S3 明细'!$CG$1+'77485 S3 明细'!$CH$1+'77485 S3 明细'!$CI$1-CB232</f>
        <v>8463.4285714286</v>
      </c>
      <c r="CG232" s="293"/>
    </row>
    <row r="233" s="25" customFormat="1" ht="32" customHeight="1" spans="1:103">
      <c r="A233" s="274">
        <v>46058</v>
      </c>
      <c r="B233" s="275" t="s">
        <v>761</v>
      </c>
      <c r="C233" s="276" t="s">
        <v>632</v>
      </c>
      <c r="D233" s="277">
        <v>4500193215</v>
      </c>
      <c r="E233" s="275" t="s">
        <v>4561</v>
      </c>
      <c r="F233" s="277" t="s">
        <v>4562</v>
      </c>
      <c r="G233" s="279" t="s">
        <v>196</v>
      </c>
      <c r="H233" s="279" t="s">
        <v>197</v>
      </c>
      <c r="I233" s="279">
        <v>12</v>
      </c>
      <c r="J233" s="279">
        <v>0</v>
      </c>
      <c r="K233" s="279">
        <v>12</v>
      </c>
      <c r="L233" s="281">
        <f t="shared" si="135"/>
        <v>1</v>
      </c>
      <c r="M233" s="282">
        <v>46127</v>
      </c>
      <c r="N233" s="282">
        <v>46123</v>
      </c>
      <c r="O233" s="283"/>
      <c r="P233" s="284"/>
      <c r="Q233" s="279"/>
      <c r="R233" s="285">
        <v>46058</v>
      </c>
      <c r="S233" s="285" t="s">
        <v>88</v>
      </c>
      <c r="T233" s="285" t="s">
        <v>1212</v>
      </c>
      <c r="U233" s="286" t="s">
        <v>1213</v>
      </c>
      <c r="V233" s="282" t="s">
        <v>731</v>
      </c>
      <c r="W233" s="286">
        <v>4.0406</v>
      </c>
      <c r="X233" s="288">
        <f t="shared" si="164"/>
        <v>48.4872</v>
      </c>
      <c r="Y233" s="279"/>
      <c r="Z233" s="279" t="s">
        <v>808</v>
      </c>
      <c r="AA233" s="279" t="s">
        <v>93</v>
      </c>
      <c r="AB233" s="289" t="s">
        <v>94</v>
      </c>
      <c r="AC233" s="279"/>
      <c r="AD233" s="279"/>
      <c r="AE233" s="295">
        <f t="shared" si="157"/>
        <v>-12</v>
      </c>
      <c r="AF233" s="291"/>
      <c r="AG233" s="279"/>
      <c r="AH233" s="279"/>
      <c r="AI233" s="279">
        <f t="shared" si="165"/>
        <v>24</v>
      </c>
      <c r="AJ233" s="279"/>
      <c r="AK233" s="292"/>
      <c r="AL233" s="24"/>
      <c r="AM233" s="24">
        <f t="shared" si="166"/>
        <v>24</v>
      </c>
      <c r="AN233" s="279"/>
      <c r="AO233" s="279"/>
      <c r="AP233" s="24"/>
      <c r="AQ233" s="279">
        <f t="shared" si="167"/>
        <v>24</v>
      </c>
      <c r="AR233" s="279"/>
      <c r="AS233" s="279"/>
      <c r="AT233" s="279"/>
      <c r="AU233" s="24"/>
      <c r="AV233" s="24"/>
      <c r="AW233" s="24"/>
      <c r="AX233" s="24"/>
      <c r="AY233" s="24"/>
      <c r="AZ233" s="24"/>
      <c r="BA233" s="24"/>
      <c r="BB233" s="24"/>
      <c r="BC233" s="292"/>
      <c r="BD233" s="24"/>
      <c r="BE233" s="24"/>
      <c r="BF233" s="24"/>
      <c r="BG233" s="24"/>
      <c r="BH233" s="24"/>
      <c r="BI233" s="24"/>
      <c r="BJ233" s="24"/>
      <c r="BK233" s="24"/>
      <c r="BL233" s="24">
        <f t="shared" si="168"/>
        <v>12</v>
      </c>
      <c r="BM233" s="24"/>
      <c r="BN233" s="24">
        <f t="shared" si="169"/>
        <v>12</v>
      </c>
      <c r="BO233" s="24">
        <f t="shared" si="170"/>
        <v>12</v>
      </c>
      <c r="BP233" s="24"/>
      <c r="BQ233" s="24"/>
      <c r="BR233" s="24"/>
      <c r="BS233" s="293">
        <f t="shared" si="171"/>
        <v>24</v>
      </c>
      <c r="BT233" s="293">
        <f t="shared" si="174"/>
        <v>2687664</v>
      </c>
      <c r="BU233" s="293"/>
      <c r="BV233" s="293"/>
      <c r="BW233" s="293"/>
      <c r="BX233" s="293"/>
      <c r="BY233" s="24">
        <f>SUM('77485 S3 明细'!BX$1:CB$1)-BT233</f>
        <v>132336</v>
      </c>
      <c r="BZ233" s="24"/>
      <c r="CA233" s="24">
        <f t="shared" si="172"/>
        <v>0</v>
      </c>
      <c r="CB233" s="293">
        <f t="shared" si="173"/>
        <v>51536.5714285714</v>
      </c>
      <c r="CC233" s="293"/>
      <c r="CD233" s="293"/>
      <c r="CE233" s="293"/>
      <c r="CF233" s="293">
        <f>'77485 S3 明细'!$CF$1+'77485 S3 明细'!$CG$1+'77485 S3 明细'!$CH$1+'77485 S3 明细'!$CI$1-CB233</f>
        <v>8463.4285714286</v>
      </c>
      <c r="CG233" s="293"/>
    </row>
    <row r="234" s="25" customFormat="1" ht="32" customHeight="1" spans="1:103">
      <c r="A234" s="274">
        <v>46058</v>
      </c>
      <c r="B234" s="275" t="s">
        <v>761</v>
      </c>
      <c r="C234" s="276" t="s">
        <v>632</v>
      </c>
      <c r="D234" s="277">
        <v>4500193215</v>
      </c>
      <c r="E234" s="275" t="s">
        <v>4563</v>
      </c>
      <c r="F234" s="277" t="s">
        <v>4564</v>
      </c>
      <c r="G234" s="279" t="s">
        <v>196</v>
      </c>
      <c r="H234" s="279" t="s">
        <v>197</v>
      </c>
      <c r="I234" s="279">
        <v>108</v>
      </c>
      <c r="J234" s="279">
        <v>0</v>
      </c>
      <c r="K234" s="279">
        <v>12</v>
      </c>
      <c r="L234" s="281">
        <f t="shared" si="135"/>
        <v>9</v>
      </c>
      <c r="M234" s="282">
        <v>46127</v>
      </c>
      <c r="N234" s="282">
        <v>46123</v>
      </c>
      <c r="O234" s="283"/>
      <c r="P234" s="284"/>
      <c r="Q234" s="279"/>
      <c r="R234" s="285">
        <v>46058</v>
      </c>
      <c r="S234" s="285" t="s">
        <v>88</v>
      </c>
      <c r="T234" s="285" t="s">
        <v>1212</v>
      </c>
      <c r="U234" s="286" t="s">
        <v>1213</v>
      </c>
      <c r="V234" s="282" t="s">
        <v>731</v>
      </c>
      <c r="W234" s="286">
        <v>4.0406</v>
      </c>
      <c r="X234" s="288">
        <f t="shared" si="164"/>
        <v>436.3848</v>
      </c>
      <c r="Y234" s="279"/>
      <c r="Z234" s="279" t="s">
        <v>808</v>
      </c>
      <c r="AA234" s="279" t="s">
        <v>93</v>
      </c>
      <c r="AB234" s="289" t="s">
        <v>94</v>
      </c>
      <c r="AC234" s="279"/>
      <c r="AD234" s="279"/>
      <c r="AE234" s="295">
        <f t="shared" si="157"/>
        <v>-108</v>
      </c>
      <c r="AF234" s="291"/>
      <c r="AG234" s="279"/>
      <c r="AH234" s="279"/>
      <c r="AI234" s="279">
        <f t="shared" si="165"/>
        <v>216</v>
      </c>
      <c r="AJ234" s="279"/>
      <c r="AK234" s="292"/>
      <c r="AL234" s="24"/>
      <c r="AM234" s="24">
        <f t="shared" si="166"/>
        <v>216</v>
      </c>
      <c r="AN234" s="279"/>
      <c r="AO234" s="279"/>
      <c r="AP234" s="24"/>
      <c r="AQ234" s="279">
        <f t="shared" si="167"/>
        <v>216</v>
      </c>
      <c r="AR234" s="279"/>
      <c r="AS234" s="279"/>
      <c r="AT234" s="279"/>
      <c r="AU234" s="24"/>
      <c r="AV234" s="24"/>
      <c r="AW234" s="24"/>
      <c r="AX234" s="24"/>
      <c r="AY234" s="24"/>
      <c r="AZ234" s="24"/>
      <c r="BA234" s="24"/>
      <c r="BB234" s="24"/>
      <c r="BC234" s="292"/>
      <c r="BD234" s="24"/>
      <c r="BE234" s="24"/>
      <c r="BF234" s="24"/>
      <c r="BG234" s="24"/>
      <c r="BH234" s="24"/>
      <c r="BI234" s="24"/>
      <c r="BJ234" s="24"/>
      <c r="BK234" s="24"/>
      <c r="BL234" s="24">
        <f t="shared" si="168"/>
        <v>108</v>
      </c>
      <c r="BM234" s="24"/>
      <c r="BN234" s="24">
        <f t="shared" si="169"/>
        <v>108</v>
      </c>
      <c r="BO234" s="24">
        <f t="shared" si="170"/>
        <v>108</v>
      </c>
      <c r="BP234" s="24"/>
      <c r="BQ234" s="24"/>
      <c r="BR234" s="24"/>
      <c r="BS234" s="293">
        <f t="shared" si="171"/>
        <v>216</v>
      </c>
      <c r="BT234" s="293">
        <f t="shared" si="174"/>
        <v>2685696</v>
      </c>
      <c r="BU234" s="293"/>
      <c r="BV234" s="293"/>
      <c r="BW234" s="293"/>
      <c r="BX234" s="293"/>
      <c r="BY234" s="24">
        <f>SUM('77485 S3 明细'!BX$1:CB$1)-BT234</f>
        <v>134304</v>
      </c>
      <c r="BZ234" s="24"/>
      <c r="CA234" s="24">
        <f t="shared" si="172"/>
        <v>0</v>
      </c>
      <c r="CB234" s="293">
        <f t="shared" si="173"/>
        <v>51536.5714285714</v>
      </c>
      <c r="CC234" s="293"/>
      <c r="CD234" s="293"/>
      <c r="CE234" s="293"/>
      <c r="CF234" s="293">
        <f>'77485 S3 明细'!$CF$1+'77485 S3 明细'!$CG$1+'77485 S3 明细'!$CH$1+'77485 S3 明细'!$CI$1-CB234</f>
        <v>8463.4285714286</v>
      </c>
      <c r="CG234" s="293"/>
    </row>
    <row r="235" s="25" customFormat="1" ht="31" customHeight="1" spans="1:103">
      <c r="A235" s="309">
        <v>45173</v>
      </c>
      <c r="B235" s="310" t="s">
        <v>4565</v>
      </c>
      <c r="C235" s="311" t="s">
        <v>1068</v>
      </c>
      <c r="D235" s="25">
        <v>4500112124</v>
      </c>
      <c r="E235" s="311">
        <v>4400346974</v>
      </c>
      <c r="F235" s="25" t="s">
        <v>4566</v>
      </c>
      <c r="G235" s="312" t="s">
        <v>4567</v>
      </c>
      <c r="H235" s="312" t="s">
        <v>189</v>
      </c>
      <c r="I235" s="312">
        <v>2520</v>
      </c>
      <c r="J235" s="312">
        <v>0</v>
      </c>
      <c r="K235" s="312">
        <v>42</v>
      </c>
      <c r="L235" s="313">
        <f t="shared" si="135"/>
        <v>60</v>
      </c>
      <c r="M235" s="314">
        <v>45226</v>
      </c>
      <c r="N235" s="314" t="s">
        <v>4568</v>
      </c>
      <c r="O235" s="315"/>
      <c r="P235" s="315" t="s">
        <v>86</v>
      </c>
      <c r="Q235" s="312" t="s">
        <v>4569</v>
      </c>
      <c r="R235" s="316">
        <v>45173</v>
      </c>
      <c r="S235" s="312" t="s">
        <v>98</v>
      </c>
      <c r="T235" s="316">
        <v>45187</v>
      </c>
      <c r="U235" s="317" t="s">
        <v>4570</v>
      </c>
      <c r="V235" s="317" t="s">
        <v>4571</v>
      </c>
      <c r="W235" s="317">
        <v>2.06</v>
      </c>
      <c r="X235" s="318">
        <f>W235*I235</f>
        <v>5191.2</v>
      </c>
      <c r="Y235" s="312"/>
      <c r="Z235" s="312"/>
      <c r="AA235" s="312" t="s">
        <v>93</v>
      </c>
      <c r="AB235" s="319" t="s">
        <v>94</v>
      </c>
      <c r="AC235" s="312"/>
      <c r="AD235" s="320">
        <v>2520</v>
      </c>
      <c r="AE235" s="320">
        <f t="shared" si="157"/>
        <v>0</v>
      </c>
      <c r="AF235" s="321"/>
      <c r="AG235" s="312" t="s">
        <v>95</v>
      </c>
      <c r="AH235" s="312"/>
      <c r="AI235" s="312">
        <f t="shared" ref="AI235:AI244" si="175">I235</f>
        <v>2520</v>
      </c>
      <c r="AJ235" s="312"/>
      <c r="AK235" s="312"/>
      <c r="AL235" s="312"/>
      <c r="AM235" s="312"/>
      <c r="AN235" s="312">
        <f>I235</f>
        <v>2520</v>
      </c>
      <c r="AO235" s="312"/>
      <c r="AP235" s="312">
        <f>I235</f>
        <v>2520</v>
      </c>
      <c r="AQ235" s="312"/>
      <c r="AV235" s="25">
        <f>I235/21</f>
        <v>120</v>
      </c>
      <c r="BS235" s="322"/>
      <c r="BT235" s="322"/>
      <c r="BU235" s="322"/>
      <c r="BV235" s="322"/>
      <c r="BW235" s="322"/>
      <c r="BX235" s="322"/>
      <c r="CB235" s="322"/>
      <c r="CC235" s="322"/>
      <c r="CD235" s="322"/>
      <c r="CE235" s="322"/>
      <c r="CF235" s="322"/>
      <c r="CG235" s="322"/>
    </row>
    <row r="236" s="25" customFormat="1" ht="31" customHeight="1" spans="1:103">
      <c r="A236" s="323">
        <v>45247</v>
      </c>
      <c r="B236" s="324" t="s">
        <v>1948</v>
      </c>
      <c r="C236" s="325" t="s">
        <v>1949</v>
      </c>
      <c r="D236" s="326">
        <v>4500118740</v>
      </c>
      <c r="E236" s="325" t="s">
        <v>4572</v>
      </c>
      <c r="F236" s="326" t="s">
        <v>4573</v>
      </c>
      <c r="G236" s="312" t="s">
        <v>4567</v>
      </c>
      <c r="H236" s="312" t="s">
        <v>4574</v>
      </c>
      <c r="I236" s="312">
        <v>504</v>
      </c>
      <c r="J236" s="312">
        <v>0</v>
      </c>
      <c r="K236" s="312">
        <v>42</v>
      </c>
      <c r="L236" s="313">
        <f t="shared" si="135"/>
        <v>12</v>
      </c>
      <c r="M236" s="314">
        <v>45282</v>
      </c>
      <c r="N236" s="314" t="s">
        <v>4575</v>
      </c>
      <c r="O236" s="315"/>
      <c r="P236" s="315"/>
      <c r="Q236" s="312"/>
      <c r="R236" s="316">
        <v>45258</v>
      </c>
      <c r="S236" s="312" t="s">
        <v>98</v>
      </c>
      <c r="T236" s="316">
        <v>45259</v>
      </c>
      <c r="U236" s="327" t="s">
        <v>4576</v>
      </c>
      <c r="V236" s="328" t="s">
        <v>4577</v>
      </c>
      <c r="W236" s="317">
        <v>2.0437</v>
      </c>
      <c r="X236" s="318">
        <f>W236*I236</f>
        <v>1030.0248</v>
      </c>
      <c r="Y236" s="312"/>
      <c r="Z236" s="312"/>
      <c r="AA236" s="312" t="s">
        <v>93</v>
      </c>
      <c r="AB236" s="319"/>
      <c r="AC236" s="312"/>
      <c r="AD236" s="320"/>
      <c r="AE236" s="320"/>
      <c r="AF236" s="321"/>
      <c r="AG236" s="312" t="s">
        <v>95</v>
      </c>
      <c r="AH236" s="312"/>
      <c r="AI236" s="312">
        <f t="shared" si="175"/>
        <v>504</v>
      </c>
      <c r="AJ236" s="312"/>
      <c r="AK236" s="312">
        <f t="shared" ref="AK236:AK239" si="176">I236</f>
        <v>504</v>
      </c>
      <c r="AL236" s="312"/>
      <c r="AM236" s="312"/>
      <c r="AN236" s="312"/>
      <c r="AO236" s="312"/>
      <c r="AP236" s="312"/>
      <c r="AQ236" s="312">
        <f t="shared" ref="AQ236:AQ244" si="177">I236</f>
        <v>504</v>
      </c>
      <c r="AR236" s="312"/>
      <c r="AS236" s="312"/>
      <c r="AT236" s="312"/>
      <c r="AU236" s="25">
        <f t="shared" ref="AU236:AU239" si="178">I236/21</f>
        <v>24</v>
      </c>
      <c r="BS236" s="322"/>
      <c r="BT236" s="322"/>
      <c r="BU236" s="322"/>
      <c r="BV236" s="322"/>
      <c r="BW236" s="322"/>
      <c r="BX236" s="322"/>
      <c r="CB236" s="322"/>
      <c r="CC236" s="322"/>
      <c r="CD236" s="322"/>
      <c r="CE236" s="322"/>
      <c r="CF236" s="322"/>
      <c r="CG236" s="322"/>
    </row>
    <row r="237" s="25" customFormat="1" ht="31" customHeight="1" spans="1:103">
      <c r="A237" s="309">
        <v>45210</v>
      </c>
      <c r="B237" s="310" t="s">
        <v>4578</v>
      </c>
      <c r="C237" s="311" t="s">
        <v>4579</v>
      </c>
      <c r="D237" s="25">
        <v>4500115438</v>
      </c>
      <c r="E237" s="311"/>
      <c r="F237" s="25" t="s">
        <v>4580</v>
      </c>
      <c r="G237" s="312" t="s">
        <v>4444</v>
      </c>
      <c r="H237" s="312" t="s">
        <v>189</v>
      </c>
      <c r="I237" s="312">
        <v>2160</v>
      </c>
      <c r="J237" s="312">
        <v>0</v>
      </c>
      <c r="K237" s="312">
        <v>48</v>
      </c>
      <c r="L237" s="313">
        <f t="shared" si="135"/>
        <v>45</v>
      </c>
      <c r="M237" s="314">
        <v>45247</v>
      </c>
      <c r="N237" s="314" t="s">
        <v>4581</v>
      </c>
      <c r="O237" s="315"/>
      <c r="P237" s="315"/>
      <c r="Q237" s="312"/>
      <c r="R237" s="316">
        <v>45218</v>
      </c>
      <c r="S237" s="312" t="s">
        <v>98</v>
      </c>
      <c r="T237" s="316" t="s">
        <v>98</v>
      </c>
      <c r="U237" s="317" t="s">
        <v>4582</v>
      </c>
      <c r="V237" s="317" t="s">
        <v>481</v>
      </c>
      <c r="W237" s="317">
        <v>2.25</v>
      </c>
      <c r="X237" s="318">
        <f>I237*W237</f>
        <v>4860</v>
      </c>
      <c r="Y237" s="312"/>
      <c r="Z237" s="312"/>
      <c r="AA237" s="312" t="s">
        <v>93</v>
      </c>
      <c r="AB237" s="319" t="s">
        <v>94</v>
      </c>
      <c r="AC237" s="312"/>
      <c r="AD237" s="320"/>
      <c r="AE237" s="320">
        <f t="shared" ref="AE237:AE242" si="179">AD237-I237</f>
        <v>-2160</v>
      </c>
      <c r="AF237" s="329"/>
      <c r="AG237" s="312"/>
      <c r="AH237" s="312"/>
      <c r="AI237" s="312">
        <f t="shared" si="175"/>
        <v>2160</v>
      </c>
      <c r="AJ237" s="312"/>
      <c r="AK237" s="312">
        <f t="shared" si="176"/>
        <v>2160</v>
      </c>
      <c r="AL237" s="312"/>
      <c r="AM237" s="312"/>
      <c r="AN237" s="312"/>
      <c r="AO237" s="312"/>
      <c r="AP237" s="312">
        <f>I237</f>
        <v>2160</v>
      </c>
      <c r="AR237" s="312"/>
      <c r="AS237" s="312"/>
      <c r="AT237" s="312"/>
      <c r="AW237" s="25">
        <f>I237/12</f>
        <v>180</v>
      </c>
      <c r="BS237" s="322"/>
      <c r="BT237" s="322"/>
      <c r="BU237" s="322"/>
      <c r="BV237" s="322"/>
      <c r="BW237" s="322"/>
      <c r="BX237" s="322"/>
      <c r="CB237" s="322"/>
      <c r="CC237" s="322"/>
      <c r="CD237" s="322"/>
      <c r="CE237" s="322"/>
      <c r="CF237" s="322"/>
      <c r="CG237" s="322"/>
    </row>
    <row r="238" s="25" customFormat="1" ht="31" customHeight="1" spans="1:103">
      <c r="A238" s="323">
        <v>45264</v>
      </c>
      <c r="B238" s="324" t="s">
        <v>1548</v>
      </c>
      <c r="C238" s="325" t="s">
        <v>125</v>
      </c>
      <c r="D238" s="330">
        <v>4500120234</v>
      </c>
      <c r="E238" s="325" t="s">
        <v>4583</v>
      </c>
      <c r="F238" s="330" t="s">
        <v>4584</v>
      </c>
      <c r="G238" s="312" t="s">
        <v>4427</v>
      </c>
      <c r="H238" s="312" t="s">
        <v>189</v>
      </c>
      <c r="I238" s="312">
        <v>29463</v>
      </c>
      <c r="J238" s="312">
        <v>0</v>
      </c>
      <c r="K238" s="312">
        <v>21</v>
      </c>
      <c r="L238" s="313">
        <f t="shared" si="135"/>
        <v>1403</v>
      </c>
      <c r="M238" s="314">
        <v>45310</v>
      </c>
      <c r="N238" s="314" t="s">
        <v>4585</v>
      </c>
      <c r="O238" s="315"/>
      <c r="P238" s="315"/>
      <c r="Q238" s="312"/>
      <c r="R238" s="316">
        <v>45274</v>
      </c>
      <c r="S238" s="312" t="s">
        <v>88</v>
      </c>
      <c r="T238" s="316" t="s">
        <v>89</v>
      </c>
      <c r="U238" s="317" t="s">
        <v>4586</v>
      </c>
      <c r="V238" s="314" t="s">
        <v>1554</v>
      </c>
      <c r="W238" s="317">
        <v>1.9916</v>
      </c>
      <c r="X238" s="318">
        <f>W238*I238</f>
        <v>58678.5108</v>
      </c>
      <c r="Y238" s="312"/>
      <c r="Z238" s="312"/>
      <c r="AA238" s="312" t="s">
        <v>93</v>
      </c>
      <c r="AB238" s="319"/>
      <c r="AC238" s="312"/>
      <c r="AD238" s="320"/>
      <c r="AE238" s="320"/>
      <c r="AF238" s="321"/>
      <c r="AG238" s="312"/>
      <c r="AH238" s="312"/>
      <c r="AI238" s="312">
        <f t="shared" si="175"/>
        <v>29463</v>
      </c>
      <c r="AJ238" s="312"/>
      <c r="AK238" s="312">
        <f t="shared" si="176"/>
        <v>29463</v>
      </c>
      <c r="AN238" s="312"/>
      <c r="AO238" s="312"/>
      <c r="AQ238" s="312">
        <f t="shared" si="177"/>
        <v>29463</v>
      </c>
      <c r="AR238" s="312"/>
      <c r="AS238" s="312"/>
      <c r="AT238" s="312"/>
      <c r="AU238" s="25">
        <f t="shared" si="178"/>
        <v>1403</v>
      </c>
      <c r="BS238" s="331">
        <f t="shared" ref="BS238:BS242" si="180">AI238+AJ238</f>
        <v>29463</v>
      </c>
      <c r="BT238" s="331" t="e">
        <f>#REF!+BS238</f>
        <v>#REF!</v>
      </c>
      <c r="BU238" s="322"/>
      <c r="BV238" s="322"/>
      <c r="BW238" s="322"/>
      <c r="BX238" s="322"/>
      <c r="CB238" s="322"/>
      <c r="CC238" s="322"/>
      <c r="CD238" s="322"/>
      <c r="CE238" s="322"/>
      <c r="CF238" s="322"/>
      <c r="CG238" s="322"/>
    </row>
    <row r="239" s="25" customFormat="1" ht="31" customHeight="1" spans="1:103">
      <c r="A239" s="323">
        <v>45268</v>
      </c>
      <c r="B239" s="324" t="s">
        <v>1548</v>
      </c>
      <c r="C239" s="325" t="s">
        <v>125</v>
      </c>
      <c r="D239" s="330">
        <v>4500120658</v>
      </c>
      <c r="E239" s="325" t="s">
        <v>4587</v>
      </c>
      <c r="F239" s="330" t="s">
        <v>4588</v>
      </c>
      <c r="G239" s="312" t="s">
        <v>4427</v>
      </c>
      <c r="H239" s="312" t="s">
        <v>189</v>
      </c>
      <c r="I239" s="312">
        <v>50547</v>
      </c>
      <c r="J239" s="312">
        <v>0</v>
      </c>
      <c r="K239" s="312">
        <v>21</v>
      </c>
      <c r="L239" s="313">
        <f t="shared" si="135"/>
        <v>2407</v>
      </c>
      <c r="M239" s="314">
        <v>45337</v>
      </c>
      <c r="N239" s="314" t="s">
        <v>4585</v>
      </c>
      <c r="O239" s="315"/>
      <c r="P239" s="315"/>
      <c r="Q239" s="312"/>
      <c r="R239" s="316" t="s">
        <v>89</v>
      </c>
      <c r="S239" s="312" t="s">
        <v>88</v>
      </c>
      <c r="T239" s="316" t="s">
        <v>89</v>
      </c>
      <c r="U239" s="317" t="s">
        <v>4589</v>
      </c>
      <c r="V239" s="314" t="s">
        <v>1554</v>
      </c>
      <c r="W239" s="317">
        <v>1.9848</v>
      </c>
      <c r="X239" s="318">
        <f>W239*I239</f>
        <v>100325.6856</v>
      </c>
      <c r="Y239" s="312"/>
      <c r="Z239" s="312"/>
      <c r="AA239" s="312" t="s">
        <v>93</v>
      </c>
      <c r="AB239" s="319"/>
      <c r="AC239" s="312"/>
      <c r="AD239" s="320"/>
      <c r="AE239" s="320"/>
      <c r="AF239" s="321"/>
      <c r="AG239" s="312"/>
      <c r="AH239" s="312"/>
      <c r="AI239" s="312">
        <f t="shared" si="175"/>
        <v>50547</v>
      </c>
      <c r="AJ239" s="312"/>
      <c r="AK239" s="312">
        <f t="shared" si="176"/>
        <v>50547</v>
      </c>
      <c r="AN239" s="312"/>
      <c r="AO239" s="312"/>
      <c r="AQ239" s="312">
        <f t="shared" si="177"/>
        <v>50547</v>
      </c>
      <c r="AR239" s="312"/>
      <c r="AS239" s="312"/>
      <c r="AT239" s="312"/>
      <c r="AU239" s="25">
        <f t="shared" si="178"/>
        <v>2407</v>
      </c>
      <c r="BS239" s="331">
        <f t="shared" si="180"/>
        <v>50547</v>
      </c>
      <c r="BT239" s="331" t="e">
        <f>BT238+BS239</f>
        <v>#REF!</v>
      </c>
      <c r="BU239" s="322"/>
      <c r="BV239" s="322"/>
      <c r="BW239" s="322"/>
      <c r="BX239" s="322"/>
      <c r="CB239" s="322"/>
      <c r="CC239" s="322"/>
      <c r="CD239" s="322"/>
      <c r="CE239" s="322"/>
      <c r="CF239" s="322"/>
      <c r="CG239" s="322"/>
    </row>
    <row r="240" s="25" customFormat="1" ht="31" customHeight="1" spans="1:103">
      <c r="A240" s="323">
        <v>45208</v>
      </c>
      <c r="B240" s="324" t="s">
        <v>4121</v>
      </c>
      <c r="C240" s="325" t="s">
        <v>632</v>
      </c>
      <c r="D240" s="330">
        <v>4500115266</v>
      </c>
      <c r="E240" s="325">
        <v>4900856437</v>
      </c>
      <c r="F240" s="330" t="s">
        <v>4590</v>
      </c>
      <c r="G240" s="312" t="s">
        <v>4427</v>
      </c>
      <c r="H240" s="312" t="s">
        <v>189</v>
      </c>
      <c r="I240" s="312">
        <v>8778</v>
      </c>
      <c r="J240" s="312">
        <v>0</v>
      </c>
      <c r="K240" s="312">
        <v>21</v>
      </c>
      <c r="L240" s="313">
        <f t="shared" si="135"/>
        <v>418</v>
      </c>
      <c r="M240" s="314">
        <v>45306</v>
      </c>
      <c r="N240" s="314" t="s">
        <v>4270</v>
      </c>
      <c r="O240" s="315" t="s">
        <v>4591</v>
      </c>
      <c r="P240" s="315" t="s">
        <v>325</v>
      </c>
      <c r="Q240" s="312"/>
      <c r="R240" s="316">
        <v>45265</v>
      </c>
      <c r="S240" s="312" t="s">
        <v>98</v>
      </c>
      <c r="T240" s="316" t="s">
        <v>98</v>
      </c>
      <c r="U240" s="317" t="s">
        <v>4592</v>
      </c>
      <c r="V240" s="314" t="s">
        <v>4593</v>
      </c>
      <c r="W240" s="317">
        <v>2.08</v>
      </c>
      <c r="X240" s="318">
        <f>W240*I240</f>
        <v>18258.24</v>
      </c>
      <c r="Y240" s="312"/>
      <c r="Z240" s="312"/>
      <c r="AA240" s="312" t="s">
        <v>93</v>
      </c>
      <c r="AB240" s="319" t="s">
        <v>94</v>
      </c>
      <c r="AC240" s="312"/>
      <c r="AD240" s="320">
        <f>8778</f>
        <v>8778</v>
      </c>
      <c r="AE240" s="320">
        <f t="shared" si="179"/>
        <v>0</v>
      </c>
      <c r="AF240" s="321"/>
      <c r="AG240" s="312" t="s">
        <v>98</v>
      </c>
      <c r="AH240" s="312"/>
      <c r="AI240" s="312">
        <f t="shared" si="175"/>
        <v>8778</v>
      </c>
      <c r="AJ240" s="312"/>
      <c r="AK240" s="312"/>
      <c r="AN240" s="312">
        <f t="shared" ref="AN240:AN242" si="181">I240</f>
        <v>8778</v>
      </c>
      <c r="AO240" s="312"/>
      <c r="AQ240" s="312">
        <f t="shared" si="177"/>
        <v>8778</v>
      </c>
      <c r="AR240" s="312"/>
      <c r="AS240" s="312"/>
      <c r="AT240" s="312"/>
      <c r="AV240" s="25">
        <f t="shared" ref="AV240:AV242" si="182">I240/21</f>
        <v>418</v>
      </c>
      <c r="BS240" s="322">
        <f t="shared" si="180"/>
        <v>8778</v>
      </c>
      <c r="BT240" s="322" t="e">
        <f>#REF!+BS240</f>
        <v>#REF!</v>
      </c>
      <c r="BU240" s="322" t="e">
        <f>'77485 S3 明细'!$BX$1-BT240</f>
        <v>#REF!</v>
      </c>
      <c r="BV240" s="322"/>
      <c r="BW240" s="322"/>
      <c r="BX240" s="322"/>
      <c r="CA240" s="25">
        <f t="shared" ref="CA240:CA242" si="183">AU240+AV240</f>
        <v>418</v>
      </c>
      <c r="CB240" s="322" t="e">
        <f>#REF!+CA240</f>
        <v>#REF!</v>
      </c>
      <c r="CC240" s="322"/>
      <c r="CD240" s="322"/>
      <c r="CE240" s="322" t="e">
        <f>'77485 S3 明细'!$CF$1+'77485 S3 明细'!$CG$1+'77485 S3 明细'!$CH$1-CB240</f>
        <v>#REF!</v>
      </c>
      <c r="CF240" s="322"/>
      <c r="CG240" s="322"/>
    </row>
    <row r="241" s="25" customFormat="1" ht="31" customHeight="1" spans="1:107">
      <c r="A241" s="323">
        <v>45208</v>
      </c>
      <c r="B241" s="324" t="s">
        <v>4121</v>
      </c>
      <c r="C241" s="325" t="s">
        <v>632</v>
      </c>
      <c r="D241" s="330">
        <v>4500115268</v>
      </c>
      <c r="E241" s="325">
        <v>4900856438</v>
      </c>
      <c r="F241" s="330" t="s">
        <v>4594</v>
      </c>
      <c r="G241" s="312" t="s">
        <v>4427</v>
      </c>
      <c r="H241" s="312" t="s">
        <v>189</v>
      </c>
      <c r="I241" s="312">
        <v>7686</v>
      </c>
      <c r="J241" s="312">
        <v>0</v>
      </c>
      <c r="K241" s="312">
        <v>21</v>
      </c>
      <c r="L241" s="313">
        <f t="shared" ref="L241:L251" si="184">I241/K241</f>
        <v>366</v>
      </c>
      <c r="M241" s="314">
        <v>45308</v>
      </c>
      <c r="N241" s="314" t="s">
        <v>4270</v>
      </c>
      <c r="O241" s="315" t="s">
        <v>4591</v>
      </c>
      <c r="P241" s="315" t="s">
        <v>325</v>
      </c>
      <c r="Q241" s="312"/>
      <c r="R241" s="316">
        <v>45265</v>
      </c>
      <c r="S241" s="312" t="s">
        <v>98</v>
      </c>
      <c r="T241" s="316" t="s">
        <v>98</v>
      </c>
      <c r="U241" s="317" t="s">
        <v>4595</v>
      </c>
      <c r="V241" s="317" t="s">
        <v>4593</v>
      </c>
      <c r="W241" s="317">
        <v>2.08</v>
      </c>
      <c r="X241" s="318">
        <f t="shared" ref="X241:X247" si="185">W241*I241</f>
        <v>15986.88</v>
      </c>
      <c r="Y241" s="312"/>
      <c r="Z241" s="312"/>
      <c r="AA241" s="312" t="s">
        <v>93</v>
      </c>
      <c r="AB241" s="319" t="s">
        <v>94</v>
      </c>
      <c r="AC241" s="312"/>
      <c r="AD241" s="320">
        <v>7686</v>
      </c>
      <c r="AE241" s="320">
        <f t="shared" si="179"/>
        <v>0</v>
      </c>
      <c r="AF241" s="321"/>
      <c r="AG241" s="312" t="s">
        <v>98</v>
      </c>
      <c r="AH241" s="312"/>
      <c r="AI241" s="312">
        <f t="shared" si="175"/>
        <v>7686</v>
      </c>
      <c r="AK241" s="312"/>
      <c r="AN241" s="312">
        <f t="shared" si="181"/>
        <v>7686</v>
      </c>
      <c r="AO241" s="312"/>
      <c r="AQ241" s="312">
        <f t="shared" si="177"/>
        <v>7686</v>
      </c>
      <c r="AR241" s="312"/>
      <c r="AS241" s="312"/>
      <c r="AT241" s="312"/>
      <c r="AV241" s="25">
        <f t="shared" si="182"/>
        <v>366</v>
      </c>
      <c r="BS241" s="322">
        <f t="shared" si="180"/>
        <v>7686</v>
      </c>
      <c r="BT241" s="322" t="e">
        <f>#REF!+BS241</f>
        <v>#REF!</v>
      </c>
      <c r="BU241" s="322" t="e">
        <f>'77485 S3 明细'!$BX$1-BT241</f>
        <v>#REF!</v>
      </c>
      <c r="BV241" s="322"/>
      <c r="BW241" s="322"/>
      <c r="BX241" s="322"/>
      <c r="CA241" s="25">
        <f t="shared" si="183"/>
        <v>366</v>
      </c>
      <c r="CB241" s="322" t="e">
        <f>#REF!+CA241</f>
        <v>#REF!</v>
      </c>
      <c r="CC241" s="322"/>
      <c r="CD241" s="322"/>
      <c r="CE241" s="322" t="e">
        <f>'77485 S3 明细'!$CF$1+'77485 S3 明细'!$CG$1+'77485 S3 明细'!$CH$1-CB241</f>
        <v>#REF!</v>
      </c>
      <c r="CF241" s="322"/>
      <c r="CG241" s="322"/>
    </row>
    <row r="242" s="25" customFormat="1" ht="31" customHeight="1" spans="1:107">
      <c r="A242" s="323">
        <v>45208</v>
      </c>
      <c r="B242" s="324" t="s">
        <v>4121</v>
      </c>
      <c r="C242" s="325" t="s">
        <v>632</v>
      </c>
      <c r="D242" s="330">
        <v>4500115269</v>
      </c>
      <c r="E242" s="332">
        <v>4900856439</v>
      </c>
      <c r="F242" s="330" t="s">
        <v>4596</v>
      </c>
      <c r="G242" s="312" t="s">
        <v>4427</v>
      </c>
      <c r="H242" s="312" t="s">
        <v>189</v>
      </c>
      <c r="I242" s="312">
        <v>2310</v>
      </c>
      <c r="J242" s="312">
        <v>0</v>
      </c>
      <c r="K242" s="312">
        <v>21</v>
      </c>
      <c r="L242" s="313">
        <f t="shared" si="184"/>
        <v>110</v>
      </c>
      <c r="M242" s="314">
        <v>45320</v>
      </c>
      <c r="N242" s="314" t="s">
        <v>4270</v>
      </c>
      <c r="O242" s="315"/>
      <c r="P242" s="315" t="s">
        <v>4597</v>
      </c>
      <c r="Q242" s="312"/>
      <c r="R242" s="316">
        <v>45265</v>
      </c>
      <c r="S242" s="312" t="s">
        <v>98</v>
      </c>
      <c r="T242" s="316" t="s">
        <v>98</v>
      </c>
      <c r="U242" s="317" t="s">
        <v>4598</v>
      </c>
      <c r="V242" s="314" t="s">
        <v>4593</v>
      </c>
      <c r="W242" s="317">
        <v>2.08</v>
      </c>
      <c r="X242" s="318">
        <f t="shared" si="185"/>
        <v>4804.8</v>
      </c>
      <c r="Y242" s="312"/>
      <c r="Z242" s="312"/>
      <c r="AA242" s="312" t="s">
        <v>93</v>
      </c>
      <c r="AB242" s="319" t="s">
        <v>94</v>
      </c>
      <c r="AC242" s="312"/>
      <c r="AD242" s="320"/>
      <c r="AE242" s="320">
        <f t="shared" si="179"/>
        <v>-2310</v>
      </c>
      <c r="AF242" s="321"/>
      <c r="AG242" s="312" t="s">
        <v>98</v>
      </c>
      <c r="AH242" s="312"/>
      <c r="AI242" s="312">
        <f t="shared" si="175"/>
        <v>2310</v>
      </c>
      <c r="AJ242" s="312"/>
      <c r="AK242" s="312"/>
      <c r="AN242" s="312">
        <f t="shared" si="181"/>
        <v>2310</v>
      </c>
      <c r="AO242" s="312"/>
      <c r="AQ242" s="312">
        <f t="shared" si="177"/>
        <v>2310</v>
      </c>
      <c r="AR242" s="312"/>
      <c r="AS242" s="312"/>
      <c r="AT242" s="312"/>
      <c r="AV242" s="25">
        <f t="shared" si="182"/>
        <v>110</v>
      </c>
      <c r="BS242" s="322">
        <f t="shared" si="180"/>
        <v>2310</v>
      </c>
      <c r="BT242" s="322" t="e">
        <f>#REF!+BS242</f>
        <v>#REF!</v>
      </c>
      <c r="BU242" s="322"/>
      <c r="BV242" s="322" t="e">
        <f>'77485 S3 明细'!$BX$1+'77485 S3 明细'!$BY$1-BT242</f>
        <v>#REF!</v>
      </c>
      <c r="BW242" s="322"/>
      <c r="BX242" s="322"/>
      <c r="CA242" s="25">
        <f t="shared" si="183"/>
        <v>110</v>
      </c>
      <c r="CB242" s="322" t="e">
        <f>#REF!+CA242</f>
        <v>#REF!</v>
      </c>
      <c r="CC242" s="322"/>
      <c r="CD242" s="322"/>
      <c r="CE242" s="322" t="e">
        <f>'77485 S3 明细'!$CF$1+'77485 S3 明细'!$CG$1+'77485 S3 明细'!$CH$1-CB242</f>
        <v>#REF!</v>
      </c>
      <c r="CF242" s="322"/>
      <c r="CG242" s="322"/>
    </row>
    <row r="243" s="25" customFormat="1" ht="31" customHeight="1" spans="1:107">
      <c r="A243" s="323">
        <v>45321</v>
      </c>
      <c r="B243" s="324" t="s">
        <v>1964</v>
      </c>
      <c r="C243" s="325" t="s">
        <v>1544</v>
      </c>
      <c r="D243" s="330">
        <v>4500124079</v>
      </c>
      <c r="E243" s="333" t="s">
        <v>4599</v>
      </c>
      <c r="F243" s="330" t="s">
        <v>4600</v>
      </c>
      <c r="G243" s="312" t="s">
        <v>4427</v>
      </c>
      <c r="H243" s="312" t="s">
        <v>189</v>
      </c>
      <c r="I243" s="312">
        <v>4200</v>
      </c>
      <c r="J243" s="312">
        <v>0</v>
      </c>
      <c r="K243" s="312">
        <v>21</v>
      </c>
      <c r="L243" s="313">
        <f t="shared" si="184"/>
        <v>200</v>
      </c>
      <c r="M243" s="314">
        <v>45362</v>
      </c>
      <c r="N243" s="315" t="s">
        <v>4601</v>
      </c>
      <c r="O243" s="315"/>
      <c r="P243" s="315"/>
      <c r="Q243" s="312"/>
      <c r="R243" s="316">
        <v>45321</v>
      </c>
      <c r="S243" s="312" t="s">
        <v>98</v>
      </c>
      <c r="T243" s="316" t="s">
        <v>98</v>
      </c>
      <c r="U243" s="317" t="s">
        <v>4602</v>
      </c>
      <c r="V243" s="317" t="s">
        <v>4603</v>
      </c>
      <c r="W243" s="317">
        <v>2.0685</v>
      </c>
      <c r="X243" s="318">
        <f t="shared" si="185"/>
        <v>8687.7</v>
      </c>
      <c r="Y243" s="312"/>
      <c r="Z243" s="312"/>
      <c r="AA243" s="312"/>
      <c r="AB243" s="319"/>
      <c r="AC243" s="312"/>
      <c r="AD243" s="320"/>
      <c r="AE243" s="320"/>
      <c r="AF243" s="321"/>
      <c r="AG243" s="312"/>
      <c r="AH243" s="312"/>
      <c r="AI243" s="312">
        <f t="shared" si="175"/>
        <v>4200</v>
      </c>
      <c r="AJ243" s="312"/>
      <c r="AK243" s="312">
        <f>I243</f>
        <v>4200</v>
      </c>
      <c r="AN243" s="312"/>
      <c r="AO243" s="312"/>
      <c r="AQ243" s="312">
        <f t="shared" si="177"/>
        <v>4200</v>
      </c>
      <c r="AR243" s="312"/>
      <c r="AS243" s="312"/>
      <c r="AT243" s="312"/>
      <c r="AU243" s="25">
        <f>I243/21</f>
        <v>200</v>
      </c>
      <c r="BS243" s="322"/>
      <c r="BT243" s="322"/>
      <c r="BU243" s="322"/>
      <c r="BV243" s="322"/>
      <c r="BW243" s="322"/>
      <c r="BX243" s="322"/>
      <c r="CB243" s="322"/>
      <c r="CC243" s="322"/>
      <c r="CD243" s="322"/>
      <c r="CE243" s="322"/>
      <c r="CF243" s="322"/>
      <c r="CG243" s="322"/>
    </row>
    <row r="244" s="25" customFormat="1" ht="31" customHeight="1" spans="1:107">
      <c r="A244" s="323">
        <v>45321</v>
      </c>
      <c r="B244" s="324" t="s">
        <v>1964</v>
      </c>
      <c r="C244" s="325" t="s">
        <v>1544</v>
      </c>
      <c r="D244" s="330">
        <v>4500124079</v>
      </c>
      <c r="E244" s="333" t="s">
        <v>4604</v>
      </c>
      <c r="F244" s="330" t="s">
        <v>4605</v>
      </c>
      <c r="G244" s="312" t="s">
        <v>4427</v>
      </c>
      <c r="H244" s="312" t="s">
        <v>189</v>
      </c>
      <c r="I244" s="312">
        <v>1050</v>
      </c>
      <c r="J244" s="312">
        <v>0</v>
      </c>
      <c r="K244" s="312">
        <v>21</v>
      </c>
      <c r="L244" s="313">
        <f t="shared" si="184"/>
        <v>50</v>
      </c>
      <c r="M244" s="314">
        <v>45362</v>
      </c>
      <c r="N244" s="315" t="s">
        <v>4601</v>
      </c>
      <c r="O244" s="315"/>
      <c r="P244" s="315"/>
      <c r="Q244" s="312"/>
      <c r="R244" s="316">
        <v>45321</v>
      </c>
      <c r="S244" s="312" t="s">
        <v>98</v>
      </c>
      <c r="T244" s="316" t="s">
        <v>98</v>
      </c>
      <c r="U244" s="317" t="s">
        <v>4602</v>
      </c>
      <c r="V244" s="317" t="s">
        <v>4603</v>
      </c>
      <c r="W244" s="317">
        <v>2.0685</v>
      </c>
      <c r="X244" s="318">
        <f t="shared" si="185"/>
        <v>2171.925</v>
      </c>
      <c r="Y244" s="312"/>
      <c r="Z244" s="312"/>
      <c r="AA244" s="312"/>
      <c r="AB244" s="319"/>
      <c r="AC244" s="312"/>
      <c r="AD244" s="320"/>
      <c r="AE244" s="320"/>
      <c r="AF244" s="321"/>
      <c r="AG244" s="312"/>
      <c r="AH244" s="312"/>
      <c r="AI244" s="312">
        <f t="shared" si="175"/>
        <v>1050</v>
      </c>
      <c r="AJ244" s="312"/>
      <c r="AK244" s="312">
        <f>I244</f>
        <v>1050</v>
      </c>
      <c r="AN244" s="312"/>
      <c r="AO244" s="312"/>
      <c r="AQ244" s="312">
        <f t="shared" si="177"/>
        <v>1050</v>
      </c>
      <c r="AR244" s="312"/>
      <c r="AS244" s="312"/>
      <c r="AT244" s="312"/>
      <c r="AU244" s="25">
        <f>I244/21</f>
        <v>50</v>
      </c>
      <c r="BS244" s="322"/>
      <c r="BT244" s="322"/>
      <c r="BU244" s="322"/>
      <c r="BV244" s="322"/>
      <c r="BW244" s="322"/>
      <c r="BX244" s="322"/>
      <c r="CB244" s="322"/>
      <c r="CC244" s="322"/>
      <c r="CD244" s="322"/>
      <c r="CE244" s="322"/>
      <c r="CF244" s="322"/>
      <c r="CG244" s="322"/>
    </row>
    <row r="245" s="24" customFormat="1" ht="31" customHeight="1" spans="1:107">
      <c r="A245" s="274">
        <v>46101</v>
      </c>
      <c r="B245" s="334" t="s">
        <v>2497</v>
      </c>
      <c r="C245" s="335" t="s">
        <v>110</v>
      </c>
      <c r="D245" s="277">
        <v>4500197232</v>
      </c>
      <c r="E245" s="275" t="s">
        <v>2756</v>
      </c>
      <c r="F245" s="277" t="s">
        <v>4606</v>
      </c>
      <c r="G245" s="279" t="s">
        <v>1746</v>
      </c>
      <c r="H245" s="280" t="s">
        <v>1747</v>
      </c>
      <c r="I245" s="276">
        <v>564</v>
      </c>
      <c r="J245" s="276">
        <v>0</v>
      </c>
      <c r="K245" s="276">
        <v>12</v>
      </c>
      <c r="L245" s="296">
        <f t="shared" si="184"/>
        <v>47</v>
      </c>
      <c r="M245" s="282">
        <v>46157</v>
      </c>
      <c r="N245" s="282">
        <v>46153</v>
      </c>
      <c r="O245" s="279"/>
      <c r="P245" s="297" t="s">
        <v>86</v>
      </c>
      <c r="Q245" s="279"/>
      <c r="R245" s="298" t="s">
        <v>597</v>
      </c>
      <c r="S245" s="298" t="s">
        <v>88</v>
      </c>
      <c r="T245" s="298" t="s">
        <v>2373</v>
      </c>
      <c r="U245" s="286" t="s">
        <v>4607</v>
      </c>
      <c r="V245" s="282" t="s">
        <v>2501</v>
      </c>
      <c r="W245" s="336">
        <v>2.7893</v>
      </c>
      <c r="X245" s="301">
        <f t="shared" si="185"/>
        <v>1573.1652</v>
      </c>
      <c r="Y245" s="279"/>
      <c r="Z245" s="279" t="s">
        <v>2442</v>
      </c>
      <c r="AA245" s="276" t="s">
        <v>93</v>
      </c>
      <c r="AB245" s="276" t="s">
        <v>94</v>
      </c>
      <c r="AC245" s="279"/>
      <c r="AD245" s="289">
        <v>564</v>
      </c>
      <c r="AE245" s="290">
        <f>AD245-I245</f>
        <v>0</v>
      </c>
      <c r="AF245" s="302"/>
      <c r="AG245" s="279" t="s">
        <v>95</v>
      </c>
      <c r="AH245" s="279"/>
      <c r="AI245" s="279">
        <f>I245*2</f>
        <v>1128</v>
      </c>
      <c r="AK245" s="292">
        <f t="shared" ref="AK245:AK250" si="186">I245*2</f>
        <v>1128</v>
      </c>
      <c r="AL245" s="292"/>
      <c r="AM245" s="24">
        <f>I245</f>
        <v>564</v>
      </c>
      <c r="AN245" s="279"/>
      <c r="AR245" s="279"/>
      <c r="AS245" s="279"/>
      <c r="AT245" s="279"/>
      <c r="AU245" s="279"/>
      <c r="BC245" s="304"/>
      <c r="BD245" s="304"/>
      <c r="BE245" s="304"/>
      <c r="BF245" s="304"/>
      <c r="BG245" s="304"/>
      <c r="BH245" s="24">
        <f>I245</f>
        <v>564</v>
      </c>
      <c r="BI245" s="24">
        <f>I245</f>
        <v>564</v>
      </c>
      <c r="BJ245" s="24">
        <f t="shared" ref="BJ245:BJ250" si="187">I245</f>
        <v>564</v>
      </c>
      <c r="BL245" s="293"/>
      <c r="BM245" s="293"/>
      <c r="BN245" s="293"/>
      <c r="BO245" s="293"/>
      <c r="BP245" s="293"/>
      <c r="BQ245" s="293"/>
      <c r="BT245" s="24">
        <f>AR245+AS245+AW245</f>
        <v>0</v>
      </c>
      <c r="BU245" s="24">
        <f>BD245+BE245+BG245</f>
        <v>0</v>
      </c>
      <c r="BV245" s="293">
        <f>AI245+'77770 S4 明细'!BX241</f>
        <v>1023582</v>
      </c>
      <c r="BW245" s="293"/>
      <c r="BX245" s="293"/>
      <c r="BY245" s="293"/>
      <c r="BZ245" s="293">
        <f>'77770 S4 明细'!$BZ$1+'77770 S4 明细'!$CA$1+'77770 S4 明细'!$CB$1-BV245</f>
        <v>276418</v>
      </c>
      <c r="CA245" s="293"/>
      <c r="CF245" s="303"/>
      <c r="CG245" s="303"/>
      <c r="CH245" s="303"/>
      <c r="CI245" s="303"/>
      <c r="CJ245" s="303"/>
      <c r="CK245" s="303"/>
      <c r="CL245" s="303"/>
      <c r="CM245" s="303"/>
      <c r="CN245" s="303"/>
      <c r="CO245" s="303"/>
      <c r="CP245" s="303"/>
      <c r="CQ245" s="303"/>
      <c r="CR245" s="303"/>
      <c r="CS245" s="303"/>
      <c r="CT245" s="303"/>
      <c r="CU245" s="303"/>
      <c r="CV245" s="303"/>
      <c r="CW245" s="303"/>
      <c r="CX245" s="303"/>
      <c r="CY245" s="303"/>
      <c r="CZ245" s="303"/>
      <c r="DA245" s="303"/>
    </row>
    <row r="246" s="24" customFormat="1" ht="31" customHeight="1" spans="1:107">
      <c r="A246" s="274">
        <v>46101</v>
      </c>
      <c r="B246" s="334" t="s">
        <v>2497</v>
      </c>
      <c r="C246" s="335" t="s">
        <v>110</v>
      </c>
      <c r="D246" s="277">
        <v>4500197232</v>
      </c>
      <c r="E246" s="275" t="s">
        <v>4608</v>
      </c>
      <c r="F246" s="277" t="s">
        <v>4609</v>
      </c>
      <c r="G246" s="279" t="s">
        <v>1746</v>
      </c>
      <c r="H246" s="280" t="s">
        <v>1747</v>
      </c>
      <c r="I246" s="276">
        <v>1152</v>
      </c>
      <c r="J246" s="276">
        <v>0</v>
      </c>
      <c r="K246" s="276">
        <v>12</v>
      </c>
      <c r="L246" s="296">
        <f t="shared" si="184"/>
        <v>96</v>
      </c>
      <c r="M246" s="282">
        <v>46157</v>
      </c>
      <c r="N246" s="282">
        <v>46153</v>
      </c>
      <c r="O246" s="279"/>
      <c r="P246" s="297" t="s">
        <v>86</v>
      </c>
      <c r="Q246" s="279"/>
      <c r="R246" s="298" t="s">
        <v>597</v>
      </c>
      <c r="S246" s="298" t="s">
        <v>88</v>
      </c>
      <c r="T246" s="298" t="s">
        <v>2373</v>
      </c>
      <c r="U246" s="286" t="s">
        <v>4607</v>
      </c>
      <c r="V246" s="282" t="s">
        <v>2501</v>
      </c>
      <c r="W246" s="336">
        <v>2.7893</v>
      </c>
      <c r="X246" s="301">
        <f t="shared" si="185"/>
        <v>3213.2736</v>
      </c>
      <c r="Y246" s="279"/>
      <c r="Z246" s="279" t="s">
        <v>2442</v>
      </c>
      <c r="AA246" s="276" t="s">
        <v>93</v>
      </c>
      <c r="AB246" s="276" t="s">
        <v>94</v>
      </c>
      <c r="AC246" s="279"/>
      <c r="AD246" s="289">
        <v>1152</v>
      </c>
      <c r="AE246" s="290">
        <f>AD246-I246</f>
        <v>0</v>
      </c>
      <c r="AF246" s="302"/>
      <c r="AG246" s="279" t="s">
        <v>95</v>
      </c>
      <c r="AH246" s="279"/>
      <c r="AI246" s="279">
        <f>I246*2</f>
        <v>2304</v>
      </c>
      <c r="AK246" s="292">
        <f t="shared" si="186"/>
        <v>2304</v>
      </c>
      <c r="AL246" s="292"/>
      <c r="AM246" s="24">
        <f>I246</f>
        <v>1152</v>
      </c>
      <c r="AN246" s="279"/>
      <c r="AR246" s="279"/>
      <c r="AS246" s="279"/>
      <c r="AT246" s="279"/>
      <c r="AU246" s="279"/>
      <c r="BC246" s="304"/>
      <c r="BD246" s="304"/>
      <c r="BE246" s="304"/>
      <c r="BF246" s="304"/>
      <c r="BG246" s="304"/>
      <c r="BH246" s="24">
        <f>I246</f>
        <v>1152</v>
      </c>
      <c r="BI246" s="24">
        <f>I246</f>
        <v>1152</v>
      </c>
      <c r="BJ246" s="24">
        <f t="shared" si="187"/>
        <v>1152</v>
      </c>
      <c r="BL246" s="293"/>
      <c r="BM246" s="293"/>
      <c r="BN246" s="293"/>
      <c r="BO246" s="293"/>
      <c r="BP246" s="293"/>
      <c r="BQ246" s="293"/>
      <c r="BT246" s="24">
        <f>AR246+AS246+AW246</f>
        <v>0</v>
      </c>
      <c r="BU246" s="24">
        <f>BD246+BE246+BG246</f>
        <v>0</v>
      </c>
      <c r="BV246" s="293">
        <f>AI246+'77770 S4 明细'!BX239</f>
        <v>1016118</v>
      </c>
      <c r="BW246" s="293"/>
      <c r="BX246" s="293"/>
      <c r="BY246" s="293"/>
      <c r="BZ246" s="293">
        <f>'77770 S4 明细'!$BZ$1+'77770 S4 明细'!$CA$1+'77770 S4 明细'!$CB$1-BV246</f>
        <v>283882</v>
      </c>
      <c r="CA246" s="293"/>
      <c r="CF246" s="303"/>
      <c r="CG246" s="303"/>
      <c r="CH246" s="303"/>
      <c r="CI246" s="303"/>
      <c r="CJ246" s="303"/>
      <c r="CK246" s="303"/>
      <c r="CL246" s="303"/>
      <c r="CM246" s="303"/>
      <c r="CN246" s="303"/>
      <c r="CO246" s="303"/>
      <c r="CP246" s="303"/>
      <c r="CQ246" s="303"/>
      <c r="CR246" s="303"/>
      <c r="CS246" s="303"/>
      <c r="CT246" s="303"/>
      <c r="CU246" s="303"/>
      <c r="CV246" s="303"/>
      <c r="CW246" s="303"/>
      <c r="CX246" s="303"/>
      <c r="CY246" s="303"/>
      <c r="CZ246" s="303"/>
      <c r="DA246" s="303"/>
    </row>
    <row r="247" s="24" customFormat="1" ht="31" customHeight="1" spans="1:107">
      <c r="A247" s="274">
        <v>46101</v>
      </c>
      <c r="B247" s="334" t="s">
        <v>2497</v>
      </c>
      <c r="C247" s="335" t="s">
        <v>110</v>
      </c>
      <c r="D247" s="277">
        <v>4500197232</v>
      </c>
      <c r="E247" s="275" t="s">
        <v>4610</v>
      </c>
      <c r="F247" s="277" t="s">
        <v>4611</v>
      </c>
      <c r="G247" s="279" t="s">
        <v>1746</v>
      </c>
      <c r="H247" s="280" t="s">
        <v>1747</v>
      </c>
      <c r="I247" s="276">
        <v>1152</v>
      </c>
      <c r="J247" s="276">
        <v>0</v>
      </c>
      <c r="K247" s="276">
        <v>12</v>
      </c>
      <c r="L247" s="296">
        <f t="shared" si="184"/>
        <v>96</v>
      </c>
      <c r="M247" s="282">
        <v>46157</v>
      </c>
      <c r="N247" s="282">
        <v>46153</v>
      </c>
      <c r="O247" s="279"/>
      <c r="P247" s="297" t="s">
        <v>86</v>
      </c>
      <c r="Q247" s="279"/>
      <c r="R247" s="298" t="s">
        <v>597</v>
      </c>
      <c r="S247" s="298" t="s">
        <v>88</v>
      </c>
      <c r="T247" s="298" t="s">
        <v>2373</v>
      </c>
      <c r="U247" s="286" t="s">
        <v>4607</v>
      </c>
      <c r="V247" s="282" t="s">
        <v>2501</v>
      </c>
      <c r="W247" s="336">
        <v>2.7893</v>
      </c>
      <c r="X247" s="301">
        <f t="shared" si="185"/>
        <v>3213.2736</v>
      </c>
      <c r="Y247" s="279"/>
      <c r="Z247" s="279" t="s">
        <v>2442</v>
      </c>
      <c r="AA247" s="276" t="s">
        <v>93</v>
      </c>
      <c r="AB247" s="276" t="s">
        <v>94</v>
      </c>
      <c r="AC247" s="279"/>
      <c r="AD247" s="289">
        <v>1152</v>
      </c>
      <c r="AE247" s="290">
        <f>AD247-I247</f>
        <v>0</v>
      </c>
      <c r="AF247" s="302"/>
      <c r="AG247" s="279" t="s">
        <v>95</v>
      </c>
      <c r="AH247" s="279"/>
      <c r="AI247" s="279">
        <f>I247*2</f>
        <v>2304</v>
      </c>
      <c r="AK247" s="292">
        <f t="shared" si="186"/>
        <v>2304</v>
      </c>
      <c r="AL247" s="292"/>
      <c r="AM247" s="24">
        <f>I247</f>
        <v>1152</v>
      </c>
      <c r="AN247" s="279"/>
      <c r="AR247" s="279"/>
      <c r="AS247" s="279"/>
      <c r="AT247" s="279"/>
      <c r="AU247" s="279"/>
      <c r="BC247" s="304"/>
      <c r="BD247" s="304"/>
      <c r="BE247" s="304"/>
      <c r="BF247" s="304"/>
      <c r="BG247" s="304"/>
      <c r="BH247" s="24">
        <f>I247</f>
        <v>1152</v>
      </c>
      <c r="BI247" s="24">
        <f>I247</f>
        <v>1152</v>
      </c>
      <c r="BJ247" s="24">
        <f t="shared" si="187"/>
        <v>1152</v>
      </c>
      <c r="BL247" s="293"/>
      <c r="BM247" s="293"/>
      <c r="BN247" s="293"/>
      <c r="BO247" s="293"/>
      <c r="BP247" s="293"/>
      <c r="BQ247" s="293"/>
      <c r="BT247" s="24">
        <f>AR247+AS247+AW247</f>
        <v>0</v>
      </c>
      <c r="BU247" s="24">
        <f>BD247+BE247+BG247</f>
        <v>0</v>
      </c>
      <c r="BV247" s="293">
        <f>AI247+'77770 S4 明细'!BX240</f>
        <v>1010358</v>
      </c>
      <c r="BW247" s="293"/>
      <c r="BX247" s="293"/>
      <c r="BY247" s="293"/>
      <c r="BZ247" s="293">
        <f>'77770 S4 明细'!$BZ$1+'77770 S4 明细'!$CA$1+'77770 S4 明细'!$CB$1-BV247</f>
        <v>289642</v>
      </c>
      <c r="CA247" s="293"/>
      <c r="CF247" s="303"/>
      <c r="CG247" s="303"/>
      <c r="CH247" s="303"/>
      <c r="CI247" s="303"/>
      <c r="CJ247" s="303"/>
      <c r="CK247" s="303"/>
      <c r="CL247" s="303"/>
      <c r="CM247" s="303"/>
      <c r="CN247" s="303"/>
      <c r="CO247" s="303"/>
      <c r="CP247" s="303"/>
      <c r="CQ247" s="303"/>
      <c r="CR247" s="303"/>
      <c r="CS247" s="303"/>
      <c r="CT247" s="303"/>
      <c r="CU247" s="303"/>
      <c r="CV247" s="303"/>
      <c r="CW247" s="303"/>
      <c r="CX247" s="303"/>
      <c r="CY247" s="303"/>
      <c r="CZ247" s="303"/>
      <c r="DA247" s="303"/>
    </row>
    <row r="248" s="24" customFormat="1" ht="31" customHeight="1" spans="1:107">
      <c r="A248" s="294">
        <v>46160</v>
      </c>
      <c r="B248" s="295" t="s">
        <v>1956</v>
      </c>
      <c r="C248" s="304" t="s">
        <v>110</v>
      </c>
      <c r="D248" s="24" t="s">
        <v>4612</v>
      </c>
      <c r="E248" s="279" t="s">
        <v>4608</v>
      </c>
      <c r="F248" s="24" t="s">
        <v>4613</v>
      </c>
      <c r="G248" s="280" t="s">
        <v>1746</v>
      </c>
      <c r="H248" s="276" t="s">
        <v>2549</v>
      </c>
      <c r="I248" s="337">
        <v>1152</v>
      </c>
      <c r="J248" s="276">
        <v>0</v>
      </c>
      <c r="K248" s="276">
        <v>12</v>
      </c>
      <c r="L248" s="296">
        <f t="shared" si="184"/>
        <v>96</v>
      </c>
      <c r="M248" s="282">
        <v>46275</v>
      </c>
      <c r="N248" s="282">
        <v>46272</v>
      </c>
      <c r="O248" s="279"/>
      <c r="P248" s="297"/>
      <c r="Q248" s="279"/>
      <c r="R248" s="298" t="s">
        <v>2550</v>
      </c>
      <c r="S248" s="298" t="s">
        <v>88</v>
      </c>
      <c r="T248" s="298" t="s">
        <v>4614</v>
      </c>
      <c r="U248" s="298"/>
      <c r="V248" s="286" t="s">
        <v>4615</v>
      </c>
      <c r="W248" s="299" t="s">
        <v>1391</v>
      </c>
      <c r="X248" s="336">
        <v>2.8742</v>
      </c>
      <c r="Y248" s="301">
        <f t="shared" ref="Y248:Y251" si="188">X248*I248</f>
        <v>3311.0784</v>
      </c>
      <c r="Z248" s="301"/>
      <c r="AA248" s="279"/>
      <c r="AB248" s="279" t="s">
        <v>2442</v>
      </c>
      <c r="AC248" s="279" t="s">
        <v>93</v>
      </c>
      <c r="AD248" s="276"/>
      <c r="AE248" s="279"/>
      <c r="AF248" s="290"/>
      <c r="AG248" s="290">
        <f t="shared" ref="AG248:AG251" si="189">AF248-I248</f>
        <v>-1152</v>
      </c>
      <c r="AH248" s="302"/>
      <c r="AI248" s="279"/>
      <c r="AJ248" s="279"/>
      <c r="AK248" s="279">
        <f t="shared" si="186"/>
        <v>2304</v>
      </c>
      <c r="AL248" s="292"/>
      <c r="AM248" s="292">
        <f t="shared" ref="AM248:AM250" si="190">I248*2</f>
        <v>2304</v>
      </c>
      <c r="AN248" s="292"/>
      <c r="AO248" s="24">
        <f t="shared" ref="AO248:AO250" si="191">I248*2</f>
        <v>2304</v>
      </c>
      <c r="BE248" s="304"/>
      <c r="BF248" s="304"/>
      <c r="BG248" s="304"/>
      <c r="BH248" s="304"/>
      <c r="BI248" s="304"/>
      <c r="BJ248" s="24">
        <f t="shared" si="187"/>
        <v>1152</v>
      </c>
      <c r="BK248" s="24">
        <f t="shared" ref="BK248:BK250" si="192">I248</f>
        <v>1152</v>
      </c>
      <c r="BL248" s="24">
        <f t="shared" ref="BL248:BL250" si="193">I248</f>
        <v>1152</v>
      </c>
      <c r="BN248" s="293"/>
      <c r="BO248" s="293"/>
      <c r="BP248" s="293"/>
      <c r="BQ248" s="293"/>
      <c r="BR248" s="293"/>
      <c r="BS248" s="293"/>
      <c r="BV248" s="24">
        <f t="shared" ref="BV248:BV251" si="194">AT248+AU248+AY248</f>
        <v>0</v>
      </c>
      <c r="BW248" s="24">
        <f t="shared" ref="BW248:BW251" si="195">BF248+BG248+BI248</f>
        <v>0</v>
      </c>
      <c r="BX248" s="293">
        <f>AK248+'77770 S4 明细'!BX289</f>
        <v>1014402</v>
      </c>
      <c r="BY248" s="293"/>
      <c r="BZ248" s="293"/>
      <c r="CA248" s="293"/>
      <c r="CB248" s="293">
        <f>'77770 S4 明细'!$BZ$1+'77770 S4 明细'!$CA$1+'77770 S4 明细'!$CB$1-BX248</f>
        <v>285598</v>
      </c>
      <c r="CC248" s="293"/>
      <c r="CH248" s="303"/>
      <c r="CI248" s="303"/>
      <c r="CJ248" s="303"/>
      <c r="CK248" s="303"/>
      <c r="CL248" s="303"/>
      <c r="CM248" s="303"/>
      <c r="CN248" s="303"/>
      <c r="CO248" s="303"/>
      <c r="CP248" s="303"/>
      <c r="CQ248" s="303"/>
      <c r="CR248" s="303"/>
      <c r="CS248" s="303"/>
      <c r="CT248" s="303"/>
      <c r="CU248" s="303"/>
      <c r="CV248" s="303"/>
      <c r="CW248" s="303"/>
      <c r="CX248" s="303"/>
      <c r="CY248" s="303"/>
      <c r="CZ248" s="303"/>
      <c r="DA248" s="303"/>
      <c r="DB248" s="303"/>
      <c r="DC248" s="303"/>
    </row>
    <row r="249" s="24" customFormat="1" ht="31" customHeight="1" spans="1:107">
      <c r="A249" s="274">
        <v>46101</v>
      </c>
      <c r="B249" s="334" t="s">
        <v>2497</v>
      </c>
      <c r="C249" s="335" t="s">
        <v>110</v>
      </c>
      <c r="D249" s="277">
        <v>4500197232</v>
      </c>
      <c r="E249" s="275" t="s">
        <v>4616</v>
      </c>
      <c r="F249" s="277" t="s">
        <v>4617</v>
      </c>
      <c r="G249" s="279" t="s">
        <v>1746</v>
      </c>
      <c r="H249" s="280" t="s">
        <v>1747</v>
      </c>
      <c r="I249" s="276">
        <v>1848</v>
      </c>
      <c r="J249" s="276">
        <v>0</v>
      </c>
      <c r="K249" s="276">
        <v>12</v>
      </c>
      <c r="L249" s="296">
        <f t="shared" si="184"/>
        <v>154</v>
      </c>
      <c r="M249" s="314">
        <v>46205</v>
      </c>
      <c r="N249" s="314">
        <v>46201</v>
      </c>
      <c r="O249" s="279"/>
      <c r="P249" s="297" t="s">
        <v>86</v>
      </c>
      <c r="Q249" s="279"/>
      <c r="R249" s="298" t="s">
        <v>597</v>
      </c>
      <c r="S249" s="298" t="s">
        <v>88</v>
      </c>
      <c r="T249" s="298" t="s">
        <v>2373</v>
      </c>
      <c r="U249" s="298"/>
      <c r="V249" s="286" t="s">
        <v>4607</v>
      </c>
      <c r="W249" s="282" t="s">
        <v>2501</v>
      </c>
      <c r="X249" s="336">
        <v>2.7893</v>
      </c>
      <c r="Y249" s="301">
        <f t="shared" si="188"/>
        <v>5154.6264</v>
      </c>
      <c r="Z249" s="301"/>
      <c r="AA249" s="279"/>
      <c r="AB249" s="279" t="s">
        <v>2442</v>
      </c>
      <c r="AC249" s="276" t="s">
        <v>93</v>
      </c>
      <c r="AD249" s="276" t="s">
        <v>94</v>
      </c>
      <c r="AE249" s="279"/>
      <c r="AF249" s="289">
        <v>1848</v>
      </c>
      <c r="AG249" s="290">
        <f t="shared" si="189"/>
        <v>0</v>
      </c>
      <c r="AH249" s="302"/>
      <c r="AI249" s="279" t="s">
        <v>95</v>
      </c>
      <c r="AJ249" s="279"/>
      <c r="AK249" s="279">
        <f t="shared" si="186"/>
        <v>3696</v>
      </c>
      <c r="AM249" s="292">
        <f t="shared" si="190"/>
        <v>3696</v>
      </c>
      <c r="AN249" s="292"/>
      <c r="AO249" s="24">
        <f t="shared" si="191"/>
        <v>3696</v>
      </c>
      <c r="AP249" s="279"/>
      <c r="AT249" s="279"/>
      <c r="AU249" s="279"/>
      <c r="AV249" s="279"/>
      <c r="AW249" s="279"/>
      <c r="BE249" s="304"/>
      <c r="BF249" s="304"/>
      <c r="BG249" s="304"/>
      <c r="BH249" s="304"/>
      <c r="BI249" s="304"/>
      <c r="BJ249" s="24">
        <f t="shared" si="187"/>
        <v>1848</v>
      </c>
      <c r="BK249" s="24">
        <f t="shared" si="192"/>
        <v>1848</v>
      </c>
      <c r="BL249" s="24">
        <f t="shared" si="193"/>
        <v>1848</v>
      </c>
      <c r="BN249" s="293"/>
      <c r="BO249" s="293"/>
      <c r="BP249" s="293"/>
      <c r="BQ249" s="293"/>
      <c r="BR249" s="293"/>
      <c r="BS249" s="293"/>
      <c r="BV249" s="24">
        <f t="shared" si="194"/>
        <v>0</v>
      </c>
      <c r="BW249" s="24">
        <f t="shared" si="195"/>
        <v>0</v>
      </c>
      <c r="BX249" s="293">
        <f>AK249+'77770 S4 明细'!BX272</f>
        <v>1002150</v>
      </c>
      <c r="BY249" s="293"/>
      <c r="BZ249" s="293"/>
      <c r="CA249" s="293"/>
      <c r="CB249" s="293">
        <f>'77770 S4 明细'!$BZ$1+'77770 S4 明细'!$CA$1+'77770 S4 明细'!$CB$1-BX249</f>
        <v>297850</v>
      </c>
      <c r="CC249" s="293"/>
      <c r="CH249" s="303"/>
      <c r="CI249" s="303"/>
      <c r="CJ249" s="303"/>
      <c r="CK249" s="303"/>
      <c r="CL249" s="303"/>
      <c r="CM249" s="303"/>
      <c r="CN249" s="303"/>
      <c r="CO249" s="303"/>
      <c r="CP249" s="303"/>
      <c r="CQ249" s="303"/>
      <c r="CR249" s="303"/>
      <c r="CS249" s="303"/>
      <c r="CT249" s="303"/>
      <c r="CU249" s="303"/>
      <c r="CV249" s="303"/>
      <c r="CW249" s="303"/>
      <c r="CX249" s="303"/>
      <c r="CY249" s="303"/>
      <c r="CZ249" s="303"/>
      <c r="DA249" s="303"/>
      <c r="DB249" s="303"/>
      <c r="DC249" s="303"/>
    </row>
    <row r="250" s="24" customFormat="1" ht="31" customHeight="1" spans="1:107">
      <c r="A250" s="294">
        <v>46160</v>
      </c>
      <c r="B250" s="295" t="s">
        <v>1956</v>
      </c>
      <c r="C250" s="304" t="s">
        <v>110</v>
      </c>
      <c r="D250" s="24" t="s">
        <v>4618</v>
      </c>
      <c r="E250" s="279" t="s">
        <v>4610</v>
      </c>
      <c r="F250" s="24" t="s">
        <v>4619</v>
      </c>
      <c r="G250" s="280" t="s">
        <v>1746</v>
      </c>
      <c r="H250" s="276" t="s">
        <v>2549</v>
      </c>
      <c r="I250" s="337">
        <v>1152</v>
      </c>
      <c r="J250" s="276">
        <v>0</v>
      </c>
      <c r="K250" s="276">
        <v>12</v>
      </c>
      <c r="L250" s="296">
        <f t="shared" si="184"/>
        <v>96</v>
      </c>
      <c r="M250" s="282">
        <v>46240</v>
      </c>
      <c r="N250" s="282">
        <v>46237</v>
      </c>
      <c r="O250" s="279"/>
      <c r="P250" s="297"/>
      <c r="Q250" s="279"/>
      <c r="R250" s="298" t="s">
        <v>2550</v>
      </c>
      <c r="S250" s="298" t="s">
        <v>88</v>
      </c>
      <c r="T250" s="298" t="s">
        <v>4614</v>
      </c>
      <c r="U250" s="298"/>
      <c r="V250" s="286" t="s">
        <v>4620</v>
      </c>
      <c r="W250" s="299" t="s">
        <v>599</v>
      </c>
      <c r="X250" s="336">
        <v>2.8742</v>
      </c>
      <c r="Y250" s="301">
        <f t="shared" si="188"/>
        <v>3311.0784</v>
      </c>
      <c r="Z250" s="301"/>
      <c r="AA250" s="279"/>
      <c r="AB250" s="279" t="s">
        <v>2442</v>
      </c>
      <c r="AC250" s="279" t="s">
        <v>93</v>
      </c>
      <c r="AD250" s="276"/>
      <c r="AE250" s="279"/>
      <c r="AF250" s="290"/>
      <c r="AG250" s="290">
        <f t="shared" si="189"/>
        <v>-1152</v>
      </c>
      <c r="AH250" s="302"/>
      <c r="AI250" s="279"/>
      <c r="AJ250" s="279"/>
      <c r="AK250" s="279">
        <f t="shared" si="186"/>
        <v>2304</v>
      </c>
      <c r="AL250" s="292"/>
      <c r="AM250" s="292">
        <f t="shared" si="190"/>
        <v>2304</v>
      </c>
      <c r="AN250" s="292"/>
      <c r="AO250" s="24">
        <f t="shared" si="191"/>
        <v>2304</v>
      </c>
      <c r="BE250" s="304"/>
      <c r="BF250" s="304"/>
      <c r="BG250" s="304"/>
      <c r="BH250" s="304"/>
      <c r="BI250" s="304"/>
      <c r="BJ250" s="24">
        <f t="shared" si="187"/>
        <v>1152</v>
      </c>
      <c r="BK250" s="24">
        <f t="shared" si="192"/>
        <v>1152</v>
      </c>
      <c r="BL250" s="24">
        <f t="shared" si="193"/>
        <v>1152</v>
      </c>
      <c r="BN250" s="293"/>
      <c r="BO250" s="293"/>
      <c r="BP250" s="293"/>
      <c r="BQ250" s="293"/>
      <c r="BR250" s="293"/>
      <c r="BS250" s="293"/>
      <c r="BV250" s="24">
        <f t="shared" si="194"/>
        <v>0</v>
      </c>
      <c r="BW250" s="24">
        <f t="shared" si="195"/>
        <v>0</v>
      </c>
      <c r="BX250" s="293">
        <f>AK250+'77770 S4 明细'!BX294</f>
        <v>1008494</v>
      </c>
      <c r="BY250" s="293"/>
      <c r="BZ250" s="293"/>
      <c r="CA250" s="293"/>
      <c r="CB250" s="293">
        <f>'77770 S4 明细'!$BZ$1+'77770 S4 明细'!$CA$1+'77770 S4 明细'!$CB$1-BX250</f>
        <v>291506</v>
      </c>
      <c r="CC250" s="293"/>
      <c r="CH250" s="303"/>
      <c r="CI250" s="303"/>
      <c r="CJ250" s="303"/>
      <c r="CK250" s="303"/>
      <c r="CL250" s="303"/>
      <c r="CM250" s="303"/>
      <c r="CN250" s="303"/>
      <c r="CO250" s="303"/>
      <c r="CP250" s="303"/>
      <c r="CQ250" s="303"/>
      <c r="CR250" s="303"/>
      <c r="CS250" s="303"/>
      <c r="CT250" s="303"/>
      <c r="CU250" s="303"/>
      <c r="CV250" s="303"/>
      <c r="CW250" s="303"/>
      <c r="CX250" s="303"/>
      <c r="CY250" s="303"/>
      <c r="CZ250" s="303"/>
      <c r="DA250" s="303"/>
      <c r="DB250" s="303"/>
      <c r="DC250" s="303"/>
    </row>
    <row r="251" s="24" customFormat="1" ht="31" customHeight="1" spans="1:107">
      <c r="A251" s="294">
        <v>46164</v>
      </c>
      <c r="B251" s="295" t="s">
        <v>2457</v>
      </c>
      <c r="C251" s="304" t="s">
        <v>377</v>
      </c>
      <c r="D251" s="24" t="s">
        <v>4621</v>
      </c>
      <c r="E251" s="279" t="s">
        <v>4622</v>
      </c>
      <c r="F251" s="24" t="s">
        <v>4623</v>
      </c>
      <c r="G251" s="280" t="s">
        <v>1537</v>
      </c>
      <c r="H251" s="276" t="s">
        <v>2582</v>
      </c>
      <c r="I251" s="337">
        <v>1508</v>
      </c>
      <c r="J251" s="276">
        <v>0</v>
      </c>
      <c r="K251" s="276">
        <v>13</v>
      </c>
      <c r="L251" s="296">
        <f t="shared" si="184"/>
        <v>116</v>
      </c>
      <c r="M251" s="282">
        <v>46209</v>
      </c>
      <c r="N251" s="314">
        <v>46209</v>
      </c>
      <c r="O251" s="279"/>
      <c r="P251" s="297"/>
      <c r="Q251" s="279"/>
      <c r="R251" s="298" t="s">
        <v>89</v>
      </c>
      <c r="S251" s="298" t="s">
        <v>88</v>
      </c>
      <c r="T251" s="298" t="s">
        <v>4624</v>
      </c>
      <c r="U251" s="298"/>
      <c r="V251" s="286" t="s">
        <v>4625</v>
      </c>
      <c r="W251" s="299" t="s">
        <v>2459</v>
      </c>
      <c r="X251" s="336">
        <v>1.9678</v>
      </c>
      <c r="Y251" s="301">
        <f t="shared" si="188"/>
        <v>2967.4424</v>
      </c>
      <c r="Z251" s="301"/>
      <c r="AA251" s="279"/>
      <c r="AB251" s="280" t="s">
        <v>1537</v>
      </c>
      <c r="AC251" s="279" t="s">
        <v>93</v>
      </c>
      <c r="AD251" s="276"/>
      <c r="AE251" s="279"/>
      <c r="AF251" s="290"/>
      <c r="AG251" s="290">
        <f t="shared" si="189"/>
        <v>-1508</v>
      </c>
      <c r="AH251" s="302"/>
      <c r="AI251" s="279"/>
      <c r="AJ251" s="279"/>
      <c r="AK251" s="279">
        <f>I251</f>
        <v>1508</v>
      </c>
      <c r="AL251" s="292">
        <f>I251</f>
        <v>1508</v>
      </c>
      <c r="AM251" s="292"/>
      <c r="AN251" s="292"/>
      <c r="AO251" s="24">
        <f>I251</f>
        <v>1508</v>
      </c>
      <c r="AR251" s="24">
        <f>I251/13</f>
        <v>116</v>
      </c>
      <c r="BE251" s="304"/>
      <c r="BF251" s="304"/>
      <c r="BG251" s="304"/>
      <c r="BH251" s="304"/>
      <c r="BI251" s="304"/>
      <c r="BN251" s="293"/>
      <c r="BO251" s="293"/>
      <c r="BP251" s="293"/>
      <c r="BQ251" s="293"/>
      <c r="BR251" s="293"/>
      <c r="BS251" s="293"/>
      <c r="BV251" s="24">
        <f t="shared" si="194"/>
        <v>0</v>
      </c>
      <c r="BW251" s="24">
        <f t="shared" si="195"/>
        <v>0</v>
      </c>
      <c r="BX251" s="293">
        <f>AK251+'77770 S4 明细'!BX332</f>
        <v>997401</v>
      </c>
      <c r="BY251" s="293"/>
      <c r="BZ251" s="293"/>
      <c r="CA251" s="293"/>
      <c r="CB251" s="293">
        <f>'77770 S4 明细'!$BZ$1+'77770 S4 明细'!$CA$1+'77770 S4 明细'!$CB$1-BX251</f>
        <v>302599</v>
      </c>
      <c r="CC251" s="293"/>
      <c r="CH251" s="303"/>
      <c r="CI251" s="303"/>
      <c r="CJ251" s="303"/>
      <c r="CK251" s="303"/>
      <c r="CL251" s="303"/>
      <c r="CM251" s="303"/>
      <c r="CN251" s="303"/>
      <c r="CO251" s="303"/>
      <c r="CP251" s="303"/>
      <c r="CQ251" s="303"/>
      <c r="CR251" s="303"/>
      <c r="CS251" s="303"/>
      <c r="CT251" s="303"/>
      <c r="CU251" s="303"/>
      <c r="CV251" s="303"/>
      <c r="CW251" s="303"/>
      <c r="CX251" s="303"/>
      <c r="CY251" s="303"/>
      <c r="CZ251" s="303"/>
      <c r="DA251" s="303"/>
      <c r="DB251" s="303"/>
      <c r="DC251" s="303"/>
    </row>
  </sheetData>
  <sheetProtection formatCells="0" formatColumns="0" formatRows="0" insertRows="0" insertColumns="0" insertHyperlinks="0" deleteColumns="0" deleteRows="0" sort="0" autoFilter="0" pivotTables="0"/>
  <autoFilter xmlns:etc="http://www.wps.cn/officeDocument/2017/etCustomData" ref="A1:CS251" etc:filterBottomFollowUsedRange="0">
    <extLst/>
  </autoFilter>
  <mergeCells count="5">
    <mergeCell ref="T36:T37"/>
    <mergeCell ref="U50:U51"/>
    <mergeCell ref="U139:U140"/>
    <mergeCell ref="AD50:AD51"/>
    <mergeCell ref="AG224:AG227"/>
  </mergeCells>
  <conditionalFormatting sqref="V1">
    <cfRule type="cellIs" dxfId="0" priority="1732" operator="equal">
      <formula>"未完成"</formula>
    </cfRule>
  </conditionalFormatting>
  <conditionalFormatting sqref="Y1:AB1">
    <cfRule type="cellIs" dxfId="1" priority="1733" operator="equal">
      <formula>"未完成"</formula>
    </cfRule>
    <cfRule type="cellIs" dxfId="0" priority="1734" operator="equal">
      <formula>"未完成"</formula>
    </cfRule>
  </conditionalFormatting>
  <conditionalFormatting sqref="AA38">
    <cfRule type="cellIs" dxfId="0" priority="1724" operator="equal">
      <formula>"未完成"</formula>
    </cfRule>
  </conditionalFormatting>
  <conditionalFormatting sqref="AB38:AE38">
    <cfRule type="cellIs" dxfId="1" priority="1726" operator="equal">
      <formula>"未完成"</formula>
    </cfRule>
    <cfRule type="cellIs" dxfId="0" priority="1727" operator="equal">
      <formula>"未完成"</formula>
    </cfRule>
  </conditionalFormatting>
  <conditionalFormatting sqref="AA39">
    <cfRule type="cellIs" dxfId="0" priority="1716" operator="equal">
      <formula>"未完成"</formula>
    </cfRule>
  </conditionalFormatting>
  <conditionalFormatting sqref="AB39:AE39">
    <cfRule type="cellIs" dxfId="1" priority="1718" operator="equal">
      <formula>"未完成"</formula>
    </cfRule>
    <cfRule type="cellIs" dxfId="0" priority="1719" operator="equal">
      <formula>"未完成"</formula>
    </cfRule>
  </conditionalFormatting>
  <conditionalFormatting sqref="AA40">
    <cfRule type="cellIs" dxfId="0" priority="1712" operator="equal">
      <formula>"未完成"</formula>
    </cfRule>
  </conditionalFormatting>
  <conditionalFormatting sqref="AB40:AE40">
    <cfRule type="cellIs" dxfId="1" priority="1714" operator="equal">
      <formula>"未完成"</formula>
    </cfRule>
    <cfRule type="cellIs" dxfId="0" priority="1715" operator="equal">
      <formula>"未完成"</formula>
    </cfRule>
  </conditionalFormatting>
  <conditionalFormatting sqref="AA41">
    <cfRule type="cellIs" dxfId="0" priority="1708" operator="equal">
      <formula>"未完成"</formula>
    </cfRule>
  </conditionalFormatting>
  <conditionalFormatting sqref="AB41:AE41">
    <cfRule type="cellIs" dxfId="1" priority="1710" operator="equal">
      <formula>"未完成"</formula>
    </cfRule>
    <cfRule type="cellIs" dxfId="0" priority="1711" operator="equal">
      <formula>"未完成"</formula>
    </cfRule>
  </conditionalFormatting>
  <conditionalFormatting sqref="AA42">
    <cfRule type="cellIs" dxfId="0" priority="1704" operator="equal">
      <formula>"未完成"</formula>
    </cfRule>
  </conditionalFormatting>
  <conditionalFormatting sqref="AB42:AE42">
    <cfRule type="cellIs" dxfId="1" priority="1706" operator="equal">
      <formula>"未完成"</formula>
    </cfRule>
    <cfRule type="cellIs" dxfId="0" priority="1707" operator="equal">
      <formula>"未完成"</formula>
    </cfRule>
  </conditionalFormatting>
  <conditionalFormatting sqref="AA43">
    <cfRule type="cellIs" dxfId="0" priority="1700" operator="equal">
      <formula>"未完成"</formula>
    </cfRule>
  </conditionalFormatting>
  <conditionalFormatting sqref="AB43:AE43">
    <cfRule type="cellIs" dxfId="1" priority="1702" operator="equal">
      <formula>"未完成"</formula>
    </cfRule>
    <cfRule type="cellIs" dxfId="0" priority="1703" operator="equal">
      <formula>"未完成"</formula>
    </cfRule>
  </conditionalFormatting>
  <conditionalFormatting sqref="AA44">
    <cfRule type="cellIs" dxfId="0" priority="1696" operator="equal">
      <formula>"未完成"</formula>
    </cfRule>
  </conditionalFormatting>
  <conditionalFormatting sqref="AB44:AE44">
    <cfRule type="cellIs" dxfId="1" priority="1698" operator="equal">
      <formula>"未完成"</formula>
    </cfRule>
    <cfRule type="cellIs" dxfId="0" priority="1699" operator="equal">
      <formula>"未完成"</formula>
    </cfRule>
  </conditionalFormatting>
  <conditionalFormatting sqref="AA45">
    <cfRule type="cellIs" dxfId="0" priority="1692" operator="equal">
      <formula>"未完成"</formula>
    </cfRule>
  </conditionalFormatting>
  <conditionalFormatting sqref="AB45:AE45">
    <cfRule type="cellIs" dxfId="1" priority="1694" operator="equal">
      <formula>"未完成"</formula>
    </cfRule>
    <cfRule type="cellIs" dxfId="0" priority="1695" operator="equal">
      <formula>"未完成"</formula>
    </cfRule>
  </conditionalFormatting>
  <conditionalFormatting sqref="AA47">
    <cfRule type="cellIs" dxfId="0" priority="1677" operator="equal">
      <formula>"未完成"</formula>
    </cfRule>
  </conditionalFormatting>
  <conditionalFormatting sqref="AB47:AE47">
    <cfRule type="cellIs" dxfId="1" priority="1681" operator="equal">
      <formula>"未完成"</formula>
    </cfRule>
    <cfRule type="cellIs" dxfId="0" priority="1683" operator="equal">
      <formula>"未完成"</formula>
    </cfRule>
  </conditionalFormatting>
  <conditionalFormatting sqref="AA48">
    <cfRule type="cellIs" dxfId="0" priority="1676" operator="equal">
      <formula>"未完成"</formula>
    </cfRule>
  </conditionalFormatting>
  <conditionalFormatting sqref="AB48:AE48">
    <cfRule type="cellIs" dxfId="1" priority="1680" operator="equal">
      <formula>"未完成"</formula>
    </cfRule>
    <cfRule type="cellIs" dxfId="0" priority="1682" operator="equal">
      <formula>"未完成"</formula>
    </cfRule>
  </conditionalFormatting>
  <conditionalFormatting sqref="AA49">
    <cfRule type="cellIs" dxfId="0" priority="1684" operator="equal">
      <formula>"未完成"</formula>
    </cfRule>
  </conditionalFormatting>
  <conditionalFormatting sqref="AB49:AE49">
    <cfRule type="cellIs" dxfId="1" priority="1686" operator="equal">
      <formula>"未完成"</formula>
    </cfRule>
    <cfRule type="cellIs" dxfId="0" priority="1687" operator="equal">
      <formula>"未完成"</formula>
    </cfRule>
  </conditionalFormatting>
  <conditionalFormatting sqref="AD53">
    <cfRule type="cellIs" dxfId="1" priority="1674" operator="equal">
      <formula>"未完成"</formula>
    </cfRule>
    <cfRule type="cellIs" dxfId="0" priority="1675" operator="equal">
      <formula>"未完成"</formula>
    </cfRule>
  </conditionalFormatting>
  <conditionalFormatting sqref="AA54">
    <cfRule type="cellIs" dxfId="0" priority="1526" operator="equal">
      <formula>"未完成"</formula>
    </cfRule>
  </conditionalFormatting>
  <conditionalFormatting sqref="AD54">
    <cfRule type="cellIs" dxfId="1" priority="1428" operator="equal">
      <formula>"未完成"</formula>
    </cfRule>
    <cfRule type="cellIs" dxfId="0" priority="1477" operator="equal">
      <formula>"未完成"</formula>
    </cfRule>
  </conditionalFormatting>
  <conditionalFormatting sqref="AA55">
    <cfRule type="cellIs" dxfId="0" priority="1525" operator="equal">
      <formula>"未完成"</formula>
    </cfRule>
  </conditionalFormatting>
  <conditionalFormatting sqref="AD55">
    <cfRule type="cellIs" dxfId="1" priority="1427" operator="equal">
      <formula>"未完成"</formula>
    </cfRule>
    <cfRule type="cellIs" dxfId="0" priority="1476" operator="equal">
      <formula>"未完成"</formula>
    </cfRule>
  </conditionalFormatting>
  <conditionalFormatting sqref="AA56">
    <cfRule type="cellIs" dxfId="0" priority="1524" operator="equal">
      <formula>"未完成"</formula>
    </cfRule>
  </conditionalFormatting>
  <conditionalFormatting sqref="AD56">
    <cfRule type="cellIs" dxfId="1" priority="1426" operator="equal">
      <formula>"未完成"</formula>
    </cfRule>
    <cfRule type="cellIs" dxfId="0" priority="1475" operator="equal">
      <formula>"未完成"</formula>
    </cfRule>
  </conditionalFormatting>
  <conditionalFormatting sqref="AA57">
    <cfRule type="cellIs" dxfId="0" priority="1523" operator="equal">
      <formula>"未完成"</formula>
    </cfRule>
  </conditionalFormatting>
  <conditionalFormatting sqref="AD57">
    <cfRule type="cellIs" dxfId="1" priority="1425" operator="equal">
      <formula>"未完成"</formula>
    </cfRule>
    <cfRule type="cellIs" dxfId="0" priority="1474" operator="equal">
      <formula>"未完成"</formula>
    </cfRule>
  </conditionalFormatting>
  <conditionalFormatting sqref="AA58">
    <cfRule type="cellIs" dxfId="0" priority="1522" operator="equal">
      <formula>"未完成"</formula>
    </cfRule>
  </conditionalFormatting>
  <conditionalFormatting sqref="AD58">
    <cfRule type="cellIs" dxfId="1" priority="1424" operator="equal">
      <formula>"未完成"</formula>
    </cfRule>
    <cfRule type="cellIs" dxfId="0" priority="1473" operator="equal">
      <formula>"未完成"</formula>
    </cfRule>
  </conditionalFormatting>
  <conditionalFormatting sqref="AA59">
    <cfRule type="cellIs" dxfId="0" priority="1521" operator="equal">
      <formula>"未完成"</formula>
    </cfRule>
  </conditionalFormatting>
  <conditionalFormatting sqref="AD59">
    <cfRule type="cellIs" dxfId="1" priority="1423" operator="equal">
      <formula>"未完成"</formula>
    </cfRule>
    <cfRule type="cellIs" dxfId="0" priority="1472" operator="equal">
      <formula>"未完成"</formula>
    </cfRule>
  </conditionalFormatting>
  <conditionalFormatting sqref="AA60">
    <cfRule type="cellIs" dxfId="0" priority="1520" operator="equal">
      <formula>"未完成"</formula>
    </cfRule>
  </conditionalFormatting>
  <conditionalFormatting sqref="AD60">
    <cfRule type="cellIs" dxfId="1" priority="1422" operator="equal">
      <formula>"未完成"</formula>
    </cfRule>
    <cfRule type="cellIs" dxfId="0" priority="1471" operator="equal">
      <formula>"未完成"</formula>
    </cfRule>
  </conditionalFormatting>
  <conditionalFormatting sqref="AA61">
    <cfRule type="cellIs" dxfId="0" priority="1519" operator="equal">
      <formula>"未完成"</formula>
    </cfRule>
  </conditionalFormatting>
  <conditionalFormatting sqref="AD61">
    <cfRule type="cellIs" dxfId="1" priority="1421" operator="equal">
      <formula>"未完成"</formula>
    </cfRule>
    <cfRule type="cellIs" dxfId="0" priority="1470" operator="equal">
      <formula>"未完成"</formula>
    </cfRule>
  </conditionalFormatting>
  <conditionalFormatting sqref="AA62">
    <cfRule type="cellIs" dxfId="0" priority="1518" operator="equal">
      <formula>"未完成"</formula>
    </cfRule>
  </conditionalFormatting>
  <conditionalFormatting sqref="AD62">
    <cfRule type="cellIs" dxfId="1" priority="1420" operator="equal">
      <formula>"未完成"</formula>
    </cfRule>
    <cfRule type="cellIs" dxfId="0" priority="1469" operator="equal">
      <formula>"未完成"</formula>
    </cfRule>
  </conditionalFormatting>
  <conditionalFormatting sqref="AA63">
    <cfRule type="cellIs" dxfId="0" priority="1517" operator="equal">
      <formula>"未完成"</formula>
    </cfRule>
  </conditionalFormatting>
  <conditionalFormatting sqref="AD63">
    <cfRule type="cellIs" dxfId="1" priority="1419" operator="equal">
      <formula>"未完成"</formula>
    </cfRule>
    <cfRule type="cellIs" dxfId="0" priority="1468" operator="equal">
      <formula>"未完成"</formula>
    </cfRule>
  </conditionalFormatting>
  <conditionalFormatting sqref="AA64">
    <cfRule type="cellIs" dxfId="0" priority="1516" operator="equal">
      <formula>"未完成"</formula>
    </cfRule>
  </conditionalFormatting>
  <conditionalFormatting sqref="AD64">
    <cfRule type="cellIs" dxfId="1" priority="1418" operator="equal">
      <formula>"未完成"</formula>
    </cfRule>
    <cfRule type="cellIs" dxfId="0" priority="1467" operator="equal">
      <formula>"未完成"</formula>
    </cfRule>
  </conditionalFormatting>
  <conditionalFormatting sqref="AA65">
    <cfRule type="cellIs" dxfId="0" priority="1515" operator="equal">
      <formula>"未完成"</formula>
    </cfRule>
  </conditionalFormatting>
  <conditionalFormatting sqref="AD65">
    <cfRule type="cellIs" dxfId="1" priority="1417" operator="equal">
      <formula>"未完成"</formula>
    </cfRule>
    <cfRule type="cellIs" dxfId="0" priority="1466" operator="equal">
      <formula>"未完成"</formula>
    </cfRule>
  </conditionalFormatting>
  <conditionalFormatting sqref="AA66">
    <cfRule type="cellIs" dxfId="0" priority="1514" operator="equal">
      <formula>"未完成"</formula>
    </cfRule>
  </conditionalFormatting>
  <conditionalFormatting sqref="AD66">
    <cfRule type="cellIs" dxfId="1" priority="1416" operator="equal">
      <formula>"未完成"</formula>
    </cfRule>
    <cfRule type="cellIs" dxfId="0" priority="1465" operator="equal">
      <formula>"未完成"</formula>
    </cfRule>
  </conditionalFormatting>
  <conditionalFormatting sqref="AA67">
    <cfRule type="cellIs" dxfId="0" priority="1513" operator="equal">
      <formula>"未完成"</formula>
    </cfRule>
  </conditionalFormatting>
  <conditionalFormatting sqref="AD67">
    <cfRule type="cellIs" dxfId="1" priority="1415" operator="equal">
      <formula>"未完成"</formula>
    </cfRule>
    <cfRule type="cellIs" dxfId="0" priority="1464" operator="equal">
      <formula>"未完成"</formula>
    </cfRule>
  </conditionalFormatting>
  <conditionalFormatting sqref="AA68">
    <cfRule type="cellIs" dxfId="0" priority="1512" operator="equal">
      <formula>"未完成"</formula>
    </cfRule>
  </conditionalFormatting>
  <conditionalFormatting sqref="AD68">
    <cfRule type="cellIs" dxfId="1" priority="1414" operator="equal">
      <formula>"未完成"</formula>
    </cfRule>
    <cfRule type="cellIs" dxfId="0" priority="1463" operator="equal">
      <formula>"未完成"</formula>
    </cfRule>
  </conditionalFormatting>
  <conditionalFormatting sqref="AA69">
    <cfRule type="cellIs" dxfId="0" priority="1511" operator="equal">
      <formula>"未完成"</formula>
    </cfRule>
  </conditionalFormatting>
  <conditionalFormatting sqref="AD69">
    <cfRule type="cellIs" dxfId="1" priority="1413" operator="equal">
      <formula>"未完成"</formula>
    </cfRule>
    <cfRule type="cellIs" dxfId="0" priority="1462" operator="equal">
      <formula>"未完成"</formula>
    </cfRule>
  </conditionalFormatting>
  <conditionalFormatting sqref="AA70">
    <cfRule type="cellIs" dxfId="0" priority="1510" operator="equal">
      <formula>"未完成"</formula>
    </cfRule>
  </conditionalFormatting>
  <conditionalFormatting sqref="AD70">
    <cfRule type="cellIs" dxfId="1" priority="1412" operator="equal">
      <formula>"未完成"</formula>
    </cfRule>
    <cfRule type="cellIs" dxfId="0" priority="1461" operator="equal">
      <formula>"未完成"</formula>
    </cfRule>
  </conditionalFormatting>
  <conditionalFormatting sqref="AA71">
    <cfRule type="cellIs" dxfId="0" priority="1509" operator="equal">
      <formula>"未完成"</formula>
    </cfRule>
  </conditionalFormatting>
  <conditionalFormatting sqref="AD71">
    <cfRule type="cellIs" dxfId="1" priority="1411" operator="equal">
      <formula>"未完成"</formula>
    </cfRule>
    <cfRule type="cellIs" dxfId="0" priority="1460" operator="equal">
      <formula>"未完成"</formula>
    </cfRule>
  </conditionalFormatting>
  <conditionalFormatting sqref="AA72">
    <cfRule type="cellIs" dxfId="0" priority="1508" operator="equal">
      <formula>"未完成"</formula>
    </cfRule>
  </conditionalFormatting>
  <conditionalFormatting sqref="AD72">
    <cfRule type="cellIs" dxfId="1" priority="1410" operator="equal">
      <formula>"未完成"</formula>
    </cfRule>
    <cfRule type="cellIs" dxfId="0" priority="1459" operator="equal">
      <formula>"未完成"</formula>
    </cfRule>
  </conditionalFormatting>
  <conditionalFormatting sqref="AA73">
    <cfRule type="cellIs" dxfId="0" priority="1507" operator="equal">
      <formula>"未完成"</formula>
    </cfRule>
  </conditionalFormatting>
  <conditionalFormatting sqref="AD73">
    <cfRule type="cellIs" dxfId="1" priority="1409" operator="equal">
      <formula>"未完成"</formula>
    </cfRule>
    <cfRule type="cellIs" dxfId="0" priority="1458" operator="equal">
      <formula>"未完成"</formula>
    </cfRule>
  </conditionalFormatting>
  <conditionalFormatting sqref="AA74">
    <cfRule type="cellIs" dxfId="0" priority="1506" operator="equal">
      <formula>"未完成"</formula>
    </cfRule>
  </conditionalFormatting>
  <conditionalFormatting sqref="AD74">
    <cfRule type="cellIs" dxfId="1" priority="1408" operator="equal">
      <formula>"未完成"</formula>
    </cfRule>
    <cfRule type="cellIs" dxfId="0" priority="1457" operator="equal">
      <formula>"未完成"</formula>
    </cfRule>
  </conditionalFormatting>
  <conditionalFormatting sqref="AA75">
    <cfRule type="cellIs" dxfId="0" priority="1505" operator="equal">
      <formula>"未完成"</formula>
    </cfRule>
  </conditionalFormatting>
  <conditionalFormatting sqref="AD75">
    <cfRule type="cellIs" dxfId="1" priority="1407" operator="equal">
      <formula>"未完成"</formula>
    </cfRule>
    <cfRule type="cellIs" dxfId="0" priority="1456" operator="equal">
      <formula>"未完成"</formula>
    </cfRule>
  </conditionalFormatting>
  <conditionalFormatting sqref="AA76">
    <cfRule type="cellIs" dxfId="0" priority="1504" operator="equal">
      <formula>"未完成"</formula>
    </cfRule>
  </conditionalFormatting>
  <conditionalFormatting sqref="AD76">
    <cfRule type="cellIs" dxfId="1" priority="1406" operator="equal">
      <formula>"未完成"</formula>
    </cfRule>
    <cfRule type="cellIs" dxfId="0" priority="1455" operator="equal">
      <formula>"未完成"</formula>
    </cfRule>
  </conditionalFormatting>
  <conditionalFormatting sqref="AA77">
    <cfRule type="cellIs" dxfId="0" priority="1503" operator="equal">
      <formula>"未完成"</formula>
    </cfRule>
  </conditionalFormatting>
  <conditionalFormatting sqref="AD77">
    <cfRule type="cellIs" dxfId="1" priority="1405" operator="equal">
      <formula>"未完成"</formula>
    </cfRule>
    <cfRule type="cellIs" dxfId="0" priority="1454" operator="equal">
      <formula>"未完成"</formula>
    </cfRule>
  </conditionalFormatting>
  <conditionalFormatting sqref="AA78">
    <cfRule type="cellIs" dxfId="0" priority="1502" operator="equal">
      <formula>"未完成"</formula>
    </cfRule>
  </conditionalFormatting>
  <conditionalFormatting sqref="AD78">
    <cfRule type="cellIs" dxfId="1" priority="1404" operator="equal">
      <formula>"未完成"</formula>
    </cfRule>
    <cfRule type="cellIs" dxfId="0" priority="1453" operator="equal">
      <formula>"未完成"</formula>
    </cfRule>
  </conditionalFormatting>
  <conditionalFormatting sqref="AA79">
    <cfRule type="cellIs" dxfId="0" priority="1501" operator="equal">
      <formula>"未完成"</formula>
    </cfRule>
  </conditionalFormatting>
  <conditionalFormatting sqref="AD79">
    <cfRule type="cellIs" dxfId="1" priority="1403" operator="equal">
      <formula>"未完成"</formula>
    </cfRule>
    <cfRule type="cellIs" dxfId="0" priority="1452" operator="equal">
      <formula>"未完成"</formula>
    </cfRule>
  </conditionalFormatting>
  <conditionalFormatting sqref="AA80">
    <cfRule type="cellIs" dxfId="0" priority="1500" operator="equal">
      <formula>"未完成"</formula>
    </cfRule>
  </conditionalFormatting>
  <conditionalFormatting sqref="AD80">
    <cfRule type="cellIs" dxfId="1" priority="1402" operator="equal">
      <formula>"未完成"</formula>
    </cfRule>
    <cfRule type="cellIs" dxfId="0" priority="1451" operator="equal">
      <formula>"未完成"</formula>
    </cfRule>
  </conditionalFormatting>
  <conditionalFormatting sqref="AA81">
    <cfRule type="cellIs" dxfId="0" priority="1499" operator="equal">
      <formula>"未完成"</formula>
    </cfRule>
  </conditionalFormatting>
  <conditionalFormatting sqref="AD81">
    <cfRule type="cellIs" dxfId="1" priority="1401" operator="equal">
      <formula>"未完成"</formula>
    </cfRule>
    <cfRule type="cellIs" dxfId="0" priority="1450" operator="equal">
      <formula>"未完成"</formula>
    </cfRule>
  </conditionalFormatting>
  <conditionalFormatting sqref="AA82">
    <cfRule type="cellIs" dxfId="0" priority="1498" operator="equal">
      <formula>"未完成"</formula>
    </cfRule>
  </conditionalFormatting>
  <conditionalFormatting sqref="AD82">
    <cfRule type="cellIs" dxfId="1" priority="1400" operator="equal">
      <formula>"未完成"</formula>
    </cfRule>
    <cfRule type="cellIs" dxfId="0" priority="1449" operator="equal">
      <formula>"未完成"</formula>
    </cfRule>
  </conditionalFormatting>
  <conditionalFormatting sqref="AA83">
    <cfRule type="cellIs" dxfId="0" priority="1497" operator="equal">
      <formula>"未完成"</formula>
    </cfRule>
  </conditionalFormatting>
  <conditionalFormatting sqref="AD83">
    <cfRule type="cellIs" dxfId="1" priority="1399" operator="equal">
      <formula>"未完成"</formula>
    </cfRule>
    <cfRule type="cellIs" dxfId="0" priority="1448" operator="equal">
      <formula>"未完成"</formula>
    </cfRule>
  </conditionalFormatting>
  <conditionalFormatting sqref="AA84">
    <cfRule type="cellIs" dxfId="0" priority="1496" operator="equal">
      <formula>"未完成"</formula>
    </cfRule>
  </conditionalFormatting>
  <conditionalFormatting sqref="AD84">
    <cfRule type="cellIs" dxfId="1" priority="1398" operator="equal">
      <formula>"未完成"</formula>
    </cfRule>
    <cfRule type="cellIs" dxfId="0" priority="1447" operator="equal">
      <formula>"未完成"</formula>
    </cfRule>
  </conditionalFormatting>
  <conditionalFormatting sqref="AA85">
    <cfRule type="cellIs" dxfId="0" priority="1495" operator="equal">
      <formula>"未完成"</formula>
    </cfRule>
  </conditionalFormatting>
  <conditionalFormatting sqref="AD85">
    <cfRule type="cellIs" dxfId="1" priority="1397" operator="equal">
      <formula>"未完成"</formula>
    </cfRule>
    <cfRule type="cellIs" dxfId="0" priority="1446" operator="equal">
      <formula>"未完成"</formula>
    </cfRule>
  </conditionalFormatting>
  <conditionalFormatting sqref="AA86">
    <cfRule type="cellIs" dxfId="0" priority="1494" operator="equal">
      <formula>"未完成"</formula>
    </cfRule>
  </conditionalFormatting>
  <conditionalFormatting sqref="AD86">
    <cfRule type="cellIs" dxfId="1" priority="1396" operator="equal">
      <formula>"未完成"</formula>
    </cfRule>
    <cfRule type="cellIs" dxfId="0" priority="1445" operator="equal">
      <formula>"未完成"</formula>
    </cfRule>
  </conditionalFormatting>
  <conditionalFormatting sqref="AA87">
    <cfRule type="cellIs" dxfId="0" priority="1493" operator="equal">
      <formula>"未完成"</formula>
    </cfRule>
  </conditionalFormatting>
  <conditionalFormatting sqref="AD87">
    <cfRule type="cellIs" dxfId="1" priority="1395" operator="equal">
      <formula>"未完成"</formula>
    </cfRule>
    <cfRule type="cellIs" dxfId="0" priority="1444" operator="equal">
      <formula>"未完成"</formula>
    </cfRule>
  </conditionalFormatting>
  <conditionalFormatting sqref="AA88">
    <cfRule type="cellIs" dxfId="0" priority="1492" operator="equal">
      <formula>"未完成"</formula>
    </cfRule>
  </conditionalFormatting>
  <conditionalFormatting sqref="AD88">
    <cfRule type="cellIs" dxfId="1" priority="1394" operator="equal">
      <formula>"未完成"</formula>
    </cfRule>
    <cfRule type="cellIs" dxfId="0" priority="1443" operator="equal">
      <formula>"未完成"</formula>
    </cfRule>
  </conditionalFormatting>
  <conditionalFormatting sqref="AA89">
    <cfRule type="cellIs" dxfId="0" priority="1491" operator="equal">
      <formula>"未完成"</formula>
    </cfRule>
  </conditionalFormatting>
  <conditionalFormatting sqref="AD89">
    <cfRule type="cellIs" dxfId="1" priority="1393" operator="equal">
      <formula>"未完成"</formula>
    </cfRule>
    <cfRule type="cellIs" dxfId="0" priority="1442" operator="equal">
      <formula>"未完成"</formula>
    </cfRule>
  </conditionalFormatting>
  <conditionalFormatting sqref="AA90">
    <cfRule type="cellIs" dxfId="0" priority="1490" operator="equal">
      <formula>"未完成"</formula>
    </cfRule>
  </conditionalFormatting>
  <conditionalFormatting sqref="AD90">
    <cfRule type="cellIs" dxfId="1" priority="1392" operator="equal">
      <formula>"未完成"</formula>
    </cfRule>
    <cfRule type="cellIs" dxfId="0" priority="1441" operator="equal">
      <formula>"未完成"</formula>
    </cfRule>
  </conditionalFormatting>
  <conditionalFormatting sqref="AA91">
    <cfRule type="cellIs" dxfId="0" priority="1489" operator="equal">
      <formula>"未完成"</formula>
    </cfRule>
  </conditionalFormatting>
  <conditionalFormatting sqref="AD91">
    <cfRule type="cellIs" dxfId="1" priority="1391" operator="equal">
      <formula>"未完成"</formula>
    </cfRule>
    <cfRule type="cellIs" dxfId="0" priority="1440" operator="equal">
      <formula>"未完成"</formula>
    </cfRule>
  </conditionalFormatting>
  <conditionalFormatting sqref="AA92">
    <cfRule type="cellIs" dxfId="0" priority="1488" operator="equal">
      <formula>"未完成"</formula>
    </cfRule>
  </conditionalFormatting>
  <conditionalFormatting sqref="AD92">
    <cfRule type="cellIs" dxfId="1" priority="1390" operator="equal">
      <formula>"未完成"</formula>
    </cfRule>
    <cfRule type="cellIs" dxfId="0" priority="1439" operator="equal">
      <formula>"未完成"</formula>
    </cfRule>
  </conditionalFormatting>
  <conditionalFormatting sqref="AA93">
    <cfRule type="cellIs" dxfId="0" priority="1487" operator="equal">
      <formula>"未完成"</formula>
    </cfRule>
  </conditionalFormatting>
  <conditionalFormatting sqref="AD93">
    <cfRule type="cellIs" dxfId="1" priority="1389" operator="equal">
      <formula>"未完成"</formula>
    </cfRule>
    <cfRule type="cellIs" dxfId="0" priority="1438" operator="equal">
      <formula>"未完成"</formula>
    </cfRule>
  </conditionalFormatting>
  <conditionalFormatting sqref="AA94">
    <cfRule type="cellIs" dxfId="0" priority="1486" operator="equal">
      <formula>"未完成"</formula>
    </cfRule>
  </conditionalFormatting>
  <conditionalFormatting sqref="AD94">
    <cfRule type="cellIs" dxfId="1" priority="1388" operator="equal">
      <formula>"未完成"</formula>
    </cfRule>
    <cfRule type="cellIs" dxfId="0" priority="1437" operator="equal">
      <formula>"未完成"</formula>
    </cfRule>
  </conditionalFormatting>
  <conditionalFormatting sqref="AA95">
    <cfRule type="cellIs" dxfId="0" priority="1485" operator="equal">
      <formula>"未完成"</formula>
    </cfRule>
  </conditionalFormatting>
  <conditionalFormatting sqref="AD95">
    <cfRule type="cellIs" dxfId="1" priority="1387" operator="equal">
      <formula>"未完成"</formula>
    </cfRule>
    <cfRule type="cellIs" dxfId="0" priority="1436" operator="equal">
      <formula>"未完成"</formula>
    </cfRule>
  </conditionalFormatting>
  <conditionalFormatting sqref="AA96">
    <cfRule type="cellIs" dxfId="0" priority="1484" operator="equal">
      <formula>"未完成"</formula>
    </cfRule>
  </conditionalFormatting>
  <conditionalFormatting sqref="AD96">
    <cfRule type="cellIs" dxfId="1" priority="1386" operator="equal">
      <formula>"未完成"</formula>
    </cfRule>
    <cfRule type="cellIs" dxfId="0" priority="1435" operator="equal">
      <formula>"未完成"</formula>
    </cfRule>
  </conditionalFormatting>
  <conditionalFormatting sqref="AA97">
    <cfRule type="cellIs" dxfId="0" priority="1483" operator="equal">
      <formula>"未完成"</formula>
    </cfRule>
  </conditionalFormatting>
  <conditionalFormatting sqref="AD97">
    <cfRule type="cellIs" dxfId="1" priority="1385" operator="equal">
      <formula>"未完成"</formula>
    </cfRule>
    <cfRule type="cellIs" dxfId="0" priority="1434" operator="equal">
      <formula>"未完成"</formula>
    </cfRule>
  </conditionalFormatting>
  <conditionalFormatting sqref="AA98">
    <cfRule type="cellIs" dxfId="0" priority="1482" operator="equal">
      <formula>"未完成"</formula>
    </cfRule>
  </conditionalFormatting>
  <conditionalFormatting sqref="AD98">
    <cfRule type="cellIs" dxfId="1" priority="1384" operator="equal">
      <formula>"未完成"</formula>
    </cfRule>
    <cfRule type="cellIs" dxfId="0" priority="1433" operator="equal">
      <formula>"未完成"</formula>
    </cfRule>
  </conditionalFormatting>
  <conditionalFormatting sqref="AA99">
    <cfRule type="cellIs" dxfId="0" priority="1481" operator="equal">
      <formula>"未完成"</formula>
    </cfRule>
  </conditionalFormatting>
  <conditionalFormatting sqref="AD99">
    <cfRule type="cellIs" dxfId="1" priority="1383" operator="equal">
      <formula>"未完成"</formula>
    </cfRule>
    <cfRule type="cellIs" dxfId="0" priority="1432" operator="equal">
      <formula>"未完成"</formula>
    </cfRule>
  </conditionalFormatting>
  <conditionalFormatting sqref="AA100">
    <cfRule type="cellIs" dxfId="0" priority="1480" operator="equal">
      <formula>"未完成"</formula>
    </cfRule>
  </conditionalFormatting>
  <conditionalFormatting sqref="AD100">
    <cfRule type="cellIs" dxfId="1" priority="1382" operator="equal">
      <formula>"未完成"</formula>
    </cfRule>
    <cfRule type="cellIs" dxfId="0" priority="1431" operator="equal">
      <formula>"未完成"</formula>
    </cfRule>
  </conditionalFormatting>
  <conditionalFormatting sqref="AA101">
    <cfRule type="cellIs" dxfId="0" priority="1479" operator="equal">
      <formula>"未完成"</formula>
    </cfRule>
  </conditionalFormatting>
  <conditionalFormatting sqref="AD101">
    <cfRule type="cellIs" dxfId="1" priority="1381" operator="equal">
      <formula>"未完成"</formula>
    </cfRule>
    <cfRule type="cellIs" dxfId="0" priority="1430" operator="equal">
      <formula>"未完成"</formula>
    </cfRule>
  </conditionalFormatting>
  <conditionalFormatting sqref="AA102">
    <cfRule type="cellIs" dxfId="0" priority="1478" operator="equal">
      <formula>"未完成"</formula>
    </cfRule>
  </conditionalFormatting>
  <conditionalFormatting sqref="AD102">
    <cfRule type="cellIs" dxfId="1" priority="1380" operator="equal">
      <formula>"未完成"</formula>
    </cfRule>
    <cfRule type="cellIs" dxfId="0" priority="1429" operator="equal">
      <formula>"未完成"</formula>
    </cfRule>
  </conditionalFormatting>
  <conditionalFormatting sqref="AA103">
    <cfRule type="cellIs" dxfId="0" priority="1376" operator="equal">
      <formula>"未完成"</formula>
    </cfRule>
  </conditionalFormatting>
  <conditionalFormatting sqref="AB103:AE103">
    <cfRule type="cellIs" dxfId="1" priority="1378" operator="equal">
      <formula>"未完成"</formula>
    </cfRule>
    <cfRule type="cellIs" dxfId="0" priority="1379" operator="equal">
      <formula>"未完成"</formula>
    </cfRule>
  </conditionalFormatting>
  <conditionalFormatting sqref="AA104">
    <cfRule type="cellIs" dxfId="0" priority="1372" operator="equal">
      <formula>"未完成"</formula>
    </cfRule>
  </conditionalFormatting>
  <conditionalFormatting sqref="AB104:AE104">
    <cfRule type="cellIs" dxfId="1" priority="1374" operator="equal">
      <formula>"未完成"</formula>
    </cfRule>
    <cfRule type="cellIs" dxfId="0" priority="1375" operator="equal">
      <formula>"未完成"</formula>
    </cfRule>
  </conditionalFormatting>
  <conditionalFormatting sqref="AA105">
    <cfRule type="cellIs" dxfId="0" priority="1368" operator="equal">
      <formula>"未完成"</formula>
    </cfRule>
  </conditionalFormatting>
  <conditionalFormatting sqref="AB105:AE105">
    <cfRule type="cellIs" dxfId="1" priority="1370" operator="equal">
      <formula>"未完成"</formula>
    </cfRule>
    <cfRule type="cellIs" dxfId="0" priority="1371" operator="equal">
      <formula>"未完成"</formula>
    </cfRule>
  </conditionalFormatting>
  <conditionalFormatting sqref="AA106">
    <cfRule type="cellIs" dxfId="0" priority="1364" operator="equal">
      <formula>"未完成"</formula>
    </cfRule>
  </conditionalFormatting>
  <conditionalFormatting sqref="AB106:AE106">
    <cfRule type="cellIs" dxfId="1" priority="1366" operator="equal">
      <formula>"未完成"</formula>
    </cfRule>
    <cfRule type="cellIs" dxfId="0" priority="1367" operator="equal">
      <formula>"未完成"</formula>
    </cfRule>
  </conditionalFormatting>
  <conditionalFormatting sqref="AA107">
    <cfRule type="cellIs" dxfId="0" priority="1360" operator="equal">
      <formula>"未完成"</formula>
    </cfRule>
  </conditionalFormatting>
  <conditionalFormatting sqref="AB107:AE107">
    <cfRule type="cellIs" dxfId="1" priority="1362" operator="equal">
      <formula>"未完成"</formula>
    </cfRule>
    <cfRule type="cellIs" dxfId="0" priority="1363" operator="equal">
      <formula>"未完成"</formula>
    </cfRule>
  </conditionalFormatting>
  <conditionalFormatting sqref="AA108">
    <cfRule type="cellIs" dxfId="0" priority="1356" operator="equal">
      <formula>"未完成"</formula>
    </cfRule>
  </conditionalFormatting>
  <conditionalFormatting sqref="AB108:AE108">
    <cfRule type="cellIs" dxfId="1" priority="1358" operator="equal">
      <formula>"未完成"</formula>
    </cfRule>
    <cfRule type="cellIs" dxfId="0" priority="1359" operator="equal">
      <formula>"未完成"</formula>
    </cfRule>
  </conditionalFormatting>
  <conditionalFormatting sqref="AA109">
    <cfRule type="cellIs" dxfId="0" priority="1352" operator="equal">
      <formula>"未完成"</formula>
    </cfRule>
  </conditionalFormatting>
  <conditionalFormatting sqref="AB109:AE109">
    <cfRule type="cellIs" dxfId="1" priority="1354" operator="equal">
      <formula>"未完成"</formula>
    </cfRule>
    <cfRule type="cellIs" dxfId="0" priority="1355" operator="equal">
      <formula>"未完成"</formula>
    </cfRule>
  </conditionalFormatting>
  <conditionalFormatting sqref="S110">
    <cfRule type="cellIs" dxfId="0" priority="1347" operator="equal">
      <formula>"欠"</formula>
    </cfRule>
  </conditionalFormatting>
  <conditionalFormatting sqref="AA110">
    <cfRule type="cellIs" dxfId="0" priority="1348" operator="equal">
      <formula>"未完成"</formula>
    </cfRule>
  </conditionalFormatting>
  <conditionalFormatting sqref="AC110:AE110">
    <cfRule type="cellIs" dxfId="1" priority="1349" operator="equal">
      <formula>"未完成"</formula>
    </cfRule>
    <cfRule type="cellIs" dxfId="0" priority="1350" operator="equal">
      <formula>"未完成"</formula>
    </cfRule>
  </conditionalFormatting>
  <conditionalFormatting sqref="S111">
    <cfRule type="cellIs" dxfId="0" priority="1342" operator="equal">
      <formula>"欠"</formula>
    </cfRule>
  </conditionalFormatting>
  <conditionalFormatting sqref="AA111">
    <cfRule type="cellIs" dxfId="0" priority="1343" operator="equal">
      <formula>"未完成"</formula>
    </cfRule>
  </conditionalFormatting>
  <conditionalFormatting sqref="AC111:AE111">
    <cfRule type="cellIs" dxfId="1" priority="1344" operator="equal">
      <formula>"未完成"</formula>
    </cfRule>
    <cfRule type="cellIs" dxfId="0" priority="1345" operator="equal">
      <formula>"未完成"</formula>
    </cfRule>
  </conditionalFormatting>
  <conditionalFormatting sqref="S112">
    <cfRule type="cellIs" dxfId="0" priority="1338" operator="equal">
      <formula>"欠"</formula>
    </cfRule>
  </conditionalFormatting>
  <conditionalFormatting sqref="AA112">
    <cfRule type="cellIs" dxfId="0" priority="1337" operator="equal">
      <formula>"未完成"</formula>
    </cfRule>
    <cfRule type="cellIs" dxfId="1" priority="1336" operator="equal">
      <formula>"未完成"</formula>
    </cfRule>
  </conditionalFormatting>
  <conditionalFormatting sqref="AC112:AE112">
    <cfRule type="cellIs" dxfId="0" priority="1340" operator="equal">
      <formula>"未完成"</formula>
    </cfRule>
    <cfRule type="cellIs" dxfId="1" priority="1339" operator="equal">
      <formula>"未完成"</formula>
    </cfRule>
  </conditionalFormatting>
  <conditionalFormatting sqref="S113">
    <cfRule type="cellIs" dxfId="0" priority="1326" operator="equal">
      <formula>"欠"</formula>
    </cfRule>
  </conditionalFormatting>
  <conditionalFormatting sqref="AA113">
    <cfRule type="cellIs" dxfId="0" priority="1325" operator="equal">
      <formula>"未完成"</formula>
    </cfRule>
    <cfRule type="cellIs" dxfId="1" priority="1324" operator="equal">
      <formula>"未完成"</formula>
    </cfRule>
  </conditionalFormatting>
  <conditionalFormatting sqref="AB113">
    <cfRule type="cellIs" dxfId="0" priority="1329" operator="equal">
      <formula>"未完成"</formula>
    </cfRule>
    <cfRule type="cellIs" dxfId="1" priority="1328" operator="equal">
      <formula>"未完成"</formula>
    </cfRule>
  </conditionalFormatting>
  <conditionalFormatting sqref="AC113:AD113">
    <cfRule type="cellIs" dxfId="0" priority="1334" operator="equal">
      <formula>"未完成"</formula>
    </cfRule>
    <cfRule type="cellIs" dxfId="1" priority="1333" operator="equal">
      <formula>"未完成"</formula>
    </cfRule>
  </conditionalFormatting>
  <conditionalFormatting sqref="AE113:AF113">
    <cfRule type="cellIs" dxfId="0" priority="1332" operator="equal">
      <formula>"未完成"</formula>
    </cfRule>
    <cfRule type="cellIs" dxfId="1" priority="1331" operator="equal">
      <formula>"未完成"</formula>
    </cfRule>
  </conditionalFormatting>
  <conditionalFormatting sqref="AG113">
    <cfRule type="cellIs" dxfId="0" priority="1330" operator="equal">
      <formula>"欠"</formula>
    </cfRule>
  </conditionalFormatting>
  <conditionalFormatting sqref="AA114">
    <cfRule type="cellIs" dxfId="0" priority="1319" operator="equal">
      <formula>"未完成"</formula>
    </cfRule>
  </conditionalFormatting>
  <conditionalFormatting sqref="AB114:AE114">
    <cfRule type="cellIs" dxfId="0" priority="1322" operator="equal">
      <formula>"未完成"</formula>
    </cfRule>
    <cfRule type="cellIs" dxfId="1" priority="1321" operator="equal">
      <formula>"未完成"</formula>
    </cfRule>
  </conditionalFormatting>
  <conditionalFormatting sqref="S115">
    <cfRule type="cellIs" dxfId="0" priority="1315" operator="equal">
      <formula>"欠"</formula>
    </cfRule>
  </conditionalFormatting>
  <conditionalFormatting sqref="AB115">
    <cfRule type="cellIs" dxfId="0" priority="1314" operator="equal">
      <formula>"未完成"</formula>
    </cfRule>
    <cfRule type="cellIs" dxfId="1" priority="1313" operator="equal">
      <formula>"未完成"</formula>
    </cfRule>
  </conditionalFormatting>
  <conditionalFormatting sqref="AD115:AG115">
    <cfRule type="cellIs" dxfId="0" priority="1317" operator="equal">
      <formula>"未完成"</formula>
    </cfRule>
    <cfRule type="cellIs" dxfId="1" priority="1316" operator="equal">
      <formula>"未完成"</formula>
    </cfRule>
  </conditionalFormatting>
  <conditionalFormatting sqref="R116">
    <cfRule type="cellIs" dxfId="0" priority="1299" operator="equal">
      <formula>"欠"</formula>
    </cfRule>
  </conditionalFormatting>
  <conditionalFormatting sqref="S116">
    <cfRule type="cellIs" dxfId="0" priority="1301" operator="equal">
      <formula>"欠"</formula>
    </cfRule>
  </conditionalFormatting>
  <conditionalFormatting sqref="T116">
    <cfRule type="cellIs" dxfId="0" priority="1300" operator="equal">
      <formula>"欠"</formula>
    </cfRule>
  </conditionalFormatting>
  <conditionalFormatting sqref="AB116">
    <cfRule type="cellIs" dxfId="0" priority="1302" operator="equal">
      <formula>"未完成"</formula>
    </cfRule>
    <cfRule type="cellIs" dxfId="1" priority="1303" operator="equal">
      <formula>"未完成"</formula>
    </cfRule>
  </conditionalFormatting>
  <conditionalFormatting sqref="AC116">
    <cfRule type="cellIs" dxfId="1" priority="1305" operator="equal">
      <formula>"未完成"</formula>
    </cfRule>
    <cfRule type="cellIs" dxfId="0" priority="1306" operator="equal">
      <formula>"未完成"</formula>
    </cfRule>
  </conditionalFormatting>
  <conditionalFormatting sqref="AD116:AE116">
    <cfRule type="cellIs" dxfId="1" priority="1310" operator="equal">
      <formula>"未完成"</formula>
    </cfRule>
    <cfRule type="cellIs" dxfId="0" priority="1311" operator="equal">
      <formula>"未完成"</formula>
    </cfRule>
  </conditionalFormatting>
  <conditionalFormatting sqref="AF116:AG116">
    <cfRule type="cellIs" dxfId="1" priority="1308" operator="equal">
      <formula>"未完成"</formula>
    </cfRule>
    <cfRule type="cellIs" dxfId="0" priority="1309" operator="equal">
      <formula>"未完成"</formula>
    </cfRule>
  </conditionalFormatting>
  <conditionalFormatting sqref="AH116">
    <cfRule type="cellIs" dxfId="0" priority="1307" operator="equal">
      <formula>"欠"</formula>
    </cfRule>
  </conditionalFormatting>
  <conditionalFormatting sqref="R117">
    <cfRule type="cellIs" dxfId="0" priority="1286" operator="equal">
      <formula>"欠"</formula>
    </cfRule>
  </conditionalFormatting>
  <conditionalFormatting sqref="S117">
    <cfRule type="cellIs" dxfId="0" priority="1288" operator="equal">
      <formula>"欠"</formula>
    </cfRule>
  </conditionalFormatting>
  <conditionalFormatting sqref="T117">
    <cfRule type="cellIs" dxfId="0" priority="1287" operator="equal">
      <formula>"欠"</formula>
    </cfRule>
  </conditionalFormatting>
  <conditionalFormatting sqref="S118">
    <cfRule type="cellIs" dxfId="0" priority="1285" operator="equal">
      <formula>"欠"</formula>
    </cfRule>
  </conditionalFormatting>
  <conditionalFormatting sqref="T118">
    <cfRule type="cellIs" dxfId="0" priority="1284" operator="equal">
      <formula>"欠"</formula>
    </cfRule>
  </conditionalFormatting>
  <conditionalFormatting sqref="S119">
    <cfRule type="cellIs" dxfId="0" priority="1283" operator="equal">
      <formula>"欠"</formula>
    </cfRule>
  </conditionalFormatting>
  <conditionalFormatting sqref="T119">
    <cfRule type="cellIs" dxfId="0" priority="1281" operator="equal">
      <formula>"欠"</formula>
    </cfRule>
  </conditionalFormatting>
  <conditionalFormatting sqref="S120">
    <cfRule type="cellIs" dxfId="0" priority="1282" operator="equal">
      <formula>"欠"</formula>
    </cfRule>
  </conditionalFormatting>
  <conditionalFormatting sqref="T120">
    <cfRule type="cellIs" dxfId="0" priority="1280" operator="equal">
      <formula>"欠"</formula>
    </cfRule>
  </conditionalFormatting>
  <conditionalFormatting sqref="S121">
    <cfRule type="cellIs" dxfId="0" priority="1270" operator="equal">
      <formula>"欠"</formula>
    </cfRule>
  </conditionalFormatting>
  <conditionalFormatting sqref="AB121">
    <cfRule type="cellIs" dxfId="0" priority="1267" operator="equal">
      <formula>"未完成"</formula>
    </cfRule>
    <cfRule type="cellIs" dxfId="1" priority="1268" operator="equal">
      <formula>"未完成"</formula>
    </cfRule>
  </conditionalFormatting>
  <conditionalFormatting sqref="AC121">
    <cfRule type="cellIs" dxfId="1" priority="1272" operator="equal">
      <formula>"未完成"</formula>
    </cfRule>
    <cfRule type="cellIs" dxfId="0" priority="1273" operator="equal">
      <formula>"未完成"</formula>
    </cfRule>
  </conditionalFormatting>
  <conditionalFormatting sqref="AD121:AE121">
    <cfRule type="cellIs" dxfId="1" priority="1277" operator="equal">
      <formula>"未完成"</formula>
    </cfRule>
    <cfRule type="cellIs" dxfId="0" priority="1278" operator="equal">
      <formula>"未完成"</formula>
    </cfRule>
  </conditionalFormatting>
  <conditionalFormatting sqref="AF121:AG121">
    <cfRule type="cellIs" dxfId="1" priority="1275" operator="equal">
      <formula>"未完成"</formula>
    </cfRule>
    <cfRule type="cellIs" dxfId="0" priority="1276" operator="equal">
      <formula>"未完成"</formula>
    </cfRule>
  </conditionalFormatting>
  <conditionalFormatting sqref="AH121">
    <cfRule type="cellIs" dxfId="0" priority="1274" operator="equal">
      <formula>"欠"</formula>
    </cfRule>
  </conditionalFormatting>
  <conditionalFormatting sqref="R122">
    <cfRule type="cellIs" dxfId="0" priority="1259" operator="equal">
      <formula>"欠"</formula>
    </cfRule>
  </conditionalFormatting>
  <conditionalFormatting sqref="S122">
    <cfRule type="cellIs" dxfId="0" priority="1254" operator="equal">
      <formula>"欠"</formula>
    </cfRule>
  </conditionalFormatting>
  <conditionalFormatting sqref="T122">
    <cfRule type="cellIs" dxfId="0" priority="1255" operator="equal">
      <formula>"欠"</formula>
    </cfRule>
  </conditionalFormatting>
  <conditionalFormatting sqref="AB122">
    <cfRule type="cellIs" dxfId="0" priority="1256" operator="equal">
      <formula>"未完成"</formula>
    </cfRule>
    <cfRule type="cellIs" dxfId="1" priority="1257" operator="equal">
      <formula>"未完成"</formula>
    </cfRule>
  </conditionalFormatting>
  <conditionalFormatting sqref="AC122">
    <cfRule type="cellIs" dxfId="1" priority="1260" operator="equal">
      <formula>"未完成"</formula>
    </cfRule>
    <cfRule type="cellIs" dxfId="0" priority="1261" operator="equal">
      <formula>"未完成"</formula>
    </cfRule>
  </conditionalFormatting>
  <conditionalFormatting sqref="AD122:AE122">
    <cfRule type="cellIs" dxfId="1" priority="1265" operator="equal">
      <formula>"未完成"</formula>
    </cfRule>
    <cfRule type="cellIs" dxfId="0" priority="1266" operator="equal">
      <formula>"未完成"</formula>
    </cfRule>
  </conditionalFormatting>
  <conditionalFormatting sqref="AF122:AG122">
    <cfRule type="cellIs" dxfId="1" priority="1263" operator="equal">
      <formula>"未完成"</formula>
    </cfRule>
    <cfRule type="cellIs" dxfId="0" priority="1264" operator="equal">
      <formula>"未完成"</formula>
    </cfRule>
  </conditionalFormatting>
  <conditionalFormatting sqref="AH122">
    <cfRule type="cellIs" dxfId="0" priority="1262" operator="equal">
      <formula>"欠"</formula>
    </cfRule>
  </conditionalFormatting>
  <conditionalFormatting sqref="S123">
    <cfRule type="cellIs" dxfId="0" priority="1245" operator="equal">
      <formula>"欠"</formula>
    </cfRule>
  </conditionalFormatting>
  <conditionalFormatting sqref="AB123">
    <cfRule type="cellIs" dxfId="0" priority="1244" operator="equal">
      <formula>"未完成"</formula>
    </cfRule>
    <cfRule type="cellIs" dxfId="1" priority="1243" operator="equal">
      <formula>"未完成"</formula>
    </cfRule>
  </conditionalFormatting>
  <conditionalFormatting sqref="AC123">
    <cfRule type="cellIs" dxfId="0" priority="1248" operator="equal">
      <formula>"未完成"</formula>
    </cfRule>
    <cfRule type="cellIs" dxfId="1" priority="1247" operator="equal">
      <formula>"未完成"</formula>
    </cfRule>
  </conditionalFormatting>
  <conditionalFormatting sqref="AD123:AE123">
    <cfRule type="cellIs" dxfId="0" priority="1253" operator="equal">
      <formula>"未完成"</formula>
    </cfRule>
    <cfRule type="cellIs" dxfId="1" priority="1252" operator="equal">
      <formula>"未完成"</formula>
    </cfRule>
  </conditionalFormatting>
  <conditionalFormatting sqref="AF123:AG123">
    <cfRule type="cellIs" dxfId="0" priority="1251" operator="equal">
      <formula>"未完成"</formula>
    </cfRule>
    <cfRule type="cellIs" dxfId="1" priority="1250" operator="equal">
      <formula>"未完成"</formula>
    </cfRule>
  </conditionalFormatting>
  <conditionalFormatting sqref="AH123">
    <cfRule type="cellIs" dxfId="0" priority="1249" operator="equal">
      <formula>"欠"</formula>
    </cfRule>
  </conditionalFormatting>
  <conditionalFormatting sqref="S124">
    <cfRule type="cellIs" dxfId="0" priority="1230" operator="equal">
      <formula>"欠"</formula>
    </cfRule>
  </conditionalFormatting>
  <conditionalFormatting sqref="AB124">
    <cfRule type="cellIs" dxfId="0" priority="1234" operator="equal">
      <formula>"未完成"</formula>
    </cfRule>
    <cfRule type="cellIs" dxfId="1" priority="1233" operator="equal">
      <formula>"未完成"</formula>
    </cfRule>
  </conditionalFormatting>
  <conditionalFormatting sqref="AC124">
    <cfRule type="cellIs" dxfId="0" priority="1236" operator="equal">
      <formula>"未完成"</formula>
    </cfRule>
    <cfRule type="cellIs" dxfId="1" priority="1235" operator="equal">
      <formula>"未完成"</formula>
    </cfRule>
  </conditionalFormatting>
  <conditionalFormatting sqref="AD124:AE124">
    <cfRule type="cellIs" dxfId="0" priority="1241" operator="equal">
      <formula>"未完成"</formula>
    </cfRule>
    <cfRule type="cellIs" dxfId="1" priority="1240" operator="equal">
      <formula>"未完成"</formula>
    </cfRule>
  </conditionalFormatting>
  <conditionalFormatting sqref="AF124:AG124">
    <cfRule type="cellIs" dxfId="0" priority="1239" operator="equal">
      <formula>"未完成"</formula>
    </cfRule>
    <cfRule type="cellIs" dxfId="1" priority="1238" operator="equal">
      <formula>"未完成"</formula>
    </cfRule>
  </conditionalFormatting>
  <conditionalFormatting sqref="AH124">
    <cfRule type="cellIs" dxfId="0" priority="1237" operator="equal">
      <formula>"欠"</formula>
    </cfRule>
  </conditionalFormatting>
  <conditionalFormatting sqref="R125">
    <cfRule type="cellIs" dxfId="0" priority="1218" operator="equal">
      <formula>"欠"</formula>
    </cfRule>
  </conditionalFormatting>
  <conditionalFormatting sqref="S125">
    <cfRule type="cellIs" dxfId="0" priority="1220" operator="equal">
      <formula>"欠"</formula>
    </cfRule>
  </conditionalFormatting>
  <conditionalFormatting sqref="T125">
    <cfRule type="cellIs" dxfId="0" priority="1219" operator="equal">
      <formula>"欠"</formula>
    </cfRule>
  </conditionalFormatting>
  <conditionalFormatting sqref="AB125">
    <cfRule type="cellIs" dxfId="0" priority="1223" operator="equal">
      <formula>"未完成"</formula>
    </cfRule>
    <cfRule type="cellIs" dxfId="1" priority="1222" operator="equal">
      <formula>"未完成"</formula>
    </cfRule>
  </conditionalFormatting>
  <conditionalFormatting sqref="AC125">
    <cfRule type="cellIs" dxfId="0" priority="1225" operator="equal">
      <formula>"未完成"</formula>
    </cfRule>
    <cfRule type="cellIs" dxfId="1" priority="1224" operator="equal">
      <formula>"未完成"</formula>
    </cfRule>
  </conditionalFormatting>
  <conditionalFormatting sqref="AD125:AE125">
    <cfRule type="cellIs" dxfId="0" priority="1229" operator="equal">
      <formula>"未完成"</formula>
    </cfRule>
    <cfRule type="cellIs" dxfId="1" priority="1228" operator="equal">
      <formula>"未完成"</formula>
    </cfRule>
  </conditionalFormatting>
  <conditionalFormatting sqref="AF125:AG125">
    <cfRule type="cellIs" dxfId="0" priority="1227" operator="equal">
      <formula>"未完成"</formula>
    </cfRule>
    <cfRule type="cellIs" dxfId="1" priority="1226" operator="equal">
      <formula>"未完成"</formula>
    </cfRule>
  </conditionalFormatting>
  <conditionalFormatting sqref="R126">
    <cfRule type="cellIs" dxfId="0" priority="1208" operator="equal">
      <formula>"欠"</formula>
    </cfRule>
  </conditionalFormatting>
  <conditionalFormatting sqref="S126">
    <cfRule type="cellIs" dxfId="0" priority="1207" operator="equal">
      <formula>"欠"</formula>
    </cfRule>
  </conditionalFormatting>
  <conditionalFormatting sqref="T126">
    <cfRule type="cellIs" dxfId="0" priority="1206" operator="equal">
      <formula>"欠"</formula>
    </cfRule>
  </conditionalFormatting>
  <conditionalFormatting sqref="AB126">
    <cfRule type="cellIs" dxfId="0" priority="1209" operator="equal">
      <formula>"未完成"</formula>
    </cfRule>
    <cfRule type="cellIs" dxfId="1" priority="1210" operator="equal">
      <formula>"未完成"</formula>
    </cfRule>
  </conditionalFormatting>
  <conditionalFormatting sqref="AC126">
    <cfRule type="cellIs" dxfId="1" priority="1212" operator="equal">
      <formula>"未完成"</formula>
    </cfRule>
    <cfRule type="cellIs" dxfId="0" priority="1213" operator="equal">
      <formula>"未完成"</formula>
    </cfRule>
  </conditionalFormatting>
  <conditionalFormatting sqref="AD126:AE126">
    <cfRule type="cellIs" dxfId="1" priority="1216" operator="equal">
      <formula>"未完成"</formula>
    </cfRule>
    <cfRule type="cellIs" dxfId="0" priority="1217" operator="equal">
      <formula>"未完成"</formula>
    </cfRule>
  </conditionalFormatting>
  <conditionalFormatting sqref="AF126:AG126">
    <cfRule type="cellIs" dxfId="1" priority="1214" operator="equal">
      <formula>"未完成"</formula>
    </cfRule>
    <cfRule type="cellIs" dxfId="0" priority="1215" operator="equal">
      <formula>"未完成"</formula>
    </cfRule>
  </conditionalFormatting>
  <conditionalFormatting sqref="S129">
    <cfRule type="cellIs" dxfId="0" priority="1183" operator="equal">
      <formula>"欠"</formula>
    </cfRule>
  </conditionalFormatting>
  <conditionalFormatting sqref="AB129">
    <cfRule type="cellIs" dxfId="0" priority="1187" operator="equal">
      <formula>"未完成"</formula>
    </cfRule>
    <cfRule type="cellIs" dxfId="1" priority="1186" operator="equal">
      <formula>"未完成"</formula>
    </cfRule>
  </conditionalFormatting>
  <conditionalFormatting sqref="R130:T130">
    <cfRule type="cellIs" dxfId="0" priority="1180" operator="equal">
      <formula>"欠"</formula>
    </cfRule>
  </conditionalFormatting>
  <conditionalFormatting sqref="AB130">
    <cfRule type="cellIs" dxfId="0" priority="1179" operator="equal">
      <formula>"未完成"</formula>
    </cfRule>
    <cfRule type="cellIs" dxfId="1" priority="1178" operator="equal">
      <formula>"未完成"</formula>
    </cfRule>
  </conditionalFormatting>
  <conditionalFormatting sqref="AD130">
    <cfRule type="cellIs" dxfId="0" priority="1182" operator="equal">
      <formula>"未完成"</formula>
    </cfRule>
    <cfRule type="cellIs" dxfId="1" priority="1181" operator="equal">
      <formula>"未完成"</formula>
    </cfRule>
  </conditionalFormatting>
  <conditionalFormatting sqref="R131:T131">
    <cfRule type="cellIs" dxfId="0" priority="1169" operator="equal">
      <formula>"欠"</formula>
    </cfRule>
  </conditionalFormatting>
  <conditionalFormatting sqref="AB131">
    <cfRule type="cellIs" dxfId="0" priority="1168" operator="equal">
      <formula>"未完成"</formula>
    </cfRule>
    <cfRule type="cellIs" dxfId="1" priority="1167" operator="equal">
      <formula>"未完成"</formula>
    </cfRule>
  </conditionalFormatting>
  <conditionalFormatting sqref="AC131">
    <cfRule type="cellIs" dxfId="0" priority="1171" operator="equal">
      <formula>"未完成"</formula>
    </cfRule>
    <cfRule type="cellIs" dxfId="1" priority="1170" operator="equal">
      <formula>"未完成"</formula>
    </cfRule>
  </conditionalFormatting>
  <conditionalFormatting sqref="AD131:AE131">
    <cfRule type="cellIs" dxfId="0" priority="1176" operator="equal">
      <formula>"未完成"</formula>
    </cfRule>
    <cfRule type="cellIs" dxfId="1" priority="1175" operator="equal">
      <formula>"未完成"</formula>
    </cfRule>
  </conditionalFormatting>
  <conditionalFormatting sqref="AF131:AG131">
    <cfRule type="cellIs" dxfId="0" priority="1174" operator="equal">
      <formula>"未完成"</formula>
    </cfRule>
    <cfRule type="cellIs" dxfId="1" priority="1173" operator="equal">
      <formula>"未完成"</formula>
    </cfRule>
  </conditionalFormatting>
  <conditionalFormatting sqref="AH131">
    <cfRule type="cellIs" dxfId="0" priority="1172" operator="equal">
      <formula>"欠"</formula>
    </cfRule>
  </conditionalFormatting>
  <conditionalFormatting sqref="R132:T132">
    <cfRule type="cellIs" dxfId="0" priority="1142" operator="equal">
      <formula>"欠"</formula>
    </cfRule>
  </conditionalFormatting>
  <conditionalFormatting sqref="AB132">
    <cfRule type="cellIs" dxfId="0" priority="1143" operator="equal">
      <formula>"未完成"</formula>
    </cfRule>
    <cfRule type="cellIs" dxfId="1" priority="1144" operator="equal">
      <formula>"未完成"</formula>
    </cfRule>
  </conditionalFormatting>
  <conditionalFormatting sqref="AC132">
    <cfRule type="cellIs" dxfId="1" priority="1146" operator="equal">
      <formula>"未完成"</formula>
    </cfRule>
    <cfRule type="cellIs" dxfId="0" priority="1147" operator="equal">
      <formula>"未完成"</formula>
    </cfRule>
  </conditionalFormatting>
  <conditionalFormatting sqref="AD132:AE132">
    <cfRule type="cellIs" dxfId="1" priority="1150" operator="equal">
      <formula>"未完成"</formula>
    </cfRule>
    <cfRule type="cellIs" dxfId="0" priority="1151" operator="equal">
      <formula>"未完成"</formula>
    </cfRule>
  </conditionalFormatting>
  <conditionalFormatting sqref="AF132:AG132">
    <cfRule type="cellIs" dxfId="1" priority="1148" operator="equal">
      <formula>"未完成"</formula>
    </cfRule>
    <cfRule type="cellIs" dxfId="0" priority="1149" operator="equal">
      <formula>"未完成"</formula>
    </cfRule>
  </conditionalFormatting>
  <conditionalFormatting sqref="S133">
    <cfRule type="cellIs" dxfId="0" priority="1136" operator="equal">
      <formula>"欠"</formula>
    </cfRule>
  </conditionalFormatting>
  <conditionalFormatting sqref="AB133">
    <cfRule type="cellIs" dxfId="0" priority="1138" operator="equal">
      <formula>"未完成"</formula>
    </cfRule>
  </conditionalFormatting>
  <conditionalFormatting sqref="AF133:AG133">
    <cfRule type="cellIs" dxfId="1" priority="1140" operator="equal">
      <formula>"未完成"</formula>
    </cfRule>
    <cfRule type="cellIs" dxfId="0" priority="1141" operator="equal">
      <formula>"未完成"</formula>
    </cfRule>
  </conditionalFormatting>
  <conditionalFormatting sqref="AH133">
    <cfRule type="cellIs" dxfId="0" priority="1139" operator="equal">
      <formula>"欠"</formula>
    </cfRule>
  </conditionalFormatting>
  <conditionalFormatting sqref="R134">
    <cfRule type="cellIs" dxfId="0" priority="1123" operator="equal">
      <formula>"欠"</formula>
    </cfRule>
  </conditionalFormatting>
  <conditionalFormatting sqref="S134:T134">
    <cfRule type="cellIs" dxfId="0" priority="1126" operator="equal">
      <formula>"欠"</formula>
    </cfRule>
  </conditionalFormatting>
  <conditionalFormatting sqref="AB134">
    <cfRule type="cellIs" dxfId="0" priority="1127" operator="equal">
      <formula>"未完成"</formula>
    </cfRule>
    <cfRule type="cellIs" dxfId="1" priority="1128" operator="equal">
      <formula>"未完成"</formula>
    </cfRule>
  </conditionalFormatting>
  <conditionalFormatting sqref="AC134">
    <cfRule type="cellIs" dxfId="1" priority="1130" operator="equal">
      <formula>"未完成"</formula>
    </cfRule>
    <cfRule type="cellIs" dxfId="0" priority="1131" operator="equal">
      <formula>"未完成"</formula>
    </cfRule>
  </conditionalFormatting>
  <conditionalFormatting sqref="AD134:AE134">
    <cfRule type="cellIs" dxfId="1" priority="1134" operator="equal">
      <formula>"未完成"</formula>
    </cfRule>
    <cfRule type="cellIs" dxfId="0" priority="1135" operator="equal">
      <formula>"未完成"</formula>
    </cfRule>
  </conditionalFormatting>
  <conditionalFormatting sqref="AF134">
    <cfRule type="cellIs" dxfId="1" priority="1124" operator="equal">
      <formula>"未完成"</formula>
    </cfRule>
    <cfRule type="cellIs" dxfId="0" priority="1125" operator="equal">
      <formula>"未完成"</formula>
    </cfRule>
  </conditionalFormatting>
  <conditionalFormatting sqref="AG134">
    <cfRule type="cellIs" dxfId="1" priority="1132" operator="equal">
      <formula>"未完成"</formula>
    </cfRule>
    <cfRule type="cellIs" dxfId="0" priority="1133" operator="equal">
      <formula>"未完成"</formula>
    </cfRule>
  </conditionalFormatting>
  <conditionalFormatting sqref="S135">
    <cfRule type="cellIs" dxfId="0" priority="1114" operator="equal">
      <formula>"欠"</formula>
    </cfRule>
  </conditionalFormatting>
  <conditionalFormatting sqref="AB135">
    <cfRule type="cellIs" dxfId="0" priority="1111" operator="equal">
      <formula>"未完成"</formula>
    </cfRule>
    <cfRule type="cellIs" dxfId="1" priority="1112" operator="equal">
      <formula>"未完成"</formula>
    </cfRule>
  </conditionalFormatting>
  <conditionalFormatting sqref="AC135">
    <cfRule type="cellIs" dxfId="1" priority="1116" operator="equal">
      <formula>"未完成"</formula>
    </cfRule>
    <cfRule type="cellIs" dxfId="0" priority="1117" operator="equal">
      <formula>"未完成"</formula>
    </cfRule>
  </conditionalFormatting>
  <conditionalFormatting sqref="AD135:AE135">
    <cfRule type="cellIs" dxfId="1" priority="1121" operator="equal">
      <formula>"未完成"</formula>
    </cfRule>
    <cfRule type="cellIs" dxfId="0" priority="1122" operator="equal">
      <formula>"未完成"</formula>
    </cfRule>
  </conditionalFormatting>
  <conditionalFormatting sqref="AF135:AG135">
    <cfRule type="cellIs" dxfId="1" priority="1119" operator="equal">
      <formula>"未完成"</formula>
    </cfRule>
    <cfRule type="cellIs" dxfId="0" priority="1120" operator="equal">
      <formula>"未完成"</formula>
    </cfRule>
  </conditionalFormatting>
  <conditionalFormatting sqref="AH135">
    <cfRule type="cellIs" dxfId="0" priority="1118" operator="equal">
      <formula>"欠"</formula>
    </cfRule>
  </conditionalFormatting>
  <conditionalFormatting sqref="S136">
    <cfRule type="cellIs" dxfId="0" priority="1082" operator="equal">
      <formula>"欠"</formula>
    </cfRule>
  </conditionalFormatting>
  <conditionalFormatting sqref="AB136">
    <cfRule type="cellIs" dxfId="0" priority="1089" operator="equal">
      <formula>"未完成"</formula>
    </cfRule>
    <cfRule type="cellIs" dxfId="1" priority="1091" operator="equal">
      <formula>"未完成"</formula>
    </cfRule>
  </conditionalFormatting>
  <conditionalFormatting sqref="AC136">
    <cfRule type="cellIs" dxfId="1" priority="1095" operator="equal">
      <formula>"未完成"</formula>
    </cfRule>
    <cfRule type="cellIs" dxfId="0" priority="1097" operator="equal">
      <formula>"未完成"</formula>
    </cfRule>
  </conditionalFormatting>
  <conditionalFormatting sqref="AD136:AE136">
    <cfRule type="cellIs" dxfId="1" priority="1103" operator="equal">
      <formula>"未完成"</formula>
    </cfRule>
    <cfRule type="cellIs" dxfId="0" priority="1105" operator="equal">
      <formula>"未完成"</formula>
    </cfRule>
  </conditionalFormatting>
  <conditionalFormatting sqref="AF136:AG136">
    <cfRule type="cellIs" dxfId="1" priority="1099" operator="equal">
      <formula>"未完成"</formula>
    </cfRule>
    <cfRule type="cellIs" dxfId="0" priority="1101" operator="equal">
      <formula>"未完成"</formula>
    </cfRule>
  </conditionalFormatting>
  <conditionalFormatting sqref="R139:S139">
    <cfRule type="cellIs" dxfId="0" priority="1081" operator="equal">
      <formula>"欠"</formula>
    </cfRule>
  </conditionalFormatting>
  <conditionalFormatting sqref="T139">
    <cfRule type="cellIs" dxfId="0" priority="1080" operator="equal">
      <formula>"欠"</formula>
    </cfRule>
  </conditionalFormatting>
  <conditionalFormatting sqref="R140:S140">
    <cfRule type="cellIs" dxfId="0" priority="1079" operator="equal">
      <formula>"欠"</formula>
    </cfRule>
  </conditionalFormatting>
  <conditionalFormatting sqref="T140">
    <cfRule type="cellIs" dxfId="0" priority="1078" operator="equal">
      <formula>"欠"</formula>
    </cfRule>
  </conditionalFormatting>
  <conditionalFormatting sqref="R141:T141">
    <cfRule type="cellIs" dxfId="0" priority="1068" operator="equal">
      <formula>"欠"</formula>
    </cfRule>
  </conditionalFormatting>
  <conditionalFormatting sqref="AB141">
    <cfRule type="cellIs" dxfId="0" priority="1069" operator="equal">
      <formula>"未完成"</formula>
    </cfRule>
    <cfRule type="cellIs" dxfId="1" priority="1070" operator="equal">
      <formula>"未完成"</formula>
    </cfRule>
  </conditionalFormatting>
  <conditionalFormatting sqref="AC141">
    <cfRule type="cellIs" dxfId="1" priority="1072" operator="equal">
      <formula>"未完成"</formula>
    </cfRule>
    <cfRule type="cellIs" dxfId="0" priority="1073" operator="equal">
      <formula>"未完成"</formula>
    </cfRule>
  </conditionalFormatting>
  <conditionalFormatting sqref="AD141:AE141">
    <cfRule type="cellIs" dxfId="1" priority="1076" operator="equal">
      <formula>"未完成"</formula>
    </cfRule>
    <cfRule type="cellIs" dxfId="0" priority="1077" operator="equal">
      <formula>"未完成"</formula>
    </cfRule>
  </conditionalFormatting>
  <conditionalFormatting sqref="AF141:AG141">
    <cfRule type="cellIs" dxfId="1" priority="1074" operator="equal">
      <formula>"未完成"</formula>
    </cfRule>
    <cfRule type="cellIs" dxfId="0" priority="1075" operator="equal">
      <formula>"未完成"</formula>
    </cfRule>
  </conditionalFormatting>
  <conditionalFormatting sqref="R142:S142">
    <cfRule type="cellIs" dxfId="0" priority="1063" operator="equal">
      <formula>"欠"</formula>
    </cfRule>
  </conditionalFormatting>
  <conditionalFormatting sqref="T142">
    <cfRule type="cellIs" dxfId="0" priority="1060" operator="equal">
      <formula>"欠"</formula>
    </cfRule>
  </conditionalFormatting>
  <conditionalFormatting sqref="R143:S143">
    <cfRule type="cellIs" dxfId="0" priority="1062" operator="equal">
      <formula>"欠"</formula>
    </cfRule>
  </conditionalFormatting>
  <conditionalFormatting sqref="T143">
    <cfRule type="cellIs" dxfId="0" priority="1059" operator="equal">
      <formula>"欠"</formula>
    </cfRule>
  </conditionalFormatting>
  <conditionalFormatting sqref="R144:S144">
    <cfRule type="cellIs" dxfId="0" priority="1061" operator="equal">
      <formula>"欠"</formula>
    </cfRule>
  </conditionalFormatting>
  <conditionalFormatting sqref="T144">
    <cfRule type="cellIs" dxfId="0" priority="1058" operator="equal">
      <formula>"欠"</formula>
    </cfRule>
  </conditionalFormatting>
  <conditionalFormatting sqref="R145:S145">
    <cfRule type="cellIs" dxfId="0" priority="1053" operator="equal">
      <formula>"欠"</formula>
    </cfRule>
  </conditionalFormatting>
  <conditionalFormatting sqref="T145">
    <cfRule type="cellIs" dxfId="0" priority="1052" operator="equal">
      <formula>"欠"</formula>
    </cfRule>
  </conditionalFormatting>
  <conditionalFormatting sqref="AB145">
    <cfRule type="cellIs" dxfId="0" priority="1054" operator="equal">
      <formula>"未完成"</formula>
    </cfRule>
  </conditionalFormatting>
  <conditionalFormatting sqref="AF145:AG145">
    <cfRule type="cellIs" dxfId="1" priority="1056" operator="equal">
      <formula>"未完成"</formula>
    </cfRule>
    <cfRule type="cellIs" dxfId="0" priority="1057" operator="equal">
      <formula>"未完成"</formula>
    </cfRule>
  </conditionalFormatting>
  <conditionalFormatting sqref="AH145">
    <cfRule type="cellIs" dxfId="0" priority="1055" operator="equal">
      <formula>"欠"</formula>
    </cfRule>
  </conditionalFormatting>
  <conditionalFormatting sqref="R146:S146">
    <cfRule type="cellIs" dxfId="0" priority="1047" operator="equal">
      <formula>"欠"</formula>
    </cfRule>
  </conditionalFormatting>
  <conditionalFormatting sqref="T146">
    <cfRule type="cellIs" dxfId="0" priority="1046" operator="equal">
      <formula>"欠"</formula>
    </cfRule>
  </conditionalFormatting>
  <conditionalFormatting sqref="AB146">
    <cfRule type="cellIs" dxfId="0" priority="1048" operator="equal">
      <formula>"未完成"</formula>
    </cfRule>
  </conditionalFormatting>
  <conditionalFormatting sqref="AF146:AG146">
    <cfRule type="cellIs" dxfId="1" priority="1050" operator="equal">
      <formula>"未完成"</formula>
    </cfRule>
    <cfRule type="cellIs" dxfId="0" priority="1051" operator="equal">
      <formula>"未完成"</formula>
    </cfRule>
  </conditionalFormatting>
  <conditionalFormatting sqref="AH146">
    <cfRule type="cellIs" dxfId="0" priority="1049" operator="equal">
      <formula>"欠"</formula>
    </cfRule>
  </conditionalFormatting>
  <conditionalFormatting sqref="S147">
    <cfRule type="cellIs" dxfId="0" priority="1040" operator="equal">
      <formula>"欠"</formula>
    </cfRule>
  </conditionalFormatting>
  <conditionalFormatting sqref="AB147">
    <cfRule type="cellIs" dxfId="0" priority="1042" operator="equal">
      <formula>"未完成"</formula>
    </cfRule>
  </conditionalFormatting>
  <conditionalFormatting sqref="AF147">
    <cfRule type="cellIs" dxfId="0" priority="1043" operator="equal">
      <formula>"欠"</formula>
    </cfRule>
  </conditionalFormatting>
  <conditionalFormatting sqref="R148:S148">
    <cfRule type="cellIs" dxfId="0" priority="1035" operator="equal">
      <formula>"欠"</formula>
    </cfRule>
  </conditionalFormatting>
  <conditionalFormatting sqref="T148">
    <cfRule type="cellIs" dxfId="0" priority="1034" operator="equal">
      <formula>"欠"</formula>
    </cfRule>
  </conditionalFormatting>
  <conditionalFormatting sqref="R149:S149">
    <cfRule type="cellIs" dxfId="0" priority="1033" operator="equal">
      <formula>"欠"</formula>
    </cfRule>
  </conditionalFormatting>
  <conditionalFormatting sqref="R150:S150">
    <cfRule type="cellIs" dxfId="0" priority="1032" operator="equal">
      <formula>"欠"</formula>
    </cfRule>
  </conditionalFormatting>
  <conditionalFormatting sqref="R151:S151">
    <cfRule type="cellIs" dxfId="0" priority="1031" operator="equal">
      <formula>"欠"</formula>
    </cfRule>
  </conditionalFormatting>
  <conditionalFormatting sqref="R152:S152">
    <cfRule type="cellIs" dxfId="0" priority="1013" operator="equal">
      <formula>"欠"</formula>
    </cfRule>
  </conditionalFormatting>
  <conditionalFormatting sqref="T152">
    <cfRule type="cellIs" dxfId="0" priority="1009" operator="equal">
      <formula>"欠"</formula>
    </cfRule>
  </conditionalFormatting>
  <conditionalFormatting sqref="AB152">
    <cfRule type="cellIs" dxfId="0" priority="1017" operator="equal">
      <formula>"未完成"</formula>
    </cfRule>
  </conditionalFormatting>
  <conditionalFormatting sqref="AF152:AG152">
    <cfRule type="cellIs" dxfId="1" priority="1025" operator="equal">
      <formula>"未完成"</formula>
    </cfRule>
    <cfRule type="cellIs" dxfId="0" priority="1029" operator="equal">
      <formula>"未完成"</formula>
    </cfRule>
  </conditionalFormatting>
  <conditionalFormatting sqref="AH152">
    <cfRule type="cellIs" dxfId="0" priority="1021" operator="equal">
      <formula>"欠"</formula>
    </cfRule>
  </conditionalFormatting>
  <conditionalFormatting sqref="R153:S153">
    <cfRule type="cellIs" dxfId="0" priority="1012" operator="equal">
      <formula>"欠"</formula>
    </cfRule>
  </conditionalFormatting>
  <conditionalFormatting sqref="T153">
    <cfRule type="cellIs" dxfId="0" priority="1008" operator="equal">
      <formula>"欠"</formula>
    </cfRule>
  </conditionalFormatting>
  <conditionalFormatting sqref="AB153">
    <cfRule type="cellIs" dxfId="0" priority="1016" operator="equal">
      <formula>"未完成"</formula>
    </cfRule>
  </conditionalFormatting>
  <conditionalFormatting sqref="AF153:AG153">
    <cfRule type="cellIs" dxfId="1" priority="1024" operator="equal">
      <formula>"未完成"</formula>
    </cfRule>
    <cfRule type="cellIs" dxfId="0" priority="1028" operator="equal">
      <formula>"未完成"</formula>
    </cfRule>
  </conditionalFormatting>
  <conditionalFormatting sqref="AH153">
    <cfRule type="cellIs" dxfId="0" priority="1020" operator="equal">
      <formula>"欠"</formula>
    </cfRule>
  </conditionalFormatting>
  <conditionalFormatting sqref="R154:S154">
    <cfRule type="cellIs" dxfId="0" priority="1011" operator="equal">
      <formula>"欠"</formula>
    </cfRule>
  </conditionalFormatting>
  <conditionalFormatting sqref="T154">
    <cfRule type="cellIs" dxfId="0" priority="1007" operator="equal">
      <formula>"欠"</formula>
    </cfRule>
  </conditionalFormatting>
  <conditionalFormatting sqref="AB154">
    <cfRule type="cellIs" dxfId="0" priority="1015" operator="equal">
      <formula>"未完成"</formula>
    </cfRule>
  </conditionalFormatting>
  <conditionalFormatting sqref="AF154:AG154">
    <cfRule type="cellIs" dxfId="1" priority="1023" operator="equal">
      <formula>"未完成"</formula>
    </cfRule>
    <cfRule type="cellIs" dxfId="0" priority="1027" operator="equal">
      <formula>"未完成"</formula>
    </cfRule>
  </conditionalFormatting>
  <conditionalFormatting sqref="AH154">
    <cfRule type="cellIs" dxfId="0" priority="1019" operator="equal">
      <formula>"欠"</formula>
    </cfRule>
  </conditionalFormatting>
  <conditionalFormatting sqref="R155:S155">
    <cfRule type="cellIs" dxfId="0" priority="1010" operator="equal">
      <formula>"欠"</formula>
    </cfRule>
  </conditionalFormatting>
  <conditionalFormatting sqref="T155">
    <cfRule type="cellIs" dxfId="0" priority="1006" operator="equal">
      <formula>"欠"</formula>
    </cfRule>
  </conditionalFormatting>
  <conditionalFormatting sqref="AB155">
    <cfRule type="cellIs" dxfId="0" priority="1014" operator="equal">
      <formula>"未完成"</formula>
    </cfRule>
  </conditionalFormatting>
  <conditionalFormatting sqref="AF155:AG155">
    <cfRule type="cellIs" dxfId="1" priority="1022" operator="equal">
      <formula>"未完成"</formula>
    </cfRule>
    <cfRule type="cellIs" dxfId="0" priority="1026" operator="equal">
      <formula>"未完成"</formula>
    </cfRule>
  </conditionalFormatting>
  <conditionalFormatting sqref="AH155">
    <cfRule type="cellIs" dxfId="0" priority="1018" operator="equal">
      <formula>"欠"</formula>
    </cfRule>
  </conditionalFormatting>
  <conditionalFormatting sqref="S156">
    <cfRule type="cellIs" dxfId="0" priority="1000" operator="equal">
      <formula>"欠"</formula>
    </cfRule>
  </conditionalFormatting>
  <conditionalFormatting sqref="AB156">
    <cfRule type="cellIs" dxfId="0" priority="1002" operator="equal">
      <formula>"未完成"</formula>
    </cfRule>
  </conditionalFormatting>
  <conditionalFormatting sqref="AF156">
    <cfRule type="cellIs" dxfId="0" priority="1003" operator="equal">
      <formula>"欠"</formula>
    </cfRule>
  </conditionalFormatting>
  <conditionalFormatting sqref="S157">
    <cfRule type="cellIs" dxfId="0" priority="994" operator="equal">
      <formula>"欠"</formula>
    </cfRule>
  </conditionalFormatting>
  <conditionalFormatting sqref="AB157">
    <cfRule type="cellIs" dxfId="0" priority="996" operator="equal">
      <formula>"未完成"</formula>
    </cfRule>
  </conditionalFormatting>
  <conditionalFormatting sqref="AF157">
    <cfRule type="cellIs" dxfId="0" priority="997" operator="equal">
      <formula>"欠"</formula>
    </cfRule>
  </conditionalFormatting>
  <conditionalFormatting sqref="S158">
    <cfRule type="cellIs" dxfId="0" priority="988" operator="equal">
      <formula>"欠"</formula>
    </cfRule>
  </conditionalFormatting>
  <conditionalFormatting sqref="AB158">
    <cfRule type="cellIs" dxfId="0" priority="990" operator="equal">
      <formula>"未完成"</formula>
    </cfRule>
  </conditionalFormatting>
  <conditionalFormatting sqref="AF158">
    <cfRule type="cellIs" dxfId="0" priority="991" operator="equal">
      <formula>"欠"</formula>
    </cfRule>
  </conditionalFormatting>
  <conditionalFormatting sqref="R159:S159">
    <cfRule type="cellIs" dxfId="0" priority="983" operator="equal">
      <formula>"欠"</formula>
    </cfRule>
  </conditionalFormatting>
  <conditionalFormatting sqref="T159">
    <cfRule type="cellIs" dxfId="0" priority="982" operator="equal">
      <formula>"欠"</formula>
    </cfRule>
  </conditionalFormatting>
  <conditionalFormatting sqref="AB159">
    <cfRule type="cellIs" dxfId="0" priority="984" operator="equal">
      <formula>"未完成"</formula>
    </cfRule>
  </conditionalFormatting>
  <conditionalFormatting sqref="AF159:AG159">
    <cfRule type="cellIs" dxfId="1" priority="986" operator="equal">
      <formula>"未完成"</formula>
    </cfRule>
    <cfRule type="cellIs" dxfId="0" priority="987" operator="equal">
      <formula>"未完成"</formula>
    </cfRule>
  </conditionalFormatting>
  <conditionalFormatting sqref="AH159">
    <cfRule type="cellIs" dxfId="0" priority="985" operator="equal">
      <formula>"欠"</formula>
    </cfRule>
  </conditionalFormatting>
  <conditionalFormatting sqref="R160:S160">
    <cfRule type="cellIs" dxfId="0" priority="977" operator="equal">
      <formula>"欠"</formula>
    </cfRule>
  </conditionalFormatting>
  <conditionalFormatting sqref="R161:S161">
    <cfRule type="cellIs" dxfId="0" priority="976" operator="equal">
      <formula>"欠"</formula>
    </cfRule>
  </conditionalFormatting>
  <conditionalFormatting sqref="R162:S162">
    <cfRule type="cellIs" dxfId="0" priority="975" operator="equal">
      <formula>"欠"</formula>
    </cfRule>
  </conditionalFormatting>
  <conditionalFormatting sqref="R163:S163">
    <cfRule type="cellIs" dxfId="0" priority="974" operator="equal">
      <formula>"欠"</formula>
    </cfRule>
  </conditionalFormatting>
  <conditionalFormatting sqref="R164:S164">
    <cfRule type="cellIs" dxfId="0" priority="973" operator="equal">
      <formula>"欠"</formula>
    </cfRule>
  </conditionalFormatting>
  <conditionalFormatting sqref="R165:S165">
    <cfRule type="cellIs" dxfId="0" priority="972" operator="equal">
      <formula>"欠"</formula>
    </cfRule>
  </conditionalFormatting>
  <conditionalFormatting sqref="R166:S166">
    <cfRule type="cellIs" dxfId="0" priority="971" operator="equal">
      <formula>"欠"</formula>
    </cfRule>
  </conditionalFormatting>
  <conditionalFormatting sqref="R167:S167">
    <cfRule type="cellIs" dxfId="0" priority="970" operator="equal">
      <formula>"欠"</formula>
    </cfRule>
  </conditionalFormatting>
  <conditionalFormatting sqref="R168:S168">
    <cfRule type="cellIs" dxfId="0" priority="969" operator="equal">
      <formula>"欠"</formula>
    </cfRule>
  </conditionalFormatting>
  <conditionalFormatting sqref="R169:S169">
    <cfRule type="cellIs" dxfId="0" priority="968" operator="equal">
      <formula>"欠"</formula>
    </cfRule>
  </conditionalFormatting>
  <conditionalFormatting sqref="R170:S170">
    <cfRule type="cellIs" dxfId="0" priority="967" operator="equal">
      <formula>"欠"</formula>
    </cfRule>
  </conditionalFormatting>
  <conditionalFormatting sqref="R171:S171">
    <cfRule type="cellIs" dxfId="0" priority="966" operator="equal">
      <formula>"欠"</formula>
    </cfRule>
  </conditionalFormatting>
  <conditionalFormatting sqref="R172:S172">
    <cfRule type="cellIs" dxfId="0" priority="965" operator="equal">
      <formula>"欠"</formula>
    </cfRule>
  </conditionalFormatting>
  <conditionalFormatting sqref="T172">
    <cfRule type="cellIs" dxfId="0" priority="960" operator="equal">
      <formula>"欠"</formula>
    </cfRule>
  </conditionalFormatting>
  <conditionalFormatting sqref="R173:S173">
    <cfRule type="cellIs" dxfId="0" priority="964" operator="equal">
      <formula>"欠"</formula>
    </cfRule>
  </conditionalFormatting>
  <conditionalFormatting sqref="R174:S174">
    <cfRule type="cellIs" dxfId="0" priority="963" operator="equal">
      <formula>"欠"</formula>
    </cfRule>
  </conditionalFormatting>
  <conditionalFormatting sqref="R175:S175">
    <cfRule type="cellIs" dxfId="0" priority="962" operator="equal">
      <formula>"欠"</formula>
    </cfRule>
  </conditionalFormatting>
  <conditionalFormatting sqref="R176:S176">
    <cfRule type="cellIs" dxfId="0" priority="961" operator="equal">
      <formula>"欠"</formula>
    </cfRule>
  </conditionalFormatting>
  <conditionalFormatting sqref="R177:S177">
    <cfRule type="cellIs" dxfId="0" priority="953" operator="equal">
      <formula>"欠"</formula>
    </cfRule>
  </conditionalFormatting>
  <conditionalFormatting sqref="R178:S178">
    <cfRule type="cellIs" dxfId="0" priority="952" operator="equal">
      <formula>"欠"</formula>
    </cfRule>
  </conditionalFormatting>
  <conditionalFormatting sqref="R179:S179">
    <cfRule type="cellIs" dxfId="0" priority="940" operator="equal">
      <formula>"欠"</formula>
    </cfRule>
  </conditionalFormatting>
  <conditionalFormatting sqref="T179">
    <cfRule type="cellIs" dxfId="0" priority="939" operator="equal">
      <formula>"欠"</formula>
    </cfRule>
  </conditionalFormatting>
  <conditionalFormatting sqref="S180">
    <cfRule type="cellIs" dxfId="0" priority="938" operator="equal">
      <formula>"欠"</formula>
    </cfRule>
  </conditionalFormatting>
  <conditionalFormatting sqref="T180">
    <cfRule type="cellIs" dxfId="0" priority="935" operator="equal">
      <formula>"欠"</formula>
    </cfRule>
  </conditionalFormatting>
  <conditionalFormatting sqref="S181">
    <cfRule type="cellIs" dxfId="0" priority="937" operator="equal">
      <formula>"欠"</formula>
    </cfRule>
  </conditionalFormatting>
  <conditionalFormatting sqref="T181">
    <cfRule type="cellIs" dxfId="0" priority="934" operator="equal">
      <formula>"欠"</formula>
    </cfRule>
  </conditionalFormatting>
  <conditionalFormatting sqref="S182">
    <cfRule type="cellIs" dxfId="0" priority="936" operator="equal">
      <formula>"欠"</formula>
    </cfRule>
  </conditionalFormatting>
  <conditionalFormatting sqref="T182">
    <cfRule type="cellIs" dxfId="0" priority="933" operator="equal">
      <formula>"欠"</formula>
    </cfRule>
  </conditionalFormatting>
  <conditionalFormatting sqref="R183">
    <cfRule type="cellIs" dxfId="0" priority="926" operator="equal">
      <formula>"欠"</formula>
    </cfRule>
  </conditionalFormatting>
  <conditionalFormatting sqref="AB183">
    <cfRule type="cellIs" dxfId="0" priority="929" operator="equal">
      <formula>"未完成"</formula>
    </cfRule>
  </conditionalFormatting>
  <conditionalFormatting sqref="AF183:AG183">
    <cfRule type="cellIs" dxfId="1" priority="930" operator="equal">
      <formula>"未完成"</formula>
    </cfRule>
    <cfRule type="cellIs" dxfId="0" priority="931" operator="equal">
      <formula>"未完成"</formula>
    </cfRule>
  </conditionalFormatting>
  <conditionalFormatting sqref="AH183:AN183">
    <cfRule type="cellIs" dxfId="1" priority="927" operator="equal">
      <formula>"未完成"</formula>
    </cfRule>
    <cfRule type="cellIs" dxfId="0" priority="928" operator="equal">
      <formula>"未完成"</formula>
    </cfRule>
  </conditionalFormatting>
  <conditionalFormatting sqref="R184">
    <cfRule type="cellIs" dxfId="0" priority="919" operator="equal">
      <formula>"欠"</formula>
    </cfRule>
  </conditionalFormatting>
  <conditionalFormatting sqref="T184">
    <cfRule type="cellIs" dxfId="0" priority="920" operator="equal">
      <formula>"欠"</formula>
    </cfRule>
  </conditionalFormatting>
  <conditionalFormatting sqref="AB184">
    <cfRule type="cellIs" dxfId="0" priority="923" operator="equal">
      <formula>"未完成"</formula>
    </cfRule>
  </conditionalFormatting>
  <conditionalFormatting sqref="AF184:AG184">
    <cfRule type="cellIs" dxfId="1" priority="924" operator="equal">
      <formula>"未完成"</formula>
    </cfRule>
    <cfRule type="cellIs" dxfId="0" priority="925" operator="equal">
      <formula>"未完成"</formula>
    </cfRule>
  </conditionalFormatting>
  <conditionalFormatting sqref="R185">
    <cfRule type="cellIs" dxfId="0" priority="913" operator="equal">
      <formula>"欠"</formula>
    </cfRule>
  </conditionalFormatting>
  <conditionalFormatting sqref="T185">
    <cfRule type="cellIs" dxfId="0" priority="912" operator="equal">
      <formula>"欠"</formula>
    </cfRule>
  </conditionalFormatting>
  <conditionalFormatting sqref="AB185">
    <cfRule type="cellIs" dxfId="0" priority="916" operator="equal">
      <formula>"未完成"</formula>
    </cfRule>
  </conditionalFormatting>
  <conditionalFormatting sqref="AF185:AG185">
    <cfRule type="cellIs" dxfId="1" priority="917" operator="equal">
      <formula>"未完成"</formula>
    </cfRule>
    <cfRule type="cellIs" dxfId="0" priority="918" operator="equal">
      <formula>"未完成"</formula>
    </cfRule>
  </conditionalFormatting>
  <conditionalFormatting sqref="AH185:AN185">
    <cfRule type="cellIs" dxfId="1" priority="914" operator="equal">
      <formula>"未完成"</formula>
    </cfRule>
    <cfRule type="cellIs" dxfId="0" priority="915" operator="equal">
      <formula>"未完成"</formula>
    </cfRule>
  </conditionalFormatting>
  <conditionalFormatting sqref="R186">
    <cfRule type="cellIs" dxfId="0" priority="905" operator="equal">
      <formula>"欠"</formula>
    </cfRule>
  </conditionalFormatting>
  <conditionalFormatting sqref="T186">
    <cfRule type="cellIs" dxfId="0" priority="906" operator="equal">
      <formula>"欠"</formula>
    </cfRule>
  </conditionalFormatting>
  <conditionalFormatting sqref="R187">
    <cfRule type="cellIs" dxfId="0" priority="898" operator="equal">
      <formula>"欠"</formula>
    </cfRule>
  </conditionalFormatting>
  <conditionalFormatting sqref="T187">
    <cfRule type="cellIs" dxfId="0" priority="899" operator="equal">
      <formula>"欠"</formula>
    </cfRule>
  </conditionalFormatting>
  <conditionalFormatting sqref="R188">
    <cfRule type="cellIs" dxfId="0" priority="895" operator="equal">
      <formula>"欠"</formula>
    </cfRule>
  </conditionalFormatting>
  <conditionalFormatting sqref="T188">
    <cfRule type="cellIs" dxfId="0" priority="897" operator="equal">
      <formula>"欠"</formula>
    </cfRule>
  </conditionalFormatting>
  <conditionalFormatting sqref="R189">
    <cfRule type="cellIs" dxfId="0" priority="894" operator="equal">
      <formula>"欠"</formula>
    </cfRule>
  </conditionalFormatting>
  <conditionalFormatting sqref="T189">
    <cfRule type="cellIs" dxfId="0" priority="896" operator="equal">
      <formula>"欠"</formula>
    </cfRule>
  </conditionalFormatting>
  <conditionalFormatting sqref="R190">
    <cfRule type="cellIs" dxfId="0" priority="889" operator="equal">
      <formula>"欠"</formula>
    </cfRule>
  </conditionalFormatting>
  <conditionalFormatting sqref="S190">
    <cfRule type="cellIs" dxfId="0" priority="888" operator="equal">
      <formula>"欠"</formula>
    </cfRule>
  </conditionalFormatting>
  <conditionalFormatting sqref="R191">
    <cfRule type="cellIs" dxfId="0" priority="887" operator="equal">
      <formula>"欠"</formula>
    </cfRule>
  </conditionalFormatting>
  <conditionalFormatting sqref="S191">
    <cfRule type="cellIs" dxfId="0" priority="886" operator="equal">
      <formula>"欠"</formula>
    </cfRule>
  </conditionalFormatting>
  <conditionalFormatting sqref="R192">
    <cfRule type="cellIs" dxfId="0" priority="862" operator="equal">
      <formula>"欠"</formula>
    </cfRule>
  </conditionalFormatting>
  <conditionalFormatting sqref="T192">
    <cfRule type="cellIs" dxfId="0" priority="863" operator="equal">
      <formula>"欠"</formula>
    </cfRule>
  </conditionalFormatting>
  <conditionalFormatting sqref="AC192">
    <cfRule type="cellIs" dxfId="0" priority="870" operator="equal">
      <formula>"未完成"</formula>
    </cfRule>
  </conditionalFormatting>
  <conditionalFormatting sqref="AG192:AH192">
    <cfRule type="cellIs" dxfId="0" priority="872" operator="equal">
      <formula>"未完成"</formula>
    </cfRule>
    <cfRule type="cellIs" dxfId="1" priority="871" operator="equal">
      <formula>"未完成"</formula>
    </cfRule>
  </conditionalFormatting>
  <conditionalFormatting sqref="AI192">
    <cfRule type="cellIs" dxfId="0" priority="861" operator="equal">
      <formula>"未完成"</formula>
    </cfRule>
    <cfRule type="cellIs" dxfId="1" priority="860" operator="equal">
      <formula>"未完成"</formula>
    </cfRule>
  </conditionalFormatting>
  <conditionalFormatting sqref="AJ192:AK192">
    <cfRule type="cellIs" dxfId="0" priority="874" operator="equal">
      <formula>"未完成"</formula>
    </cfRule>
    <cfRule type="cellIs" dxfId="1" priority="873" operator="equal">
      <formula>"未完成"</formula>
    </cfRule>
  </conditionalFormatting>
  <conditionalFormatting sqref="AM192">
    <cfRule type="cellIs" dxfId="0" priority="869" operator="equal">
      <formula>"未完成"</formula>
    </cfRule>
    <cfRule type="cellIs" dxfId="1" priority="868" operator="equal">
      <formula>"未完成"</formula>
    </cfRule>
  </conditionalFormatting>
  <conditionalFormatting sqref="AN192">
    <cfRule type="cellIs" dxfId="0" priority="867" operator="equal">
      <formula>"未完成"</formula>
    </cfRule>
    <cfRule type="cellIs" dxfId="1" priority="866" operator="equal">
      <formula>"未完成"</formula>
    </cfRule>
  </conditionalFormatting>
  <conditionalFormatting sqref="R193">
    <cfRule type="cellIs" dxfId="0" priority="847" operator="equal">
      <formula>"欠"</formula>
    </cfRule>
  </conditionalFormatting>
  <conditionalFormatting sqref="T193">
    <cfRule type="cellIs" dxfId="0" priority="848" operator="equal">
      <formula>"欠"</formula>
    </cfRule>
  </conditionalFormatting>
  <conditionalFormatting sqref="AC193">
    <cfRule type="cellIs" dxfId="0" priority="855" operator="equal">
      <formula>"未完成"</formula>
    </cfRule>
  </conditionalFormatting>
  <conditionalFormatting sqref="AG193:AH193">
    <cfRule type="cellIs" dxfId="0" priority="857" operator="equal">
      <formula>"未完成"</formula>
    </cfRule>
    <cfRule type="cellIs" dxfId="1" priority="856" operator="equal">
      <formula>"未完成"</formula>
    </cfRule>
  </conditionalFormatting>
  <conditionalFormatting sqref="AJ193">
    <cfRule type="cellIs" dxfId="0" priority="852" operator="equal">
      <formula>"未完成"</formula>
    </cfRule>
    <cfRule type="cellIs" dxfId="1" priority="851" operator="equal">
      <formula>"未完成"</formula>
    </cfRule>
  </conditionalFormatting>
  <conditionalFormatting sqref="AK193">
    <cfRule type="cellIs" dxfId="0" priority="850" operator="equal">
      <formula>"未完成"</formula>
    </cfRule>
    <cfRule type="cellIs" dxfId="1" priority="849" operator="equal">
      <formula>"未完成"</formula>
    </cfRule>
  </conditionalFormatting>
  <conditionalFormatting sqref="AP193:AR193">
    <cfRule type="cellIs" dxfId="0" priority="854" operator="equal">
      <formula>"未完成"</formula>
    </cfRule>
    <cfRule type="cellIs" dxfId="1" priority="853" operator="equal">
      <formula>"未完成"</formula>
    </cfRule>
  </conditionalFormatting>
  <conditionalFormatting sqref="R194">
    <cfRule type="cellIs" dxfId="0" priority="832" operator="equal">
      <formula>"欠"</formula>
    </cfRule>
  </conditionalFormatting>
  <conditionalFormatting sqref="T194">
    <cfRule type="cellIs" dxfId="0" priority="833" operator="equal">
      <formula>"欠"</formula>
    </cfRule>
  </conditionalFormatting>
  <conditionalFormatting sqref="AC194">
    <cfRule type="cellIs" dxfId="0" priority="842" operator="equal">
      <formula>"未完成"</formula>
    </cfRule>
  </conditionalFormatting>
  <conditionalFormatting sqref="AG194:AH194">
    <cfRule type="cellIs" dxfId="0" priority="844" operator="equal">
      <formula>"未完成"</formula>
    </cfRule>
    <cfRule type="cellIs" dxfId="1" priority="843" operator="equal">
      <formula>"未完成"</formula>
    </cfRule>
  </conditionalFormatting>
  <conditionalFormatting sqref="AJ194">
    <cfRule type="cellIs" dxfId="0" priority="837" operator="equal">
      <formula>"未完成"</formula>
    </cfRule>
    <cfRule type="cellIs" dxfId="1" priority="836" operator="equal">
      <formula>"未完成"</formula>
    </cfRule>
  </conditionalFormatting>
  <conditionalFormatting sqref="AK194">
    <cfRule type="cellIs" dxfId="0" priority="835" operator="equal">
      <formula>"未完成"</formula>
    </cfRule>
    <cfRule type="cellIs" dxfId="1" priority="834" operator="equal">
      <formula>"未完成"</formula>
    </cfRule>
  </conditionalFormatting>
  <conditionalFormatting sqref="AM194">
    <cfRule type="cellIs" dxfId="0" priority="846" operator="equal">
      <formula>"未完成"</formula>
    </cfRule>
    <cfRule type="cellIs" dxfId="1" priority="845" operator="equal">
      <formula>"未完成"</formula>
    </cfRule>
  </conditionalFormatting>
  <conditionalFormatting sqref="AP194:AR194">
    <cfRule type="cellIs" dxfId="0" priority="841" operator="equal">
      <formula>"未完成"</formula>
    </cfRule>
    <cfRule type="cellIs" dxfId="1" priority="840" operator="equal">
      <formula>"未完成"</formula>
    </cfRule>
  </conditionalFormatting>
  <conditionalFormatting sqref="R195">
    <cfRule type="cellIs" dxfId="0" priority="820" operator="equal">
      <formula>"欠"</formula>
    </cfRule>
  </conditionalFormatting>
  <conditionalFormatting sqref="T195">
    <cfRule type="cellIs" dxfId="0" priority="819" operator="equal">
      <formula>"欠"</formula>
    </cfRule>
  </conditionalFormatting>
  <conditionalFormatting sqref="AC195">
    <cfRule type="cellIs" dxfId="0" priority="827" operator="equal">
      <formula>"未完成"</formula>
    </cfRule>
  </conditionalFormatting>
  <conditionalFormatting sqref="AG195:AH195">
    <cfRule type="cellIs" dxfId="0" priority="829" operator="equal">
      <formula>"未完成"</formula>
    </cfRule>
    <cfRule type="cellIs" dxfId="1" priority="828" operator="equal">
      <formula>"未完成"</formula>
    </cfRule>
  </conditionalFormatting>
  <conditionalFormatting sqref="AJ195">
    <cfRule type="cellIs" dxfId="0" priority="822" operator="equal">
      <formula>"未完成"</formula>
    </cfRule>
    <cfRule type="cellIs" dxfId="1" priority="821" operator="equal">
      <formula>"未完成"</formula>
    </cfRule>
  </conditionalFormatting>
  <conditionalFormatting sqref="AK195">
    <cfRule type="cellIs" dxfId="0" priority="826" operator="equal">
      <formula>"未完成"</formula>
    </cfRule>
    <cfRule type="cellIs" dxfId="1" priority="825" operator="equal">
      <formula>"未完成"</formula>
    </cfRule>
  </conditionalFormatting>
  <conditionalFormatting sqref="AM195">
    <cfRule type="cellIs" dxfId="0" priority="818" operator="equal">
      <formula>"未完成"</formula>
    </cfRule>
    <cfRule type="cellIs" dxfId="1" priority="817" operator="equal">
      <formula>"未完成"</formula>
    </cfRule>
  </conditionalFormatting>
  <conditionalFormatting sqref="AP195:AR195">
    <cfRule type="cellIs" dxfId="0" priority="824" operator="equal">
      <formula>"未完成"</formula>
    </cfRule>
    <cfRule type="cellIs" dxfId="1" priority="823" operator="equal">
      <formula>"未完成"</formula>
    </cfRule>
  </conditionalFormatting>
  <conditionalFormatting sqref="R196">
    <cfRule type="cellIs" dxfId="0" priority="803" operator="equal">
      <formula>"欠"</formula>
    </cfRule>
  </conditionalFormatting>
  <conditionalFormatting sqref="T196">
    <cfRule type="cellIs" dxfId="0" priority="800" operator="equal">
      <formula>"欠"</formula>
    </cfRule>
  </conditionalFormatting>
  <conditionalFormatting sqref="AC196">
    <cfRule type="cellIs" dxfId="0" priority="812" operator="equal">
      <formula>"未完成"</formula>
    </cfRule>
  </conditionalFormatting>
  <conditionalFormatting sqref="AG196:AH196">
    <cfRule type="cellIs" dxfId="0" priority="814" operator="equal">
      <formula>"未完成"</formula>
    </cfRule>
    <cfRule type="cellIs" dxfId="1" priority="813" operator="equal">
      <formula>"未完成"</formula>
    </cfRule>
  </conditionalFormatting>
  <conditionalFormatting sqref="AI196">
    <cfRule type="cellIs" dxfId="0" priority="816" operator="equal">
      <formula>"未完成"</formula>
    </cfRule>
    <cfRule type="cellIs" dxfId="1" priority="815" operator="equal">
      <formula>"未完成"</formula>
    </cfRule>
  </conditionalFormatting>
  <conditionalFormatting sqref="AJ196">
    <cfRule type="cellIs" dxfId="0" priority="805" operator="equal">
      <formula>"未完成"</formula>
    </cfRule>
    <cfRule type="cellIs" dxfId="1" priority="804" operator="equal">
      <formula>"未完成"</formula>
    </cfRule>
  </conditionalFormatting>
  <conditionalFormatting sqref="AK196">
    <cfRule type="cellIs" dxfId="0" priority="809" operator="equal">
      <formula>"未完成"</formula>
    </cfRule>
    <cfRule type="cellIs" dxfId="1" priority="808" operator="equal">
      <formula>"未完成"</formula>
    </cfRule>
  </conditionalFormatting>
  <conditionalFormatting sqref="AM196">
    <cfRule type="cellIs" dxfId="0" priority="802" operator="equal">
      <formula>"未完成"</formula>
    </cfRule>
    <cfRule type="cellIs" dxfId="1" priority="801" operator="equal">
      <formula>"未完成"</formula>
    </cfRule>
  </conditionalFormatting>
  <conditionalFormatting sqref="AO196">
    <cfRule type="cellIs" dxfId="0" priority="811" operator="equal">
      <formula>"未完成"</formula>
    </cfRule>
    <cfRule type="cellIs" dxfId="1" priority="810" operator="equal">
      <formula>"未完成"</formula>
    </cfRule>
  </conditionalFormatting>
  <conditionalFormatting sqref="AP196:AR196">
    <cfRule type="cellIs" dxfId="0" priority="807" operator="equal">
      <formula>"未完成"</formula>
    </cfRule>
    <cfRule type="cellIs" dxfId="1" priority="806" operator="equal">
      <formula>"未完成"</formula>
    </cfRule>
  </conditionalFormatting>
  <conditionalFormatting sqref="R197">
    <cfRule type="cellIs" dxfId="0" priority="788" operator="equal">
      <formula>"欠"</formula>
    </cfRule>
  </conditionalFormatting>
  <conditionalFormatting sqref="T197">
    <cfRule type="cellIs" dxfId="0" priority="785" operator="equal">
      <formula>"欠"</formula>
    </cfRule>
  </conditionalFormatting>
  <conditionalFormatting sqref="AC197">
    <cfRule type="cellIs" dxfId="0" priority="797" operator="equal">
      <formula>"未完成"</formula>
    </cfRule>
  </conditionalFormatting>
  <conditionalFormatting sqref="AG197:AH197">
    <cfRule type="cellIs" dxfId="0" priority="799" operator="equal">
      <formula>"未完成"</formula>
    </cfRule>
    <cfRule type="cellIs" dxfId="1" priority="798" operator="equal">
      <formula>"未完成"</formula>
    </cfRule>
  </conditionalFormatting>
  <conditionalFormatting sqref="AI197">
    <cfRule type="cellIs" dxfId="0" priority="787" operator="equal">
      <formula>"未完成"</formula>
    </cfRule>
    <cfRule type="cellIs" dxfId="1" priority="786" operator="equal">
      <formula>"未完成"</formula>
    </cfRule>
  </conditionalFormatting>
  <conditionalFormatting sqref="AJ197">
    <cfRule type="cellIs" dxfId="0" priority="792" operator="equal">
      <formula>"未完成"</formula>
    </cfRule>
    <cfRule type="cellIs" dxfId="1" priority="791" operator="equal">
      <formula>"未完成"</formula>
    </cfRule>
  </conditionalFormatting>
  <conditionalFormatting sqref="AK197">
    <cfRule type="cellIs" dxfId="0" priority="790" operator="equal">
      <formula>"未完成"</formula>
    </cfRule>
    <cfRule type="cellIs" dxfId="1" priority="789" operator="equal">
      <formula>"未完成"</formula>
    </cfRule>
  </conditionalFormatting>
  <conditionalFormatting sqref="AM197:AN197">
    <cfRule type="cellIs" dxfId="0" priority="784" operator="equal">
      <formula>"未完成"</formula>
    </cfRule>
    <cfRule type="cellIs" dxfId="1" priority="783" operator="equal">
      <formula>"未完成"</formula>
    </cfRule>
  </conditionalFormatting>
  <conditionalFormatting sqref="AP197">
    <cfRule type="cellIs" dxfId="0" priority="794" operator="equal">
      <formula>"未完成"</formula>
    </cfRule>
    <cfRule type="cellIs" dxfId="1" priority="793" operator="equal">
      <formula>"未完成"</formula>
    </cfRule>
  </conditionalFormatting>
  <conditionalFormatting sqref="AQ197:AS197">
    <cfRule type="cellIs" dxfId="0" priority="796" operator="equal">
      <formula>"未完成"</formula>
    </cfRule>
    <cfRule type="cellIs" dxfId="1" priority="795" operator="equal">
      <formula>"未完成"</formula>
    </cfRule>
  </conditionalFormatting>
  <conditionalFormatting sqref="R198">
    <cfRule type="cellIs" dxfId="0" priority="767" operator="equal">
      <formula>"欠"</formula>
    </cfRule>
  </conditionalFormatting>
  <conditionalFormatting sqref="T198">
    <cfRule type="cellIs" dxfId="0" priority="768" operator="equal">
      <formula>"欠"</formula>
    </cfRule>
  </conditionalFormatting>
  <conditionalFormatting sqref="AG198:AH198">
    <cfRule type="cellIs" dxfId="0" priority="780" operator="equal">
      <formula>"未完成"</formula>
    </cfRule>
    <cfRule type="cellIs" dxfId="1" priority="779" operator="equal">
      <formula>"未完成"</formula>
    </cfRule>
  </conditionalFormatting>
  <conditionalFormatting sqref="AI198">
    <cfRule type="cellIs" dxfId="0" priority="770" operator="equal">
      <formula>"未完成"</formula>
    </cfRule>
    <cfRule type="cellIs" dxfId="1" priority="769" operator="equal">
      <formula>"未完成"</formula>
    </cfRule>
  </conditionalFormatting>
  <conditionalFormatting sqref="AJ198">
    <cfRule type="cellIs" dxfId="0" priority="774" operator="equal">
      <formula>"未完成"</formula>
    </cfRule>
    <cfRule type="cellIs" dxfId="1" priority="773" operator="equal">
      <formula>"未完成"</formula>
    </cfRule>
  </conditionalFormatting>
  <conditionalFormatting sqref="AK198">
    <cfRule type="cellIs" dxfId="0" priority="772" operator="equal">
      <formula>"未完成"</formula>
    </cfRule>
    <cfRule type="cellIs" dxfId="1" priority="771" operator="equal">
      <formula>"未完成"</formula>
    </cfRule>
  </conditionalFormatting>
  <conditionalFormatting sqref="AM198:AN198">
    <cfRule type="cellIs" dxfId="0" priority="782" operator="equal">
      <formula>"未完成"</formula>
    </cfRule>
    <cfRule type="cellIs" dxfId="1" priority="781" operator="equal">
      <formula>"未完成"</formula>
    </cfRule>
  </conditionalFormatting>
  <conditionalFormatting sqref="AP198">
    <cfRule type="cellIs" dxfId="0" priority="776" operator="equal">
      <formula>"未完成"</formula>
    </cfRule>
    <cfRule type="cellIs" dxfId="1" priority="775" operator="equal">
      <formula>"未完成"</formula>
    </cfRule>
  </conditionalFormatting>
  <conditionalFormatting sqref="AQ198:AS198">
    <cfRule type="cellIs" dxfId="0" priority="778" operator="equal">
      <formula>"未完成"</formula>
    </cfRule>
    <cfRule type="cellIs" dxfId="1" priority="777" operator="equal">
      <formula>"未完成"</formula>
    </cfRule>
  </conditionalFormatting>
  <conditionalFormatting sqref="R199">
    <cfRule type="cellIs" dxfId="0" priority="753" operator="equal">
      <formula>"欠"</formula>
    </cfRule>
  </conditionalFormatting>
  <conditionalFormatting sqref="T199">
    <cfRule type="cellIs" dxfId="0" priority="754" operator="equal">
      <formula>"欠"</formula>
    </cfRule>
  </conditionalFormatting>
  <conditionalFormatting sqref="AG199:AH199">
    <cfRule type="cellIs" dxfId="0" priority="764" operator="equal">
      <formula>"未完成"</formula>
    </cfRule>
    <cfRule type="cellIs" dxfId="1" priority="763" operator="equal">
      <formula>"未完成"</formula>
    </cfRule>
  </conditionalFormatting>
  <conditionalFormatting sqref="AI199">
    <cfRule type="cellIs" dxfId="0" priority="752" operator="equal">
      <formula>"未完成"</formula>
    </cfRule>
    <cfRule type="cellIs" dxfId="1" priority="751" operator="equal">
      <formula>"未完成"</formula>
    </cfRule>
  </conditionalFormatting>
  <conditionalFormatting sqref="AJ199">
    <cfRule type="cellIs" dxfId="0" priority="756" operator="equal">
      <formula>"未完成"</formula>
    </cfRule>
    <cfRule type="cellIs" dxfId="1" priority="755" operator="equal">
      <formula>"未完成"</formula>
    </cfRule>
  </conditionalFormatting>
  <conditionalFormatting sqref="AK199">
    <cfRule type="cellIs" dxfId="0" priority="758" operator="equal">
      <formula>"未完成"</formula>
    </cfRule>
    <cfRule type="cellIs" dxfId="1" priority="757" operator="equal">
      <formula>"未完成"</formula>
    </cfRule>
  </conditionalFormatting>
  <conditionalFormatting sqref="AM199:AN199">
    <cfRule type="cellIs" dxfId="0" priority="766" operator="equal">
      <formula>"未完成"</formula>
    </cfRule>
    <cfRule type="cellIs" dxfId="1" priority="765" operator="equal">
      <formula>"未完成"</formula>
    </cfRule>
  </conditionalFormatting>
  <conditionalFormatting sqref="AP199">
    <cfRule type="cellIs" dxfId="0" priority="760" operator="equal">
      <formula>"未完成"</formula>
    </cfRule>
    <cfRule type="cellIs" dxfId="1" priority="759" operator="equal">
      <formula>"未完成"</formula>
    </cfRule>
  </conditionalFormatting>
  <conditionalFormatting sqref="AQ199:AS199">
    <cfRule type="cellIs" dxfId="0" priority="762" operator="equal">
      <formula>"未完成"</formula>
    </cfRule>
    <cfRule type="cellIs" dxfId="1" priority="761" operator="equal">
      <formula>"未完成"</formula>
    </cfRule>
  </conditionalFormatting>
  <conditionalFormatting sqref="R200">
    <cfRule type="cellIs" dxfId="0" priority="735" operator="equal">
      <formula>"欠"</formula>
    </cfRule>
  </conditionalFormatting>
  <conditionalFormatting sqref="T200">
    <cfRule type="cellIs" dxfId="0" priority="734" operator="equal">
      <formula>"欠"</formula>
    </cfRule>
  </conditionalFormatting>
  <conditionalFormatting sqref="AC200">
    <cfRule type="cellIs" dxfId="0" priority="746" operator="equal">
      <formula>"未完成"</formula>
    </cfRule>
  </conditionalFormatting>
  <conditionalFormatting sqref="AG200:AH200">
    <cfRule type="cellIs" dxfId="0" priority="748" operator="equal">
      <formula>"未完成"</formula>
    </cfRule>
    <cfRule type="cellIs" dxfId="1" priority="747" operator="equal">
      <formula>"未完成"</formula>
    </cfRule>
  </conditionalFormatting>
  <conditionalFormatting sqref="AI200">
    <cfRule type="cellIs" dxfId="0" priority="750" operator="equal">
      <formula>"未完成"</formula>
    </cfRule>
    <cfRule type="cellIs" dxfId="1" priority="749" operator="equal">
      <formula>"未完成"</formula>
    </cfRule>
  </conditionalFormatting>
  <conditionalFormatting sqref="AJ200">
    <cfRule type="cellIs" dxfId="0" priority="741" operator="equal">
      <formula>"未完成"</formula>
    </cfRule>
    <cfRule type="cellIs" dxfId="1" priority="740" operator="equal">
      <formula>"未完成"</formula>
    </cfRule>
  </conditionalFormatting>
  <conditionalFormatting sqref="AK200">
    <cfRule type="cellIs" dxfId="0" priority="737" operator="equal">
      <formula>"未完成"</formula>
    </cfRule>
    <cfRule type="cellIs" dxfId="1" priority="736" operator="equal">
      <formula>"未完成"</formula>
    </cfRule>
  </conditionalFormatting>
  <conditionalFormatting sqref="AM200:AN200">
    <cfRule type="cellIs" dxfId="0" priority="739" operator="equal">
      <formula>"未完成"</formula>
    </cfRule>
    <cfRule type="cellIs" dxfId="1" priority="738" operator="equal">
      <formula>"未完成"</formula>
    </cfRule>
  </conditionalFormatting>
  <conditionalFormatting sqref="AP200">
    <cfRule type="cellIs" dxfId="0" priority="743" operator="equal">
      <formula>"未完成"</formula>
    </cfRule>
    <cfRule type="cellIs" dxfId="1" priority="742" operator="equal">
      <formula>"未完成"</formula>
    </cfRule>
  </conditionalFormatting>
  <conditionalFormatting sqref="AQ200:AS200">
    <cfRule type="cellIs" dxfId="0" priority="745" operator="equal">
      <formula>"未完成"</formula>
    </cfRule>
    <cfRule type="cellIs" dxfId="1" priority="744" operator="equal">
      <formula>"未完成"</formula>
    </cfRule>
  </conditionalFormatting>
  <conditionalFormatting sqref="R203">
    <cfRule type="cellIs" dxfId="0" priority="705" operator="equal">
      <formula>"欠"</formula>
    </cfRule>
  </conditionalFormatting>
  <conditionalFormatting sqref="T203">
    <cfRule type="cellIs" dxfId="0" priority="704" operator="equal">
      <formula>"欠"</formula>
    </cfRule>
  </conditionalFormatting>
  <conditionalFormatting sqref="AC203">
    <cfRule type="cellIs" dxfId="0" priority="712" operator="equal">
      <formula>"未完成"</formula>
    </cfRule>
  </conditionalFormatting>
  <conditionalFormatting sqref="AG203:AH203">
    <cfRule type="cellIs" dxfId="0" priority="714" operator="equal">
      <formula>"未完成"</formula>
    </cfRule>
    <cfRule type="cellIs" dxfId="1" priority="713" operator="equal">
      <formula>"未完成"</formula>
    </cfRule>
  </conditionalFormatting>
  <conditionalFormatting sqref="AI203">
    <cfRule type="cellIs" dxfId="0" priority="716" operator="equal">
      <formula>"未完成"</formula>
    </cfRule>
    <cfRule type="cellIs" dxfId="1" priority="715" operator="equal">
      <formula>"未完成"</formula>
    </cfRule>
  </conditionalFormatting>
  <conditionalFormatting sqref="AJ203">
    <cfRule type="cellIs" dxfId="0" priority="701" operator="equal">
      <formula>"未完成"</formula>
    </cfRule>
    <cfRule type="cellIs" dxfId="1" priority="700" operator="equal">
      <formula>"未完成"</formula>
    </cfRule>
  </conditionalFormatting>
  <conditionalFormatting sqref="AK203">
    <cfRule type="cellIs" dxfId="0" priority="699" operator="equal">
      <formula>"未完成"</formula>
    </cfRule>
    <cfRule type="cellIs" dxfId="1" priority="698" operator="equal">
      <formula>"未完成"</formula>
    </cfRule>
  </conditionalFormatting>
  <conditionalFormatting sqref="AM203">
    <cfRule type="cellIs" dxfId="0" priority="703" operator="equal">
      <formula>"未完成"</formula>
    </cfRule>
    <cfRule type="cellIs" dxfId="1" priority="702" operator="equal">
      <formula>"未完成"</formula>
    </cfRule>
  </conditionalFormatting>
  <conditionalFormatting sqref="AN203">
    <cfRule type="cellIs" dxfId="0" priority="707" operator="equal">
      <formula>"未完成"</formula>
    </cfRule>
    <cfRule type="cellIs" dxfId="1" priority="706" operator="equal">
      <formula>"未完成"</formula>
    </cfRule>
  </conditionalFormatting>
  <conditionalFormatting sqref="AP203">
    <cfRule type="cellIs" dxfId="0" priority="709" operator="equal">
      <formula>"未完成"</formula>
    </cfRule>
    <cfRule type="cellIs" dxfId="1" priority="708" operator="equal">
      <formula>"未完成"</formula>
    </cfRule>
  </conditionalFormatting>
  <conditionalFormatting sqref="AQ203">
    <cfRule type="cellIs" dxfId="0" priority="697" operator="equal">
      <formula>"未完成"</formula>
    </cfRule>
    <cfRule type="cellIs" dxfId="1" priority="696" operator="equal">
      <formula>"未完成"</formula>
    </cfRule>
  </conditionalFormatting>
  <conditionalFormatting sqref="AR203:AS203">
    <cfRule type="cellIs" dxfId="0" priority="711" operator="equal">
      <formula>"未完成"</formula>
    </cfRule>
    <cfRule type="cellIs" dxfId="1" priority="710" operator="equal">
      <formula>"未完成"</formula>
    </cfRule>
  </conditionalFormatting>
  <conditionalFormatting sqref="R206">
    <cfRule type="cellIs" dxfId="0" priority="672" operator="equal">
      <formula>"欠"</formula>
    </cfRule>
  </conditionalFormatting>
  <conditionalFormatting sqref="S206">
    <cfRule type="cellIs" dxfId="0" priority="669" operator="equal">
      <formula>"欠"</formula>
    </cfRule>
  </conditionalFormatting>
  <conditionalFormatting sqref="T206">
    <cfRule type="cellIs" dxfId="0" priority="671" operator="equal">
      <formula>"欠"</formula>
    </cfRule>
  </conditionalFormatting>
  <conditionalFormatting sqref="AB206">
    <cfRule type="cellIs" dxfId="0" priority="670" operator="equal">
      <formula>"未完成"</formula>
    </cfRule>
  </conditionalFormatting>
  <conditionalFormatting sqref="AC206">
    <cfRule type="cellIs" dxfId="0" priority="668" operator="equal">
      <formula>"未完成"</formula>
    </cfRule>
    <cfRule type="cellIs" dxfId="1" priority="667" operator="equal">
      <formula>"未完成"</formula>
    </cfRule>
  </conditionalFormatting>
  <conditionalFormatting sqref="AD206">
    <cfRule type="cellIs" dxfId="0" priority="666" operator="equal">
      <formula>"未完成"</formula>
    </cfRule>
    <cfRule type="cellIs" dxfId="1" priority="665" operator="equal">
      <formula>"未完成"</formula>
    </cfRule>
  </conditionalFormatting>
  <conditionalFormatting sqref="R207">
    <cfRule type="cellIs" dxfId="0" priority="651" operator="equal">
      <formula>"欠"</formula>
    </cfRule>
  </conditionalFormatting>
  <conditionalFormatting sqref="T207">
    <cfRule type="cellIs" dxfId="0" priority="650" operator="equal">
      <formula>"欠"</formula>
    </cfRule>
  </conditionalFormatting>
  <conditionalFormatting sqref="AC207">
    <cfRule type="cellIs" dxfId="0" priority="662" operator="equal">
      <formula>"未完成"</formula>
    </cfRule>
  </conditionalFormatting>
  <conditionalFormatting sqref="AG207:AH207">
    <cfRule type="cellIs" dxfId="0" priority="664" operator="equal">
      <formula>"未完成"</formula>
    </cfRule>
    <cfRule type="cellIs" dxfId="1" priority="663" operator="equal">
      <formula>"未完成"</formula>
    </cfRule>
  </conditionalFormatting>
  <conditionalFormatting sqref="AI207">
    <cfRule type="cellIs" dxfId="0" priority="655" operator="equal">
      <formula>"未完成"</formula>
    </cfRule>
    <cfRule type="cellIs" dxfId="1" priority="654" operator="equal">
      <formula>"未完成"</formula>
    </cfRule>
  </conditionalFormatting>
  <conditionalFormatting sqref="AJ207">
    <cfRule type="cellIs" dxfId="0" priority="649" operator="equal">
      <formula>"未完成"</formula>
    </cfRule>
    <cfRule type="cellIs" dxfId="1" priority="648" operator="equal">
      <formula>"未完成"</formula>
    </cfRule>
  </conditionalFormatting>
  <conditionalFormatting sqref="AK207">
    <cfRule type="cellIs" dxfId="0" priority="657" operator="equal">
      <formula>"未完成"</formula>
    </cfRule>
    <cfRule type="cellIs" dxfId="1" priority="656" operator="equal">
      <formula>"未完成"</formula>
    </cfRule>
  </conditionalFormatting>
  <conditionalFormatting sqref="AM207">
    <cfRule type="cellIs" dxfId="0" priority="647" operator="equal">
      <formula>"未完成"</formula>
    </cfRule>
    <cfRule type="cellIs" dxfId="1" priority="646" operator="equal">
      <formula>"未完成"</formula>
    </cfRule>
  </conditionalFormatting>
  <conditionalFormatting sqref="AN207">
    <cfRule type="cellIs" dxfId="0" priority="653" operator="equal">
      <formula>"未完成"</formula>
    </cfRule>
    <cfRule type="cellIs" dxfId="1" priority="652" operator="equal">
      <formula>"未完成"</formula>
    </cfRule>
  </conditionalFormatting>
  <conditionalFormatting sqref="AP207">
    <cfRule type="cellIs" dxfId="0" priority="659" operator="equal">
      <formula>"未完成"</formula>
    </cfRule>
    <cfRule type="cellIs" dxfId="1" priority="658" operator="equal">
      <formula>"未完成"</formula>
    </cfRule>
  </conditionalFormatting>
  <conditionalFormatting sqref="AQ207">
    <cfRule type="cellIs" dxfId="0" priority="645" operator="equal">
      <formula>"未完成"</formula>
    </cfRule>
    <cfRule type="cellIs" dxfId="1" priority="644" operator="equal">
      <formula>"未完成"</formula>
    </cfRule>
  </conditionalFormatting>
  <conditionalFormatting sqref="AR207:AS207">
    <cfRule type="cellIs" dxfId="0" priority="661" operator="equal">
      <formula>"未完成"</formula>
    </cfRule>
    <cfRule type="cellIs" dxfId="1" priority="660" operator="equal">
      <formula>"未完成"</formula>
    </cfRule>
  </conditionalFormatting>
  <conditionalFormatting sqref="R208">
    <cfRule type="cellIs" dxfId="0" priority="615" operator="equal">
      <formula>"欠"</formula>
    </cfRule>
  </conditionalFormatting>
  <conditionalFormatting sqref="T208">
    <cfRule type="cellIs" dxfId="0" priority="614" operator="equal">
      <formula>"欠"</formula>
    </cfRule>
  </conditionalFormatting>
  <conditionalFormatting sqref="AC208">
    <cfRule type="cellIs" dxfId="0" priority="626" operator="equal">
      <formula>"未完成"</formula>
    </cfRule>
  </conditionalFormatting>
  <conditionalFormatting sqref="AG208:AH208">
    <cfRule type="cellIs" dxfId="1" priority="627" operator="equal">
      <formula>"未完成"</formula>
    </cfRule>
    <cfRule type="cellIs" dxfId="0" priority="628" operator="equal">
      <formula>"未完成"</formula>
    </cfRule>
  </conditionalFormatting>
  <conditionalFormatting sqref="AI208">
    <cfRule type="cellIs" dxfId="1" priority="618" operator="equal">
      <formula>"未完成"</formula>
    </cfRule>
    <cfRule type="cellIs" dxfId="0" priority="619" operator="equal">
      <formula>"未完成"</formula>
    </cfRule>
  </conditionalFormatting>
  <conditionalFormatting sqref="AJ208">
    <cfRule type="cellIs" dxfId="1" priority="610" operator="equal">
      <formula>"未完成"</formula>
    </cfRule>
    <cfRule type="cellIs" dxfId="0" priority="611" operator="equal">
      <formula>"未完成"</formula>
    </cfRule>
  </conditionalFormatting>
  <conditionalFormatting sqref="AK208">
    <cfRule type="cellIs" dxfId="1" priority="620" operator="equal">
      <formula>"未完成"</formula>
    </cfRule>
    <cfRule type="cellIs" dxfId="0" priority="621" operator="equal">
      <formula>"未完成"</formula>
    </cfRule>
  </conditionalFormatting>
  <conditionalFormatting sqref="AM208">
    <cfRule type="cellIs" dxfId="1" priority="612" operator="equal">
      <formula>"未完成"</formula>
    </cfRule>
    <cfRule type="cellIs" dxfId="0" priority="613" operator="equal">
      <formula>"未完成"</formula>
    </cfRule>
  </conditionalFormatting>
  <conditionalFormatting sqref="AN208">
    <cfRule type="cellIs" dxfId="1" priority="616" operator="equal">
      <formula>"未完成"</formula>
    </cfRule>
    <cfRule type="cellIs" dxfId="0" priority="617" operator="equal">
      <formula>"未完成"</formula>
    </cfRule>
  </conditionalFormatting>
  <conditionalFormatting sqref="AP208">
    <cfRule type="cellIs" dxfId="1" priority="622" operator="equal">
      <formula>"未完成"</formula>
    </cfRule>
    <cfRule type="cellIs" dxfId="0" priority="623" operator="equal">
      <formula>"未完成"</formula>
    </cfRule>
  </conditionalFormatting>
  <conditionalFormatting sqref="AQ208">
    <cfRule type="cellIs" dxfId="1" priority="608" operator="equal">
      <formula>"未完成"</formula>
    </cfRule>
    <cfRule type="cellIs" dxfId="0" priority="609" operator="equal">
      <formula>"未完成"</formula>
    </cfRule>
  </conditionalFormatting>
  <conditionalFormatting sqref="AR208:AS208">
    <cfRule type="cellIs" dxfId="1" priority="624" operator="equal">
      <formula>"未完成"</formula>
    </cfRule>
    <cfRule type="cellIs" dxfId="0" priority="625" operator="equal">
      <formula>"未完成"</formula>
    </cfRule>
  </conditionalFormatting>
  <conditionalFormatting sqref="R209">
    <cfRule type="cellIs" dxfId="0" priority="631" operator="equal">
      <formula>"欠"</formula>
    </cfRule>
  </conditionalFormatting>
  <conditionalFormatting sqref="T209">
    <cfRule type="cellIs" dxfId="0" priority="632" operator="equal">
      <formula>"欠"</formula>
    </cfRule>
  </conditionalFormatting>
  <conditionalFormatting sqref="AC209">
    <cfRule type="cellIs" dxfId="0" priority="643" operator="equal">
      <formula>"未完成"</formula>
    </cfRule>
  </conditionalFormatting>
  <conditionalFormatting sqref="AG209:AH209">
    <cfRule type="cellIs" dxfId="1" priority="641" operator="equal">
      <formula>"未完成"</formula>
    </cfRule>
    <cfRule type="cellIs" dxfId="0" priority="642" operator="equal">
      <formula>"未完成"</formula>
    </cfRule>
  </conditionalFormatting>
  <conditionalFormatting sqref="AJ209">
    <cfRule type="cellIs" dxfId="1" priority="633" operator="equal">
      <formula>"未完成"</formula>
    </cfRule>
    <cfRule type="cellIs" dxfId="0" priority="634" operator="equal">
      <formula>"未完成"</formula>
    </cfRule>
  </conditionalFormatting>
  <conditionalFormatting sqref="AK209">
    <cfRule type="cellIs" dxfId="1" priority="629" operator="equal">
      <formula>"未完成"</formula>
    </cfRule>
    <cfRule type="cellIs" dxfId="0" priority="630" operator="equal">
      <formula>"未完成"</formula>
    </cfRule>
  </conditionalFormatting>
  <conditionalFormatting sqref="AM209:AN209">
    <cfRule type="cellIs" dxfId="1" priority="639" operator="equal">
      <formula>"未完成"</formula>
    </cfRule>
    <cfRule type="cellIs" dxfId="0" priority="640" operator="equal">
      <formula>"未完成"</formula>
    </cfRule>
  </conditionalFormatting>
  <conditionalFormatting sqref="AQ209:AS209">
    <cfRule type="cellIs" dxfId="1" priority="635" operator="equal">
      <formula>"未完成"</formula>
    </cfRule>
    <cfRule type="cellIs" dxfId="0" priority="636" operator="equal">
      <formula>"未完成"</formula>
    </cfRule>
  </conditionalFormatting>
  <conditionalFormatting sqref="R212:T212">
    <cfRule type="cellIs" dxfId="0" priority="577" operator="equal">
      <formula>"欠"</formula>
    </cfRule>
  </conditionalFormatting>
  <conditionalFormatting sqref="AC212">
    <cfRule type="cellIs" dxfId="0" priority="580" operator="equal">
      <formula>"未完成"</formula>
    </cfRule>
    <cfRule type="cellIs" dxfId="1" priority="579" operator="equal">
      <formula>"未完成"</formula>
    </cfRule>
  </conditionalFormatting>
  <conditionalFormatting sqref="AD212">
    <cfRule type="cellIs" dxfId="0" priority="582" operator="equal">
      <formula>"未完成"</formula>
    </cfRule>
    <cfRule type="cellIs" dxfId="1" priority="581" operator="equal">
      <formula>"未完成"</formula>
    </cfRule>
  </conditionalFormatting>
  <conditionalFormatting sqref="AE212">
    <cfRule type="cellIs" dxfId="0" priority="576" operator="equal">
      <formula>"未完成"</formula>
    </cfRule>
    <cfRule type="cellIs" dxfId="1" priority="575" operator="equal">
      <formula>"未完成"</formula>
    </cfRule>
  </conditionalFormatting>
  <conditionalFormatting sqref="AF212">
    <cfRule type="cellIs" dxfId="0" priority="586" operator="equal">
      <formula>"未完成"</formula>
    </cfRule>
    <cfRule type="cellIs" dxfId="1" priority="585" operator="equal">
      <formula>"未完成"</formula>
    </cfRule>
  </conditionalFormatting>
  <conditionalFormatting sqref="AG212:AH212">
    <cfRule type="cellIs" dxfId="0" priority="584" operator="equal">
      <formula>"未完成"</formula>
    </cfRule>
    <cfRule type="cellIs" dxfId="1" priority="583" operator="equal">
      <formula>"未完成"</formula>
    </cfRule>
  </conditionalFormatting>
  <conditionalFormatting sqref="R213">
    <cfRule type="cellIs" dxfId="0" priority="574" operator="equal">
      <formula>"欠"</formula>
    </cfRule>
  </conditionalFormatting>
  <conditionalFormatting sqref="T213">
    <cfRule type="cellIs" dxfId="0" priority="568" operator="equal">
      <formula>"欠"</formula>
    </cfRule>
  </conditionalFormatting>
  <conditionalFormatting sqref="AC213">
    <cfRule type="cellIs" dxfId="0" priority="571" operator="equal">
      <formula>"未完成"</formula>
    </cfRule>
  </conditionalFormatting>
  <conditionalFormatting sqref="AG213:AH213">
    <cfRule type="cellIs" dxfId="0" priority="573" operator="equal">
      <formula>"未完成"</formula>
    </cfRule>
    <cfRule type="cellIs" dxfId="1" priority="572" operator="equal">
      <formula>"未完成"</formula>
    </cfRule>
  </conditionalFormatting>
  <conditionalFormatting sqref="AJ213">
    <cfRule type="cellIs" dxfId="0" priority="559" operator="equal">
      <formula>"未完成"</formula>
    </cfRule>
    <cfRule type="cellIs" dxfId="1" priority="558" operator="equal">
      <formula>"未完成"</formula>
    </cfRule>
  </conditionalFormatting>
  <conditionalFormatting sqref="AK213">
    <cfRule type="cellIs" dxfId="0" priority="561" operator="equal">
      <formula>"未完成"</formula>
    </cfRule>
    <cfRule type="cellIs" dxfId="1" priority="560" operator="equal">
      <formula>"未完成"</formula>
    </cfRule>
  </conditionalFormatting>
  <conditionalFormatting sqref="AM213:AN213">
    <cfRule type="cellIs" dxfId="0" priority="565" operator="equal">
      <formula>"未完成"</formula>
    </cfRule>
    <cfRule type="cellIs" dxfId="1" priority="564" operator="equal">
      <formula>"未完成"</formula>
    </cfRule>
  </conditionalFormatting>
  <conditionalFormatting sqref="AQ213">
    <cfRule type="cellIs" dxfId="0" priority="567" operator="equal">
      <formula>"未完成"</formula>
    </cfRule>
    <cfRule type="cellIs" dxfId="1" priority="566" operator="equal">
      <formula>"未完成"</formula>
    </cfRule>
  </conditionalFormatting>
  <conditionalFormatting sqref="AR213:AS213">
    <cfRule type="cellIs" dxfId="0" priority="570" operator="equal">
      <formula>"未完成"</formula>
    </cfRule>
    <cfRule type="cellIs" dxfId="1" priority="569" operator="equal">
      <formula>"未完成"</formula>
    </cfRule>
  </conditionalFormatting>
  <conditionalFormatting sqref="R216">
    <cfRule type="cellIs" dxfId="0" priority="519" operator="equal">
      <formula>"欠"</formula>
    </cfRule>
  </conditionalFormatting>
  <conditionalFormatting sqref="AC216">
    <cfRule type="cellIs" dxfId="0" priority="534" operator="equal">
      <formula>"未完成"</formula>
    </cfRule>
  </conditionalFormatting>
  <conditionalFormatting sqref="AH216">
    <cfRule type="cellIs" dxfId="1" priority="535" operator="equal">
      <formula>"未完成"</formula>
    </cfRule>
    <cfRule type="cellIs" dxfId="0" priority="536" operator="equal">
      <formula>"未完成"</formula>
    </cfRule>
  </conditionalFormatting>
  <conditionalFormatting sqref="AJ216">
    <cfRule type="cellIs" dxfId="1" priority="526" operator="equal">
      <formula>"未完成"</formula>
    </cfRule>
    <cfRule type="cellIs" dxfId="0" priority="527" operator="equal">
      <formula>"未完成"</formula>
    </cfRule>
  </conditionalFormatting>
  <conditionalFormatting sqref="AK216">
    <cfRule type="cellIs" dxfId="1" priority="520" operator="equal">
      <formula>"未完成"</formula>
    </cfRule>
    <cfRule type="cellIs" dxfId="0" priority="521" operator="equal">
      <formula>"未完成"</formula>
    </cfRule>
  </conditionalFormatting>
  <conditionalFormatting sqref="AM216">
    <cfRule type="cellIs" dxfId="1" priority="528" operator="equal">
      <formula>"未完成"</formula>
    </cfRule>
    <cfRule type="cellIs" dxfId="0" priority="529" operator="equal">
      <formula>"未完成"</formula>
    </cfRule>
  </conditionalFormatting>
  <conditionalFormatting sqref="AN216">
    <cfRule type="cellIs" dxfId="1" priority="530" operator="equal">
      <formula>"未完成"</formula>
    </cfRule>
    <cfRule type="cellIs" dxfId="0" priority="531" operator="equal">
      <formula>"未完成"</formula>
    </cfRule>
  </conditionalFormatting>
  <conditionalFormatting sqref="AQ216">
    <cfRule type="cellIs" dxfId="1" priority="524" operator="equal">
      <formula>"未完成"</formula>
    </cfRule>
    <cfRule type="cellIs" dxfId="0" priority="525" operator="equal">
      <formula>"未完成"</formula>
    </cfRule>
  </conditionalFormatting>
  <conditionalFormatting sqref="AR216:AS216">
    <cfRule type="cellIs" dxfId="1" priority="532" operator="equal">
      <formula>"未完成"</formula>
    </cfRule>
    <cfRule type="cellIs" dxfId="0" priority="533" operator="equal">
      <formula>"未完成"</formula>
    </cfRule>
  </conditionalFormatting>
  <conditionalFormatting sqref="R217">
    <cfRule type="cellIs" dxfId="0" priority="493" operator="equal">
      <formula>"欠"</formula>
    </cfRule>
  </conditionalFormatting>
  <conditionalFormatting sqref="S217">
    <cfRule type="cellIs" dxfId="0" priority="494" operator="equal">
      <formula>"欠"</formula>
    </cfRule>
  </conditionalFormatting>
  <conditionalFormatting sqref="T217">
    <cfRule type="cellIs" dxfId="0" priority="492" operator="equal">
      <formula>"欠"</formula>
    </cfRule>
  </conditionalFormatting>
  <conditionalFormatting sqref="AC217">
    <cfRule type="cellIs" dxfId="0" priority="491" operator="equal">
      <formula>"未完成"</formula>
    </cfRule>
    <cfRule type="cellIs" dxfId="1" priority="490" operator="equal">
      <formula>"未完成"</formula>
    </cfRule>
  </conditionalFormatting>
  <conditionalFormatting sqref="AD217">
    <cfRule type="cellIs" dxfId="0" priority="498" operator="equal">
      <formula>"未完成"</formula>
    </cfRule>
    <cfRule type="cellIs" dxfId="1" priority="497" operator="equal">
      <formula>"未完成"</formula>
    </cfRule>
  </conditionalFormatting>
  <conditionalFormatting sqref="R218">
    <cfRule type="cellIs" dxfId="0" priority="484" operator="equal">
      <formula>"欠"</formula>
    </cfRule>
  </conditionalFormatting>
  <conditionalFormatting sqref="S218">
    <cfRule type="cellIs" dxfId="0" priority="485" operator="equal">
      <formula>"欠"</formula>
    </cfRule>
  </conditionalFormatting>
  <conditionalFormatting sqref="T218">
    <cfRule type="cellIs" dxfId="0" priority="483" operator="equal">
      <formula>"欠"</formula>
    </cfRule>
  </conditionalFormatting>
  <conditionalFormatting sqref="AC218">
    <cfRule type="cellIs" dxfId="0" priority="482" operator="equal">
      <formula>"未完成"</formula>
    </cfRule>
    <cfRule type="cellIs" dxfId="1" priority="481" operator="equal">
      <formula>"未完成"</formula>
    </cfRule>
  </conditionalFormatting>
  <conditionalFormatting sqref="AD218">
    <cfRule type="cellIs" dxfId="0" priority="489" operator="equal">
      <formula>"未完成"</formula>
    </cfRule>
    <cfRule type="cellIs" dxfId="1" priority="488" operator="equal">
      <formula>"未完成"</formula>
    </cfRule>
  </conditionalFormatting>
  <conditionalFormatting sqref="R219">
    <cfRule type="cellIs" dxfId="0" priority="463" operator="equal">
      <formula>"欠"</formula>
    </cfRule>
  </conditionalFormatting>
  <conditionalFormatting sqref="T219">
    <cfRule type="cellIs" dxfId="0" priority="462" operator="equal">
      <formula>"欠"</formula>
    </cfRule>
  </conditionalFormatting>
  <conditionalFormatting sqref="AC219">
    <cfRule type="cellIs" dxfId="0" priority="474" operator="equal">
      <formula>"未完成"</formula>
    </cfRule>
  </conditionalFormatting>
  <conditionalFormatting sqref="AG219:AH219">
    <cfRule type="cellIs" dxfId="0" priority="476" operator="equal">
      <formula>"未完成"</formula>
    </cfRule>
    <cfRule type="cellIs" dxfId="1" priority="475" operator="equal">
      <formula>"未完成"</formula>
    </cfRule>
  </conditionalFormatting>
  <conditionalFormatting sqref="AI219">
    <cfRule type="cellIs" dxfId="0" priority="478" operator="equal">
      <formula>"未完成"</formula>
    </cfRule>
    <cfRule type="cellIs" dxfId="1" priority="477" operator="equal">
      <formula>"未完成"</formula>
    </cfRule>
  </conditionalFormatting>
  <conditionalFormatting sqref="AJ219">
    <cfRule type="cellIs" dxfId="0" priority="467" operator="equal">
      <formula>"未完成"</formula>
    </cfRule>
    <cfRule type="cellIs" dxfId="1" priority="466" operator="equal">
      <formula>"未完成"</formula>
    </cfRule>
  </conditionalFormatting>
  <conditionalFormatting sqref="AK219">
    <cfRule type="cellIs" dxfId="0" priority="461" operator="equal">
      <formula>"未完成"</formula>
    </cfRule>
    <cfRule type="cellIs" dxfId="1" priority="460" operator="equal">
      <formula>"未完成"</formula>
    </cfRule>
  </conditionalFormatting>
  <conditionalFormatting sqref="AM219">
    <cfRule type="cellIs" dxfId="0" priority="469" operator="equal">
      <formula>"未完成"</formula>
    </cfRule>
    <cfRule type="cellIs" dxfId="1" priority="468" operator="equal">
      <formula>"未完成"</formula>
    </cfRule>
  </conditionalFormatting>
  <conditionalFormatting sqref="AN219">
    <cfRule type="cellIs" dxfId="0" priority="471" operator="equal">
      <formula>"未完成"</formula>
    </cfRule>
    <cfRule type="cellIs" dxfId="1" priority="470" operator="equal">
      <formula>"未完成"</formula>
    </cfRule>
  </conditionalFormatting>
  <conditionalFormatting sqref="AP219">
    <cfRule type="cellIs" dxfId="0" priority="480" operator="equal">
      <formula>"未完成"</formula>
    </cfRule>
    <cfRule type="cellIs" dxfId="1" priority="479" operator="equal">
      <formula>"未完成"</formula>
    </cfRule>
  </conditionalFormatting>
  <conditionalFormatting sqref="AQ219">
    <cfRule type="cellIs" dxfId="0" priority="465" operator="equal">
      <formula>"未完成"</formula>
    </cfRule>
    <cfRule type="cellIs" dxfId="1" priority="464" operator="equal">
      <formula>"未完成"</formula>
    </cfRule>
  </conditionalFormatting>
  <conditionalFormatting sqref="AR219:AS219">
    <cfRule type="cellIs" dxfId="0" priority="473" operator="equal">
      <formula>"未完成"</formula>
    </cfRule>
    <cfRule type="cellIs" dxfId="1" priority="472" operator="equal">
      <formula>"未完成"</formula>
    </cfRule>
  </conditionalFormatting>
  <conditionalFormatting sqref="R220">
    <cfRule type="cellIs" dxfId="0" priority="446" operator="equal">
      <formula>"欠"</formula>
    </cfRule>
  </conditionalFormatting>
  <conditionalFormatting sqref="T220">
    <cfRule type="cellIs" dxfId="0" priority="439" operator="equal">
      <formula>"欠"</formula>
    </cfRule>
  </conditionalFormatting>
  <conditionalFormatting sqref="AC220">
    <cfRule type="cellIs" dxfId="0" priority="457" operator="equal">
      <formula>"未完成"</formula>
    </cfRule>
  </conditionalFormatting>
  <conditionalFormatting sqref="AG220:AH220">
    <cfRule type="cellIs" dxfId="0" priority="459" operator="equal">
      <formula>"未完成"</formula>
    </cfRule>
    <cfRule type="cellIs" dxfId="1" priority="458" operator="equal">
      <formula>"未完成"</formula>
    </cfRule>
  </conditionalFormatting>
  <conditionalFormatting sqref="AI220">
    <cfRule type="cellIs" dxfId="0" priority="448" operator="equal">
      <formula>"未完成"</formula>
    </cfRule>
    <cfRule type="cellIs" dxfId="1" priority="447" operator="equal">
      <formula>"未完成"</formula>
    </cfRule>
  </conditionalFormatting>
  <conditionalFormatting sqref="AJ220">
    <cfRule type="cellIs" dxfId="0" priority="452" operator="equal">
      <formula>"未完成"</formula>
    </cfRule>
    <cfRule type="cellIs" dxfId="1" priority="451" operator="equal">
      <formula>"未完成"</formula>
    </cfRule>
  </conditionalFormatting>
  <conditionalFormatting sqref="AK220">
    <cfRule type="cellIs" dxfId="0" priority="443" operator="equal">
      <formula>"未完成"</formula>
    </cfRule>
    <cfRule type="cellIs" dxfId="1" priority="442" operator="equal">
      <formula>"未完成"</formula>
    </cfRule>
  </conditionalFormatting>
  <conditionalFormatting sqref="AM220">
    <cfRule type="cellIs" dxfId="0" priority="441" operator="equal">
      <formula>"未完成"</formula>
    </cfRule>
    <cfRule type="cellIs" dxfId="1" priority="440" operator="equal">
      <formula>"未完成"</formula>
    </cfRule>
  </conditionalFormatting>
  <conditionalFormatting sqref="AN220">
    <cfRule type="cellIs" dxfId="0" priority="454" operator="equal">
      <formula>"未完成"</formula>
    </cfRule>
    <cfRule type="cellIs" dxfId="1" priority="453" operator="equal">
      <formula>"未完成"</formula>
    </cfRule>
  </conditionalFormatting>
  <conditionalFormatting sqref="AP220">
    <cfRule type="cellIs" dxfId="0" priority="445" operator="equal">
      <formula>"未完成"</formula>
    </cfRule>
    <cfRule type="cellIs" dxfId="1" priority="444" operator="equal">
      <formula>"未完成"</formula>
    </cfRule>
  </conditionalFormatting>
  <conditionalFormatting sqref="AQ220">
    <cfRule type="cellIs" dxfId="0" priority="450" operator="equal">
      <formula>"未完成"</formula>
    </cfRule>
    <cfRule type="cellIs" dxfId="1" priority="449" operator="equal">
      <formula>"未完成"</formula>
    </cfRule>
  </conditionalFormatting>
  <conditionalFormatting sqref="AR220:AS220">
    <cfRule type="cellIs" dxfId="0" priority="456" operator="equal">
      <formula>"未完成"</formula>
    </cfRule>
    <cfRule type="cellIs" dxfId="1" priority="455" operator="equal">
      <formula>"未完成"</formula>
    </cfRule>
  </conditionalFormatting>
  <conditionalFormatting sqref="R221:T221">
    <cfRule type="cellIs" dxfId="0" priority="421" operator="equal">
      <formula>"欠"</formula>
    </cfRule>
  </conditionalFormatting>
  <conditionalFormatting sqref="T221">
    <cfRule type="containsText" dxfId="0" priority="418" operator="between" text="欠">
      <formula>NOT(ISERROR(SEARCH("欠",T221)))</formula>
    </cfRule>
  </conditionalFormatting>
  <conditionalFormatting sqref="AC221">
    <cfRule type="cellIs" dxfId="0" priority="436" operator="equal">
      <formula>"未完成"</formula>
    </cfRule>
  </conditionalFormatting>
  <conditionalFormatting sqref="AE221">
    <cfRule type="cellIs" dxfId="0" priority="438" operator="equal">
      <formula>"未完成"</formula>
    </cfRule>
    <cfRule type="cellIs" dxfId="1" priority="437" operator="equal">
      <formula>"未完成"</formula>
    </cfRule>
  </conditionalFormatting>
  <conditionalFormatting sqref="AG221:AH221">
    <cfRule type="cellIs" dxfId="0" priority="435" operator="equal">
      <formula>"未完成"</formula>
    </cfRule>
    <cfRule type="cellIs" dxfId="1" priority="434" operator="equal">
      <formula>"未完成"</formula>
    </cfRule>
  </conditionalFormatting>
  <conditionalFormatting sqref="AI221">
    <cfRule type="cellIs" dxfId="0" priority="427" operator="equal">
      <formula>"未完成"</formula>
    </cfRule>
    <cfRule type="cellIs" dxfId="1" priority="426" operator="equal">
      <formula>"未完成"</formula>
    </cfRule>
  </conditionalFormatting>
  <conditionalFormatting sqref="AJ221">
    <cfRule type="cellIs" dxfId="0" priority="431" operator="equal">
      <formula>"未完成"</formula>
    </cfRule>
    <cfRule type="cellIs" dxfId="1" priority="430" operator="equal">
      <formula>"未完成"</formula>
    </cfRule>
  </conditionalFormatting>
  <conditionalFormatting sqref="AK221">
    <cfRule type="cellIs" dxfId="0" priority="429" operator="equal">
      <formula>"未完成"</formula>
    </cfRule>
    <cfRule type="cellIs" dxfId="1" priority="428" operator="equal">
      <formula>"未完成"</formula>
    </cfRule>
  </conditionalFormatting>
  <conditionalFormatting sqref="AN221">
    <cfRule type="cellIs" dxfId="0" priority="420" operator="equal">
      <formula>"未完成"</formula>
    </cfRule>
    <cfRule type="cellIs" dxfId="1" priority="419" operator="equal">
      <formula>"未完成"</formula>
    </cfRule>
  </conditionalFormatting>
  <conditionalFormatting sqref="AO221">
    <cfRule type="cellIs" dxfId="0" priority="425" operator="equal">
      <formula>"未完成"</formula>
    </cfRule>
    <cfRule type="cellIs" dxfId="1" priority="424" operator="equal">
      <formula>"未完成"</formula>
    </cfRule>
  </conditionalFormatting>
  <conditionalFormatting sqref="AR221">
    <cfRule type="cellIs" dxfId="0" priority="423" operator="equal">
      <formula>"未完成"</formula>
    </cfRule>
    <cfRule type="cellIs" dxfId="1" priority="422" operator="equal">
      <formula>"未完成"</formula>
    </cfRule>
  </conditionalFormatting>
  <conditionalFormatting sqref="AS221:AU221">
    <cfRule type="cellIs" dxfId="0" priority="433" operator="equal">
      <formula>"未完成"</formula>
    </cfRule>
    <cfRule type="cellIs" dxfId="1" priority="432" operator="equal">
      <formula>"未完成"</formula>
    </cfRule>
  </conditionalFormatting>
  <conditionalFormatting sqref="R222">
    <cfRule type="cellIs" dxfId="0" priority="404" operator="equal">
      <formula>"欠"</formula>
    </cfRule>
  </conditionalFormatting>
  <conditionalFormatting sqref="S222">
    <cfRule type="cellIs" dxfId="0" priority="399" operator="equal">
      <formula>"欠"</formula>
    </cfRule>
  </conditionalFormatting>
  <conditionalFormatting sqref="T222">
    <cfRule type="containsText" dxfId="0" priority="401" operator="between" text="欠">
      <formula>NOT(ISERROR(SEARCH("欠",T222)))</formula>
    </cfRule>
    <cfRule type="cellIs" dxfId="0" priority="400" operator="equal">
      <formula>"欠"</formula>
    </cfRule>
  </conditionalFormatting>
  <conditionalFormatting sqref="AC222">
    <cfRule type="cellIs" dxfId="0" priority="411" operator="equal">
      <formula>"未完成"</formula>
    </cfRule>
    <cfRule type="cellIs" dxfId="1" priority="410" operator="equal">
      <formula>"未完成"</formula>
    </cfRule>
  </conditionalFormatting>
  <conditionalFormatting sqref="AD222">
    <cfRule type="cellIs" dxfId="0" priority="413" operator="equal">
      <formula>"未完成"</formula>
    </cfRule>
    <cfRule type="cellIs" dxfId="1" priority="412" operator="equal">
      <formula>"未完成"</formula>
    </cfRule>
  </conditionalFormatting>
  <conditionalFormatting sqref="AE222:AF222">
    <cfRule type="cellIs" dxfId="0" priority="417" operator="equal">
      <formula>"未完成"</formula>
    </cfRule>
    <cfRule type="cellIs" dxfId="1" priority="416" operator="equal">
      <formula>"未完成"</formula>
    </cfRule>
  </conditionalFormatting>
  <conditionalFormatting sqref="AG222:AI222">
    <cfRule type="cellIs" dxfId="0" priority="415" operator="equal">
      <formula>"未完成"</formula>
    </cfRule>
    <cfRule type="cellIs" dxfId="1" priority="414" operator="equal">
      <formula>"未完成"</formula>
    </cfRule>
  </conditionalFormatting>
  <conditionalFormatting sqref="AJ222">
    <cfRule type="cellIs" dxfId="0" priority="408" operator="equal">
      <formula>"未完成"</formula>
    </cfRule>
    <cfRule type="cellIs" dxfId="1" priority="407" operator="equal">
      <formula>"未完成"</formula>
    </cfRule>
  </conditionalFormatting>
  <conditionalFormatting sqref="AN222">
    <cfRule type="cellIs" dxfId="0" priority="403" operator="equal">
      <formula>"未完成"</formula>
    </cfRule>
    <cfRule type="cellIs" dxfId="1" priority="402" operator="equal">
      <formula>"未完成"</formula>
    </cfRule>
  </conditionalFormatting>
  <conditionalFormatting sqref="AR222">
    <cfRule type="cellIs" dxfId="0" priority="406" operator="equal">
      <formula>"未完成"</formula>
    </cfRule>
    <cfRule type="cellIs" dxfId="1" priority="405" operator="equal">
      <formula>"未完成"</formula>
    </cfRule>
  </conditionalFormatting>
  <conditionalFormatting sqref="R223">
    <cfRule type="cellIs" dxfId="0" priority="390" operator="equal">
      <formula>"欠"</formula>
    </cfRule>
  </conditionalFormatting>
  <conditionalFormatting sqref="S223">
    <cfRule type="cellIs" dxfId="0" priority="377" operator="equal">
      <formula>"欠"</formula>
    </cfRule>
  </conditionalFormatting>
  <conditionalFormatting sqref="T223">
    <cfRule type="containsText" dxfId="0" priority="376" operator="between" text="欠">
      <formula>NOT(ISERROR(SEARCH("欠",T223)))</formula>
    </cfRule>
    <cfRule type="cellIs" dxfId="0" priority="375" operator="equal">
      <formula>"欠"</formula>
    </cfRule>
  </conditionalFormatting>
  <conditionalFormatting sqref="AC223">
    <cfRule type="cellIs" dxfId="1" priority="381" operator="equal">
      <formula>"未完成"</formula>
    </cfRule>
    <cfRule type="cellIs" dxfId="0" priority="380" operator="equal">
      <formula>"未完成"</formula>
    </cfRule>
  </conditionalFormatting>
  <conditionalFormatting sqref="AD223">
    <cfRule type="cellIs" dxfId="0" priority="383" operator="equal">
      <formula>"未完成"</formula>
    </cfRule>
    <cfRule type="cellIs" dxfId="1" priority="382" operator="equal">
      <formula>"未完成"</formula>
    </cfRule>
  </conditionalFormatting>
  <conditionalFormatting sqref="AE223">
    <cfRule type="cellIs" dxfId="0" priority="398" operator="equal">
      <formula>"未完成"</formula>
    </cfRule>
    <cfRule type="cellIs" dxfId="1" priority="397" operator="equal">
      <formula>"未完成"</formula>
    </cfRule>
  </conditionalFormatting>
  <conditionalFormatting sqref="AF223">
    <cfRule type="cellIs" dxfId="0" priority="387" operator="equal">
      <formula>"未完成"</formula>
    </cfRule>
    <cfRule type="cellIs" dxfId="1" priority="386" operator="equal">
      <formula>"未完成"</formula>
    </cfRule>
  </conditionalFormatting>
  <conditionalFormatting sqref="AG223:AH223">
    <cfRule type="cellIs" dxfId="0" priority="385" operator="equal">
      <formula>"未完成"</formula>
    </cfRule>
    <cfRule type="cellIs" dxfId="1" priority="384" operator="equal">
      <formula>"未完成"</formula>
    </cfRule>
  </conditionalFormatting>
  <conditionalFormatting sqref="AI223">
    <cfRule type="cellIs" dxfId="0" priority="396" operator="equal">
      <formula>"未完成"</formula>
    </cfRule>
    <cfRule type="cellIs" dxfId="1" priority="395" operator="equal">
      <formula>"未完成"</formula>
    </cfRule>
  </conditionalFormatting>
  <conditionalFormatting sqref="AJ223">
    <cfRule type="cellIs" dxfId="0" priority="389" operator="equal">
      <formula>"未完成"</formula>
    </cfRule>
    <cfRule type="cellIs" dxfId="1" priority="388" operator="equal">
      <formula>"未完成"</formula>
    </cfRule>
  </conditionalFormatting>
  <conditionalFormatting sqref="AM223">
    <cfRule type="cellIs" dxfId="0" priority="392" operator="equal">
      <formula>"未完成"</formula>
    </cfRule>
    <cfRule type="cellIs" dxfId="1" priority="391" operator="equal">
      <formula>"未完成"</formula>
    </cfRule>
  </conditionalFormatting>
  <conditionalFormatting sqref="AO223">
    <cfRule type="cellIs" dxfId="0" priority="379" operator="equal">
      <formula>"未完成"</formula>
    </cfRule>
    <cfRule type="cellIs" dxfId="1" priority="378" operator="equal">
      <formula>"未完成"</formula>
    </cfRule>
  </conditionalFormatting>
  <conditionalFormatting sqref="AS223">
    <cfRule type="cellIs" dxfId="0" priority="394" operator="equal">
      <formula>"未完成"</formula>
    </cfRule>
    <cfRule type="cellIs" dxfId="1" priority="393" operator="equal">
      <formula>"未完成"</formula>
    </cfRule>
  </conditionalFormatting>
  <conditionalFormatting sqref="R228">
    <cfRule type="cellIs" dxfId="0" priority="342" operator="equal">
      <formula>"欠"</formula>
    </cfRule>
  </conditionalFormatting>
  <conditionalFormatting sqref="S228">
    <cfRule type="cellIs" dxfId="0" priority="331" operator="equal">
      <formula>"欠"</formula>
    </cfRule>
  </conditionalFormatting>
  <conditionalFormatting sqref="T228">
    <cfRule type="cellIs" dxfId="0" priority="330" operator="equal">
      <formula>"欠"</formula>
    </cfRule>
  </conditionalFormatting>
  <conditionalFormatting sqref="AC228">
    <cfRule type="cellIs" dxfId="1" priority="334" operator="equal">
      <formula>"未完成"</formula>
    </cfRule>
    <cfRule type="cellIs" dxfId="0" priority="335" operator="equal">
      <formula>"未完成"</formula>
    </cfRule>
  </conditionalFormatting>
  <conditionalFormatting sqref="AD228">
    <cfRule type="cellIs" dxfId="1" priority="336" operator="equal">
      <formula>"未完成"</formula>
    </cfRule>
    <cfRule type="cellIs" dxfId="0" priority="337" operator="equal">
      <formula>"未完成"</formula>
    </cfRule>
  </conditionalFormatting>
  <conditionalFormatting sqref="AE228">
    <cfRule type="cellIs" dxfId="1" priority="349" operator="equal">
      <formula>"未完成"</formula>
    </cfRule>
    <cfRule type="cellIs" dxfId="0" priority="350" operator="equal">
      <formula>"未完成"</formula>
    </cfRule>
  </conditionalFormatting>
  <conditionalFormatting sqref="AF228">
    <cfRule type="cellIs" dxfId="1" priority="340" operator="equal">
      <formula>"未完成"</formula>
    </cfRule>
    <cfRule type="cellIs" dxfId="0" priority="341" operator="equal">
      <formula>"未完成"</formula>
    </cfRule>
  </conditionalFormatting>
  <conditionalFormatting sqref="AG228">
    <cfRule type="cellIs" dxfId="1" priority="338" operator="equal">
      <formula>"未完成"</formula>
    </cfRule>
    <cfRule type="cellIs" dxfId="0" priority="339" operator="equal">
      <formula>"未完成"</formula>
    </cfRule>
  </conditionalFormatting>
  <conditionalFormatting sqref="AH228:AI228">
    <cfRule type="cellIs" dxfId="1" priority="347" operator="equal">
      <formula>"未完成"</formula>
    </cfRule>
    <cfRule type="cellIs" dxfId="0" priority="348" operator="equal">
      <formula>"未完成"</formula>
    </cfRule>
  </conditionalFormatting>
  <conditionalFormatting sqref="AJ228">
    <cfRule type="cellIs" dxfId="1" priority="328" operator="equal">
      <formula>"未完成"</formula>
    </cfRule>
    <cfRule type="cellIs" dxfId="0" priority="329" operator="equal">
      <formula>"未完成"</formula>
    </cfRule>
  </conditionalFormatting>
  <conditionalFormatting sqref="AM228">
    <cfRule type="cellIs" dxfId="1" priority="343" operator="equal">
      <formula>"未完成"</formula>
    </cfRule>
    <cfRule type="cellIs" dxfId="0" priority="344" operator="equal">
      <formula>"未完成"</formula>
    </cfRule>
  </conditionalFormatting>
  <conditionalFormatting sqref="AO228">
    <cfRule type="cellIs" dxfId="1" priority="332" operator="equal">
      <formula>"未完成"</formula>
    </cfRule>
    <cfRule type="cellIs" dxfId="0" priority="333" operator="equal">
      <formula>"未完成"</formula>
    </cfRule>
  </conditionalFormatting>
  <conditionalFormatting sqref="AR228">
    <cfRule type="cellIs" dxfId="1" priority="326" operator="equal">
      <formula>"未完成"</formula>
    </cfRule>
    <cfRule type="cellIs" dxfId="0" priority="327" operator="equal">
      <formula>"未完成"</formula>
    </cfRule>
  </conditionalFormatting>
  <conditionalFormatting sqref="AS228">
    <cfRule type="cellIs" dxfId="1" priority="345" operator="equal">
      <formula>"未完成"</formula>
    </cfRule>
    <cfRule type="cellIs" dxfId="0" priority="346" operator="equal">
      <formula>"未完成"</formula>
    </cfRule>
  </conditionalFormatting>
  <conditionalFormatting sqref="R229">
    <cfRule type="cellIs" dxfId="0" priority="319" operator="equal">
      <formula>"欠"</formula>
    </cfRule>
  </conditionalFormatting>
  <conditionalFormatting sqref="S229">
    <cfRule type="cellIs" dxfId="0" priority="318" operator="equal">
      <formula>"欠"</formula>
    </cfRule>
  </conditionalFormatting>
  <conditionalFormatting sqref="T229">
    <cfRule type="cellIs" dxfId="0" priority="305" operator="equal">
      <formula>"欠"</formula>
    </cfRule>
  </conditionalFormatting>
  <conditionalFormatting sqref="AC229">
    <cfRule type="cellIs" dxfId="0" priority="309" operator="equal">
      <formula>"未完成"</formula>
    </cfRule>
    <cfRule type="cellIs" dxfId="1" priority="308" operator="equal">
      <formula>"未完成"</formula>
    </cfRule>
  </conditionalFormatting>
  <conditionalFormatting sqref="AD229">
    <cfRule type="cellIs" dxfId="0" priority="311" operator="equal">
      <formula>"未完成"</formula>
    </cfRule>
    <cfRule type="cellIs" dxfId="1" priority="310" operator="equal">
      <formula>"未完成"</formula>
    </cfRule>
  </conditionalFormatting>
  <conditionalFormatting sqref="AE229">
    <cfRule type="cellIs" dxfId="0" priority="325" operator="equal">
      <formula>"未完成"</formula>
    </cfRule>
    <cfRule type="cellIs" dxfId="1" priority="324" operator="equal">
      <formula>"未完成"</formula>
    </cfRule>
  </conditionalFormatting>
  <conditionalFormatting sqref="AF229">
    <cfRule type="cellIs" dxfId="0" priority="315" operator="equal">
      <formula>"未完成"</formula>
    </cfRule>
    <cfRule type="cellIs" dxfId="1" priority="314" operator="equal">
      <formula>"未完成"</formula>
    </cfRule>
  </conditionalFormatting>
  <conditionalFormatting sqref="AG229">
    <cfRule type="cellIs" dxfId="0" priority="313" operator="equal">
      <formula>"未完成"</formula>
    </cfRule>
    <cfRule type="cellIs" dxfId="1" priority="312" operator="equal">
      <formula>"未完成"</formula>
    </cfRule>
  </conditionalFormatting>
  <conditionalFormatting sqref="AH229:AI229">
    <cfRule type="cellIs" dxfId="0" priority="323" operator="equal">
      <formula>"未完成"</formula>
    </cfRule>
    <cfRule type="cellIs" dxfId="1" priority="322" operator="equal">
      <formula>"未完成"</formula>
    </cfRule>
  </conditionalFormatting>
  <conditionalFormatting sqref="AJ229">
    <cfRule type="cellIs" dxfId="0" priority="304" operator="equal">
      <formula>"未完成"</formula>
    </cfRule>
    <cfRule type="cellIs" dxfId="1" priority="303" operator="equal">
      <formula>"未完成"</formula>
    </cfRule>
  </conditionalFormatting>
  <conditionalFormatting sqref="AM229">
    <cfRule type="cellIs" dxfId="0" priority="317" operator="equal">
      <formula>"未完成"</formula>
    </cfRule>
    <cfRule type="cellIs" dxfId="1" priority="316" operator="equal">
      <formula>"未完成"</formula>
    </cfRule>
  </conditionalFormatting>
  <conditionalFormatting sqref="AO229">
    <cfRule type="cellIs" dxfId="0" priority="307" operator="equal">
      <formula>"未完成"</formula>
    </cfRule>
    <cfRule type="cellIs" dxfId="1" priority="306" operator="equal">
      <formula>"未完成"</formula>
    </cfRule>
  </conditionalFormatting>
  <conditionalFormatting sqref="AR229">
    <cfRule type="cellIs" dxfId="0" priority="302" operator="equal">
      <formula>"未完成"</formula>
    </cfRule>
    <cfRule type="cellIs" dxfId="1" priority="301" operator="equal">
      <formula>"未完成"</formula>
    </cfRule>
  </conditionalFormatting>
  <conditionalFormatting sqref="AS229">
    <cfRule type="cellIs" dxfId="0" priority="321" operator="equal">
      <formula>"未完成"</formula>
    </cfRule>
    <cfRule type="cellIs" dxfId="1" priority="320" operator="equal">
      <formula>"未完成"</formula>
    </cfRule>
  </conditionalFormatting>
  <conditionalFormatting sqref="AC230">
    <cfRule type="cellIs" dxfId="0" priority="279" operator="equal">
      <formula>"未完成"</formula>
    </cfRule>
  </conditionalFormatting>
  <conditionalFormatting sqref="AG230">
    <cfRule type="cellIs" dxfId="0" priority="274" operator="equal">
      <formula>"未完成"</formula>
    </cfRule>
    <cfRule type="cellIs" dxfId="1" priority="269" operator="equal">
      <formula>"未完成"</formula>
    </cfRule>
  </conditionalFormatting>
  <conditionalFormatting sqref="AH230">
    <cfRule type="cellIs" dxfId="0" priority="253" operator="equal">
      <formula>"未完成"</formula>
    </cfRule>
    <cfRule type="cellIs" dxfId="1" priority="248" operator="equal">
      <formula>"未完成"</formula>
    </cfRule>
  </conditionalFormatting>
  <conditionalFormatting sqref="AJ230">
    <cfRule type="cellIs" dxfId="0" priority="243" operator="equal">
      <formula>"未完成"</formula>
    </cfRule>
    <cfRule type="cellIs" dxfId="1" priority="238" operator="equal">
      <formula>"未完成"</formula>
    </cfRule>
  </conditionalFormatting>
  <conditionalFormatting sqref="AK230">
    <cfRule type="cellIs" dxfId="0" priority="289" operator="equal">
      <formula>"未完成"</formula>
    </cfRule>
    <cfRule type="cellIs" dxfId="1" priority="284" operator="equal">
      <formula>"未完成"</formula>
    </cfRule>
  </conditionalFormatting>
  <conditionalFormatting sqref="AR230:AT230">
    <cfRule type="cellIs" dxfId="0" priority="264" operator="equal">
      <formula>"未完成"</formula>
    </cfRule>
    <cfRule type="cellIs" dxfId="1" priority="259" operator="equal">
      <formula>"未完成"</formula>
    </cfRule>
  </conditionalFormatting>
  <conditionalFormatting sqref="AC231">
    <cfRule type="cellIs" dxfId="0" priority="278" operator="equal">
      <formula>"未完成"</formula>
    </cfRule>
  </conditionalFormatting>
  <conditionalFormatting sqref="AG231">
    <cfRule type="cellIs" dxfId="0" priority="273" operator="equal">
      <formula>"未完成"</formula>
    </cfRule>
    <cfRule type="cellIs" dxfId="1" priority="268" operator="equal">
      <formula>"未完成"</formula>
    </cfRule>
  </conditionalFormatting>
  <conditionalFormatting sqref="AH231">
    <cfRule type="cellIs" dxfId="0" priority="252" operator="equal">
      <formula>"未完成"</formula>
    </cfRule>
    <cfRule type="cellIs" dxfId="1" priority="247" operator="equal">
      <formula>"未完成"</formula>
    </cfRule>
  </conditionalFormatting>
  <conditionalFormatting sqref="AJ231">
    <cfRule type="cellIs" dxfId="0" priority="242" operator="equal">
      <formula>"未完成"</formula>
    </cfRule>
    <cfRule type="cellIs" dxfId="1" priority="237" operator="equal">
      <formula>"未完成"</formula>
    </cfRule>
  </conditionalFormatting>
  <conditionalFormatting sqref="AK231">
    <cfRule type="cellIs" dxfId="0" priority="288" operator="equal">
      <formula>"未完成"</formula>
    </cfRule>
    <cfRule type="cellIs" dxfId="1" priority="283" operator="equal">
      <formula>"未完成"</formula>
    </cfRule>
  </conditionalFormatting>
  <conditionalFormatting sqref="AR231:AT231">
    <cfRule type="cellIs" dxfId="0" priority="263" operator="equal">
      <formula>"未完成"</formula>
    </cfRule>
    <cfRule type="cellIs" dxfId="1" priority="258" operator="equal">
      <formula>"未完成"</formula>
    </cfRule>
  </conditionalFormatting>
  <conditionalFormatting sqref="AC232">
    <cfRule type="cellIs" dxfId="0" priority="277" operator="equal">
      <formula>"未完成"</formula>
    </cfRule>
  </conditionalFormatting>
  <conditionalFormatting sqref="AG232">
    <cfRule type="cellIs" dxfId="0" priority="272" operator="equal">
      <formula>"未完成"</formula>
    </cfRule>
    <cfRule type="cellIs" dxfId="1" priority="267" operator="equal">
      <formula>"未完成"</formula>
    </cfRule>
  </conditionalFormatting>
  <conditionalFormatting sqref="AH232">
    <cfRule type="cellIs" dxfId="0" priority="251" operator="equal">
      <formula>"未完成"</formula>
    </cfRule>
    <cfRule type="cellIs" dxfId="1" priority="246" operator="equal">
      <formula>"未完成"</formula>
    </cfRule>
  </conditionalFormatting>
  <conditionalFormatting sqref="AJ232">
    <cfRule type="cellIs" dxfId="0" priority="241" operator="equal">
      <formula>"未完成"</formula>
    </cfRule>
    <cfRule type="cellIs" dxfId="1" priority="236" operator="equal">
      <formula>"未完成"</formula>
    </cfRule>
  </conditionalFormatting>
  <conditionalFormatting sqref="AK232">
    <cfRule type="cellIs" dxfId="0" priority="287" operator="equal">
      <formula>"未完成"</formula>
    </cfRule>
    <cfRule type="cellIs" dxfId="1" priority="282" operator="equal">
      <formula>"未完成"</formula>
    </cfRule>
  </conditionalFormatting>
  <conditionalFormatting sqref="AR232:AT232">
    <cfRule type="cellIs" dxfId="0" priority="262" operator="equal">
      <formula>"未完成"</formula>
    </cfRule>
    <cfRule type="cellIs" dxfId="1" priority="257" operator="equal">
      <formula>"未完成"</formula>
    </cfRule>
  </conditionalFormatting>
  <conditionalFormatting sqref="AC233">
    <cfRule type="cellIs" dxfId="0" priority="276" operator="equal">
      <formula>"未完成"</formula>
    </cfRule>
  </conditionalFormatting>
  <conditionalFormatting sqref="AG233">
    <cfRule type="cellIs" dxfId="0" priority="271" operator="equal">
      <formula>"未完成"</formula>
    </cfRule>
    <cfRule type="cellIs" dxfId="1" priority="266" operator="equal">
      <formula>"未完成"</formula>
    </cfRule>
  </conditionalFormatting>
  <conditionalFormatting sqref="AH233">
    <cfRule type="cellIs" dxfId="0" priority="250" operator="equal">
      <formula>"未完成"</formula>
    </cfRule>
    <cfRule type="cellIs" dxfId="1" priority="245" operator="equal">
      <formula>"未完成"</formula>
    </cfRule>
  </conditionalFormatting>
  <conditionalFormatting sqref="AJ233">
    <cfRule type="cellIs" dxfId="0" priority="240" operator="equal">
      <formula>"未完成"</formula>
    </cfRule>
    <cfRule type="cellIs" dxfId="1" priority="235" operator="equal">
      <formula>"未完成"</formula>
    </cfRule>
  </conditionalFormatting>
  <conditionalFormatting sqref="AK233">
    <cfRule type="cellIs" dxfId="0" priority="286" operator="equal">
      <formula>"未完成"</formula>
    </cfRule>
    <cfRule type="cellIs" dxfId="1" priority="281" operator="equal">
      <formula>"未完成"</formula>
    </cfRule>
  </conditionalFormatting>
  <conditionalFormatting sqref="AR233:AT233">
    <cfRule type="cellIs" dxfId="0" priority="261" operator="equal">
      <formula>"未完成"</formula>
    </cfRule>
    <cfRule type="cellIs" dxfId="1" priority="256" operator="equal">
      <formula>"未完成"</formula>
    </cfRule>
  </conditionalFormatting>
  <conditionalFormatting sqref="AC234">
    <cfRule type="cellIs" dxfId="0" priority="275" operator="equal">
      <formula>"未完成"</formula>
    </cfRule>
  </conditionalFormatting>
  <conditionalFormatting sqref="AG234">
    <cfRule type="cellIs" dxfId="0" priority="270" operator="equal">
      <formula>"未完成"</formula>
    </cfRule>
    <cfRule type="cellIs" dxfId="1" priority="265" operator="equal">
      <formula>"未完成"</formula>
    </cfRule>
  </conditionalFormatting>
  <conditionalFormatting sqref="AH234">
    <cfRule type="cellIs" dxfId="0" priority="249" operator="equal">
      <formula>"未完成"</formula>
    </cfRule>
    <cfRule type="cellIs" dxfId="1" priority="244" operator="equal">
      <formula>"未完成"</formula>
    </cfRule>
  </conditionalFormatting>
  <conditionalFormatting sqref="AJ234">
    <cfRule type="cellIs" dxfId="0" priority="239" operator="equal">
      <formula>"未完成"</formula>
    </cfRule>
    <cfRule type="cellIs" dxfId="1" priority="234" operator="equal">
      <formula>"未完成"</formula>
    </cfRule>
  </conditionalFormatting>
  <conditionalFormatting sqref="AK234">
    <cfRule type="cellIs" dxfId="0" priority="285" operator="equal">
      <formula>"未完成"</formula>
    </cfRule>
    <cfRule type="cellIs" dxfId="1" priority="280" operator="equal">
      <formula>"未完成"</formula>
    </cfRule>
  </conditionalFormatting>
  <conditionalFormatting sqref="AR234:AT234">
    <cfRule type="cellIs" dxfId="0" priority="260" operator="equal">
      <formula>"未完成"</formula>
    </cfRule>
    <cfRule type="cellIs" dxfId="1" priority="255" operator="equal">
      <formula>"未完成"</formula>
    </cfRule>
  </conditionalFormatting>
  <conditionalFormatting sqref="R235">
    <cfRule type="cellIs" dxfId="0" priority="228" operator="equal">
      <formula>"欠"</formula>
    </cfRule>
  </conditionalFormatting>
  <conditionalFormatting sqref="T235">
    <cfRule type="cellIs" dxfId="0" priority="227" operator="equal">
      <formula>"欠"</formula>
    </cfRule>
  </conditionalFormatting>
  <conditionalFormatting sqref="R236">
    <cfRule type="cellIs" dxfId="0" priority="212" operator="equal">
      <formula>"欠"</formula>
    </cfRule>
  </conditionalFormatting>
  <conditionalFormatting sqref="T236">
    <cfRule type="cellIs" dxfId="0" priority="213" operator="equal">
      <formula>"欠"</formula>
    </cfRule>
  </conditionalFormatting>
  <conditionalFormatting sqref="AK236">
    <cfRule type="cellIs" dxfId="0" priority="211" operator="equal">
      <formula>"未完成"</formula>
    </cfRule>
    <cfRule type="cellIs" dxfId="1" priority="210" operator="equal">
      <formula>"未完成"</formula>
    </cfRule>
  </conditionalFormatting>
  <conditionalFormatting sqref="AP236:AQ236">
    <cfRule type="cellIs" dxfId="0" priority="215" operator="equal">
      <formula>"未完成"</formula>
    </cfRule>
    <cfRule type="cellIs" dxfId="1" priority="214" operator="equal">
      <formula>"未完成"</formula>
    </cfRule>
  </conditionalFormatting>
  <conditionalFormatting sqref="R237">
    <cfRule type="cellIs" dxfId="0" priority="219" operator="equal">
      <formula>"欠"</formula>
    </cfRule>
  </conditionalFormatting>
  <conditionalFormatting sqref="T237">
    <cfRule type="cellIs" dxfId="0" priority="216" operator="equal">
      <formula>"欠"</formula>
    </cfRule>
  </conditionalFormatting>
  <conditionalFormatting sqref="R238">
    <cfRule type="cellIs" dxfId="0" priority="196" operator="equal">
      <formula>"欠"</formula>
    </cfRule>
  </conditionalFormatting>
  <conditionalFormatting sqref="T238">
    <cfRule type="cellIs" dxfId="0" priority="197" operator="equal">
      <formula>"欠"</formula>
    </cfRule>
  </conditionalFormatting>
  <conditionalFormatting sqref="AJ238">
    <cfRule type="cellIs" dxfId="0" priority="207" operator="equal">
      <formula>"未完成"</formula>
    </cfRule>
    <cfRule type="cellIs" dxfId="1" priority="206" operator="equal">
      <formula>"未完成"</formula>
    </cfRule>
  </conditionalFormatting>
  <conditionalFormatting sqref="AK238">
    <cfRule type="cellIs" dxfId="0" priority="205" operator="equal">
      <formula>"未完成"</formula>
    </cfRule>
    <cfRule type="cellIs" dxfId="1" priority="204" operator="equal">
      <formula>"未完成"</formula>
    </cfRule>
  </conditionalFormatting>
  <conditionalFormatting sqref="R239">
    <cfRule type="cellIs" dxfId="0" priority="185" operator="equal">
      <formula>"欠"</formula>
    </cfRule>
  </conditionalFormatting>
  <conditionalFormatting sqref="T239">
    <cfRule type="cellIs" dxfId="0" priority="186" operator="equal">
      <formula>"欠"</formula>
    </cfRule>
  </conditionalFormatting>
  <conditionalFormatting sqref="AC239">
    <cfRule type="cellIs" dxfId="0" priority="193" operator="equal">
      <formula>"未完成"</formula>
    </cfRule>
  </conditionalFormatting>
  <conditionalFormatting sqref="AG239:AH239">
    <cfRule type="cellIs" dxfId="0" priority="195" operator="equal">
      <formula>"未完成"</formula>
    </cfRule>
    <cfRule type="cellIs" dxfId="1" priority="194" operator="equal">
      <formula>"未完成"</formula>
    </cfRule>
  </conditionalFormatting>
  <conditionalFormatting sqref="AJ239">
    <cfRule type="cellIs" dxfId="0" priority="190" operator="equal">
      <formula>"未完成"</formula>
    </cfRule>
    <cfRule type="cellIs" dxfId="1" priority="189" operator="equal">
      <formula>"未完成"</formula>
    </cfRule>
  </conditionalFormatting>
  <conditionalFormatting sqref="AK239">
    <cfRule type="cellIs" dxfId="0" priority="188" operator="equal">
      <formula>"未完成"</formula>
    </cfRule>
    <cfRule type="cellIs" dxfId="1" priority="187" operator="equal">
      <formula>"未完成"</formula>
    </cfRule>
  </conditionalFormatting>
  <conditionalFormatting sqref="R240">
    <cfRule type="cellIs" dxfId="0" priority="222" operator="equal">
      <formula>"欠"</formula>
    </cfRule>
  </conditionalFormatting>
  <conditionalFormatting sqref="T240">
    <cfRule type="cellIs" dxfId="0" priority="223" operator="equal">
      <formula>"欠"</formula>
    </cfRule>
  </conditionalFormatting>
  <conditionalFormatting sqref="R241">
    <cfRule type="cellIs" dxfId="0" priority="171" operator="equal">
      <formula>"欠"</formula>
    </cfRule>
  </conditionalFormatting>
  <conditionalFormatting sqref="T241">
    <cfRule type="cellIs" dxfId="0" priority="172" operator="equal">
      <formula>"欠"</formula>
    </cfRule>
  </conditionalFormatting>
  <conditionalFormatting sqref="AC241">
    <cfRule type="cellIs" dxfId="0" priority="177" operator="equal">
      <formula>"未完成"</formula>
    </cfRule>
  </conditionalFormatting>
  <conditionalFormatting sqref="AG241:AH241">
    <cfRule type="cellIs" dxfId="0" priority="179" operator="equal">
      <formula>"未完成"</formula>
    </cfRule>
    <cfRule type="cellIs" dxfId="1" priority="178" operator="equal">
      <formula>"未完成"</formula>
    </cfRule>
  </conditionalFormatting>
  <conditionalFormatting sqref="AK241">
    <cfRule type="cellIs" dxfId="0" priority="170" operator="equal">
      <formula>"未完成"</formula>
    </cfRule>
    <cfRule type="cellIs" dxfId="1" priority="169" operator="equal">
      <formula>"未完成"</formula>
    </cfRule>
  </conditionalFormatting>
  <conditionalFormatting sqref="AN241:AO241">
    <cfRule type="cellIs" dxfId="0" priority="176" operator="equal">
      <formula>"未完成"</formula>
    </cfRule>
    <cfRule type="cellIs" dxfId="1" priority="175" operator="equal">
      <formula>"未完成"</formula>
    </cfRule>
  </conditionalFormatting>
  <conditionalFormatting sqref="AR241:AT241">
    <cfRule type="cellIs" dxfId="0" priority="174" operator="equal">
      <formula>"未完成"</formula>
    </cfRule>
    <cfRule type="cellIs" dxfId="1" priority="173" operator="equal">
      <formula>"未完成"</formula>
    </cfRule>
  </conditionalFormatting>
  <conditionalFormatting sqref="R242">
    <cfRule type="cellIs" dxfId="0" priority="217" operator="equal">
      <formula>"欠"</formula>
    </cfRule>
  </conditionalFormatting>
  <conditionalFormatting sqref="T242">
    <cfRule type="cellIs" dxfId="0" priority="218" operator="equal">
      <formula>"欠"</formula>
    </cfRule>
  </conditionalFormatting>
  <conditionalFormatting sqref="T243">
    <cfRule type="cellIs" dxfId="0" priority="168" operator="equal">
      <formula>"欠"</formula>
    </cfRule>
  </conditionalFormatting>
  <conditionalFormatting sqref="T244">
    <cfRule type="cellIs" dxfId="0" priority="167" operator="equal">
      <formula>"欠"</formula>
    </cfRule>
  </conditionalFormatting>
  <conditionalFormatting sqref="R245">
    <cfRule type="cellIs" dxfId="0" priority="161" operator="equal">
      <formula>"欠"</formula>
    </cfRule>
  </conditionalFormatting>
  <conditionalFormatting sqref="S245">
    <cfRule type="cellIs" dxfId="0" priority="158" operator="equal">
      <formula>"欠"</formula>
    </cfRule>
  </conditionalFormatting>
  <conditionalFormatting sqref="T245">
    <cfRule type="containsText" dxfId="0" priority="159" operator="between" text="欠">
      <formula>NOT(ISERROR(SEARCH("欠",T245)))</formula>
    </cfRule>
    <cfRule type="cellIs" dxfId="0" priority="160" operator="equal">
      <formula>"欠"</formula>
    </cfRule>
  </conditionalFormatting>
  <conditionalFormatting sqref="AC245">
    <cfRule type="cellIs" dxfId="0" priority="151" operator="equal">
      <formula>"未完成"</formula>
    </cfRule>
  </conditionalFormatting>
  <conditionalFormatting sqref="AE245">
    <cfRule type="cellIs" dxfId="1" priority="162" operator="equal">
      <formula>"未完成"</formula>
    </cfRule>
    <cfRule type="cellIs" dxfId="0" priority="163" operator="equal">
      <formula>"未完成"</formula>
    </cfRule>
  </conditionalFormatting>
  <conditionalFormatting sqref="AG245">
    <cfRule type="cellIs" dxfId="1" priority="152" operator="equal">
      <formula>"未完成"</formula>
    </cfRule>
    <cfRule type="cellIs" dxfId="0" priority="153" operator="equal">
      <formula>"未完成"</formula>
    </cfRule>
  </conditionalFormatting>
  <conditionalFormatting sqref="AH245">
    <cfRule type="cellIs" dxfId="1" priority="149" operator="equal">
      <formula>"未完成"</formula>
    </cfRule>
    <cfRule type="cellIs" dxfId="0" priority="150" operator="equal">
      <formula>"未完成"</formula>
    </cfRule>
  </conditionalFormatting>
  <conditionalFormatting sqref="AI245">
    <cfRule type="cellIs" dxfId="1" priority="154" operator="equal">
      <formula>"未完成"</formula>
    </cfRule>
    <cfRule type="cellIs" dxfId="0" priority="155" operator="equal">
      <formula>"未完成"</formula>
    </cfRule>
  </conditionalFormatting>
  <conditionalFormatting sqref="AK245">
    <cfRule type="cellIs" dxfId="1" priority="156" operator="equal">
      <formula>"未完成"</formula>
    </cfRule>
    <cfRule type="cellIs" dxfId="0" priority="157" operator="equal">
      <formula>"未完成"</formula>
    </cfRule>
  </conditionalFormatting>
  <conditionalFormatting sqref="AM245">
    <cfRule type="cellIs" dxfId="1" priority="164" operator="equal">
      <formula>"未完成"</formula>
    </cfRule>
    <cfRule type="cellIs" dxfId="0" priority="165" operator="equal">
      <formula>"未完成"</formula>
    </cfRule>
  </conditionalFormatting>
  <conditionalFormatting sqref="AN245">
    <cfRule type="cellIs" dxfId="1" priority="145" operator="equal">
      <formula>"未完成"</formula>
    </cfRule>
    <cfRule type="cellIs" dxfId="0" priority="146" operator="equal">
      <formula>"未完成"</formula>
    </cfRule>
  </conditionalFormatting>
  <conditionalFormatting sqref="AO245">
    <cfRule type="cellIs" dxfId="1" priority="141" operator="equal">
      <formula>"未完成"</formula>
    </cfRule>
    <cfRule type="cellIs" dxfId="0" priority="142" operator="equal">
      <formula>"未完成"</formula>
    </cfRule>
  </conditionalFormatting>
  <conditionalFormatting sqref="AR245">
    <cfRule type="cellIs" dxfId="1" priority="143" operator="equal">
      <formula>"未完成"</formula>
    </cfRule>
    <cfRule type="cellIs" dxfId="0" priority="144" operator="equal">
      <formula>"未完成"</formula>
    </cfRule>
  </conditionalFormatting>
  <conditionalFormatting sqref="AS245:AU245">
    <cfRule type="cellIs" dxfId="1" priority="147" operator="equal">
      <formula>"未完成"</formula>
    </cfRule>
    <cfRule type="cellIs" dxfId="0" priority="148" operator="equal">
      <formula>"未完成"</formula>
    </cfRule>
  </conditionalFormatting>
  <conditionalFormatting sqref="R246">
    <cfRule type="cellIs" dxfId="0" priority="111" operator="equal">
      <formula>"欠"</formula>
    </cfRule>
  </conditionalFormatting>
  <conditionalFormatting sqref="S246">
    <cfRule type="cellIs" dxfId="0" priority="108" operator="equal">
      <formula>"欠"</formula>
    </cfRule>
  </conditionalFormatting>
  <conditionalFormatting sqref="T246">
    <cfRule type="cellIs" dxfId="0" priority="110" operator="equal">
      <formula>"欠"</formula>
    </cfRule>
    <cfRule type="containsText" dxfId="0" priority="109" operator="between" text="欠">
      <formula>NOT(ISERROR(SEARCH("欠",T246)))</formula>
    </cfRule>
  </conditionalFormatting>
  <conditionalFormatting sqref="AC246">
    <cfRule type="cellIs" dxfId="0" priority="101" operator="equal">
      <formula>"未完成"</formula>
    </cfRule>
  </conditionalFormatting>
  <conditionalFormatting sqref="AE246">
    <cfRule type="cellIs" dxfId="0" priority="113" operator="equal">
      <formula>"未完成"</formula>
    </cfRule>
    <cfRule type="cellIs" dxfId="1" priority="112" operator="equal">
      <formula>"未完成"</formula>
    </cfRule>
  </conditionalFormatting>
  <conditionalFormatting sqref="AG246">
    <cfRule type="cellIs" dxfId="0" priority="103" operator="equal">
      <formula>"未完成"</formula>
    </cfRule>
    <cfRule type="cellIs" dxfId="1" priority="102" operator="equal">
      <formula>"未完成"</formula>
    </cfRule>
  </conditionalFormatting>
  <conditionalFormatting sqref="AH246">
    <cfRule type="cellIs" dxfId="0" priority="100" operator="equal">
      <formula>"未完成"</formula>
    </cfRule>
    <cfRule type="cellIs" dxfId="1" priority="99" operator="equal">
      <formula>"未完成"</formula>
    </cfRule>
  </conditionalFormatting>
  <conditionalFormatting sqref="AI246">
    <cfRule type="cellIs" dxfId="0" priority="105" operator="equal">
      <formula>"未完成"</formula>
    </cfRule>
    <cfRule type="cellIs" dxfId="1" priority="104" operator="equal">
      <formula>"未完成"</formula>
    </cfRule>
  </conditionalFormatting>
  <conditionalFormatting sqref="AK246">
    <cfRule type="cellIs" dxfId="0" priority="107" operator="equal">
      <formula>"未完成"</formula>
    </cfRule>
    <cfRule type="cellIs" dxfId="1" priority="106" operator="equal">
      <formula>"未完成"</formula>
    </cfRule>
  </conditionalFormatting>
  <conditionalFormatting sqref="AM246">
    <cfRule type="cellIs" dxfId="0" priority="115" operator="equal">
      <formula>"未完成"</formula>
    </cfRule>
    <cfRule type="cellIs" dxfId="1" priority="114" operator="equal">
      <formula>"未完成"</formula>
    </cfRule>
  </conditionalFormatting>
  <conditionalFormatting sqref="AN246">
    <cfRule type="cellIs" dxfId="0" priority="96" operator="equal">
      <formula>"未完成"</formula>
    </cfRule>
    <cfRule type="cellIs" dxfId="1" priority="95" operator="equal">
      <formula>"未完成"</formula>
    </cfRule>
  </conditionalFormatting>
  <conditionalFormatting sqref="AO246">
    <cfRule type="cellIs" dxfId="0" priority="92" operator="equal">
      <formula>"未完成"</formula>
    </cfRule>
    <cfRule type="cellIs" dxfId="1" priority="91" operator="equal">
      <formula>"未完成"</formula>
    </cfRule>
  </conditionalFormatting>
  <conditionalFormatting sqref="AR246">
    <cfRule type="cellIs" dxfId="0" priority="94" operator="equal">
      <formula>"未完成"</formula>
    </cfRule>
    <cfRule type="cellIs" dxfId="1" priority="93" operator="equal">
      <formula>"未完成"</formula>
    </cfRule>
  </conditionalFormatting>
  <conditionalFormatting sqref="AS246:AU246">
    <cfRule type="cellIs" dxfId="0" priority="98" operator="equal">
      <formula>"未完成"</formula>
    </cfRule>
    <cfRule type="cellIs" dxfId="1" priority="97" operator="equal">
      <formula>"未完成"</formula>
    </cfRule>
  </conditionalFormatting>
  <conditionalFormatting sqref="R247">
    <cfRule type="cellIs" dxfId="0" priority="136" operator="equal">
      <formula>"欠"</formula>
    </cfRule>
  </conditionalFormatting>
  <conditionalFormatting sqref="S247">
    <cfRule type="cellIs" dxfId="0" priority="133" operator="equal">
      <formula>"欠"</formula>
    </cfRule>
  </conditionalFormatting>
  <conditionalFormatting sqref="T247">
    <cfRule type="containsText" dxfId="0" priority="134" operator="between" text="欠">
      <formula>NOT(ISERROR(SEARCH("欠",T247)))</formula>
    </cfRule>
    <cfRule type="cellIs" dxfId="0" priority="135" operator="equal">
      <formula>"欠"</formula>
    </cfRule>
  </conditionalFormatting>
  <conditionalFormatting sqref="AC247">
    <cfRule type="cellIs" dxfId="0" priority="126" operator="equal">
      <formula>"未完成"</formula>
    </cfRule>
  </conditionalFormatting>
  <conditionalFormatting sqref="AE247">
    <cfRule type="cellIs" dxfId="1" priority="137" operator="equal">
      <formula>"未完成"</formula>
    </cfRule>
    <cfRule type="cellIs" dxfId="0" priority="138" operator="equal">
      <formula>"未完成"</formula>
    </cfRule>
  </conditionalFormatting>
  <conditionalFormatting sqref="AG247">
    <cfRule type="cellIs" dxfId="1" priority="127" operator="equal">
      <formula>"未完成"</formula>
    </cfRule>
    <cfRule type="cellIs" dxfId="0" priority="128" operator="equal">
      <formula>"未完成"</formula>
    </cfRule>
  </conditionalFormatting>
  <conditionalFormatting sqref="AH247">
    <cfRule type="cellIs" dxfId="1" priority="124" operator="equal">
      <formula>"未完成"</formula>
    </cfRule>
    <cfRule type="cellIs" dxfId="0" priority="125" operator="equal">
      <formula>"未完成"</formula>
    </cfRule>
  </conditionalFormatting>
  <conditionalFormatting sqref="AI247">
    <cfRule type="cellIs" dxfId="1" priority="129" operator="equal">
      <formula>"未完成"</formula>
    </cfRule>
    <cfRule type="cellIs" dxfId="0" priority="130" operator="equal">
      <formula>"未完成"</formula>
    </cfRule>
  </conditionalFormatting>
  <conditionalFormatting sqref="AK247">
    <cfRule type="cellIs" dxfId="1" priority="131" operator="equal">
      <formula>"未完成"</formula>
    </cfRule>
    <cfRule type="cellIs" dxfId="0" priority="132" operator="equal">
      <formula>"未完成"</formula>
    </cfRule>
  </conditionalFormatting>
  <conditionalFormatting sqref="AM247">
    <cfRule type="cellIs" dxfId="1" priority="139" operator="equal">
      <formula>"未完成"</formula>
    </cfRule>
    <cfRule type="cellIs" dxfId="0" priority="140" operator="equal">
      <formula>"未完成"</formula>
    </cfRule>
  </conditionalFormatting>
  <conditionalFormatting sqref="AN247">
    <cfRule type="cellIs" dxfId="1" priority="120" operator="equal">
      <formula>"未完成"</formula>
    </cfRule>
    <cfRule type="cellIs" dxfId="0" priority="121" operator="equal">
      <formula>"未完成"</formula>
    </cfRule>
  </conditionalFormatting>
  <conditionalFormatting sqref="AO247">
    <cfRule type="cellIs" dxfId="1" priority="116" operator="equal">
      <formula>"未完成"</formula>
    </cfRule>
    <cfRule type="cellIs" dxfId="0" priority="117" operator="equal">
      <formula>"未完成"</formula>
    </cfRule>
  </conditionalFormatting>
  <conditionalFormatting sqref="AR247">
    <cfRule type="cellIs" dxfId="1" priority="118" operator="equal">
      <formula>"未完成"</formula>
    </cfRule>
    <cfRule type="cellIs" dxfId="0" priority="119" operator="equal">
      <formula>"未完成"</formula>
    </cfRule>
  </conditionalFormatting>
  <conditionalFormatting sqref="AS247:AU247">
    <cfRule type="cellIs" dxfId="1" priority="122" operator="equal">
      <formula>"未完成"</formula>
    </cfRule>
    <cfRule type="cellIs" dxfId="0" priority="123" operator="equal">
      <formula>"未完成"</formula>
    </cfRule>
  </conditionalFormatting>
  <conditionalFormatting sqref="T248:U248">
    <cfRule type="containsText" dxfId="2" priority="84" operator="between" text="欠">
      <formula>NOT(ISERROR(SEARCH("欠",T248)))</formula>
    </cfRule>
    <cfRule type="containsText" dxfId="0" priority="86" operator="between" text="欠">
      <formula>NOT(ISERROR(SEARCH("欠",T248)))</formula>
    </cfRule>
  </conditionalFormatting>
  <conditionalFormatting sqref="U248">
    <cfRule type="containsText" dxfId="2" priority="83" operator="between" text="欠">
      <formula>NOT(ISERROR(SEARCH("欠",U248)))</formula>
    </cfRule>
  </conditionalFormatting>
  <conditionalFormatting sqref="Z248">
    <cfRule type="containsText" dxfId="2" priority="85" operator="between" text="否">
      <formula>NOT(ISERROR(SEARCH("否",Z248)))</formula>
    </cfRule>
  </conditionalFormatting>
  <conditionalFormatting sqref="AK248">
    <cfRule type="cellIs" dxfId="1" priority="89" operator="equal">
      <formula>"未完成"</formula>
    </cfRule>
    <cfRule type="cellIs" dxfId="0" priority="90" operator="equal">
      <formula>"未完成"</formula>
    </cfRule>
  </conditionalFormatting>
  <conditionalFormatting sqref="AO248">
    <cfRule type="cellIs" dxfId="1" priority="87" operator="equal">
      <formula>"未完成"</formula>
    </cfRule>
    <cfRule type="cellIs" dxfId="0" priority="88" operator="equal">
      <formula>"未完成"</formula>
    </cfRule>
  </conditionalFormatting>
  <conditionalFormatting sqref="R249">
    <cfRule type="cellIs" dxfId="0" priority="76" operator="equal">
      <formula>"欠"</formula>
    </cfRule>
  </conditionalFormatting>
  <conditionalFormatting sqref="S249">
    <cfRule type="cellIs" dxfId="0" priority="73" operator="equal">
      <formula>"欠"</formula>
    </cfRule>
  </conditionalFormatting>
  <conditionalFormatting sqref="T249:U249">
    <cfRule type="containsText" dxfId="2" priority="58" operator="between" text="欠">
      <formula>NOT(ISERROR(SEARCH("欠",T249)))</formula>
    </cfRule>
    <cfRule type="containsText" dxfId="0" priority="74" operator="between" text="欠">
      <formula>NOT(ISERROR(SEARCH("欠",T249)))</formula>
    </cfRule>
    <cfRule type="cellIs" dxfId="0" priority="75" operator="equal">
      <formula>"欠"</formula>
    </cfRule>
  </conditionalFormatting>
  <conditionalFormatting sqref="U249">
    <cfRule type="containsText" dxfId="2" priority="57" operator="between" text="欠">
      <formula>NOT(ISERROR(SEARCH("欠",U249)))</formula>
    </cfRule>
  </conditionalFormatting>
  <conditionalFormatting sqref="Z249">
    <cfRule type="containsText" dxfId="2" priority="59" operator="between" text="否">
      <formula>NOT(ISERROR(SEARCH("否",Z249)))</formula>
    </cfRule>
  </conditionalFormatting>
  <conditionalFormatting sqref="AE249">
    <cfRule type="cellIs" dxfId="0" priority="70" operator="equal">
      <formula>"未完成"</formula>
    </cfRule>
  </conditionalFormatting>
  <conditionalFormatting sqref="AG249">
    <cfRule type="cellIs" dxfId="1" priority="77" operator="equal">
      <formula>"未完成"</formula>
    </cfRule>
    <cfRule type="cellIs" dxfId="0" priority="78" operator="equal">
      <formula>"未完成"</formula>
    </cfRule>
  </conditionalFormatting>
  <conditionalFormatting sqref="AI249:AJ249">
    <cfRule type="cellIs" dxfId="1" priority="68" operator="equal">
      <formula>"未完成"</formula>
    </cfRule>
    <cfRule type="cellIs" dxfId="0" priority="69" operator="equal">
      <formula>"未完成"</formula>
    </cfRule>
  </conditionalFormatting>
  <conditionalFormatting sqref="AK249">
    <cfRule type="cellIs" dxfId="1" priority="81" operator="equal">
      <formula>"未完成"</formula>
    </cfRule>
    <cfRule type="cellIs" dxfId="0" priority="82" operator="equal">
      <formula>"未完成"</formula>
    </cfRule>
  </conditionalFormatting>
  <conditionalFormatting sqref="AM249">
    <cfRule type="cellIs" dxfId="1" priority="71" operator="equal">
      <formula>"未完成"</formula>
    </cfRule>
    <cfRule type="cellIs" dxfId="0" priority="72" operator="equal">
      <formula>"未完成"</formula>
    </cfRule>
  </conditionalFormatting>
  <conditionalFormatting sqref="AO249">
    <cfRule type="cellIs" dxfId="1" priority="79" operator="equal">
      <formula>"未完成"</formula>
    </cfRule>
    <cfRule type="cellIs" dxfId="0" priority="80" operator="equal">
      <formula>"未完成"</formula>
    </cfRule>
  </conditionalFormatting>
  <conditionalFormatting sqref="AP249">
    <cfRule type="cellIs" dxfId="1" priority="64" operator="equal">
      <formula>"未完成"</formula>
    </cfRule>
    <cfRule type="cellIs" dxfId="0" priority="65" operator="equal">
      <formula>"未完成"</formula>
    </cfRule>
  </conditionalFormatting>
  <conditionalFormatting sqref="AQ249">
    <cfRule type="cellIs" dxfId="1" priority="60" operator="equal">
      <formula>"未完成"</formula>
    </cfRule>
    <cfRule type="cellIs" dxfId="0" priority="61" operator="equal">
      <formula>"未完成"</formula>
    </cfRule>
  </conditionalFormatting>
  <conditionalFormatting sqref="AT249">
    <cfRule type="cellIs" dxfId="1" priority="62" operator="equal">
      <formula>"未完成"</formula>
    </cfRule>
    <cfRule type="cellIs" dxfId="0" priority="63" operator="equal">
      <formula>"未完成"</formula>
    </cfRule>
  </conditionalFormatting>
  <conditionalFormatting sqref="AU249:AW249">
    <cfRule type="cellIs" dxfId="1" priority="66" operator="equal">
      <formula>"未完成"</formula>
    </cfRule>
    <cfRule type="cellIs" dxfId="0" priority="67" operator="equal">
      <formula>"未完成"</formula>
    </cfRule>
  </conditionalFormatting>
  <conditionalFormatting sqref="T250:U250">
    <cfRule type="containsText" dxfId="2" priority="38" operator="between" text="欠">
      <formula>NOT(ISERROR(SEARCH("欠",T250)))</formula>
    </cfRule>
    <cfRule type="containsText" dxfId="0" priority="52" operator="between" text="欠">
      <formula>NOT(ISERROR(SEARCH("欠",T250)))</formula>
    </cfRule>
  </conditionalFormatting>
  <conditionalFormatting sqref="U250">
    <cfRule type="containsText" dxfId="2" priority="37" operator="between" text="欠">
      <formula>NOT(ISERROR(SEARCH("欠",U250)))</formula>
    </cfRule>
  </conditionalFormatting>
  <conditionalFormatting sqref="Z250">
    <cfRule type="containsText" dxfId="2" priority="39" operator="between" text="否">
      <formula>NOT(ISERROR(SEARCH("否",Z250)))</formula>
    </cfRule>
  </conditionalFormatting>
  <conditionalFormatting sqref="AE250">
    <cfRule type="cellIs" dxfId="0" priority="42" operator="equal">
      <formula>"未完成"</formula>
    </cfRule>
    <cfRule type="cellIs" dxfId="1" priority="43" operator="equal">
      <formula>"未完成"</formula>
    </cfRule>
  </conditionalFormatting>
  <conditionalFormatting sqref="AF250">
    <cfRule type="cellIs" dxfId="1" priority="44" operator="equal">
      <formula>"未完成"</formula>
    </cfRule>
    <cfRule type="cellIs" dxfId="0" priority="45" operator="equal">
      <formula>"未完成"</formula>
    </cfRule>
  </conditionalFormatting>
  <conditionalFormatting sqref="AH250">
    <cfRule type="cellIs" dxfId="1" priority="48" operator="equal">
      <formula>"未完成"</formula>
    </cfRule>
    <cfRule type="cellIs" dxfId="0" priority="49" operator="equal">
      <formula>"未完成"</formula>
    </cfRule>
  </conditionalFormatting>
  <conditionalFormatting sqref="AI250:AJ250">
    <cfRule type="cellIs" dxfId="1" priority="46" operator="equal">
      <formula>"未完成"</formula>
    </cfRule>
    <cfRule type="cellIs" dxfId="0" priority="47" operator="equal">
      <formula>"未完成"</formula>
    </cfRule>
  </conditionalFormatting>
  <conditionalFormatting sqref="AK250">
    <cfRule type="cellIs" dxfId="1" priority="55" operator="equal">
      <formula>"未完成"</formula>
    </cfRule>
    <cfRule type="cellIs" dxfId="0" priority="56" operator="equal">
      <formula>"未完成"</formula>
    </cfRule>
  </conditionalFormatting>
  <conditionalFormatting sqref="AL250">
    <cfRule type="cellIs" dxfId="1" priority="40" operator="equal">
      <formula>"未完成"</formula>
    </cfRule>
    <cfRule type="cellIs" dxfId="0" priority="41" operator="equal">
      <formula>"未完成"</formula>
    </cfRule>
  </conditionalFormatting>
  <conditionalFormatting sqref="AO250">
    <cfRule type="cellIs" dxfId="1" priority="53" operator="equal">
      <formula>"未完成"</formula>
    </cfRule>
    <cfRule type="cellIs" dxfId="0" priority="54" operator="equal">
      <formula>"未完成"</formula>
    </cfRule>
  </conditionalFormatting>
  <conditionalFormatting sqref="AT250">
    <cfRule type="cellIs" dxfId="1" priority="50" operator="equal">
      <formula>"未完成"</formula>
    </cfRule>
    <cfRule type="cellIs" dxfId="0" priority="51" operator="equal">
      <formula>"未完成"</formula>
    </cfRule>
  </conditionalFormatting>
  <conditionalFormatting sqref="R251">
    <cfRule type="cellIs" dxfId="0" priority="14" operator="equal">
      <formula>"欠"</formula>
    </cfRule>
  </conditionalFormatting>
  <conditionalFormatting sqref="S251">
    <cfRule type="cellIs" dxfId="0" priority="20" operator="equal">
      <formula>"欠"</formula>
    </cfRule>
  </conditionalFormatting>
  <conditionalFormatting sqref="T251:U251">
    <cfRule type="cellIs" dxfId="0" priority="5" operator="equal">
      <formula>"欠"</formula>
    </cfRule>
    <cfRule type="containsText" dxfId="0" priority="4" operator="between" text="欠">
      <formula>NOT(ISERROR(SEARCH("欠",T251)))</formula>
    </cfRule>
    <cfRule type="containsText" dxfId="2" priority="2" operator="between" text="欠">
      <formula>NOT(ISERROR(SEARCH("欠",T251)))</formula>
    </cfRule>
  </conditionalFormatting>
  <conditionalFormatting sqref="U251">
    <cfRule type="containsText" dxfId="2" priority="1" operator="between" text="欠">
      <formula>NOT(ISERROR(SEARCH("欠",U251)))</formula>
    </cfRule>
  </conditionalFormatting>
  <conditionalFormatting sqref="Z251">
    <cfRule type="containsText" dxfId="2" priority="3" operator="between" text="否">
      <formula>NOT(ISERROR(SEARCH("否",Z251)))</formula>
    </cfRule>
  </conditionalFormatting>
  <conditionalFormatting sqref="AE251">
    <cfRule type="cellIs" dxfId="1" priority="24" operator="equal">
      <formula>"未完成"</formula>
    </cfRule>
    <cfRule type="cellIs" dxfId="0" priority="23" operator="equal">
      <formula>"未完成"</formula>
    </cfRule>
  </conditionalFormatting>
  <conditionalFormatting sqref="AF251">
    <cfRule type="cellIs" dxfId="0" priority="26" operator="equal">
      <formula>"未完成"</formula>
    </cfRule>
    <cfRule type="cellIs" dxfId="1" priority="25" operator="equal">
      <formula>"未完成"</formula>
    </cfRule>
  </conditionalFormatting>
  <conditionalFormatting sqref="AG251">
    <cfRule type="cellIs" dxfId="0" priority="36" operator="equal">
      <formula>"未完成"</formula>
    </cfRule>
    <cfRule type="cellIs" dxfId="1" priority="35" operator="equal">
      <formula>"未完成"</formula>
    </cfRule>
  </conditionalFormatting>
  <conditionalFormatting sqref="AH251">
    <cfRule type="cellIs" dxfId="0" priority="30" operator="equal">
      <formula>"未完成"</formula>
    </cfRule>
    <cfRule type="cellIs" dxfId="1" priority="29" operator="equal">
      <formula>"未完成"</formula>
    </cfRule>
  </conditionalFormatting>
  <conditionalFormatting sqref="AI251:AJ251">
    <cfRule type="cellIs" dxfId="0" priority="28" operator="equal">
      <formula>"未完成"</formula>
    </cfRule>
    <cfRule type="cellIs" dxfId="1" priority="27" operator="equal">
      <formula>"未完成"</formula>
    </cfRule>
  </conditionalFormatting>
  <conditionalFormatting sqref="AL251">
    <cfRule type="cellIs" dxfId="0" priority="34" operator="equal">
      <formula>"未完成"</formula>
    </cfRule>
    <cfRule type="cellIs" dxfId="1" priority="33" operator="equal">
      <formula>"未完成"</formula>
    </cfRule>
  </conditionalFormatting>
  <conditionalFormatting sqref="AO251">
    <cfRule type="cellIs" dxfId="0" priority="19" operator="equal">
      <formula>"未完成"</formula>
    </cfRule>
    <cfRule type="cellIs" dxfId="1" priority="18" operator="equal">
      <formula>"未完成"</formula>
    </cfRule>
  </conditionalFormatting>
  <conditionalFormatting sqref="AT251">
    <cfRule type="cellIs" dxfId="0" priority="32" operator="equal">
      <formula>"未完成"</formula>
    </cfRule>
    <cfRule type="cellIs" dxfId="1" priority="31" operator="equal">
      <formula>"未完成"</formula>
    </cfRule>
  </conditionalFormatting>
  <conditionalFormatting sqref="R118:R120">
    <cfRule type="cellIs" dxfId="0" priority="1279" operator="equal">
      <formula>"欠"</formula>
    </cfRule>
  </conditionalFormatting>
  <conditionalFormatting sqref="R180:R182">
    <cfRule type="cellIs" dxfId="0" priority="932" operator="equal">
      <formula>"欠"</formula>
    </cfRule>
  </conditionalFormatting>
  <conditionalFormatting sqref="R201:R202">
    <cfRule type="cellIs" dxfId="0" priority="720" operator="equal">
      <formula>"欠"</formula>
    </cfRule>
  </conditionalFormatting>
  <conditionalFormatting sqref="R204:R205">
    <cfRule type="cellIs" dxfId="0" priority="684" operator="equal">
      <formula>"欠"</formula>
    </cfRule>
  </conditionalFormatting>
  <conditionalFormatting sqref="R210:R211">
    <cfRule type="cellIs" dxfId="0" priority="596" operator="equal">
      <formula>"欠"</formula>
    </cfRule>
  </conditionalFormatting>
  <conditionalFormatting sqref="R214:R215">
    <cfRule type="cellIs" dxfId="0" priority="546" operator="equal">
      <formula>"欠"</formula>
    </cfRule>
  </conditionalFormatting>
  <conditionalFormatting sqref="R224:R227">
    <cfRule type="cellIs" dxfId="0" priority="351" operator="equal">
      <formula>"欠"</formula>
    </cfRule>
  </conditionalFormatting>
  <conditionalFormatting sqref="R230:R234">
    <cfRule type="cellIs" dxfId="0" priority="254" operator="equal">
      <formula>"欠"</formula>
    </cfRule>
  </conditionalFormatting>
  <conditionalFormatting sqref="R243:R244">
    <cfRule type="cellIs" dxfId="0" priority="182" operator="equal">
      <formula>"欠"</formula>
    </cfRule>
  </conditionalFormatting>
  <conditionalFormatting sqref="S224:S227">
    <cfRule type="cellIs" dxfId="0" priority="364" operator="equal">
      <formula>"欠"</formula>
    </cfRule>
  </conditionalFormatting>
  <conditionalFormatting sqref="S230:S234">
    <cfRule type="cellIs" dxfId="0" priority="293" operator="equal">
      <formula>"欠"</formula>
    </cfRule>
  </conditionalFormatting>
  <conditionalFormatting sqref="T149:T151">
    <cfRule type="cellIs" dxfId="0" priority="1030" operator="equal">
      <formula>"欠"</formula>
    </cfRule>
  </conditionalFormatting>
  <conditionalFormatting sqref="T160:T171">
    <cfRule type="cellIs" dxfId="0" priority="958" operator="equal">
      <formula>"欠"</formula>
    </cfRule>
  </conditionalFormatting>
  <conditionalFormatting sqref="T173:T176">
    <cfRule type="cellIs" dxfId="0" priority="959" operator="equal">
      <formula>"欠"</formula>
    </cfRule>
  </conditionalFormatting>
  <conditionalFormatting sqref="T177:T178">
    <cfRule type="cellIs" dxfId="0" priority="951" operator="equal">
      <formula>"欠"</formula>
    </cfRule>
  </conditionalFormatting>
  <conditionalFormatting sqref="T190:T191">
    <cfRule type="cellIs" dxfId="0" priority="885" operator="equal">
      <formula>"欠"</formula>
    </cfRule>
  </conditionalFormatting>
  <conditionalFormatting sqref="T201:T202">
    <cfRule type="cellIs" dxfId="0" priority="719" operator="equal">
      <formula>"欠"</formula>
    </cfRule>
  </conditionalFormatting>
  <conditionalFormatting sqref="T204:T205">
    <cfRule type="cellIs" dxfId="0" priority="683" operator="equal">
      <formula>"欠"</formula>
    </cfRule>
  </conditionalFormatting>
  <conditionalFormatting sqref="T210:T211">
    <cfRule type="cellIs" dxfId="0" priority="587" operator="equal">
      <formula>"欠"</formula>
    </cfRule>
  </conditionalFormatting>
  <conditionalFormatting sqref="T214:T215">
    <cfRule type="cellIs" dxfId="0" priority="537" operator="equal">
      <formula>"欠"</formula>
    </cfRule>
  </conditionalFormatting>
  <conditionalFormatting sqref="T224:T227">
    <cfRule type="containsText" dxfId="0" priority="354" operator="between" text="欠">
      <formula>NOT(ISERROR(SEARCH("欠",T224)))</formula>
    </cfRule>
    <cfRule type="cellIs" dxfId="0" priority="355" operator="equal">
      <formula>"欠"</formula>
    </cfRule>
  </conditionalFormatting>
  <conditionalFormatting sqref="T230:T234">
    <cfRule type="cellIs" dxfId="0" priority="294" operator="equal">
      <formula>"欠"</formula>
    </cfRule>
    <cfRule type="containsText" dxfId="0" priority="290" operator="between" text="欠">
      <formula>NOT(ISERROR(SEARCH("欠",T230)))</formula>
    </cfRule>
  </conditionalFormatting>
  <conditionalFormatting sqref="T235:T244">
    <cfRule type="containsText" dxfId="0" priority="166" operator="between" text="欠">
      <formula>NOT(ISERROR(SEARCH("欠",T235)))</formula>
    </cfRule>
  </conditionalFormatting>
  <conditionalFormatting sqref="V2:V35">
    <cfRule type="cellIs" dxfId="0" priority="1736" operator="equal">
      <formula>"未完成"</formula>
    </cfRule>
  </conditionalFormatting>
  <conditionalFormatting sqref="W8:W13">
    <cfRule type="cellIs" dxfId="0" priority="1738" operator="equal">
      <formula>"欠"</formula>
    </cfRule>
  </conditionalFormatting>
  <conditionalFormatting sqref="Z36:Z37">
    <cfRule type="cellIs" dxfId="0" priority="1728" operator="equal">
      <formula>"未完成"</formula>
    </cfRule>
  </conditionalFormatting>
  <conditionalFormatting sqref="AB117:AB120">
    <cfRule type="cellIs" dxfId="0" priority="1289" operator="equal">
      <formula>"未完成"</formula>
    </cfRule>
    <cfRule type="cellIs" dxfId="1" priority="1290" operator="equal">
      <formula>"未完成"</formula>
    </cfRule>
  </conditionalFormatting>
  <conditionalFormatting sqref="AB127:AB128">
    <cfRule type="cellIs" dxfId="0" priority="1197" operator="equal">
      <formula>"未完成"</formula>
    </cfRule>
    <cfRule type="cellIs" dxfId="1" priority="1196" operator="equal">
      <formula>"未完成"</formula>
    </cfRule>
  </conditionalFormatting>
  <conditionalFormatting sqref="AB137:AB138">
    <cfRule type="cellIs" dxfId="0" priority="1090" operator="equal">
      <formula>"未完成"</formula>
    </cfRule>
    <cfRule type="cellIs" dxfId="1" priority="1092" operator="equal">
      <formula>"未完成"</formula>
    </cfRule>
  </conditionalFormatting>
  <conditionalFormatting sqref="AB139:AB140">
    <cfRule type="cellIs" dxfId="0" priority="1107" operator="equal">
      <formula>"未完成"</formula>
    </cfRule>
  </conditionalFormatting>
  <conditionalFormatting sqref="AB142:AB144">
    <cfRule type="cellIs" dxfId="0" priority="1064" operator="equal">
      <formula>"未完成"</formula>
    </cfRule>
  </conditionalFormatting>
  <conditionalFormatting sqref="AB148:AB151">
    <cfRule type="cellIs" dxfId="0" priority="1036" operator="equal">
      <formula>"未完成"</formula>
    </cfRule>
  </conditionalFormatting>
  <conditionalFormatting sqref="AB160:AB176">
    <cfRule type="cellIs" dxfId="0" priority="978" operator="equal">
      <formula>"未完成"</formula>
    </cfRule>
  </conditionalFormatting>
  <conditionalFormatting sqref="AB177:AB178">
    <cfRule type="cellIs" dxfId="0" priority="954" operator="equal">
      <formula>"未完成"</formula>
    </cfRule>
  </conditionalFormatting>
  <conditionalFormatting sqref="AB179:AB182">
    <cfRule type="cellIs" dxfId="0" priority="941" operator="equal">
      <formula>"未完成"</formula>
    </cfRule>
  </conditionalFormatting>
  <conditionalFormatting sqref="AB186:AB187">
    <cfRule type="cellIs" dxfId="0" priority="909" operator="equal">
      <formula>"未完成"</formula>
    </cfRule>
  </conditionalFormatting>
  <conditionalFormatting sqref="AB188:AB189">
    <cfRule type="cellIs" dxfId="0" priority="902" operator="equal">
      <formula>"未完成"</formula>
    </cfRule>
  </conditionalFormatting>
  <conditionalFormatting sqref="AB190:AB191">
    <cfRule type="cellIs" dxfId="0" priority="890" operator="equal">
      <formula>"未完成"</formula>
    </cfRule>
  </conditionalFormatting>
  <conditionalFormatting sqref="AC117:AC120">
    <cfRule type="cellIs" dxfId="1" priority="1292" operator="equal">
      <formula>"未完成"</formula>
    </cfRule>
    <cfRule type="cellIs" dxfId="0" priority="1293" operator="equal">
      <formula>"未完成"</formula>
    </cfRule>
  </conditionalFormatting>
  <conditionalFormatting sqref="AC127:AC128">
    <cfRule type="cellIs" dxfId="0" priority="1200" operator="equal">
      <formula>"未完成"</formula>
    </cfRule>
    <cfRule type="cellIs" dxfId="1" priority="1199" operator="equal">
      <formula>"未完成"</formula>
    </cfRule>
  </conditionalFormatting>
  <conditionalFormatting sqref="AC129:AC130">
    <cfRule type="cellIs" dxfId="0" priority="1189" operator="equal">
      <formula>"未完成"</formula>
    </cfRule>
    <cfRule type="cellIs" dxfId="1" priority="1188" operator="equal">
      <formula>"未完成"</formula>
    </cfRule>
  </conditionalFormatting>
  <conditionalFormatting sqref="AC137:AC138">
    <cfRule type="cellIs" dxfId="1" priority="1096" operator="equal">
      <formula>"未完成"</formula>
    </cfRule>
    <cfRule type="cellIs" dxfId="0" priority="1098" operator="equal">
      <formula>"未完成"</formula>
    </cfRule>
  </conditionalFormatting>
  <conditionalFormatting sqref="AC201:AC202">
    <cfRule type="cellIs" dxfId="0" priority="729" operator="equal">
      <formula>"未完成"</formula>
    </cfRule>
  </conditionalFormatting>
  <conditionalFormatting sqref="AC204:AC205">
    <cfRule type="cellIs" dxfId="0" priority="691" operator="equal">
      <formula>"未完成"</formula>
    </cfRule>
  </conditionalFormatting>
  <conditionalFormatting sqref="AC210:AC211">
    <cfRule type="cellIs" dxfId="0" priority="603" operator="equal">
      <formula>"未完成"</formula>
    </cfRule>
  </conditionalFormatting>
  <conditionalFormatting sqref="AC214:AC215">
    <cfRule type="cellIs" dxfId="0" priority="553" operator="equal">
      <formula>"未完成"</formula>
    </cfRule>
  </conditionalFormatting>
  <conditionalFormatting sqref="AC224:AC227">
    <cfRule type="cellIs" dxfId="0" priority="356" operator="equal">
      <formula>"未完成"</formula>
    </cfRule>
    <cfRule type="cellIs" dxfId="1" priority="357" operator="equal">
      <formula>"未完成"</formula>
    </cfRule>
  </conditionalFormatting>
  <conditionalFormatting sqref="AC235:AC237">
    <cfRule type="cellIs" dxfId="0" priority="231" operator="equal">
      <formula>"未完成"</formula>
    </cfRule>
  </conditionalFormatting>
  <conditionalFormatting sqref="AD224:AD227">
    <cfRule type="cellIs" dxfId="1" priority="358" operator="equal">
      <formula>"未完成"</formula>
    </cfRule>
    <cfRule type="cellIs" dxfId="0" priority="359" operator="equal">
      <formula>"未完成"</formula>
    </cfRule>
  </conditionalFormatting>
  <conditionalFormatting sqref="AE224:AE227">
    <cfRule type="cellIs" dxfId="1" priority="371" operator="equal">
      <formula>"未完成"</formula>
    </cfRule>
    <cfRule type="cellIs" dxfId="0" priority="372" operator="equal">
      <formula>"未完成"</formula>
    </cfRule>
  </conditionalFormatting>
  <conditionalFormatting sqref="AF137:AF138">
    <cfRule type="cellIs" dxfId="1" priority="1084" operator="equal">
      <formula>"未完成"</formula>
    </cfRule>
    <cfRule type="cellIs" dxfId="0" priority="1085" operator="equal">
      <formula>"未完成"</formula>
    </cfRule>
  </conditionalFormatting>
  <conditionalFormatting sqref="AF190:AF191">
    <cfRule type="cellIs" dxfId="0" priority="891" operator="equal">
      <formula>"欠"</formula>
    </cfRule>
  </conditionalFormatting>
  <conditionalFormatting sqref="AF224:AF227">
    <cfRule type="cellIs" dxfId="1" priority="362" operator="equal">
      <formula>"未完成"</formula>
    </cfRule>
    <cfRule type="cellIs" dxfId="0" priority="363" operator="equal">
      <formula>"未完成"</formula>
    </cfRule>
  </conditionalFormatting>
  <conditionalFormatting sqref="AG137:AG138">
    <cfRule type="cellIs" dxfId="1" priority="1100" operator="equal">
      <formula>"未完成"</formula>
    </cfRule>
    <cfRule type="cellIs" dxfId="0" priority="1102" operator="equal">
      <formula>"未完成"</formula>
    </cfRule>
  </conditionalFormatting>
  <conditionalFormatting sqref="AH117:AH120">
    <cfRule type="cellIs" dxfId="0" priority="1294" operator="equal">
      <formula>"欠"</formula>
    </cfRule>
  </conditionalFormatting>
  <conditionalFormatting sqref="AH127:AH128">
    <cfRule type="cellIs" dxfId="0" priority="1201" operator="equal">
      <formula>"欠"</formula>
    </cfRule>
  </conditionalFormatting>
  <conditionalFormatting sqref="AH129:AH130">
    <cfRule type="cellIs" dxfId="0" priority="1190" operator="equal">
      <formula>"欠"</formula>
    </cfRule>
  </conditionalFormatting>
  <conditionalFormatting sqref="AH139:AH140">
    <cfRule type="cellIs" dxfId="0" priority="1108" operator="equal">
      <formula>"欠"</formula>
    </cfRule>
  </conditionalFormatting>
  <conditionalFormatting sqref="AH142:AH144">
    <cfRule type="cellIs" dxfId="0" priority="1065" operator="equal">
      <formula>"欠"</formula>
    </cfRule>
  </conditionalFormatting>
  <conditionalFormatting sqref="AH148:AH151">
    <cfRule type="cellIs" dxfId="0" priority="1037" operator="equal">
      <formula>"欠"</formula>
    </cfRule>
  </conditionalFormatting>
  <conditionalFormatting sqref="AH160:AH176">
    <cfRule type="cellIs" dxfId="0" priority="979" operator="equal">
      <formula>"欠"</formula>
    </cfRule>
  </conditionalFormatting>
  <conditionalFormatting sqref="AH177:AH178">
    <cfRule type="cellIs" dxfId="0" priority="955" operator="equal">
      <formula>"欠"</formula>
    </cfRule>
  </conditionalFormatting>
  <conditionalFormatting sqref="AH179:AH182">
    <cfRule type="cellIs" dxfId="0" priority="942" operator="equal">
      <formula>"欠"</formula>
    </cfRule>
  </conditionalFormatting>
  <conditionalFormatting sqref="AI201:AI202">
    <cfRule type="cellIs" dxfId="0" priority="733" operator="equal">
      <formula>"未完成"</formula>
    </cfRule>
    <cfRule type="cellIs" dxfId="1" priority="732" operator="equal">
      <formula>"未完成"</formula>
    </cfRule>
  </conditionalFormatting>
  <conditionalFormatting sqref="AI204:AI205">
    <cfRule type="cellIs" dxfId="0" priority="695" operator="equal">
      <formula>"未完成"</formula>
    </cfRule>
    <cfRule type="cellIs" dxfId="1" priority="694" operator="equal">
      <formula>"未完成"</formula>
    </cfRule>
  </conditionalFormatting>
  <conditionalFormatting sqref="AI210:AI211">
    <cfRule type="cellIs" dxfId="0" priority="607" operator="equal">
      <formula>"未完成"</formula>
    </cfRule>
    <cfRule type="cellIs" dxfId="1" priority="606" operator="equal">
      <formula>"未完成"</formula>
    </cfRule>
  </conditionalFormatting>
  <conditionalFormatting sqref="AI214:AI215">
    <cfRule type="cellIs" dxfId="1" priority="556" operator="equal">
      <formula>"未完成"</formula>
    </cfRule>
    <cfRule type="cellIs" dxfId="0" priority="557" operator="equal">
      <formula>"未完成"</formula>
    </cfRule>
  </conditionalFormatting>
  <conditionalFormatting sqref="AI224:AI227">
    <cfRule type="cellIs" dxfId="1" priority="373" operator="equal">
      <formula>"未完成"</formula>
    </cfRule>
    <cfRule type="cellIs" dxfId="0" priority="374" operator="equal">
      <formula>"未完成"</formula>
    </cfRule>
  </conditionalFormatting>
  <conditionalFormatting sqref="AI230:AI234">
    <cfRule type="cellIs" dxfId="0" priority="300" operator="equal">
      <formula>"未完成"</formula>
    </cfRule>
    <cfRule type="cellIs" dxfId="1" priority="299" operator="equal">
      <formula>"未完成"</formula>
    </cfRule>
  </conditionalFormatting>
  <conditionalFormatting sqref="AJ201:AJ202">
    <cfRule type="cellIs" dxfId="0" priority="724" operator="equal">
      <formula>"未完成"</formula>
    </cfRule>
    <cfRule type="cellIs" dxfId="1" priority="723" operator="equal">
      <formula>"未完成"</formula>
    </cfRule>
  </conditionalFormatting>
  <conditionalFormatting sqref="AJ204:AJ205">
    <cfRule type="cellIs" dxfId="0" priority="680" operator="equal">
      <formula>"未完成"</formula>
    </cfRule>
    <cfRule type="cellIs" dxfId="1" priority="679" operator="equal">
      <formula>"未完成"</formula>
    </cfRule>
  </conditionalFormatting>
  <conditionalFormatting sqref="AJ210:AJ211">
    <cfRule type="cellIs" dxfId="0" priority="593" operator="equal">
      <formula>"未完成"</formula>
    </cfRule>
    <cfRule type="cellIs" dxfId="1" priority="592" operator="equal">
      <formula>"未完成"</formula>
    </cfRule>
  </conditionalFormatting>
  <conditionalFormatting sqref="AJ214:AJ215">
    <cfRule type="cellIs" dxfId="1" priority="542" operator="equal">
      <formula>"未完成"</formula>
    </cfRule>
    <cfRule type="cellIs" dxfId="0" priority="543" operator="equal">
      <formula>"未完成"</formula>
    </cfRule>
  </conditionalFormatting>
  <conditionalFormatting sqref="AJ224:AJ227">
    <cfRule type="cellIs" dxfId="1" priority="367" operator="equal">
      <formula>"未完成"</formula>
    </cfRule>
    <cfRule type="cellIs" dxfId="0" priority="368" operator="equal">
      <formula>"未完成"</formula>
    </cfRule>
  </conditionalFormatting>
  <conditionalFormatting sqref="AJ243:AJ244">
    <cfRule type="cellIs" dxfId="1" priority="200" operator="equal">
      <formula>"未完成"</formula>
    </cfRule>
    <cfRule type="cellIs" dxfId="0" priority="201" operator="equal">
      <formula>"未完成"</formula>
    </cfRule>
  </conditionalFormatting>
  <conditionalFormatting sqref="AK201:AK202">
    <cfRule type="cellIs" dxfId="0" priority="718" operator="equal">
      <formula>"未完成"</formula>
    </cfRule>
    <cfRule type="cellIs" dxfId="1" priority="717" operator="equal">
      <formula>"未完成"</formula>
    </cfRule>
  </conditionalFormatting>
  <conditionalFormatting sqref="AK204:AK205">
    <cfRule type="cellIs" dxfId="0" priority="678" operator="equal">
      <formula>"未完成"</formula>
    </cfRule>
    <cfRule type="cellIs" dxfId="1" priority="677" operator="equal">
      <formula>"未完成"</formula>
    </cfRule>
  </conditionalFormatting>
  <conditionalFormatting sqref="AK210:AK211">
    <cfRule type="cellIs" dxfId="0" priority="589" operator="equal">
      <formula>"未完成"</formula>
    </cfRule>
    <cfRule type="cellIs" dxfId="1" priority="588" operator="equal">
      <formula>"未完成"</formula>
    </cfRule>
  </conditionalFormatting>
  <conditionalFormatting sqref="AK214:AK215">
    <cfRule type="cellIs" dxfId="1" priority="538" operator="equal">
      <formula>"未完成"</formula>
    </cfRule>
    <cfRule type="cellIs" dxfId="0" priority="539" operator="equal">
      <formula>"未完成"</formula>
    </cfRule>
  </conditionalFormatting>
  <conditionalFormatting sqref="AK243:AK244">
    <cfRule type="cellIs" dxfId="1" priority="198" operator="equal">
      <formula>"未完成"</formula>
    </cfRule>
    <cfRule type="cellIs" dxfId="0" priority="199" operator="equal">
      <formula>"未完成"</formula>
    </cfRule>
  </conditionalFormatting>
  <conditionalFormatting sqref="AM204:AM205">
    <cfRule type="cellIs" dxfId="0" priority="682" operator="equal">
      <formula>"未完成"</formula>
    </cfRule>
    <cfRule type="cellIs" dxfId="1" priority="681" operator="equal">
      <formula>"未完成"</formula>
    </cfRule>
  </conditionalFormatting>
  <conditionalFormatting sqref="AM210:AM211">
    <cfRule type="cellIs" dxfId="0" priority="595" operator="equal">
      <formula>"未完成"</formula>
    </cfRule>
    <cfRule type="cellIs" dxfId="1" priority="594" operator="equal">
      <formula>"未完成"</formula>
    </cfRule>
  </conditionalFormatting>
  <conditionalFormatting sqref="AM214:AM215">
    <cfRule type="cellIs" dxfId="1" priority="544" operator="equal">
      <formula>"未完成"</formula>
    </cfRule>
    <cfRule type="cellIs" dxfId="0" priority="545" operator="equal">
      <formula>"未完成"</formula>
    </cfRule>
  </conditionalFormatting>
  <conditionalFormatting sqref="AM224:AM227">
    <cfRule type="cellIs" dxfId="1" priority="365" operator="equal">
      <formula>"未完成"</formula>
    </cfRule>
    <cfRule type="cellIs" dxfId="0" priority="366" operator="equal">
      <formula>"未完成"</formula>
    </cfRule>
  </conditionalFormatting>
  <conditionalFormatting sqref="AN204:AN205">
    <cfRule type="cellIs" dxfId="0" priority="686" operator="equal">
      <formula>"未完成"</formula>
    </cfRule>
    <cfRule type="cellIs" dxfId="1" priority="685" operator="equal">
      <formula>"未完成"</formula>
    </cfRule>
  </conditionalFormatting>
  <conditionalFormatting sqref="AN210:AN211">
    <cfRule type="cellIs" dxfId="0" priority="598" operator="equal">
      <formula>"未完成"</formula>
    </cfRule>
    <cfRule type="cellIs" dxfId="1" priority="597" operator="equal">
      <formula>"未完成"</formula>
    </cfRule>
  </conditionalFormatting>
  <conditionalFormatting sqref="AN214:AN215">
    <cfRule type="cellIs" dxfId="1" priority="547" operator="equal">
      <formula>"未完成"</formula>
    </cfRule>
    <cfRule type="cellIs" dxfId="0" priority="548" operator="equal">
      <formula>"未完成"</formula>
    </cfRule>
  </conditionalFormatting>
  <conditionalFormatting sqref="AN230:AN234">
    <cfRule type="cellIs" dxfId="0" priority="298" operator="equal">
      <formula>"未完成"</formula>
    </cfRule>
    <cfRule type="cellIs" dxfId="1" priority="297" operator="equal">
      <formula>"未完成"</formula>
    </cfRule>
  </conditionalFormatting>
  <conditionalFormatting sqref="AO224:AO227">
    <cfRule type="cellIs" dxfId="1" priority="352" operator="equal">
      <formula>"未完成"</formula>
    </cfRule>
    <cfRule type="cellIs" dxfId="0" priority="353" operator="equal">
      <formula>"未完成"</formula>
    </cfRule>
  </conditionalFormatting>
  <conditionalFormatting sqref="AO230:AO234">
    <cfRule type="cellIs" dxfId="0" priority="296" operator="equal">
      <formula>"未完成"</formula>
    </cfRule>
    <cfRule type="cellIs" dxfId="1" priority="295" operator="equal">
      <formula>"未完成"</formula>
    </cfRule>
  </conditionalFormatting>
  <conditionalFormatting sqref="AP201:AP202">
    <cfRule type="cellIs" dxfId="0" priority="726" operator="equal">
      <formula>"未完成"</formula>
    </cfRule>
    <cfRule type="cellIs" dxfId="1" priority="725" operator="equal">
      <formula>"未完成"</formula>
    </cfRule>
  </conditionalFormatting>
  <conditionalFormatting sqref="AP204:AP205">
    <cfRule type="cellIs" dxfId="0" priority="688" operator="equal">
      <formula>"未完成"</formula>
    </cfRule>
    <cfRule type="cellIs" dxfId="1" priority="687" operator="equal">
      <formula>"未完成"</formula>
    </cfRule>
  </conditionalFormatting>
  <conditionalFormatting sqref="AP210:AP211">
    <cfRule type="cellIs" dxfId="0" priority="600" operator="equal">
      <formula>"未完成"</formula>
    </cfRule>
    <cfRule type="cellIs" dxfId="1" priority="599" operator="equal">
      <formula>"未完成"</formula>
    </cfRule>
  </conditionalFormatting>
  <conditionalFormatting sqref="AP214:AP215">
    <cfRule type="cellIs" dxfId="1" priority="549" operator="equal">
      <formula>"未完成"</formula>
    </cfRule>
    <cfRule type="cellIs" dxfId="0" priority="550" operator="equal">
      <formula>"未完成"</formula>
    </cfRule>
  </conditionalFormatting>
  <conditionalFormatting sqref="AQ204:AQ205">
    <cfRule type="cellIs" dxfId="0" priority="676" operator="equal">
      <formula>"未完成"</formula>
    </cfRule>
    <cfRule type="cellIs" dxfId="1" priority="675" operator="equal">
      <formula>"未完成"</formula>
    </cfRule>
  </conditionalFormatting>
  <conditionalFormatting sqref="AQ210:AQ211">
    <cfRule type="cellIs" dxfId="0" priority="591" operator="equal">
      <formula>"未完成"</formula>
    </cfRule>
    <cfRule type="cellIs" dxfId="1" priority="590" operator="equal">
      <formula>"未完成"</formula>
    </cfRule>
  </conditionalFormatting>
  <conditionalFormatting sqref="AQ214:AQ215">
    <cfRule type="cellIs" dxfId="1" priority="540" operator="equal">
      <formula>"未完成"</formula>
    </cfRule>
    <cfRule type="cellIs" dxfId="0" priority="541" operator="equal">
      <formula>"未完成"</formula>
    </cfRule>
  </conditionalFormatting>
  <conditionalFormatting sqref="AQ230:AQ234">
    <cfRule type="cellIs" dxfId="0" priority="292" operator="equal">
      <formula>"未完成"</formula>
    </cfRule>
    <cfRule type="cellIs" dxfId="1" priority="291" operator="equal">
      <formula>"未完成"</formula>
    </cfRule>
  </conditionalFormatting>
  <conditionalFormatting sqref="AS224:AS227">
    <cfRule type="cellIs" dxfId="1" priority="369" operator="equal">
      <formula>"未完成"</formula>
    </cfRule>
    <cfRule type="cellIs" dxfId="0" priority="370" operator="equal">
      <formula>"未完成"</formula>
    </cfRule>
  </conditionalFormatting>
  <conditionalFormatting sqref="AC1 W1:X1">
    <cfRule type="cellIs" dxfId="0" priority="1735" operator="equal">
      <formula>"欠"</formula>
    </cfRule>
  </conditionalFormatting>
  <conditionalFormatting sqref="V2:V13 Y2:AB13">
    <cfRule type="cellIs" dxfId="1" priority="1743" operator="equal">
      <formula>"未完成"</formula>
    </cfRule>
    <cfRule type="cellIs" dxfId="0" priority="1744" operator="equal">
      <formula>"未完成"</formula>
    </cfRule>
  </conditionalFormatting>
  <conditionalFormatting sqref="AC2:AC7 W2:X7">
    <cfRule type="cellIs" dxfId="0" priority="1739" operator="equal">
      <formula>"欠"</formula>
    </cfRule>
  </conditionalFormatting>
  <conditionalFormatting sqref="AC8:AC13 X8:X13">
    <cfRule type="cellIs" dxfId="0" priority="1737" operator="equal">
      <formula>"欠"</formula>
    </cfRule>
  </conditionalFormatting>
  <conditionalFormatting sqref="AC14:AC35 W14:X35">
    <cfRule type="cellIs" dxfId="0" priority="1740" operator="equal">
      <formula>"欠"</formula>
    </cfRule>
  </conditionalFormatting>
  <conditionalFormatting sqref="Y14:AB35">
    <cfRule type="cellIs" dxfId="1" priority="1741" operator="equal">
      <formula>"未完成"</formula>
    </cfRule>
    <cfRule type="cellIs" dxfId="0" priority="1742" operator="equal">
      <formula>"未完成"</formula>
    </cfRule>
  </conditionalFormatting>
  <conditionalFormatting sqref="R36:S37 AE36:AE37">
    <cfRule type="cellIs" dxfId="0" priority="1729" operator="equal">
      <formula>"欠"</formula>
    </cfRule>
  </conditionalFormatting>
  <conditionalFormatting sqref="AA36:AD37">
    <cfRule type="cellIs" dxfId="1" priority="1730" operator="equal">
      <formula>"未完成"</formula>
    </cfRule>
    <cfRule type="cellIs" dxfId="0" priority="1731" operator="equal">
      <formula>"未完成"</formula>
    </cfRule>
  </conditionalFormatting>
  <conditionalFormatting sqref="R38:T38 AF38">
    <cfRule type="cellIs" dxfId="0" priority="1725" operator="equal">
      <formula>"欠"</formula>
    </cfRule>
  </conditionalFormatting>
  <conditionalFormatting sqref="R39:T39 AF39">
    <cfRule type="cellIs" dxfId="0" priority="1717" operator="equal">
      <formula>"欠"</formula>
    </cfRule>
  </conditionalFormatting>
  <conditionalFormatting sqref="R40:T40 AF40">
    <cfRule type="cellIs" dxfId="0" priority="1713" operator="equal">
      <formula>"欠"</formula>
    </cfRule>
  </conditionalFormatting>
  <conditionalFormatting sqref="R41:T41 AF41">
    <cfRule type="cellIs" dxfId="0" priority="1709" operator="equal">
      <formula>"欠"</formula>
    </cfRule>
  </conditionalFormatting>
  <conditionalFormatting sqref="AF42 R42:T42">
    <cfRule type="cellIs" dxfId="0" priority="1705" operator="equal">
      <formula>"欠"</formula>
    </cfRule>
  </conditionalFormatting>
  <conditionalFormatting sqref="AF43 R43:T43">
    <cfRule type="cellIs" dxfId="0" priority="1701" operator="equal">
      <formula>"欠"</formula>
    </cfRule>
  </conditionalFormatting>
  <conditionalFormatting sqref="AF44 R44:T44">
    <cfRule type="cellIs" dxfId="0" priority="1697" operator="equal">
      <formula>"欠"</formula>
    </cfRule>
  </conditionalFormatting>
  <conditionalFormatting sqref="R45:T45 AF45">
    <cfRule type="cellIs" dxfId="0" priority="1693" operator="equal">
      <formula>"欠"</formula>
    </cfRule>
  </conditionalFormatting>
  <conditionalFormatting sqref="R46:T46 AF50:AF53 R50:T53 AF46">
    <cfRule type="cellIs" dxfId="0" priority="1689" operator="equal">
      <formula>"欠"</formula>
    </cfRule>
  </conditionalFormatting>
  <conditionalFormatting sqref="AA46 AA50:AA53">
    <cfRule type="cellIs" dxfId="0" priority="1688" operator="equal">
      <formula>"未完成"</formula>
    </cfRule>
  </conditionalFormatting>
  <conditionalFormatting sqref="AE51 AB46:AE46 AD50:AE50 AB52:AE52 AB50:AC51 AB53:AC53 AE53">
    <cfRule type="cellIs" dxfId="1" priority="1690" operator="equal">
      <formula>"未完成"</formula>
    </cfRule>
    <cfRule type="cellIs" dxfId="0" priority="1691" operator="equal">
      <formula>"未完成"</formula>
    </cfRule>
  </conditionalFormatting>
  <conditionalFormatting sqref="AF47 R47:T47">
    <cfRule type="cellIs" dxfId="0" priority="1679" operator="equal">
      <formula>"欠"</formula>
    </cfRule>
  </conditionalFormatting>
  <conditionalFormatting sqref="AF48 R48:T48">
    <cfRule type="cellIs" dxfId="0" priority="1678" operator="equal">
      <formula>"欠"</formula>
    </cfRule>
  </conditionalFormatting>
  <conditionalFormatting sqref="AF49 R49:T49">
    <cfRule type="cellIs" dxfId="0" priority="1685" operator="equal">
      <formula>"欠"</formula>
    </cfRule>
  </conditionalFormatting>
  <conditionalFormatting sqref="R54:T54 AF54">
    <cfRule type="cellIs" dxfId="0" priority="1575" operator="equal">
      <formula>"欠"</formula>
    </cfRule>
  </conditionalFormatting>
  <conditionalFormatting sqref="AE54 AB54:AC54">
    <cfRule type="cellIs" dxfId="1" priority="1624" operator="equal">
      <formula>"未完成"</formula>
    </cfRule>
    <cfRule type="cellIs" dxfId="0" priority="1673" operator="equal">
      <formula>"未完成"</formula>
    </cfRule>
  </conditionalFormatting>
  <conditionalFormatting sqref="R55:T55 AF55">
    <cfRule type="cellIs" dxfId="0" priority="1574" operator="equal">
      <formula>"欠"</formula>
    </cfRule>
  </conditionalFormatting>
  <conditionalFormatting sqref="AE55 AB55:AC55">
    <cfRule type="cellIs" dxfId="1" priority="1623" operator="equal">
      <formula>"未完成"</formula>
    </cfRule>
    <cfRule type="cellIs" dxfId="0" priority="1672" operator="equal">
      <formula>"未完成"</formula>
    </cfRule>
  </conditionalFormatting>
  <conditionalFormatting sqref="R56:T56 AF56">
    <cfRule type="cellIs" dxfId="0" priority="1573" operator="equal">
      <formula>"欠"</formula>
    </cfRule>
  </conditionalFormatting>
  <conditionalFormatting sqref="AE56 AB56:AC56">
    <cfRule type="cellIs" dxfId="1" priority="1622" operator="equal">
      <formula>"未完成"</formula>
    </cfRule>
    <cfRule type="cellIs" dxfId="0" priority="1671" operator="equal">
      <formula>"未完成"</formula>
    </cfRule>
  </conditionalFormatting>
  <conditionalFormatting sqref="R57:T57 AF57">
    <cfRule type="cellIs" dxfId="0" priority="1572" operator="equal">
      <formula>"欠"</formula>
    </cfRule>
  </conditionalFormatting>
  <conditionalFormatting sqref="AE57 AB57:AC57">
    <cfRule type="cellIs" dxfId="1" priority="1621" operator="equal">
      <formula>"未完成"</formula>
    </cfRule>
    <cfRule type="cellIs" dxfId="0" priority="1670" operator="equal">
      <formula>"未完成"</formula>
    </cfRule>
  </conditionalFormatting>
  <conditionalFormatting sqref="R58:T58 AF58">
    <cfRule type="cellIs" dxfId="0" priority="1571" operator="equal">
      <formula>"欠"</formula>
    </cfRule>
  </conditionalFormatting>
  <conditionalFormatting sqref="AE58 AB58:AC58">
    <cfRule type="cellIs" dxfId="1" priority="1620" operator="equal">
      <formula>"未完成"</formula>
    </cfRule>
    <cfRule type="cellIs" dxfId="0" priority="1669" operator="equal">
      <formula>"未完成"</formula>
    </cfRule>
  </conditionalFormatting>
  <conditionalFormatting sqref="R59:T59 AF59">
    <cfRule type="cellIs" dxfId="0" priority="1570" operator="equal">
      <formula>"欠"</formula>
    </cfRule>
  </conditionalFormatting>
  <conditionalFormatting sqref="AE59 AB59:AC59">
    <cfRule type="cellIs" dxfId="1" priority="1619" operator="equal">
      <formula>"未完成"</formula>
    </cfRule>
    <cfRule type="cellIs" dxfId="0" priority="1668" operator="equal">
      <formula>"未完成"</formula>
    </cfRule>
  </conditionalFormatting>
  <conditionalFormatting sqref="R60:T60 AF60">
    <cfRule type="cellIs" dxfId="0" priority="1569" operator="equal">
      <formula>"欠"</formula>
    </cfRule>
  </conditionalFormatting>
  <conditionalFormatting sqref="AE60 AB60:AC60">
    <cfRule type="cellIs" dxfId="1" priority="1618" operator="equal">
      <formula>"未完成"</formula>
    </cfRule>
    <cfRule type="cellIs" dxfId="0" priority="1667" operator="equal">
      <formula>"未完成"</formula>
    </cfRule>
  </conditionalFormatting>
  <conditionalFormatting sqref="R61:T61 AF61">
    <cfRule type="cellIs" dxfId="0" priority="1568" operator="equal">
      <formula>"欠"</formula>
    </cfRule>
  </conditionalFormatting>
  <conditionalFormatting sqref="AE61 AB61:AC61">
    <cfRule type="cellIs" dxfId="1" priority="1617" operator="equal">
      <formula>"未完成"</formula>
    </cfRule>
    <cfRule type="cellIs" dxfId="0" priority="1666" operator="equal">
      <formula>"未完成"</formula>
    </cfRule>
  </conditionalFormatting>
  <conditionalFormatting sqref="R62:T62 AF62">
    <cfRule type="cellIs" dxfId="0" priority="1567" operator="equal">
      <formula>"欠"</formula>
    </cfRule>
  </conditionalFormatting>
  <conditionalFormatting sqref="AE62 AB62:AC62">
    <cfRule type="cellIs" dxfId="1" priority="1616" operator="equal">
      <formula>"未完成"</formula>
    </cfRule>
    <cfRule type="cellIs" dxfId="0" priority="1665" operator="equal">
      <formula>"未完成"</formula>
    </cfRule>
  </conditionalFormatting>
  <conditionalFormatting sqref="R63:T63 AF63">
    <cfRule type="cellIs" dxfId="0" priority="1566" operator="equal">
      <formula>"欠"</formula>
    </cfRule>
  </conditionalFormatting>
  <conditionalFormatting sqref="AE63 AB63:AC63">
    <cfRule type="cellIs" dxfId="1" priority="1615" operator="equal">
      <formula>"未完成"</formula>
    </cfRule>
    <cfRule type="cellIs" dxfId="0" priority="1664" operator="equal">
      <formula>"未完成"</formula>
    </cfRule>
  </conditionalFormatting>
  <conditionalFormatting sqref="R64:T64 AF64">
    <cfRule type="cellIs" dxfId="0" priority="1565" operator="equal">
      <formula>"欠"</formula>
    </cfRule>
  </conditionalFormatting>
  <conditionalFormatting sqref="AE64 AB64:AC64">
    <cfRule type="cellIs" dxfId="1" priority="1614" operator="equal">
      <formula>"未完成"</formula>
    </cfRule>
    <cfRule type="cellIs" dxfId="0" priority="1663" operator="equal">
      <formula>"未完成"</formula>
    </cfRule>
  </conditionalFormatting>
  <conditionalFormatting sqref="R65:T65 AF65">
    <cfRule type="cellIs" dxfId="0" priority="1564" operator="equal">
      <formula>"欠"</formula>
    </cfRule>
  </conditionalFormatting>
  <conditionalFormatting sqref="AE65 AB65:AC65">
    <cfRule type="cellIs" dxfId="1" priority="1613" operator="equal">
      <formula>"未完成"</formula>
    </cfRule>
    <cfRule type="cellIs" dxfId="0" priority="1662" operator="equal">
      <formula>"未完成"</formula>
    </cfRule>
  </conditionalFormatting>
  <conditionalFormatting sqref="R66:T66 AF66">
    <cfRule type="cellIs" dxfId="0" priority="1563" operator="equal">
      <formula>"欠"</formula>
    </cfRule>
  </conditionalFormatting>
  <conditionalFormatting sqref="AE66 AB66:AC66">
    <cfRule type="cellIs" dxfId="1" priority="1612" operator="equal">
      <formula>"未完成"</formula>
    </cfRule>
    <cfRule type="cellIs" dxfId="0" priority="1661" operator="equal">
      <formula>"未完成"</formula>
    </cfRule>
  </conditionalFormatting>
  <conditionalFormatting sqref="R67:T67 AF67">
    <cfRule type="cellIs" dxfId="0" priority="1562" operator="equal">
      <formula>"欠"</formula>
    </cfRule>
  </conditionalFormatting>
  <conditionalFormatting sqref="AE67 AB67:AC67">
    <cfRule type="cellIs" dxfId="1" priority="1611" operator="equal">
      <formula>"未完成"</formula>
    </cfRule>
    <cfRule type="cellIs" dxfId="0" priority="1660" operator="equal">
      <formula>"未完成"</formula>
    </cfRule>
  </conditionalFormatting>
  <conditionalFormatting sqref="R68:T68 AF68">
    <cfRule type="cellIs" dxfId="0" priority="1561" operator="equal">
      <formula>"欠"</formula>
    </cfRule>
  </conditionalFormatting>
  <conditionalFormatting sqref="AE68 AB68:AC68">
    <cfRule type="cellIs" dxfId="1" priority="1610" operator="equal">
      <formula>"未完成"</formula>
    </cfRule>
    <cfRule type="cellIs" dxfId="0" priority="1659" operator="equal">
      <formula>"未完成"</formula>
    </cfRule>
  </conditionalFormatting>
  <conditionalFormatting sqref="R69:T69 AF69">
    <cfRule type="cellIs" dxfId="0" priority="1560" operator="equal">
      <formula>"欠"</formula>
    </cfRule>
  </conditionalFormatting>
  <conditionalFormatting sqref="AE69 AB69:AC69">
    <cfRule type="cellIs" dxfId="1" priority="1609" operator="equal">
      <formula>"未完成"</formula>
    </cfRule>
    <cfRule type="cellIs" dxfId="0" priority="1658" operator="equal">
      <formula>"未完成"</formula>
    </cfRule>
  </conditionalFormatting>
  <conditionalFormatting sqref="R70:T70 AF70">
    <cfRule type="cellIs" dxfId="0" priority="1559" operator="equal">
      <formula>"欠"</formula>
    </cfRule>
  </conditionalFormatting>
  <conditionalFormatting sqref="AE70 AB70:AC70">
    <cfRule type="cellIs" dxfId="1" priority="1608" operator="equal">
      <formula>"未完成"</formula>
    </cfRule>
    <cfRule type="cellIs" dxfId="0" priority="1657" operator="equal">
      <formula>"未完成"</formula>
    </cfRule>
  </conditionalFormatting>
  <conditionalFormatting sqref="R71:T71 AF71">
    <cfRule type="cellIs" dxfId="0" priority="1558" operator="equal">
      <formula>"欠"</formula>
    </cfRule>
  </conditionalFormatting>
  <conditionalFormatting sqref="AE71 AB71:AC71">
    <cfRule type="cellIs" dxfId="1" priority="1607" operator="equal">
      <formula>"未完成"</formula>
    </cfRule>
    <cfRule type="cellIs" dxfId="0" priority="1656" operator="equal">
      <formula>"未完成"</formula>
    </cfRule>
  </conditionalFormatting>
  <conditionalFormatting sqref="R72:T72 AF72">
    <cfRule type="cellIs" dxfId="0" priority="1557" operator="equal">
      <formula>"欠"</formula>
    </cfRule>
  </conditionalFormatting>
  <conditionalFormatting sqref="AE72 AB72:AC72">
    <cfRule type="cellIs" dxfId="1" priority="1606" operator="equal">
      <formula>"未完成"</formula>
    </cfRule>
    <cfRule type="cellIs" dxfId="0" priority="1655" operator="equal">
      <formula>"未完成"</formula>
    </cfRule>
  </conditionalFormatting>
  <conditionalFormatting sqref="R73:T73 AF73">
    <cfRule type="cellIs" dxfId="0" priority="1556" operator="equal">
      <formula>"欠"</formula>
    </cfRule>
  </conditionalFormatting>
  <conditionalFormatting sqref="AE73 AB73:AC73">
    <cfRule type="cellIs" dxfId="1" priority="1605" operator="equal">
      <formula>"未完成"</formula>
    </cfRule>
    <cfRule type="cellIs" dxfId="0" priority="1654" operator="equal">
      <formula>"未完成"</formula>
    </cfRule>
  </conditionalFormatting>
  <conditionalFormatting sqref="R74:T74 AF74">
    <cfRule type="cellIs" dxfId="0" priority="1555" operator="equal">
      <formula>"欠"</formula>
    </cfRule>
  </conditionalFormatting>
  <conditionalFormatting sqref="AE74 AB74:AC74">
    <cfRule type="cellIs" dxfId="1" priority="1604" operator="equal">
      <formula>"未完成"</formula>
    </cfRule>
    <cfRule type="cellIs" dxfId="0" priority="1653" operator="equal">
      <formula>"未完成"</formula>
    </cfRule>
  </conditionalFormatting>
  <conditionalFormatting sqref="R75:T75 AF75">
    <cfRule type="cellIs" dxfId="0" priority="1554" operator="equal">
      <formula>"欠"</formula>
    </cfRule>
  </conditionalFormatting>
  <conditionalFormatting sqref="AE75 AB75:AC75">
    <cfRule type="cellIs" dxfId="1" priority="1603" operator="equal">
      <formula>"未完成"</formula>
    </cfRule>
    <cfRule type="cellIs" dxfId="0" priority="1652" operator="equal">
      <formula>"未完成"</formula>
    </cfRule>
  </conditionalFormatting>
  <conditionalFormatting sqref="R76:T76 AF76">
    <cfRule type="cellIs" dxfId="0" priority="1553" operator="equal">
      <formula>"欠"</formula>
    </cfRule>
  </conditionalFormatting>
  <conditionalFormatting sqref="AE76 AB76:AC76">
    <cfRule type="cellIs" dxfId="1" priority="1602" operator="equal">
      <formula>"未完成"</formula>
    </cfRule>
    <cfRule type="cellIs" dxfId="0" priority="1651" operator="equal">
      <formula>"未完成"</formula>
    </cfRule>
  </conditionalFormatting>
  <conditionalFormatting sqref="R77:T77 AF77">
    <cfRule type="cellIs" dxfId="0" priority="1552" operator="equal">
      <formula>"欠"</formula>
    </cfRule>
  </conditionalFormatting>
  <conditionalFormatting sqref="AE77 AB77:AC77">
    <cfRule type="cellIs" dxfId="1" priority="1601" operator="equal">
      <formula>"未完成"</formula>
    </cfRule>
    <cfRule type="cellIs" dxfId="0" priority="1650" operator="equal">
      <formula>"未完成"</formula>
    </cfRule>
  </conditionalFormatting>
  <conditionalFormatting sqref="R78:T78 AF78">
    <cfRule type="cellIs" dxfId="0" priority="1551" operator="equal">
      <formula>"欠"</formula>
    </cfRule>
  </conditionalFormatting>
  <conditionalFormatting sqref="AE78 AB78:AC78">
    <cfRule type="cellIs" dxfId="1" priority="1600" operator="equal">
      <formula>"未完成"</formula>
    </cfRule>
    <cfRule type="cellIs" dxfId="0" priority="1649" operator="equal">
      <formula>"未完成"</formula>
    </cfRule>
  </conditionalFormatting>
  <conditionalFormatting sqref="R79:T79 AF79">
    <cfRule type="cellIs" dxfId="0" priority="1550" operator="equal">
      <formula>"欠"</formula>
    </cfRule>
  </conditionalFormatting>
  <conditionalFormatting sqref="AE79 AB79:AC79">
    <cfRule type="cellIs" dxfId="1" priority="1599" operator="equal">
      <formula>"未完成"</formula>
    </cfRule>
    <cfRule type="cellIs" dxfId="0" priority="1648" operator="equal">
      <formula>"未完成"</formula>
    </cfRule>
  </conditionalFormatting>
  <conditionalFormatting sqref="R80:T80 AF80">
    <cfRule type="cellIs" dxfId="0" priority="1549" operator="equal">
      <formula>"欠"</formula>
    </cfRule>
  </conditionalFormatting>
  <conditionalFormatting sqref="AE80 AB80:AC80">
    <cfRule type="cellIs" dxfId="1" priority="1598" operator="equal">
      <formula>"未完成"</formula>
    </cfRule>
    <cfRule type="cellIs" dxfId="0" priority="1647" operator="equal">
      <formula>"未完成"</formula>
    </cfRule>
  </conditionalFormatting>
  <conditionalFormatting sqref="R81:T81 AF81">
    <cfRule type="cellIs" dxfId="0" priority="1548" operator="equal">
      <formula>"欠"</formula>
    </cfRule>
  </conditionalFormatting>
  <conditionalFormatting sqref="AE81 AB81:AC81">
    <cfRule type="cellIs" dxfId="1" priority="1597" operator="equal">
      <formula>"未完成"</formula>
    </cfRule>
    <cfRule type="cellIs" dxfId="0" priority="1646" operator="equal">
      <formula>"未完成"</formula>
    </cfRule>
  </conditionalFormatting>
  <conditionalFormatting sqref="R82:T82 AF82">
    <cfRule type="cellIs" dxfId="0" priority="1547" operator="equal">
      <formula>"欠"</formula>
    </cfRule>
  </conditionalFormatting>
  <conditionalFormatting sqref="AE82 AB82:AC82">
    <cfRule type="cellIs" dxfId="1" priority="1596" operator="equal">
      <formula>"未完成"</formula>
    </cfRule>
    <cfRule type="cellIs" dxfId="0" priority="1645" operator="equal">
      <formula>"未完成"</formula>
    </cfRule>
  </conditionalFormatting>
  <conditionalFormatting sqref="R83:T83 AF83">
    <cfRule type="cellIs" dxfId="0" priority="1546" operator="equal">
      <formula>"欠"</formula>
    </cfRule>
  </conditionalFormatting>
  <conditionalFormatting sqref="AE83 AB83:AC83">
    <cfRule type="cellIs" dxfId="1" priority="1595" operator="equal">
      <formula>"未完成"</formula>
    </cfRule>
    <cfRule type="cellIs" dxfId="0" priority="1644" operator="equal">
      <formula>"未完成"</formula>
    </cfRule>
  </conditionalFormatting>
  <conditionalFormatting sqref="R84:T84 AF84">
    <cfRule type="cellIs" dxfId="0" priority="1545" operator="equal">
      <formula>"欠"</formula>
    </cfRule>
  </conditionalFormatting>
  <conditionalFormatting sqref="AE84 AB84:AC84">
    <cfRule type="cellIs" dxfId="1" priority="1594" operator="equal">
      <formula>"未完成"</formula>
    </cfRule>
    <cfRule type="cellIs" dxfId="0" priority="1643" operator="equal">
      <formula>"未完成"</formula>
    </cfRule>
  </conditionalFormatting>
  <conditionalFormatting sqref="R85:T85 AF85">
    <cfRule type="cellIs" dxfId="0" priority="1544" operator="equal">
      <formula>"欠"</formula>
    </cfRule>
  </conditionalFormatting>
  <conditionalFormatting sqref="AE85 AB85:AC85">
    <cfRule type="cellIs" dxfId="1" priority="1593" operator="equal">
      <formula>"未完成"</formula>
    </cfRule>
    <cfRule type="cellIs" dxfId="0" priority="1642" operator="equal">
      <formula>"未完成"</formula>
    </cfRule>
  </conditionalFormatting>
  <conditionalFormatting sqref="R86:T86 AF86">
    <cfRule type="cellIs" dxfId="0" priority="1543" operator="equal">
      <formula>"欠"</formula>
    </cfRule>
  </conditionalFormatting>
  <conditionalFormatting sqref="AE86 AB86:AC86">
    <cfRule type="cellIs" dxfId="1" priority="1592" operator="equal">
      <formula>"未完成"</formula>
    </cfRule>
    <cfRule type="cellIs" dxfId="0" priority="1641" operator="equal">
      <formula>"未完成"</formula>
    </cfRule>
  </conditionalFormatting>
  <conditionalFormatting sqref="R87:T87 AF87">
    <cfRule type="cellIs" dxfId="0" priority="1542" operator="equal">
      <formula>"欠"</formula>
    </cfRule>
  </conditionalFormatting>
  <conditionalFormatting sqref="AE87 AB87:AC87">
    <cfRule type="cellIs" dxfId="1" priority="1591" operator="equal">
      <formula>"未完成"</formula>
    </cfRule>
    <cfRule type="cellIs" dxfId="0" priority="1640" operator="equal">
      <formula>"未完成"</formula>
    </cfRule>
  </conditionalFormatting>
  <conditionalFormatting sqref="R88:T88 AF88">
    <cfRule type="cellIs" dxfId="0" priority="1541" operator="equal">
      <formula>"欠"</formula>
    </cfRule>
  </conditionalFormatting>
  <conditionalFormatting sqref="AE88 AB88:AC88">
    <cfRule type="cellIs" dxfId="1" priority="1590" operator="equal">
      <formula>"未完成"</formula>
    </cfRule>
    <cfRule type="cellIs" dxfId="0" priority="1639" operator="equal">
      <formula>"未完成"</formula>
    </cfRule>
  </conditionalFormatting>
  <conditionalFormatting sqref="R89:T89 AF89">
    <cfRule type="cellIs" dxfId="0" priority="1540" operator="equal">
      <formula>"欠"</formula>
    </cfRule>
  </conditionalFormatting>
  <conditionalFormatting sqref="AE89 AB89:AC89">
    <cfRule type="cellIs" dxfId="1" priority="1589" operator="equal">
      <formula>"未完成"</formula>
    </cfRule>
    <cfRule type="cellIs" dxfId="0" priority="1638" operator="equal">
      <formula>"未完成"</formula>
    </cfRule>
  </conditionalFormatting>
  <conditionalFormatting sqref="R90:T90 AF90">
    <cfRule type="cellIs" dxfId="0" priority="1539" operator="equal">
      <formula>"欠"</formula>
    </cfRule>
  </conditionalFormatting>
  <conditionalFormatting sqref="AE90 AB90:AC90">
    <cfRule type="cellIs" dxfId="1" priority="1588" operator="equal">
      <formula>"未完成"</formula>
    </cfRule>
    <cfRule type="cellIs" dxfId="0" priority="1637" operator="equal">
      <formula>"未完成"</formula>
    </cfRule>
  </conditionalFormatting>
  <conditionalFormatting sqref="R91:T91 AF91">
    <cfRule type="cellIs" dxfId="0" priority="1538" operator="equal">
      <formula>"欠"</formula>
    </cfRule>
  </conditionalFormatting>
  <conditionalFormatting sqref="AE91 AB91:AC91">
    <cfRule type="cellIs" dxfId="1" priority="1587" operator="equal">
      <formula>"未完成"</formula>
    </cfRule>
    <cfRule type="cellIs" dxfId="0" priority="1636" operator="equal">
      <formula>"未完成"</formula>
    </cfRule>
  </conditionalFormatting>
  <conditionalFormatting sqref="R92:T92 AF92">
    <cfRule type="cellIs" dxfId="0" priority="1537" operator="equal">
      <formula>"欠"</formula>
    </cfRule>
  </conditionalFormatting>
  <conditionalFormatting sqref="AE92 AB92:AC92">
    <cfRule type="cellIs" dxfId="1" priority="1586" operator="equal">
      <formula>"未完成"</formula>
    </cfRule>
    <cfRule type="cellIs" dxfId="0" priority="1635" operator="equal">
      <formula>"未完成"</formula>
    </cfRule>
  </conditionalFormatting>
  <conditionalFormatting sqref="R93:T93 AF93">
    <cfRule type="cellIs" dxfId="0" priority="1536" operator="equal">
      <formula>"欠"</formula>
    </cfRule>
  </conditionalFormatting>
  <conditionalFormatting sqref="AE93 AB93:AC93">
    <cfRule type="cellIs" dxfId="1" priority="1585" operator="equal">
      <formula>"未完成"</formula>
    </cfRule>
    <cfRule type="cellIs" dxfId="0" priority="1634" operator="equal">
      <formula>"未完成"</formula>
    </cfRule>
  </conditionalFormatting>
  <conditionalFormatting sqref="R94:T94 AF94">
    <cfRule type="cellIs" dxfId="0" priority="1535" operator="equal">
      <formula>"欠"</formula>
    </cfRule>
  </conditionalFormatting>
  <conditionalFormatting sqref="AE94 AB94:AC94">
    <cfRule type="cellIs" dxfId="1" priority="1584" operator="equal">
      <formula>"未完成"</formula>
    </cfRule>
    <cfRule type="cellIs" dxfId="0" priority="1633" operator="equal">
      <formula>"未完成"</formula>
    </cfRule>
  </conditionalFormatting>
  <conditionalFormatting sqref="R95:T95 AF95">
    <cfRule type="cellIs" dxfId="0" priority="1534" operator="equal">
      <formula>"欠"</formula>
    </cfRule>
  </conditionalFormatting>
  <conditionalFormatting sqref="AE95 AB95:AC95">
    <cfRule type="cellIs" dxfId="1" priority="1583" operator="equal">
      <formula>"未完成"</formula>
    </cfRule>
    <cfRule type="cellIs" dxfId="0" priority="1632" operator="equal">
      <formula>"未完成"</formula>
    </cfRule>
  </conditionalFormatting>
  <conditionalFormatting sqref="R96:T96 AF96">
    <cfRule type="cellIs" dxfId="0" priority="1533" operator="equal">
      <formula>"欠"</formula>
    </cfRule>
  </conditionalFormatting>
  <conditionalFormatting sqref="AE96 AB96:AC96">
    <cfRule type="cellIs" dxfId="1" priority="1582" operator="equal">
      <formula>"未完成"</formula>
    </cfRule>
    <cfRule type="cellIs" dxfId="0" priority="1631" operator="equal">
      <formula>"未完成"</formula>
    </cfRule>
  </conditionalFormatting>
  <conditionalFormatting sqref="R97:T97 AF97">
    <cfRule type="cellIs" dxfId="0" priority="1532" operator="equal">
      <formula>"欠"</formula>
    </cfRule>
  </conditionalFormatting>
  <conditionalFormatting sqref="AE97 AB97:AC97">
    <cfRule type="cellIs" dxfId="1" priority="1581" operator="equal">
      <formula>"未完成"</formula>
    </cfRule>
    <cfRule type="cellIs" dxfId="0" priority="1630" operator="equal">
      <formula>"未完成"</formula>
    </cfRule>
  </conditionalFormatting>
  <conditionalFormatting sqref="R98:T98 AF98">
    <cfRule type="cellIs" dxfId="0" priority="1531" operator="equal">
      <formula>"欠"</formula>
    </cfRule>
  </conditionalFormatting>
  <conditionalFormatting sqref="AE98 AB98:AC98">
    <cfRule type="cellIs" dxfId="1" priority="1580" operator="equal">
      <formula>"未完成"</formula>
    </cfRule>
    <cfRule type="cellIs" dxfId="0" priority="1629" operator="equal">
      <formula>"未完成"</formula>
    </cfRule>
  </conditionalFormatting>
  <conditionalFormatting sqref="R99:T99 AF99">
    <cfRule type="cellIs" dxfId="0" priority="1530" operator="equal">
      <formula>"欠"</formula>
    </cfRule>
  </conditionalFormatting>
  <conditionalFormatting sqref="AE99 AB99:AC99">
    <cfRule type="cellIs" dxfId="1" priority="1579" operator="equal">
      <formula>"未完成"</formula>
    </cfRule>
    <cfRule type="cellIs" dxfId="0" priority="1628" operator="equal">
      <formula>"未完成"</formula>
    </cfRule>
  </conditionalFormatting>
  <conditionalFormatting sqref="R100:T100 AF100">
    <cfRule type="cellIs" dxfId="0" priority="1529" operator="equal">
      <formula>"欠"</formula>
    </cfRule>
  </conditionalFormatting>
  <conditionalFormatting sqref="AE100 AB100:AC100">
    <cfRule type="cellIs" dxfId="1" priority="1578" operator="equal">
      <formula>"未完成"</formula>
    </cfRule>
    <cfRule type="cellIs" dxfId="0" priority="1627" operator="equal">
      <formula>"未完成"</formula>
    </cfRule>
  </conditionalFormatting>
  <conditionalFormatting sqref="R101:T101 AF101">
    <cfRule type="cellIs" dxfId="0" priority="1528" operator="equal">
      <formula>"欠"</formula>
    </cfRule>
  </conditionalFormatting>
  <conditionalFormatting sqref="AE101 AB101:AC101">
    <cfRule type="cellIs" dxfId="1" priority="1577" operator="equal">
      <formula>"未完成"</formula>
    </cfRule>
    <cfRule type="cellIs" dxfId="0" priority="1626" operator="equal">
      <formula>"未完成"</formula>
    </cfRule>
  </conditionalFormatting>
  <conditionalFormatting sqref="R102:T102 AF102">
    <cfRule type="cellIs" dxfId="0" priority="1527" operator="equal">
      <formula>"欠"</formula>
    </cfRule>
  </conditionalFormatting>
  <conditionalFormatting sqref="AE102 AB102:AC102">
    <cfRule type="cellIs" dxfId="1" priority="1576" operator="equal">
      <formula>"未完成"</formula>
    </cfRule>
    <cfRule type="cellIs" dxfId="0" priority="1625" operator="equal">
      <formula>"未完成"</formula>
    </cfRule>
  </conditionalFormatting>
  <conditionalFormatting sqref="R103:T103 AF103">
    <cfRule type="cellIs" dxfId="0" priority="1377" operator="equal">
      <formula>"欠"</formula>
    </cfRule>
  </conditionalFormatting>
  <conditionalFormatting sqref="R104:T104 AF104">
    <cfRule type="cellIs" dxfId="0" priority="1373" operator="equal">
      <formula>"欠"</formula>
    </cfRule>
  </conditionalFormatting>
  <conditionalFormatting sqref="R105:T105 AF105">
    <cfRule type="cellIs" dxfId="0" priority="1369" operator="equal">
      <formula>"欠"</formula>
    </cfRule>
  </conditionalFormatting>
  <conditionalFormatting sqref="R106:T106 AF106">
    <cfRule type="cellIs" dxfId="0" priority="1365" operator="equal">
      <formula>"欠"</formula>
    </cfRule>
  </conditionalFormatting>
  <conditionalFormatting sqref="R107:T107 AF107">
    <cfRule type="cellIs" dxfId="0" priority="1361" operator="equal">
      <formula>"欠"</formula>
    </cfRule>
  </conditionalFormatting>
  <conditionalFormatting sqref="R108:T108 AF108">
    <cfRule type="cellIs" dxfId="0" priority="1357" operator="equal">
      <formula>"欠"</formula>
    </cfRule>
  </conditionalFormatting>
  <conditionalFormatting sqref="R109:T109 AF109">
    <cfRule type="cellIs" dxfId="0" priority="1353" operator="equal">
      <formula>"欠"</formula>
    </cfRule>
  </conditionalFormatting>
  <conditionalFormatting sqref="T110 R110">
    <cfRule type="cellIs" dxfId="0" priority="1351" operator="equal">
      <formula>"欠"</formula>
    </cfRule>
  </conditionalFormatting>
  <conditionalFormatting sqref="R111 T111">
    <cfRule type="cellIs" dxfId="0" priority="1346" operator="equal">
      <formula>"欠"</formula>
    </cfRule>
  </conditionalFormatting>
  <conditionalFormatting sqref="R112 T112">
    <cfRule type="cellIs" dxfId="0" priority="1341" operator="equal">
      <formula>"欠"</formula>
    </cfRule>
  </conditionalFormatting>
  <conditionalFormatting sqref="T113 R113">
    <cfRule type="cellIs" dxfId="0" priority="1327" operator="equal">
      <formula>"欠"</formula>
    </cfRule>
  </conditionalFormatting>
  <conditionalFormatting sqref="AF114 R114:T114">
    <cfRule type="cellIs" dxfId="0" priority="1320" operator="equal">
      <formula>"欠"</formula>
    </cfRule>
  </conditionalFormatting>
  <conditionalFormatting sqref="R115 T115">
    <cfRule type="cellIs" dxfId="0" priority="1318" operator="equal">
      <formula>"欠"</formula>
    </cfRule>
  </conditionalFormatting>
  <conditionalFormatting sqref="AD117:AE120">
    <cfRule type="cellIs" dxfId="1" priority="1297" operator="equal">
      <formula>"未完成"</formula>
    </cfRule>
    <cfRule type="cellIs" dxfId="0" priority="1298" operator="equal">
      <formula>"未完成"</formula>
    </cfRule>
  </conditionalFormatting>
  <conditionalFormatting sqref="AF117:AG120">
    <cfRule type="cellIs" dxfId="1" priority="1295" operator="equal">
      <formula>"未完成"</formula>
    </cfRule>
    <cfRule type="cellIs" dxfId="0" priority="1296" operator="equal">
      <formula>"未完成"</formula>
    </cfRule>
  </conditionalFormatting>
  <conditionalFormatting sqref="R121 T121">
    <cfRule type="cellIs" dxfId="0" priority="1271" operator="equal">
      <formula>"欠"</formula>
    </cfRule>
  </conditionalFormatting>
  <conditionalFormatting sqref="R123 T123">
    <cfRule type="cellIs" dxfId="0" priority="1246" operator="equal">
      <formula>"欠"</formula>
    </cfRule>
  </conditionalFormatting>
  <conditionalFormatting sqref="T124 R124">
    <cfRule type="cellIs" dxfId="0" priority="1231" operator="equal">
      <formula>"欠"</formula>
    </cfRule>
  </conditionalFormatting>
  <conditionalFormatting sqref="R127:T128">
    <cfRule type="cellIs" dxfId="0" priority="1198" operator="equal">
      <formula>"欠"</formula>
    </cfRule>
  </conditionalFormatting>
  <conditionalFormatting sqref="AD127:AE128">
    <cfRule type="cellIs" dxfId="0" priority="1205" operator="equal">
      <formula>"未完成"</formula>
    </cfRule>
    <cfRule type="cellIs" dxfId="1" priority="1204" operator="equal">
      <formula>"未完成"</formula>
    </cfRule>
  </conditionalFormatting>
  <conditionalFormatting sqref="AF127:AG128">
    <cfRule type="cellIs" dxfId="0" priority="1203" operator="equal">
      <formula>"未完成"</formula>
    </cfRule>
    <cfRule type="cellIs" dxfId="1" priority="1202" operator="equal">
      <formula>"未完成"</formula>
    </cfRule>
  </conditionalFormatting>
  <conditionalFormatting sqref="R129 T129">
    <cfRule type="cellIs" dxfId="0" priority="1184" operator="equal">
      <formula>"欠"</formula>
    </cfRule>
  </conditionalFormatting>
  <conditionalFormatting sqref="AD129:AE129 AE130">
    <cfRule type="cellIs" dxfId="0" priority="1194" operator="equal">
      <formula>"未完成"</formula>
    </cfRule>
    <cfRule type="cellIs" dxfId="1" priority="1193" operator="equal">
      <formula>"未完成"</formula>
    </cfRule>
  </conditionalFormatting>
  <conditionalFormatting sqref="AF129:AG130">
    <cfRule type="cellIs" dxfId="0" priority="1192" operator="equal">
      <formula>"未完成"</formula>
    </cfRule>
    <cfRule type="cellIs" dxfId="1" priority="1191" operator="equal">
      <formula>"未完成"</formula>
    </cfRule>
  </conditionalFormatting>
  <conditionalFormatting sqref="R133 T133">
    <cfRule type="cellIs" dxfId="0" priority="1137" operator="equal">
      <formula>"欠"</formula>
    </cfRule>
  </conditionalFormatting>
  <conditionalFormatting sqref="T135 R135">
    <cfRule type="cellIs" dxfId="0" priority="1115" operator="equal">
      <formula>"欠"</formula>
    </cfRule>
  </conditionalFormatting>
  <conditionalFormatting sqref="T136 R136">
    <cfRule type="cellIs" dxfId="0" priority="1083" operator="equal">
      <formula>"欠"</formula>
    </cfRule>
  </conditionalFormatting>
  <conditionalFormatting sqref="R137:T138">
    <cfRule type="cellIs" dxfId="0" priority="1088" operator="equal">
      <formula>"欠"</formula>
    </cfRule>
  </conditionalFormatting>
  <conditionalFormatting sqref="AD137:AE138">
    <cfRule type="cellIs" dxfId="1" priority="1104" operator="equal">
      <formula>"未完成"</formula>
    </cfRule>
    <cfRule type="cellIs" dxfId="0" priority="1106" operator="equal">
      <formula>"未完成"</formula>
    </cfRule>
  </conditionalFormatting>
  <conditionalFormatting sqref="AF139:AG140">
    <cfRule type="cellIs" dxfId="1" priority="1109" operator="equal">
      <formula>"未完成"</formula>
    </cfRule>
    <cfRule type="cellIs" dxfId="0" priority="1110" operator="equal">
      <formula>"未完成"</formula>
    </cfRule>
  </conditionalFormatting>
  <conditionalFormatting sqref="AF142:AG144">
    <cfRule type="cellIs" dxfId="1" priority="1066" operator="equal">
      <formula>"未完成"</formula>
    </cfRule>
    <cfRule type="cellIs" dxfId="0" priority="1067" operator="equal">
      <formula>"未完成"</formula>
    </cfRule>
  </conditionalFormatting>
  <conditionalFormatting sqref="R147 T147">
    <cfRule type="cellIs" dxfId="0" priority="1041" operator="equal">
      <formula>"欠"</formula>
    </cfRule>
  </conditionalFormatting>
  <conditionalFormatting sqref="AG147 AC147:AE147">
    <cfRule type="cellIs" dxfId="1" priority="1044" operator="equal">
      <formula>"未完成"</formula>
    </cfRule>
    <cfRule type="cellIs" dxfId="0" priority="1045" operator="equal">
      <formula>"未完成"</formula>
    </cfRule>
  </conditionalFormatting>
  <conditionalFormatting sqref="AF148:AG151">
    <cfRule type="cellIs" dxfId="1" priority="1038" operator="equal">
      <formula>"未完成"</formula>
    </cfRule>
    <cfRule type="cellIs" dxfId="0" priority="1039" operator="equal">
      <formula>"未完成"</formula>
    </cfRule>
  </conditionalFormatting>
  <conditionalFormatting sqref="R156 T156">
    <cfRule type="cellIs" dxfId="0" priority="1001" operator="equal">
      <formula>"欠"</formula>
    </cfRule>
  </conditionalFormatting>
  <conditionalFormatting sqref="AC156:AE156 AG156">
    <cfRule type="cellIs" dxfId="1" priority="1004" operator="equal">
      <formula>"未完成"</formula>
    </cfRule>
    <cfRule type="cellIs" dxfId="0" priority="1005" operator="equal">
      <formula>"未完成"</formula>
    </cfRule>
  </conditionalFormatting>
  <conditionalFormatting sqref="R157 T157">
    <cfRule type="cellIs" dxfId="0" priority="995" operator="equal">
      <formula>"欠"</formula>
    </cfRule>
  </conditionalFormatting>
  <conditionalFormatting sqref="AG157 AC157:AE157">
    <cfRule type="cellIs" dxfId="1" priority="998" operator="equal">
      <formula>"未完成"</formula>
    </cfRule>
    <cfRule type="cellIs" dxfId="0" priority="999" operator="equal">
      <formula>"未完成"</formula>
    </cfRule>
  </conditionalFormatting>
  <conditionalFormatting sqref="R158 T158">
    <cfRule type="cellIs" dxfId="0" priority="989" operator="equal">
      <formula>"欠"</formula>
    </cfRule>
  </conditionalFormatting>
  <conditionalFormatting sqref="AG158 AC158:AE158">
    <cfRule type="cellIs" dxfId="1" priority="992" operator="equal">
      <formula>"未完成"</formula>
    </cfRule>
    <cfRule type="cellIs" dxfId="0" priority="993" operator="equal">
      <formula>"未完成"</formula>
    </cfRule>
  </conditionalFormatting>
  <conditionalFormatting sqref="AF160:AG176">
    <cfRule type="cellIs" dxfId="1" priority="980" operator="equal">
      <formula>"未完成"</formula>
    </cfRule>
    <cfRule type="cellIs" dxfId="0" priority="981" operator="equal">
      <formula>"未完成"</formula>
    </cfRule>
  </conditionalFormatting>
  <conditionalFormatting sqref="AF177:AG178">
    <cfRule type="cellIs" dxfId="1" priority="956" operator="equal">
      <formula>"未完成"</formula>
    </cfRule>
    <cfRule type="cellIs" dxfId="0" priority="957" operator="equal">
      <formula>"未完成"</formula>
    </cfRule>
  </conditionalFormatting>
  <conditionalFormatting sqref="AF179:AG182">
    <cfRule type="cellIs" dxfId="1" priority="943" operator="equal">
      <formula>"未完成"</formula>
    </cfRule>
    <cfRule type="cellIs" dxfId="0" priority="944" operator="equal">
      <formula>"未完成"</formula>
    </cfRule>
  </conditionalFormatting>
  <conditionalFormatting sqref="AL184:AN184 AH184:AJ184">
    <cfRule type="cellIs" dxfId="1" priority="921" operator="equal">
      <formula>"未完成"</formula>
    </cfRule>
    <cfRule type="cellIs" dxfId="0" priority="922" operator="equal">
      <formula>"未完成"</formula>
    </cfRule>
  </conditionalFormatting>
  <conditionalFormatting sqref="AF186:AG187">
    <cfRule type="cellIs" dxfId="0" priority="911" operator="equal">
      <formula>"未完成"</formula>
    </cfRule>
    <cfRule type="cellIs" dxfId="1" priority="910" operator="equal">
      <formula>"未完成"</formula>
    </cfRule>
  </conditionalFormatting>
  <conditionalFormatting sqref="AL186:AM187 AH186:AJ187 AO186:AO187">
    <cfRule type="cellIs" dxfId="0" priority="908" operator="equal">
      <formula>"未完成"</formula>
    </cfRule>
    <cfRule type="cellIs" dxfId="1" priority="907" operator="equal">
      <formula>"未完成"</formula>
    </cfRule>
  </conditionalFormatting>
  <conditionalFormatting sqref="AF188:AG189">
    <cfRule type="cellIs" dxfId="0" priority="904" operator="equal">
      <formula>"未完成"</formula>
    </cfRule>
    <cfRule type="cellIs" dxfId="1" priority="903" operator="equal">
      <formula>"未完成"</formula>
    </cfRule>
  </conditionalFormatting>
  <conditionalFormatting sqref="AH188:AJ189 AL188:AL189 AN188:AO189">
    <cfRule type="cellIs" dxfId="0" priority="901" operator="equal">
      <formula>"未完成"</formula>
    </cfRule>
    <cfRule type="cellIs" dxfId="1" priority="900" operator="equal">
      <formula>"未完成"</formula>
    </cfRule>
  </conditionalFormatting>
  <conditionalFormatting sqref="AG190:AG191 AC190:AE191">
    <cfRule type="cellIs" dxfId="1" priority="892" operator="equal">
      <formula>"未完成"</formula>
    </cfRule>
    <cfRule type="cellIs" dxfId="0" priority="893" operator="equal">
      <formula>"未完成"</formula>
    </cfRule>
  </conditionalFormatting>
  <conditionalFormatting sqref="AO192 AP192">
    <cfRule type="cellIs" dxfId="0" priority="865" operator="equal">
      <formula>"未完成"</formula>
    </cfRule>
    <cfRule type="cellIs" dxfId="1" priority="864" operator="equal">
      <formula>"未完成"</formula>
    </cfRule>
  </conditionalFormatting>
  <conditionalFormatting sqref="AI193 AO193 AM193">
    <cfRule type="cellIs" dxfId="0" priority="859" operator="equal">
      <formula>"未完成"</formula>
    </cfRule>
    <cfRule type="cellIs" dxfId="1" priority="858" operator="equal">
      <formula>"未完成"</formula>
    </cfRule>
  </conditionalFormatting>
  <conditionalFormatting sqref="AO194 AI194">
    <cfRule type="cellIs" dxfId="0" priority="839" operator="equal">
      <formula>"未完成"</formula>
    </cfRule>
    <cfRule type="cellIs" dxfId="1" priority="838" operator="equal">
      <formula>"未完成"</formula>
    </cfRule>
  </conditionalFormatting>
  <conditionalFormatting sqref="AI195 AO195">
    <cfRule type="cellIs" dxfId="0" priority="831" operator="equal">
      <formula>"未完成"</formula>
    </cfRule>
    <cfRule type="cellIs" dxfId="1" priority="830" operator="equal">
      <formula>"未完成"</formula>
    </cfRule>
  </conditionalFormatting>
  <conditionalFormatting sqref="AG201:AH202">
    <cfRule type="cellIs" dxfId="0" priority="731" operator="equal">
      <formula>"未完成"</formula>
    </cfRule>
    <cfRule type="cellIs" dxfId="1" priority="730" operator="equal">
      <formula>"未完成"</formula>
    </cfRule>
  </conditionalFormatting>
  <conditionalFormatting sqref="AM201:AN202">
    <cfRule type="cellIs" dxfId="0" priority="722" operator="equal">
      <formula>"未完成"</formula>
    </cfRule>
    <cfRule type="cellIs" dxfId="1" priority="721" operator="equal">
      <formula>"未完成"</formula>
    </cfRule>
  </conditionalFormatting>
  <conditionalFormatting sqref="AQ201:AS202">
    <cfRule type="cellIs" dxfId="0" priority="728" operator="equal">
      <formula>"未完成"</formula>
    </cfRule>
    <cfRule type="cellIs" dxfId="1" priority="727" operator="equal">
      <formula>"未完成"</formula>
    </cfRule>
  </conditionalFormatting>
  <conditionalFormatting sqref="AG204:AH205">
    <cfRule type="cellIs" dxfId="0" priority="693" operator="equal">
      <formula>"未完成"</formula>
    </cfRule>
    <cfRule type="cellIs" dxfId="1" priority="692" operator="equal">
      <formula>"未完成"</formula>
    </cfRule>
  </conditionalFormatting>
  <conditionalFormatting sqref="AR204:AS205">
    <cfRule type="cellIs" dxfId="0" priority="690" operator="equal">
      <formula>"未完成"</formula>
    </cfRule>
    <cfRule type="cellIs" dxfId="1" priority="689" operator="equal">
      <formula>"未完成"</formula>
    </cfRule>
  </conditionalFormatting>
  <conditionalFormatting sqref="AE206 AF206:AG206">
    <cfRule type="cellIs" dxfId="0" priority="674" operator="equal">
      <formula>"未完成"</formula>
    </cfRule>
    <cfRule type="cellIs" dxfId="1" priority="673" operator="equal">
      <formula>"未完成"</formula>
    </cfRule>
  </conditionalFormatting>
  <conditionalFormatting sqref="AI209 AP209">
    <cfRule type="cellIs" dxfId="1" priority="637" operator="equal">
      <formula>"未完成"</formula>
    </cfRule>
    <cfRule type="cellIs" dxfId="0" priority="638" operator="equal">
      <formula>"未完成"</formula>
    </cfRule>
  </conditionalFormatting>
  <conditionalFormatting sqref="AG210:AH211">
    <cfRule type="cellIs" dxfId="0" priority="605" operator="equal">
      <formula>"未完成"</formula>
    </cfRule>
    <cfRule type="cellIs" dxfId="1" priority="604" operator="equal">
      <formula>"未完成"</formula>
    </cfRule>
  </conditionalFormatting>
  <conditionalFormatting sqref="AR210:AS211">
    <cfRule type="cellIs" dxfId="0" priority="602" operator="equal">
      <formula>"未完成"</formula>
    </cfRule>
    <cfRule type="cellIs" dxfId="1" priority="601" operator="equal">
      <formula>"未完成"</formula>
    </cfRule>
  </conditionalFormatting>
  <conditionalFormatting sqref="AI213 AP213">
    <cfRule type="cellIs" dxfId="0" priority="563" operator="equal">
      <formula>"未完成"</formula>
    </cfRule>
    <cfRule type="cellIs" dxfId="1" priority="562" operator="equal">
      <formula>"未完成"</formula>
    </cfRule>
  </conditionalFormatting>
  <conditionalFormatting sqref="AG214:AH215">
    <cfRule type="cellIs" dxfId="1" priority="554" operator="equal">
      <formula>"未完成"</formula>
    </cfRule>
    <cfRule type="cellIs" dxfId="0" priority="555" operator="equal">
      <formula>"未完成"</formula>
    </cfRule>
  </conditionalFormatting>
  <conditionalFormatting sqref="AR214:AS215">
    <cfRule type="cellIs" dxfId="1" priority="551" operator="equal">
      <formula>"未完成"</formula>
    </cfRule>
    <cfRule type="cellIs" dxfId="0" priority="552" operator="equal">
      <formula>"未完成"</formula>
    </cfRule>
  </conditionalFormatting>
  <conditionalFormatting sqref="AP216 AI216">
    <cfRule type="cellIs" dxfId="1" priority="522" operator="equal">
      <formula>"未完成"</formula>
    </cfRule>
    <cfRule type="cellIs" dxfId="0" priority="523" operator="equal">
      <formula>"未完成"</formula>
    </cfRule>
  </conditionalFormatting>
  <conditionalFormatting sqref="AG217 AE217">
    <cfRule type="cellIs" dxfId="0" priority="496" operator="equal">
      <formula>"未完成"</formula>
    </cfRule>
    <cfRule type="cellIs" dxfId="1" priority="495" operator="equal">
      <formula>"未完成"</formula>
    </cfRule>
  </conditionalFormatting>
  <conditionalFormatting sqref="AG218 AE218">
    <cfRule type="cellIs" dxfId="0" priority="487" operator="equal">
      <formula>"未完成"</formula>
    </cfRule>
    <cfRule type="cellIs" dxfId="1" priority="486" operator="equal">
      <formula>"未完成"</formula>
    </cfRule>
  </conditionalFormatting>
  <conditionalFormatting sqref="AG224:AH224 AH225:AH227">
    <cfRule type="cellIs" dxfId="1" priority="360" operator="equal">
      <formula>"未完成"</formula>
    </cfRule>
    <cfRule type="cellIs" dxfId="0" priority="361" operator="equal">
      <formula>"未完成"</formula>
    </cfRule>
  </conditionalFormatting>
  <conditionalFormatting sqref="AG235:AH237">
    <cfRule type="cellIs" dxfId="0" priority="233" operator="equal">
      <formula>"未完成"</formula>
    </cfRule>
    <cfRule type="cellIs" dxfId="1" priority="232" operator="equal">
      <formula>"未完成"</formula>
    </cfRule>
  </conditionalFormatting>
  <conditionalFormatting sqref="AI236:AJ236 AI237:AP237 AI235:AQ235 AL236:AO236 AR236:AT237">
    <cfRule type="cellIs" dxfId="0" priority="230" operator="equal">
      <formula>"未完成"</formula>
    </cfRule>
    <cfRule type="cellIs" dxfId="1" priority="229" operator="equal">
      <formula>"未完成"</formula>
    </cfRule>
  </conditionalFormatting>
  <conditionalFormatting sqref="AC238 AC242:AC244 AC240">
    <cfRule type="cellIs" dxfId="0" priority="224" operator="equal">
      <formula>"未完成"</formula>
    </cfRule>
  </conditionalFormatting>
  <conditionalFormatting sqref="AG238:AH238 AG240:AH240 AG242:AH244">
    <cfRule type="cellIs" dxfId="1" priority="225" operator="equal">
      <formula>"未完成"</formula>
    </cfRule>
    <cfRule type="cellIs" dxfId="0" priority="226" operator="equal">
      <formula>"未完成"</formula>
    </cfRule>
  </conditionalFormatting>
  <conditionalFormatting sqref="AI238 AN238:AO238 AQ238:AT238">
    <cfRule type="cellIs" dxfId="0" priority="209" operator="equal">
      <formula>"未完成"</formula>
    </cfRule>
    <cfRule type="cellIs" dxfId="1" priority="208" operator="equal">
      <formula>"未完成"</formula>
    </cfRule>
  </conditionalFormatting>
  <conditionalFormatting sqref="AI239 AQ239:AT239 AN239:AO239">
    <cfRule type="cellIs" dxfId="0" priority="192" operator="equal">
      <formula>"未完成"</formula>
    </cfRule>
    <cfRule type="cellIs" dxfId="1" priority="191" operator="equal">
      <formula>"未完成"</formula>
    </cfRule>
  </conditionalFormatting>
  <conditionalFormatting sqref="AI242:AK242 AI240:AK240 AQ240:AT240 AN240:AO240 AN242:AO242 AQ242:AT242">
    <cfRule type="cellIs" dxfId="0" priority="221" operator="equal">
      <formula>"未完成"</formula>
    </cfRule>
    <cfRule type="cellIs" dxfId="1" priority="220" operator="equal">
      <formula>"未完成"</formula>
    </cfRule>
  </conditionalFormatting>
  <conditionalFormatting sqref="AI241 AQ241">
    <cfRule type="cellIs" dxfId="0" priority="181" operator="equal">
      <formula>"未完成"</formula>
    </cfRule>
    <cfRule type="cellIs" dxfId="1" priority="180" operator="equal">
      <formula>"未完成"</formula>
    </cfRule>
  </conditionalFormatting>
  <conditionalFormatting sqref="AI243:AI244 AQ243:AT244">
    <cfRule type="cellIs" dxfId="1" priority="202" operator="equal">
      <formula>"未完成"</formula>
    </cfRule>
    <cfRule type="cellIs" dxfId="0" priority="203" operator="equal">
      <formula>"未完成"</formula>
    </cfRule>
  </conditionalFormatting>
  <conditionalFormatting sqref="AN243:AO244">
    <cfRule type="cellIs" dxfId="1" priority="183" operator="equal">
      <formula>"未完成"</formula>
    </cfRule>
    <cfRule type="cellIs" dxfId="0" priority="184" operator="equal">
      <formula>"未完成"</formula>
    </cfRule>
  </conditionalFormatting>
  <dataValidations count="1">
    <dataValidation type="list" allowBlank="1" showInputMessage="1" showErrorMessage="1" sqref="AB206 AE248 V2:V35 Z36:Z37 AA38:AA114 AB115:AB191 AB217:AB218 AC192:AC205 AC207:AC216 AC219:AC244 AE250:AE251">
      <formula1>"未完成,已完成,OK"</formula1>
    </dataValidation>
  </dataValidations>
  <pageMargins left="0.75" right="0.75" top="1" bottom="1" header="0.5" footer="0.5"/>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A1" sqref="A1"/>
    </sheetView>
  </sheetViews>
  <sheetFormatPr defaultColWidth="9.025" defaultRowHeight="24" customHeight="1"/>
  <cols>
    <col min="1" max="1" width="15.65" customWidth="1"/>
    <col min="2" max="2" width="6.05833333333333" customWidth="1"/>
    <col min="3" max="3" width="15.3333333333333" customWidth="1"/>
    <col min="4" max="4" width="8.46666666666667" customWidth="1"/>
    <col min="5" max="5" width="16.2666666666667" customWidth="1"/>
    <col min="6" max="6" width="19.4416666666667" customWidth="1"/>
    <col min="7" max="7" width="9.6" customWidth="1"/>
    <col min="8" max="8" width="20.65" customWidth="1"/>
    <col min="9" max="9" width="9.6" customWidth="1"/>
  </cols>
  <sheetData>
    <row r="1" ht="41" customHeight="1" spans="1:9">
      <c r="A1" s="1" t="s">
        <v>4626</v>
      </c>
      <c r="B1" s="2" t="s">
        <v>4627</v>
      </c>
      <c r="C1" s="3" t="s">
        <v>4628</v>
      </c>
      <c r="D1" s="4">
        <f>'77485 S3 明细'!$AK$390+'77485 S3 明细'!AL390</f>
        <v>780752</v>
      </c>
      <c r="E1" s="5" t="s">
        <v>4629</v>
      </c>
      <c r="F1" s="3" t="s">
        <v>4628</v>
      </c>
      <c r="G1" s="4">
        <f>'77485 S3 明细'!$AK$390+'77485 S3 明细'!AL390+'77485 S3 明细'!AK393</f>
        <v>2969180</v>
      </c>
      <c r="H1" s="6" t="s">
        <v>3885</v>
      </c>
      <c r="I1" s="4" t="s">
        <v>4630</v>
      </c>
    </row>
    <row r="2" customHeight="1" spans="1:9">
      <c r="A2" s="7" t="s">
        <v>3350</v>
      </c>
      <c r="B2" s="8" t="s">
        <v>4631</v>
      </c>
      <c r="C2" s="9">
        <v>0.0474025974025974</v>
      </c>
      <c r="D2" s="10">
        <f t="shared" ref="D2:D23" si="0">$D$1*C2</f>
        <v>37009.6727272727</v>
      </c>
      <c r="E2" s="5" t="s">
        <v>4632</v>
      </c>
      <c r="F2" s="9">
        <v>0.0474025974025974</v>
      </c>
      <c r="G2" s="10">
        <f t="shared" ref="G2:G21" si="1">$G$1*F2</f>
        <v>140746.844155844</v>
      </c>
      <c r="H2" s="11" t="s">
        <v>4633</v>
      </c>
      <c r="I2" s="12">
        <f>'77485 S3 明细'!AW390+'77485 S3 明细'!AX390+'77485 S3 明细'!BE390+'77485 S3 明细'!BF390</f>
        <v>4968.48</v>
      </c>
    </row>
    <row r="3" customHeight="1" spans="1:9">
      <c r="A3" s="7" t="s">
        <v>3356</v>
      </c>
      <c r="B3" s="8" t="s">
        <v>4634</v>
      </c>
      <c r="C3" s="9">
        <v>0.0474025974025974</v>
      </c>
      <c r="D3" s="10">
        <f t="shared" si="0"/>
        <v>37009.6727272727</v>
      </c>
      <c r="E3" s="5" t="s">
        <v>4635</v>
      </c>
      <c r="F3" s="9">
        <v>0.0474025974025974</v>
      </c>
      <c r="G3" s="10">
        <f t="shared" si="1"/>
        <v>140746.844155844</v>
      </c>
      <c r="H3" s="11" t="s">
        <v>4636</v>
      </c>
      <c r="I3" s="12">
        <f>I2</f>
        <v>4968.48</v>
      </c>
    </row>
    <row r="4" customHeight="1" spans="1:9">
      <c r="A4" s="7" t="s">
        <v>3362</v>
      </c>
      <c r="B4" s="8" t="s">
        <v>4637</v>
      </c>
      <c r="C4" s="9">
        <v>0.0474025974025974</v>
      </c>
      <c r="D4" s="10">
        <f t="shared" si="0"/>
        <v>37009.6727272727</v>
      </c>
      <c r="E4" s="5" t="s">
        <v>4638</v>
      </c>
      <c r="F4" s="9">
        <v>0.0474025974025974</v>
      </c>
      <c r="G4" s="10">
        <f t="shared" si="1"/>
        <v>140746.844155844</v>
      </c>
      <c r="H4" s="11" t="s">
        <v>4639</v>
      </c>
      <c r="I4" s="12">
        <f t="shared" ref="I4:I10" si="2">I3</f>
        <v>4968.48</v>
      </c>
    </row>
    <row r="5" customHeight="1" spans="1:9">
      <c r="A5" s="7" t="s">
        <v>3367</v>
      </c>
      <c r="B5" s="8" t="s">
        <v>4640</v>
      </c>
      <c r="C5" s="9">
        <v>0.0474025974025974</v>
      </c>
      <c r="D5" s="10">
        <f t="shared" si="0"/>
        <v>37009.6727272727</v>
      </c>
      <c r="E5" s="5" t="s">
        <v>4641</v>
      </c>
      <c r="F5" s="9">
        <v>0.0474025974025974</v>
      </c>
      <c r="G5" s="10">
        <f t="shared" si="1"/>
        <v>140746.844155844</v>
      </c>
      <c r="H5" s="11" t="s">
        <v>4642</v>
      </c>
      <c r="I5" s="12">
        <f t="shared" si="2"/>
        <v>4968.48</v>
      </c>
    </row>
    <row r="6" customHeight="1" spans="1:9">
      <c r="A6" s="7" t="s">
        <v>3372</v>
      </c>
      <c r="B6" s="8" t="s">
        <v>4643</v>
      </c>
      <c r="C6" s="9">
        <v>0.0474025974025974</v>
      </c>
      <c r="D6" s="10">
        <f t="shared" si="0"/>
        <v>37009.6727272727</v>
      </c>
      <c r="E6" s="5" t="s">
        <v>4644</v>
      </c>
      <c r="F6" s="9">
        <v>0.0474025974025974</v>
      </c>
      <c r="G6" s="10">
        <f t="shared" si="1"/>
        <v>140746.844155844</v>
      </c>
      <c r="H6" s="4"/>
      <c r="I6" s="4"/>
    </row>
    <row r="7" customHeight="1" spans="1:9">
      <c r="A7" s="7" t="s">
        <v>3377</v>
      </c>
      <c r="B7" s="8" t="s">
        <v>4645</v>
      </c>
      <c r="C7" s="9">
        <v>0.0474025974025974</v>
      </c>
      <c r="D7" s="10">
        <f t="shared" si="0"/>
        <v>37009.6727272727</v>
      </c>
      <c r="E7" s="5" t="s">
        <v>4646</v>
      </c>
      <c r="F7" s="9">
        <v>0.0474025974025974</v>
      </c>
      <c r="G7" s="10">
        <f t="shared" si="1"/>
        <v>140746.844155844</v>
      </c>
      <c r="H7" s="6" t="s">
        <v>4647</v>
      </c>
      <c r="I7" s="4"/>
    </row>
    <row r="8" customHeight="1" spans="1:9">
      <c r="A8" s="7" t="s">
        <v>3382</v>
      </c>
      <c r="B8" s="8" t="s">
        <v>4648</v>
      </c>
      <c r="C8" s="9">
        <v>0.0474025974025974</v>
      </c>
      <c r="D8" s="10">
        <f t="shared" si="0"/>
        <v>37009.6727272727</v>
      </c>
      <c r="E8" s="5" t="s">
        <v>4649</v>
      </c>
      <c r="F8" s="9">
        <v>0.0474025974025974</v>
      </c>
      <c r="G8" s="10">
        <f t="shared" si="1"/>
        <v>140746.844155844</v>
      </c>
      <c r="H8" s="11" t="s">
        <v>3363</v>
      </c>
      <c r="I8" s="4">
        <f>'77485 S3 明细'!BG390</f>
        <v>0</v>
      </c>
    </row>
    <row r="9" customHeight="1" spans="1:9">
      <c r="A9" s="7" t="s">
        <v>3387</v>
      </c>
      <c r="B9" s="8" t="s">
        <v>4650</v>
      </c>
      <c r="C9" s="9">
        <v>0.0474025974025974</v>
      </c>
      <c r="D9" s="10">
        <f t="shared" si="0"/>
        <v>37009.6727272727</v>
      </c>
      <c r="E9" s="5" t="s">
        <v>4651</v>
      </c>
      <c r="F9" s="9">
        <v>0.0474025974025974</v>
      </c>
      <c r="G9" s="10">
        <f t="shared" si="1"/>
        <v>140746.844155844</v>
      </c>
      <c r="H9" s="11" t="s">
        <v>3717</v>
      </c>
      <c r="I9" s="4">
        <f t="shared" si="2"/>
        <v>0</v>
      </c>
    </row>
    <row r="10" customHeight="1" spans="1:9">
      <c r="A10" s="7" t="s">
        <v>3392</v>
      </c>
      <c r="B10" s="8" t="s">
        <v>4652</v>
      </c>
      <c r="C10" s="9">
        <v>0.0474025974025974</v>
      </c>
      <c r="D10" s="10">
        <f t="shared" si="0"/>
        <v>37009.6727272727</v>
      </c>
      <c r="E10" s="5" t="s">
        <v>4653</v>
      </c>
      <c r="F10" s="9">
        <v>0.0474025974025974</v>
      </c>
      <c r="G10" s="10">
        <f t="shared" si="1"/>
        <v>140746.844155844</v>
      </c>
      <c r="H10" s="11" t="s">
        <v>3446</v>
      </c>
      <c r="I10" s="4">
        <f t="shared" si="2"/>
        <v>0</v>
      </c>
    </row>
    <row r="11" customHeight="1" spans="1:9">
      <c r="A11" s="7" t="s">
        <v>3397</v>
      </c>
      <c r="B11" s="8" t="s">
        <v>4654</v>
      </c>
      <c r="C11" s="9">
        <v>0.0474025974025974</v>
      </c>
      <c r="D11" s="10">
        <f t="shared" si="0"/>
        <v>37009.6727272727</v>
      </c>
      <c r="E11" s="5" t="s">
        <v>4655</v>
      </c>
      <c r="F11" s="9">
        <v>0.0474025974025974</v>
      </c>
      <c r="G11" s="10">
        <f t="shared" si="1"/>
        <v>140746.844155844</v>
      </c>
      <c r="H11" s="4"/>
      <c r="I11" s="4"/>
    </row>
    <row r="12" customHeight="1" spans="1:9">
      <c r="A12" s="7" t="s">
        <v>3402</v>
      </c>
      <c r="B12" s="8" t="s">
        <v>4656</v>
      </c>
      <c r="C12" s="9">
        <v>0.0474025974025974</v>
      </c>
      <c r="D12" s="10">
        <f t="shared" si="0"/>
        <v>37009.6727272727</v>
      </c>
      <c r="E12" s="5" t="s">
        <v>4657</v>
      </c>
      <c r="F12" s="9">
        <v>0.0474025974025974</v>
      </c>
      <c r="G12" s="10">
        <f t="shared" si="1"/>
        <v>140746.844155844</v>
      </c>
      <c r="H12" s="4" t="s">
        <v>4658</v>
      </c>
      <c r="I12" s="4"/>
    </row>
    <row r="13" customHeight="1" spans="1:9">
      <c r="A13" s="7" t="s">
        <v>3407</v>
      </c>
      <c r="B13" s="8" t="s">
        <v>4659</v>
      </c>
      <c r="C13" s="9">
        <v>0.0474025974025974</v>
      </c>
      <c r="D13" s="10">
        <f t="shared" si="0"/>
        <v>37009.6727272727</v>
      </c>
      <c r="E13" s="5" t="s">
        <v>4660</v>
      </c>
      <c r="F13" s="9">
        <v>0.0474025974025974</v>
      </c>
      <c r="G13" s="10">
        <f t="shared" si="1"/>
        <v>140746.844155844</v>
      </c>
      <c r="H13" s="11" t="s">
        <v>3750</v>
      </c>
      <c r="I13" s="4">
        <f>'77485 S3 明细'!BJ390</f>
        <v>87</v>
      </c>
    </row>
    <row r="14" customHeight="1" spans="1:9">
      <c r="A14" s="7" t="s">
        <v>3412</v>
      </c>
      <c r="B14" s="8" t="s">
        <v>4661</v>
      </c>
      <c r="C14" s="9">
        <v>0.0474025974025974</v>
      </c>
      <c r="D14" s="10">
        <f t="shared" si="0"/>
        <v>37009.6727272727</v>
      </c>
      <c r="E14" s="5" t="s">
        <v>4662</v>
      </c>
      <c r="F14" s="9">
        <v>0.0474025974025974</v>
      </c>
      <c r="G14" s="10">
        <f t="shared" si="1"/>
        <v>140746.844155844</v>
      </c>
      <c r="H14" s="11" t="s">
        <v>3751</v>
      </c>
      <c r="I14" s="4">
        <f>'77485 S3 明细'!BJ390</f>
        <v>87</v>
      </c>
    </row>
    <row r="15" customHeight="1" spans="1:9">
      <c r="A15" s="7" t="s">
        <v>3417</v>
      </c>
      <c r="B15" s="8" t="s">
        <v>4663</v>
      </c>
      <c r="C15" s="9">
        <v>0.0474025974025974</v>
      </c>
      <c r="D15" s="10">
        <f t="shared" si="0"/>
        <v>37009.6727272727</v>
      </c>
      <c r="E15" s="5" t="s">
        <v>4664</v>
      </c>
      <c r="F15" s="9">
        <v>0.0474025974025974</v>
      </c>
      <c r="G15" s="10">
        <f t="shared" si="1"/>
        <v>140746.844155844</v>
      </c>
      <c r="H15" s="4"/>
      <c r="I15" s="4"/>
    </row>
    <row r="16" customHeight="1" spans="1:9">
      <c r="A16" s="7" t="s">
        <v>3422</v>
      </c>
      <c r="B16" s="8" t="s">
        <v>4665</v>
      </c>
      <c r="C16" s="9">
        <v>0.0474025974025974</v>
      </c>
      <c r="D16" s="10">
        <f t="shared" si="0"/>
        <v>37009.6727272727</v>
      </c>
      <c r="E16" s="5" t="s">
        <v>4666</v>
      </c>
      <c r="F16" s="9">
        <v>0.0948051948051948</v>
      </c>
      <c r="G16" s="10">
        <f t="shared" si="1"/>
        <v>281493.688311688</v>
      </c>
      <c r="H16" s="13" t="s">
        <v>4667</v>
      </c>
      <c r="I16" s="4"/>
    </row>
    <row r="17" customHeight="1" spans="1:9">
      <c r="A17" s="7" t="s">
        <v>3427</v>
      </c>
      <c r="B17" s="8" t="s">
        <v>4668</v>
      </c>
      <c r="C17" s="9">
        <v>0.0474025974025974</v>
      </c>
      <c r="D17" s="10">
        <f t="shared" si="0"/>
        <v>37009.6727272727</v>
      </c>
      <c r="E17" s="5" t="s">
        <v>4669</v>
      </c>
      <c r="F17" s="9">
        <v>0.0474025974025974</v>
      </c>
      <c r="G17" s="10">
        <f t="shared" si="1"/>
        <v>140746.844155844</v>
      </c>
      <c r="H17" s="4" t="s">
        <v>3351</v>
      </c>
      <c r="I17" s="4">
        <f>'77485 S3 明细'!BI390</f>
        <v>0</v>
      </c>
    </row>
    <row r="18" customHeight="1" spans="1:9">
      <c r="A18" s="7" t="s">
        <v>3430</v>
      </c>
      <c r="B18" s="8" t="s">
        <v>4670</v>
      </c>
      <c r="C18" s="9">
        <v>0.0474025974025974</v>
      </c>
      <c r="D18" s="10">
        <f t="shared" si="0"/>
        <v>37009.6727272727</v>
      </c>
      <c r="E18" s="5" t="s">
        <v>4671</v>
      </c>
      <c r="F18" s="9">
        <v>0.0474025974025974</v>
      </c>
      <c r="G18" s="10">
        <f t="shared" si="1"/>
        <v>140746.844155844</v>
      </c>
      <c r="H18" s="4" t="s">
        <v>3755</v>
      </c>
      <c r="I18" s="4">
        <f>'77485 S3 明细'!BI390</f>
        <v>0</v>
      </c>
    </row>
    <row r="19" customHeight="1" spans="1:9">
      <c r="A19" s="7" t="s">
        <v>3435</v>
      </c>
      <c r="B19" s="8" t="s">
        <v>4672</v>
      </c>
      <c r="C19" s="9">
        <v>0.0474025974025974</v>
      </c>
      <c r="D19" s="10">
        <f t="shared" si="0"/>
        <v>37009.6727272727</v>
      </c>
      <c r="E19" s="5" t="s">
        <v>4673</v>
      </c>
      <c r="F19" s="9">
        <v>0.0948051948051948</v>
      </c>
      <c r="G19" s="10">
        <f t="shared" si="1"/>
        <v>281493.688311688</v>
      </c>
      <c r="H19" s="4" t="s">
        <v>3756</v>
      </c>
      <c r="I19" s="4">
        <f>'77485 S3 明细'!BI390</f>
        <v>0</v>
      </c>
    </row>
    <row r="20" customHeight="1" spans="1:9">
      <c r="A20" s="7" t="s">
        <v>3440</v>
      </c>
      <c r="B20" s="8" t="s">
        <v>4674</v>
      </c>
      <c r="C20" s="9">
        <v>0.0474025974025974</v>
      </c>
      <c r="D20" s="10">
        <f t="shared" si="0"/>
        <v>37009.6727272727</v>
      </c>
      <c r="E20" s="5" t="s">
        <v>4675</v>
      </c>
      <c r="F20" s="9">
        <v>0.0474025974025974</v>
      </c>
      <c r="G20" s="10">
        <f t="shared" si="1"/>
        <v>140746.844155844</v>
      </c>
      <c r="H20" s="4"/>
      <c r="I20" s="4"/>
    </row>
    <row r="21" customHeight="1" spans="1:9">
      <c r="A21" s="7" t="s">
        <v>3445</v>
      </c>
      <c r="B21" s="8" t="s">
        <v>4676</v>
      </c>
      <c r="C21" s="9">
        <v>0.0474025974025974</v>
      </c>
      <c r="D21" s="10">
        <f t="shared" si="0"/>
        <v>37009.6727272727</v>
      </c>
      <c r="E21" s="5" t="s">
        <v>4677</v>
      </c>
      <c r="F21" s="9">
        <v>0.00454545454545454</v>
      </c>
      <c r="G21" s="10">
        <f t="shared" si="1"/>
        <v>13496.2727272727</v>
      </c>
      <c r="H21" s="4"/>
      <c r="I21" s="4"/>
    </row>
    <row r="22" customHeight="1" spans="1:9">
      <c r="A22" s="7" t="s">
        <v>3450</v>
      </c>
      <c r="B22" s="8" t="s">
        <v>4678</v>
      </c>
      <c r="C22" s="9">
        <v>0.0474025974025974</v>
      </c>
      <c r="D22" s="10">
        <f t="shared" si="0"/>
        <v>37009.6727272727</v>
      </c>
      <c r="E22" s="5"/>
      <c r="F22" s="4"/>
      <c r="G22" s="4"/>
      <c r="H22" s="4"/>
      <c r="I22" s="4"/>
    </row>
    <row r="23" customHeight="1" spans="1:9">
      <c r="A23" s="7" t="s">
        <v>3455</v>
      </c>
      <c r="B23" s="8" t="s">
        <v>4679</v>
      </c>
      <c r="C23" s="9">
        <v>0.00454545454545455</v>
      </c>
      <c r="D23" s="10">
        <f t="shared" si="0"/>
        <v>3548.87272727273</v>
      </c>
      <c r="E23" s="5"/>
      <c r="F23" s="4"/>
      <c r="G23" s="4"/>
      <c r="H23" s="4"/>
      <c r="I23" s="4"/>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4" master="" otherUserPermission="edit"/>
  <rangeList sheetStid="23" master="" otherUserPermission="edit">
    <arrUserId title="Range1" rangeCreator="" othersAccessPermission="edit">
      <userID accessPermission="edit">1475153551</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1474966847</userID>
      <userID accessPermission="edit">1765212680</userID>
      <userID accessPermission="edit">1853477080</userID>
    </arrUserId>
  </rangeList>
  <rangeList sheetStid="26" master="" otherUserPermission="edit">
    <arrUserId title="Range1" rangeCreator="" othersAccessPermission="edit">
      <userID accessPermission="edit">1475153551</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userID accessPermission="edit">1853477080</userID>
    </arrUserId>
  </rangeList>
  <rangeList sheetStid="33"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userID accessPermission="edit">1853477080</userID>
    </arrUserId>
  </rangeList>
  <rangeList sheetStid="39" master="" otherUserPermission="edit"/>
  <rangeList sheetStid="30" master="" otherUserPermission="edit"/>
  <rangeList sheetStid="36" master="" otherUserPermission="edit"/>
  <rangeList sheetStid="43" master="" otherUserPermission="edit"/>
  <rangeList sheetStid="41" master="" otherUserPermission="edit"/>
  <rangeList sheetStid="40" master="" otherUserPermission="edit"/>
  <rangeList sheetStid="32" master="" otherUserPermission="edit"/>
  <rangeList sheetStid="29" master="" otherUserPermission="edit"/>
  <rangeList sheetStid="18" master="" otherUserPermission="edit"/>
  <rangeList sheetStid="35" master="" otherUserPermission="edit"/>
  <rangeList sheetStid="34" master="" otherUserPermission="edit"/>
  <rangeList sheetStid="15" master="" otherUserPermission="edit"/>
  <rangeList sheetStid="37"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23">
    <commentChains s:ref="AD2" rgbClr="FF0000">
      <unresolved>
        <commentChain chainId="fddd1ba0b536865355500e833c5afa9ba7450ac6">
          <item id="011f9b1dc21fa575201ceac406c006e95f6a8fd7" isNormal="1">
            <s:text>
              <s:r>
                <s:t xml:space="preserve">Administrator:
0000450 1/3 24pcs 华兴三B14</s:t>
              </s:r>
            </s:text>
          </item>
        </commentChain>
      </unresolved>
      <resolved/>
    </commentChains>
    <commentChains s:ref="AG2" rgbClr="FF0000">
      <unresolved>
        <commentChain chainId="9e66abee4f599eb354763ff048f796395b06480d">
          <item id="55a26876f816c2580168dd405c0f3a49c3a4f971" isNormal="1">
            <s:text>
              <s:r>
                <s:t xml:space="preserve">Administrator:
12/9 上进口商贴纸 24pcs
12/6 上亚马逊客供外箱贴纸 6pcs</s:t>
              </s:r>
            </s:text>
          </item>
        </commentChain>
      </unresolved>
      <resolved/>
    </commentChains>
    <commentChains s:ref="AD3" rgbClr="FF0000">
      <unresolved>
        <commentChain chainId="74c8bd940b1f0f24eb387b938b6a4681343d3cf9">
          <item id="e779636df1e5ddc10c5dc9513f985ca21a5aa155" isNormal="1">
            <s:text>
              <s:r>
                <s:t xml:space="preserve">Administrator:
0000702 1/21 60pcs A栋一楼</s:t>
              </s:r>
            </s:text>
          </item>
        </commentChain>
      </unresolved>
      <resolved/>
    </commentChains>
    <commentChains s:ref="AD4" rgbClr="FF0000">
      <unresolved>
        <commentChain chainId="928389c395b16cb297052f6d3929672b73c642fd">
          <item id="30c99a92380317ac362c60689ab0964286b390b5" isNormal="1">
            <s:text>
              <s:r>
                <s:t xml:space="preserve">Administrator:
0000002 3/21 548pcs 华兴三B9</s:t>
              </s:r>
            </s:text>
          </item>
        </commentChain>
      </unresolved>
      <resolved/>
    </commentChains>
    <commentChains s:ref="AD5" rgbClr="FF0000">
      <unresolved>
        <commentChain chainId="e1c6af05f45ec1d0c8ffa79364a7f5c50ab272e1">
          <item id="180dcfe381a567949f299ca1729e08c35db5787d" isNormal="1">
            <s:text>
              <s:r>
                <s:t xml:space="preserve">Administrator:
0000002 3/21 548pcs 华兴三B9</s:t>
              </s:r>
            </s:text>
          </item>
        </commentChain>
      </unresolved>
      <resolved/>
    </commentChains>
    <commentChains s:ref="AG5" rgbClr="FF0000">
      <unresolved>
        <commentChain chainId="44deb54ddfb9bd417bb8c88063fabfb0ff300ba1">
          <item id="da8bc130ca7d98ec55552e0b807c31fc6e87815f" isNormal="1">
            <s:text>
              <s:r>
                <s:t xml:space="preserve">Administrator:
2/27 上警告语贴纸 548pcs</s:t>
              </s:r>
            </s:text>
          </item>
        </commentChain>
      </unresolved>
      <resolved/>
    </commentChains>
    <commentChains s:ref="AD6" rgbClr="FF0000">
      <unresolved>
        <commentChain chainId="259757ae981e4e7da27debd4e4f169ffdf7b30d7">
          <item id="b43496f2ecf5a8635f6ebc5fac6bb901a5129870" isNormal="1">
            <s:text>
              <s:r>
                <s:t xml:space="preserve">Administrator:
2002547 6/6 92pcs 新仓库一A9
</s:t>
              </s:r>
            </s:text>
          </item>
        </commentChain>
      </unresolved>
      <resolved/>
    </commentChains>
    <commentChains s:ref="AG6" rgbClr="FF0000">
      <unresolved>
        <commentChain chainId="9809898704fa704a3115137bf4f6a186899dfa5c">
          <item id="4fc1dbf11565016b751558edb139c0aa0b42bfcf" isNormal="1">
            <s:text>
              <s:r>
                <s:t xml:space="preserve">Administrator:
5/19 上进口商贴纸 156pcs
5/26 上客供亚马逊外箱贴纸 23pcs</s:t>
              </s:r>
            </s:text>
          </item>
        </commentChain>
      </unresolved>
      <resolved/>
    </commentChains>
    <commentChains s:ref="AD7" rgbClr="FF0000">
      <unresolved>
        <commentChain chainId="d83373f12018c0f78462b4fd949fd8b6b8414c84">
          <item id="98860558c1c67dbb972128de4a02cfaa96359ba9" isNormal="1">
            <s:text>
              <s:r>
                <s:t xml:space="preserve">Administrator:
2002546 6/6 64pcs 新仓库一A10</s:t>
              </s:r>
            </s:text>
          </item>
        </commentChain>
      </unresolved>
      <resolved/>
    </commentChains>
    <commentChains s:ref="AG7" rgbClr="FF0000">
      <unresolved>
        <commentChain chainId="15b59cdef952bf4fa3cef8f9955b5a00e9fb7d93">
          <item id="244d9bd0b1f0219cbe264e12a1598dafeb1f2494" isNormal="1">
            <s:text>
              <s:r>
                <s:t xml:space="preserve">Administrator:
5/19 上进口商贴纸 156pcs
5/26 上客供亚马逊外箱贴纸 16pcs
</s:t>
              </s:r>
            </s:text>
          </item>
        </commentChain>
      </unresolved>
      <resolved/>
    </commentChains>
    <commentChains s:ref="AD8" rgbClr="FF0000">
      <unresolved>
        <commentChain chainId="20cc9ce64105b54390e9de6e3ce153af436e3cb9">
          <item id="d02f86d0b4d8234b68f7a80970395259a38608c8" isNormal="1">
            <s:text>
              <s:r>
                <s:t xml:space="preserve">Administrator:
2001719 7/22 212pcs 华兴三B9</s:t>
              </s:r>
            </s:text>
          </item>
        </commentChain>
      </unresolved>
      <resolved/>
    </commentChains>
    <commentChains s:ref="AD9" rgbClr="FF0000">
      <unresolved>
        <commentChain chainId="a0611b8084b66f5deddde9070634c05834646c1c">
          <item id="5df7dda0472c844db2e8714eb851101aeaaab218" isNormal="1">
            <s:text>
              <s:r>
                <s:t xml:space="preserve">Administrator:
2001762 8/15 100pcs 华兴三B8</s:t>
              </s:r>
            </s:text>
          </item>
        </commentChain>
      </unresolved>
      <resolved/>
    </commentChains>
    <commentChains s:ref="AG9" rgbClr="FF0000">
      <unresolved>
        <commentChain chainId="846becca44f612d1dafbd2fd8a207b7acaa70933">
          <item id="f1e4ead486681284e6460e973ba52212568b37f0" isNormal="1">
            <s:text>
              <s:r>
                <s:t xml:space="preserve">Administrator:
7/24 上进口商贴纸 100pcs</s:t>
              </s:r>
            </s:text>
          </item>
        </commentChain>
      </unresolved>
      <resolved/>
    </commentChains>
    <commentChains s:ref="AD10" rgbClr="FF0000">
      <unresolved>
        <commentChain chainId="30ada163b40c7a9ed293e02d3d651dfcdc83f8f0">
          <item id="19606c35ff589b4e5f3b94f129742b40ebd663b1" isNormal="1">
            <s:text>
              <s:r>
                <s:t xml:space="preserve">Administrator:
2001762 8/15 96pcs 华兴三B8</s:t>
              </s:r>
            </s:text>
          </item>
        </commentChain>
      </unresolved>
      <resolved/>
    </commentChains>
    <commentChains s:ref="AG10" rgbClr="FF0000">
      <unresolved>
        <commentChain chainId="2d074b2e2314d5a4f6895e31f0f56c00f9fc9f85">
          <item id="af1b2e8c1f106ce10c6b04afd5b09b0e86faf307" isNormal="1">
            <s:text>
              <s:r>
                <s:t xml:space="preserve">Administrator:
8/8 已确认过收到贴纸 101pcs</s:t>
              </s:r>
            </s:text>
          </item>
        </commentChain>
      </unresolved>
      <resolved/>
    </commentChains>
  </commentList>
  <commentList sheetStid="26">
    <commentChains s:ref="AF2" rgbClr="FF0000">
      <unresolved>
        <commentChain chainId="652f024d1bbdb9ff5277a0c03dc027875291cf59">
          <item id="51a62766e2639ad7e3df5cfc3c2a23039f16fe94" isNormal="1">
            <s:text>
              <s:r>
                <s:t xml:space="preserve">Administrator:
0000617 12/25   52pcs 华兴三B15
0000627 12/25 3068pcs 华兴三B15</s:t>
              </s:r>
            </s:text>
          </item>
        </commentChain>
      </unresolved>
      <resolved/>
    </commentChains>
    <commentChains s:ref="AI2" rgbClr="FF0000">
      <unresolved>
        <commentChain chainId="a24def827023d4f13e1d4bb357149c55abe0592f">
          <item id="45f7a40d50fc9fb5d7285d628517f2e05c027b96" isNormal="1">
            <s:text>
              <s:r>
                <s:t xml:space="preserve">Administrator:
12/3 上客户EAN条码贴纸 3120pcs</s:t>
              </s:r>
            </s:text>
          </item>
        </commentChain>
      </unresolved>
      <resolved/>
    </commentChains>
    <commentChains s:ref="AF3" rgbClr="FF0000">
      <unresolved>
        <commentChain chainId="b73e16b5ed8cce0940232271f4ca7113f5492dd1">
          <item id="2f13ef5b4f1ac81707c00400ae78340c2efce3b8" isNormal="1">
            <s:text>
              <s:r>
                <s:t xml:space="preserve">Administrator:
0000555 12/28 2988pcs 华兴二A6
0000545 12/30  12pcs  华兴二A6</s:t>
              </s:r>
            </s:text>
          </item>
        </commentChain>
      </unresolved>
      <resolved/>
    </commentChains>
    <commentChains s:ref="AI3" rgbClr="FF0000">
      <unresolved>
        <commentChain chainId="8e51b499799fd67d927bebd17ee03c7d8f89af47">
          <item id="0ef184cd443cae9f9f2bc7683d9d6716a7401202" isNormal="1">
            <s:text>
              <s:r>
                <s:t xml:space="preserve">Administrator:
11/21 上客供价格贴纸 3150pcs</s:t>
              </s:r>
            </s:text>
          </item>
        </commentChain>
      </unresolved>
      <resolved/>
    </commentChains>
    <commentChains s:ref="AF4" rgbClr="FF0000">
      <unresolved>
        <commentChain chainId="f3aa2f713c22f0ef7ae2902e5c4bddbce55319d0">
          <item id="672abf6642b4cfc68c16649d9b7bf8c030095efb" isNormal="1">
            <s:text>
              <s:r>
                <s:t xml:space="preserve">Administrator:
0000617 12/25 15700pcs 华兴三B15</s:t>
              </s:r>
            </s:text>
          </item>
        </commentChain>
      </unresolved>
      <resolved/>
    </commentChains>
    <commentChains s:ref="AI4" rgbClr="FF0000">
      <unresolved>
        <commentChain chainId="d4159a7b4e236fbf3c0fdf422199f622914f289d">
          <item id="19ea045c1c9cf99fceaeb9680bb31e44e80a5ece" isNormal="1">
            <s:text>
              <s:r>
                <s:t xml:space="preserve">Administrator:
12/10 上UPC条码贴纸 15700pcs
      上进口商贴纸 15700pcs</s:t>
              </s:r>
            </s:text>
          </item>
        </commentChain>
      </unresolved>
      <resolved/>
    </commentChains>
    <commentChains s:ref="AF5" rgbClr="FF0000">
      <unresolved>
        <commentChain chainId="a0920ce6c19655e92628115975f966897a361360">
          <item id="4242abb341dd1943d04d6ce416cf2ce30b5dd89c" isNormal="1">
            <s:text>
              <s:r>
                <s:t xml:space="preserve">Administrator:
0001711 11/22 25560pcs 华兴二A19
0001729 11/26   24pcs  华兴二A19
0001711 11/22 8528pcs 华兴二B14
0000645 12/31 8520pcs 华兴二B5
 备品8pcs</s:t>
              </s:r>
            </s:text>
          </item>
        </commentChain>
      </unresolved>
      <resolved/>
    </commentChains>
    <commentChains s:ref="AI5" rgbClr="FF0000">
      <unresolved>
        <commentChain chainId="ba8e4ff3b5dccdcf5bf9a9a07d1c5ef75b3bb34a">
          <item id="9a41a565399f3f5c687e02cd131abf7da1a37310" isNormal="1">
            <s:text>
              <s:r>
                <s:t xml:space="preserve">Administrator:
12/10 上WIC贴纸 8528pcs</s:t>
              </s:r>
            </s:text>
          </item>
        </commentChain>
      </unresolved>
      <resolved/>
    </commentChains>
    <commentChains s:ref="AF6" rgbClr="FF0000">
      <unresolved>
        <commentChain chainId="25851638de8446ce777e6820060284c9b635acad">
          <item id="8018b4fc8fe6ead035c40a09088105fca5ff9b57" isNormal="1">
            <s:text>
              <s:r>
                <s:t xml:space="preserve">Administrator:
0000934 12/31 3200pcs 华兴三B14</s:t>
              </s:r>
            </s:text>
          </item>
        </commentChain>
      </unresolved>
      <resolved/>
    </commentChains>
    <commentChains s:ref="AI6" rgbClr="FF0000">
      <unresolved>
        <commentChain chainId="1e139fbe21c55c0fd0b45bcad183b5fb342d37f3">
          <item id="104eabceff64509acd85653ea21266bba4f0c25a" isNormal="1">
            <s:text>
              <s:r>
                <s:t xml:space="preserve">Administrator:
12/12 上进口商贴纸 3200pcs</s:t>
              </s:r>
            </s:text>
          </item>
        </commentChain>
      </unresolved>
      <resolved/>
    </commentChains>
    <commentChains s:ref="AF7" rgbClr="FF0000">
      <unresolved>
        <commentChain chainId="6a7df8625bf2721a42bd6fe86ffc3f391ebc6ff4">
          <item id="5ec772c3936f0eca4f9000961e296ec14966c90d" isNormal="1">
            <s:text>
              <s:r>
                <s:t xml:space="preserve">Administrator:
0000934 12/31 250pcs 华兴三B14</s:t>
              </s:r>
            </s:text>
          </item>
        </commentChain>
      </unresolved>
      <resolved/>
    </commentChains>
    <commentChains s:ref="AF8" rgbClr="FF0000">
      <unresolved>
        <commentChain chainId="72e050f5221f2af91ac0107fc5d84deb4e91c350">
          <item id="6d7a26dc3da1b9f615f0fd451091c5dca90a253e" isNormal="1">
            <s:text>
              <s:r>
                <s:t xml:space="preserve">Administrator:
0000934 12/31 1092pcs 华兴三B13</s:t>
              </s:r>
            </s:text>
          </item>
        </commentChain>
      </unresolved>
      <resolved/>
    </commentChains>
    <commentChains s:ref="AF9" rgbClr="FF0000">
      <unresolved>
        <commentChain chainId="d75c1ea5939a3629568421fdcd1b83c2d9339197">
          <item id="98cee3f9a4f55557a29511e307889412e54e5159" isNormal="1">
            <s:text>
              <s:r>
                <s:t xml:space="preserve">Administrator:
0000933 12/31 3456pcs 华兴三B4</s:t>
              </s:r>
            </s:text>
          </item>
        </commentChain>
      </unresolved>
      <resolved/>
    </commentChains>
    <commentChains s:ref="AI9" rgbClr="FF0000">
      <unresolved>
        <commentChain chainId="a4e940d3ae8265576ca03f4c531060c1265381d1">
          <item id="b54036f751354577db2498fe17f2a3b9ddcf2cf0" isNormal="1">
            <s:text>
              <s:r>
                <s:t xml:space="preserve">Administrator:
12/19 上客供RFID贴纸 3456pcs</s:t>
              </s:r>
            </s:text>
          </item>
        </commentChain>
      </unresolved>
      <resolved/>
    </commentChains>
    <commentChains s:ref="AI10" rgbClr="FF0000">
      <unresolved>
        <commentChain chainId="d8f1ae4237136ac3202e3974e0ac3cc6184803ae">
          <item id="0a886371f73a59304fc67d423768b8facd849a2b" isNormal="1">
            <s:text>
              <s:r>
                <s:t xml:space="preserve">Administrator:
12/19 上客供RFID贴纸 3456pcs</s:t>
              </s:r>
            </s:text>
          </item>
        </commentChain>
      </unresolved>
      <resolved/>
    </commentChains>
    <commentChains s:ref="AF11" rgbClr="FF0000">
      <unresolved>
        <commentChain chainId="1e321abdfdb0e1417f58c3d96b348357eb0428a1">
          <item id="3a828a3197e3b4fec03c04d02c3d51e96908e6f9" isNormal="1">
            <s:text>
              <s:r>
                <s:t xml:space="preserve">Administrator:
0000933 12/31 5760pcs  华兴三B4
</s:t>
              </s:r>
            </s:text>
          </item>
        </commentChain>
      </unresolved>
      <resolved/>
    </commentChains>
    <commentChains s:ref="AI11" rgbClr="FF0000">
      <unresolved>
        <commentChain chainId="ec96508bc19ea48e1c77d8676afb631092a4aafa">
          <item id="db8f3a03b73164ef2a487ea09b1f9a0b083b604e" isNormal="1">
            <s:text>
              <s:r>
                <s:t xml:space="preserve">Administrator:
12/19 上客供RFID贴纸 5760pcs</s:t>
              </s:r>
            </s:text>
          </item>
        </commentChain>
      </unresolved>
      <resolved/>
    </commentChains>
    <commentChains s:ref="AF12" rgbClr="FF0000">
      <unresolved>
        <commentChain chainId="5b848fade5d4243f23482aeb400c295946efb2ca">
          <item id="30e36f1cb02bf9a5e5ba5da84428aebe30efffaa" isNormal="1">
            <s:text>
              <s:r>
                <s:t xml:space="preserve">Administrator:
0000933 12/31 1152pcs  华兴三B4
</s:t>
              </s:r>
            </s:text>
          </item>
        </commentChain>
      </unresolved>
      <resolved/>
    </commentChains>
    <commentChains s:ref="AI12" rgbClr="FF0000">
      <unresolved>
        <commentChain chainId="4b1bd5ce2f43662b344a932ed16aef218634fe4f">
          <item id="6a4c5fcb67a3c550e0909d4600f39a851b494e2f" isNormal="1">
            <s:text>
              <s:r>
                <s:t xml:space="preserve">Administrator:
12/19 上客供RFID贴纸 1152pcs</s:t>
              </s:r>
            </s:text>
          </item>
        </commentChain>
      </unresolved>
      <resolved/>
    </commentChains>
    <commentChains s:ref="AF13" rgbClr="FF0000">
      <unresolved>
        <commentChain chainId="472b08e8984270dd52a8cf14f86fc48c08e69b26">
          <item id="012550f8d8df13c391920bac16d0360670c9d619" isNormal="1">
            <s:text>
              <s:r>
                <s:t xml:space="preserve">Administrator:
0000933 12/31 4608pcs  华兴三B4
</s:t>
              </s:r>
            </s:text>
          </item>
        </commentChain>
      </unresolved>
      <resolved/>
    </commentChains>
    <commentChains s:ref="AI13" rgbClr="FF0000">
      <unresolved>
        <commentChain chainId="e41e768bb5a990673a2dba051e2a18b236bf5731">
          <item id="725bb7feec4aa68c7144dc08c1c28ab4491cb841" isNormal="1">
            <s:text>
              <s:r>
                <s:t xml:space="preserve">Administrator:
12/19 上客供RFID贴纸 4608pcs</s:t>
              </s:r>
            </s:text>
          </item>
        </commentChain>
      </unresolved>
      <resolved/>
    </commentChains>
    <commentChains s:ref="AF14" rgbClr="FF0000">
      <unresolved>
        <commentChain chainId="80564a8c3fb29132f9e1284e57ecbe81ab757921">
          <item id="67f7d36020bab6847d751d1038f99535c51b492b" isNormal="1">
            <s:text>
              <s:r>
                <s:t xml:space="preserve">Administrator:
0000933 12/31 5760pcs  华兴三B4
</s:t>
              </s:r>
            </s:text>
          </item>
        </commentChain>
      </unresolved>
      <resolved/>
    </commentChains>
    <commentChains s:ref="AI14" rgbClr="FF0000">
      <unresolved>
        <commentChain chainId="ba0e7b9f979922b270af2148da7b2607b7239ae7">
          <item id="5b29a9a4c01c3f3b8d2ce497688725dea94e172e" isNormal="1">
            <s:text>
              <s:r>
                <s:t xml:space="preserve">Administrator:
12/19 上客供RFID贴纸 5760pcs</s:t>
              </s:r>
            </s:text>
          </item>
        </commentChain>
      </unresolved>
      <resolved/>
    </commentChains>
    <commentChains s:ref="AF15" rgbClr="FF0000">
      <unresolved>
        <commentChain chainId="b8a8408eba325ad314b2173eb5885d5cdb9c50dc">
          <item id="f7bdf9bc587731c4c89bd49a5aa753f630181913" isNormal="1">
            <s:text>
              <s:r>
                <s:t xml:space="preserve">Administrator:
0000933 12/31 2304pcs  华兴三B4
</s:t>
              </s:r>
            </s:text>
          </item>
        </commentChain>
      </unresolved>
      <resolved/>
    </commentChains>
    <commentChains s:ref="AI15" rgbClr="FF0000">
      <unresolved>
        <commentChain chainId="accc0bdafe977146b24149652a867e5e03ddeb1b">
          <item id="7a9fa3ce6ddef6e5556dc5feba17c759fbbea180" isNormal="1">
            <s:text>
              <s:r>
                <s:t xml:space="preserve">Administrator:
12/19 上客供RFID贴纸 2304pcs</s:t>
              </s:r>
            </s:text>
          </item>
        </commentChain>
      </unresolved>
      <resolved/>
    </commentChains>
    <commentChains s:ref="AF16" rgbClr="FF0000">
      <unresolved>
        <commentChain chainId="1640fead71fe2c3f26cf620140ad841b17002494">
          <item id="86c29e97d265c3ea525c82ec4063c22d18940361" isNormal="1">
            <s:text>
              <s:r>
                <s:t xml:space="preserve">Administrator:
0000922 1/4 2000pcs 华兴三B14</s:t>
              </s:r>
            </s:text>
          </item>
        </commentChain>
      </unresolved>
      <resolved/>
    </commentChains>
    <commentChains s:ref="AI16" rgbClr="FF0000">
      <unresolved>
        <commentChain chainId="c9e7d380dc128c9e17eca6683eefcdb23238b588">
          <item id="5cab3b1af26b9d47bbd89a92866ea6ec34485a55" isNormal="1">
            <s:text>
              <s:r>
                <s:t xml:space="preserve">Administrator:
12/17 上进口商贴纸 2000pcs</s:t>
              </s:r>
            </s:text>
          </item>
        </commentChain>
      </unresolved>
      <resolved/>
    </commentChains>
    <commentChains s:ref="AI17" rgbClr="FF0000">
      <unresolved>
        <commentChain chainId="ba8755954e62ced7d13d96ac0fbdbbd15a017dc3">
          <item id="a3e409c4f5b8eae785d324c6ad39ba2db583e711" isNormal="1">
            <s:text>
              <s:r>
                <s:t xml:space="preserve">Administrator:
12/10 上WIC贴纸 8528pcs</s:t>
              </s:r>
            </s:text>
          </item>
        </commentChain>
      </unresolved>
      <resolved/>
    </commentChains>
    <commentChains s:ref="AF18" rgbClr="FF0000">
      <unresolved>
        <commentChain chainId="c4ebbbb5b193562cf2a5c23a1946739d8a2ed11e">
          <item id="52b915fd80282bd3ee297b9941c43a84162838b9" isNormal="1">
            <s:text>
              <s:r>
                <s:t xml:space="preserve">Administrator:
0000996 1/8 1976pcs 华兴三B14
0001024 1/8  52pcs  华兴三B14</s:t>
              </s:r>
            </s:text>
          </item>
        </commentChain>
      </unresolved>
      <resolved/>
    </commentChains>
    <commentChains s:ref="AI18" rgbClr="FF0000">
      <unresolved>
        <commentChain chainId="6845f2aa9253b94bc39641408697d5f9c915c15d">
          <item id="98440d3c8ef563d02c675bc5f9a0067213c21c47" isNormal="1">
            <s:text>
              <s:r>
                <s:t xml:space="preserve">Administrator:
12/16 上进口商贴纸 2028pcs
      上PDQ EAN贴纸 39pcs
12/28 上PDQ EAN贴纸 156pcs
12/30 上空白贴纸1 156pcs
      上空白贴纸2 312pcs</s:t>
              </s:r>
            </s:text>
          </item>
        </commentChain>
      </unresolved>
      <resolved/>
    </commentChains>
    <commentChains s:ref="AF19" rgbClr="FF0000">
      <unresolved>
        <commentChain chainId="a8208e417809cc9be8f4838343024683bad93b5e">
          <item id="c659acce251dbda3ab0864b6f15617cbc7897cb9" isNormal="1">
            <s:text>
              <s:r>
                <s:t xml:space="preserve">Administrator:
0001008 1/9 1800pcs 已走货</s:t>
              </s:r>
            </s:text>
          </item>
        </commentChain>
      </unresolved>
      <resolved/>
    </commentChains>
    <commentChains s:ref="AI19" rgbClr="FF0000">
      <unresolved>
        <commentChain chainId="7d94ac882f425b655e58aa9993ec863d235c1663">
          <item id="f3d122c2fe64950b620386c8cfc4175b71a1c4ac" isNormal="1">
            <s:text>
              <s:r>
                <s:t xml:space="preserve">Administrator:
12/13 上客供价格贴纸 1890pcs
12/17 上UCC外箱贴纸 150pcs</s:t>
              </s:r>
            </s:text>
          </item>
        </commentChain>
      </unresolved>
      <resolved/>
    </commentChains>
    <commentChains s:ref="AF20" rgbClr="FF0000">
      <unresolved>
        <commentChain chainId="ce992dac3a9c0a3c118ad21ae0eedbf514115602">
          <item id="ee3afad81e1bf9bcb872f1202c780439dd354f54" isNormal="1">
            <s:text>
              <s:r>
                <s:t xml:space="preserve">Administrator:
0001008 1/9 3600pcs 已走货</s:t>
              </s:r>
            </s:text>
          </item>
        </commentChain>
      </unresolved>
      <resolved/>
    </commentChains>
    <commentChains s:ref="AI20" rgbClr="FF0000">
      <unresolved>
        <commentChain chainId="7655dddf6f2a88d833f5f582a10bcd85047d9130">
          <item id="f34d1c4c2ef253e7ee4111f5d70f03c43ce996df" isNormal="1">
            <s:text>
              <s:r>
                <s:t xml:space="preserve">Administrator:
12/13 上客供价格贴纸 3780pcs
12/17 上UCC外箱贴纸 300pcs</s:t>
              </s:r>
            </s:text>
          </item>
        </commentChain>
      </unresolved>
      <resolved/>
    </commentChains>
    <commentChains s:ref="AF21" rgbClr="FF0000">
      <unresolved>
        <commentChain chainId="f9eed2b545a4ed70e601f93c61ced6b643a0bdf1">
          <item id="b8ce5de5d05247f2c9d51c11e3b140a8f9bc8ba8" isNormal="1">
            <s:text>
              <s:r>
                <s:t xml:space="preserve">Administrator:
0000996 1/8 600pcs 华兴三B14</s:t>
              </s:r>
            </s:text>
          </item>
        </commentChain>
      </unresolved>
      <resolved/>
    </commentChains>
    <commentChains s:ref="AI21" rgbClr="FF0000">
      <unresolved>
        <commentChain chainId="bc327e5d68c7773302e425092c7d695f78ef49f1">
          <item id="4bfa61ab6f3696b8189221fb2e08c96e64ba951b" isNormal="1">
            <s:text>
              <s:r>
                <s:t xml:space="preserve">Administrator:
12/3 上客供价格贴纸 630pcs</s:t>
              </s:r>
            </s:text>
          </item>
        </commentChain>
      </unresolved>
      <resolved/>
    </commentChains>
    <commentChains s:ref="AF22" rgbClr="FF0000">
      <unresolved>
        <commentChain chainId="d72a8f42f6fde6aa4db02a3b6d3a24dbb2f5ca8b">
          <item id="f48b502161cc3e56b8e329c2432e0dfab83f036a" isNormal="1">
            <s:text>
              <s:r>
                <s:t xml:space="preserve">Administrator:
0001024 1/9 1152pcs 华兴三B6</s:t>
              </s:r>
            </s:text>
          </item>
        </commentChain>
      </unresolved>
      <resolved/>
    </commentChains>
    <commentChains s:ref="AI22" rgbClr="FF0000">
      <unresolved>
        <commentChain chainId="19cbedc4992ff85e2711012b1cad831aa20e22ba">
          <item id="ddab91a99f2f0c65612265bc1857f82fd83095de" isNormal="1">
            <s:text>
              <s:r>
                <s:t xml:space="preserve">Administrator:
12/26 上客供RFID贴纸 1152pcs</s:t>
              </s:r>
            </s:text>
          </item>
        </commentChain>
      </unresolved>
      <resolved/>
    </commentChains>
    <commentChains s:ref="AF23" rgbClr="FF0000">
      <unresolved>
        <commentChain chainId="b6592f1123ec3c273e080aca230b86e373c9fd54">
          <item id="807f2772e56d173b2735909ffd874ef18866ec50" isNormal="1">
            <s:text>
              <s:r>
                <s:t xml:space="preserve">Administrator:
0001024 1/9 3456pcs  华兴三B6
</s:t>
              </s:r>
            </s:text>
          </item>
        </commentChain>
      </unresolved>
      <resolved/>
    </commentChains>
    <commentChains s:ref="AI23" rgbClr="FF0000">
      <unresolved>
        <commentChain chainId="c7642938339f1bc1324ea67fa19d39324725c88d">
          <item id="25476a5f11a322bbd15b34931063b0e6c43b7f14" isNormal="1">
            <s:text>
              <s:r>
                <s:t xml:space="preserve">Administrator:
12/26 上客供RFID贴纸 3456pcs</s:t>
              </s:r>
            </s:text>
          </item>
        </commentChain>
      </unresolved>
      <resolved/>
    </commentChains>
    <commentChains s:ref="AF24" rgbClr="FF0000">
      <unresolved>
        <commentChain chainId="1a98f1f9d27621a013acfac8965c7d81d3552eeb">
          <item id="6833b806af96182bf554b0b77e7be571c7c6fcc3" isNormal="1">
            <s:text>
              <s:r>
                <s:t xml:space="preserve">Administrator:
0001024 1/9 1152pcs  华兴三B6
</s:t>
              </s:r>
            </s:text>
          </item>
        </commentChain>
      </unresolved>
      <resolved/>
    </commentChains>
    <commentChains s:ref="AI24" rgbClr="FF0000">
      <unresolved>
        <commentChain chainId="0706592e8b70ae65ce4a599afc3a7ddc2d6a5829">
          <item id="1be154c83e72f582c70b87fa65ef8deba3e8fe69" isNormal="1">
            <s:text>
              <s:r>
                <s:t xml:space="preserve">Administrator:
12/26 上客供RFID贴纸 1152pcs</s:t>
              </s:r>
            </s:text>
          </item>
        </commentChain>
      </unresolved>
      <resolved/>
    </commentChains>
    <commentChains s:ref="AF25" rgbClr="FF0000">
      <unresolved>
        <commentChain chainId="6f88bbca3b7b259ea4f1fa35073a6e702f098a58">
          <item id="33bd72e42ee14e5aef270ccd13e98ad9c75c41c7" isNormal="1">
            <s:text>
              <s:r>
                <s:t xml:space="preserve">Administrator:
0001024 1/9 2304pcs  华兴三B6
</s:t>
              </s:r>
            </s:text>
          </item>
        </commentChain>
      </unresolved>
      <resolved/>
    </commentChains>
    <commentChains s:ref="AI25" rgbClr="FF0000">
      <unresolved>
        <commentChain chainId="532b055856bf828ca3ab008e459b409c3409af36">
          <item id="1b0f13800252a828114df87a507b34fa6acc0504" isNormal="1">
            <s:text>
              <s:r>
                <s:t xml:space="preserve">Administrator:
12/26 上客供RFID贴纸 2304pcs</s:t>
              </s:r>
            </s:text>
          </item>
        </commentChain>
      </unresolved>
      <resolved/>
    </commentChains>
    <commentChains s:ref="AI26" rgbClr="FF0000">
      <unresolved>
        <commentChain chainId="2dcd39646551c9834afae9796203152e3678931c">
          <item id="5315cc90858cb18b743f75a540ef5dc0fd172645" isNormal="1">
            <s:text>
              <s:r>
                <s:t xml:space="preserve">Administrator:
12/26 上客供RFID贴纸 2304pcs</s:t>
              </s:r>
            </s:text>
          </item>
        </commentChain>
      </unresolved>
      <resolved/>
    </commentChains>
    <commentChains s:ref="AF27" rgbClr="FF0000">
      <unresolved>
        <commentChain chainId="a026e714da86e420780ebff54996df8f39cf3bc6">
          <item id="5668cc1aed8e5107d632da29231e339a2ab8dbd7" isNormal="1">
            <s:text>
              <s:r>
                <s:t xml:space="preserve">Administrator:
0001024 1/9 3456pcs  华兴三B6
</s:t>
              </s:r>
            </s:text>
          </item>
        </commentChain>
      </unresolved>
      <resolved/>
    </commentChains>
    <commentChains s:ref="AI27" rgbClr="FF0000">
      <unresolved>
        <commentChain chainId="c6f75c66492ed8b58d1dfd0d5c79ebd035abeae2">
          <item id="cdacc595c967ebce7ec12dc45b2b901305cb4464" isNormal="1">
            <s:text>
              <s:r>
                <s:t xml:space="preserve">Administrator:
12/26 上客供RFID贴纸 3456pcs</s:t>
              </s:r>
            </s:text>
          </item>
        </commentChain>
      </unresolved>
      <resolved/>
    </commentChains>
    <commentChains s:ref="AF28" rgbClr="FF0000">
      <unresolved>
        <commentChain chainId="9c714ef2f12f14197c15e5b90788a45a8dc9a542">
          <item id="38a8bc3a20831b1958439e96c94315b4c0781d6a" isNormal="1">
            <s:text>
              <s:r>
                <s:t xml:space="preserve">Administrator:
0001024 1/9 1152pcs  华兴三B6
</s:t>
              </s:r>
            </s:text>
          </item>
        </commentChain>
      </unresolved>
      <resolved/>
    </commentChains>
    <commentChains s:ref="AI28" rgbClr="FF0000">
      <unresolved>
        <commentChain chainId="5293685b13e76a61f850992e9e0927cfc5f1977e">
          <item id="f4ee76cd442d827b1847fa435e53adf1b35353e3" isNormal="1">
            <s:text>
              <s:r>
                <s:t xml:space="preserve">Administrator:
12/26 上客供RFID贴纸 1152pcs</s:t>
              </s:r>
            </s:text>
          </item>
        </commentChain>
      </unresolved>
      <resolved/>
    </commentChains>
    <commentChains s:ref="AF29" rgbClr="FF0000">
      <unresolved>
        <commentChain chainId="5b700f26fb33d185e7d570111ab01fe6a558cc3e">
          <item id="efb3dbaaa4d27bab2c4c87dda2fac2e5c487f1ea" isNormal="1">
            <s:text>
              <s:r>
                <s:t xml:space="preserve">Administrator:
0000934 12/31 600pcs 华兴三A2</s:t>
              </s:r>
            </s:text>
          </item>
        </commentChain>
      </unresolved>
      <resolved/>
    </commentChains>
    <commentChains s:ref="AI29" rgbClr="FF0000">
      <unresolved>
        <commentChain chainId="6e2fddb78c5d20dc2c2f8c21aab1c2ad5df126a4">
          <item id="798479fe1b5ecdbe71480ccd7e1e42639aee0381" isNormal="1">
            <s:text>
              <s:r>
                <s:t xml:space="preserve">Administrator:
12/23 上客供价格贴纸 660pcs
12/18 上空白贴纸 4800pcs
147801/147799/147804/147806共用</s:t>
              </s:r>
            </s:text>
          </item>
        </commentChain>
      </unresolved>
      <resolved/>
    </commentChains>
    <commentChains s:ref="AI30" rgbClr="FF0000">
      <unresolved>
        <commentChain chainId="e67754fc8f21c41b5f90ca8f8e9f314c96f6f8b1">
          <item id="02373354c15b9335441b82c4f91b7a955a391870" isNormal="1">
            <s:text>
              <s:r>
                <s:t xml:space="preserve">Administrator:
12/23 上客供价格贴纸 660pcs
12/18 上空白贴纸 4800pcs
147801/147799/147804/147806共用</s:t>
              </s:r>
            </s:text>
          </item>
        </commentChain>
      </unresolved>
      <resolved/>
    </commentChains>
    <commentChains s:ref="AF31" rgbClr="FF0000">
      <unresolved>
        <commentChain chainId="bfaf90e611a1f7a8888db51e7f5a0e3961e0fc98">
          <item id="34bd7fa42a8d5e296569e74f75f2eee6f3faf019" isNormal="1">
            <s:text>
              <s:r>
                <s:t xml:space="preserve">Administrator:
0001097 1/16 2388pcs  华兴三B8
0001132 1/17  12pcs   华兴三B8</s:t>
              </s:r>
            </s:text>
          </item>
        </commentChain>
      </unresolved>
      <resolved/>
    </commentChains>
    <commentChains s:ref="AI31" rgbClr="FF0000">
      <unresolved>
        <commentChain chainId="b06687ed5087b462f2d3472d96ae635d6ead136b">
          <item id="e318ff936dfd50175514b00b89714834b6a5f515" isNormal="1">
            <s:text>
              <s:r>
                <s:t xml:space="preserve">Administrator:
12/19 上客供价格贴纸 2520pcs</s:t>
              </s:r>
            </s:text>
          </item>
        </commentChain>
      </unresolved>
      <resolved/>
    </commentChains>
    <commentChains s:ref="AF32" rgbClr="FF0000">
      <unresolved>
        <commentChain chainId="355af1ad9597bb9cf96166ca70aae2253d55a7a2">
          <item id="43b3ca4eeb09b0e3886451c01bc665c39ea17516" isNormal="1">
            <s:text>
              <s:r>
                <s:t xml:space="preserve">Administrator:
0001108 1/16 1000pcs 华兴三B8</s:t>
              </s:r>
            </s:text>
          </item>
        </commentChain>
      </unresolved>
      <resolved/>
    </commentChains>
    <commentChains s:ref="AI32" rgbClr="FF0000">
      <unresolved>
        <commentChain chainId="fb01feff3c95d32f30120a5ffa6e132e3a0788a6">
          <item id="9e4ffdd7e72f55a5f70817a3ee5a3d5c13b03e7a" isNormal="1">
            <s:text>
              <s:r>
                <s:t xml:space="preserve">Administrator:
12/18 上客户警语贴纸（含环保标） 1000pcs</s:t>
              </s:r>
            </s:text>
          </item>
        </commentChain>
      </unresolved>
      <resolved/>
    </commentChains>
    <commentChains s:ref="AF33" rgbClr="FF0000">
      <unresolved>
        <commentChain chainId="2a6802d631859d6969786d90216c89a7c4cc00fc">
          <item id="f97632db8cc6f0b5eb633ec338dc9f3884ac2c13" isNormal="1">
            <s:text>
              <s:r>
                <s:t xml:space="preserve">Administrator:
0001031 1/10 640pcs 华兴一C7</s:t>
              </s:r>
            </s:text>
          </item>
        </commentChain>
      </unresolved>
      <resolved/>
    </commentChains>
    <commentChains s:ref="AF34" rgbClr="FF0000">
      <unresolved>
        <commentChain chainId="c8eba41b934f7b5c553d5d5ae24c71f64ea788d2">
          <item id="f2b140de5cba9642055327a56bcb482cdf162a98" isNormal="1">
            <s:text>
              <s:r>
                <s:t xml:space="preserve">Administrator:
0001108 1/16 2100pcs  华兴三B9
0001109 1/17 2500pcs  华兴三B9
</s:t>
              </s:r>
            </s:text>
          </item>
        </commentChain>
      </unresolved>
      <resolved/>
    </commentChains>
    <commentChains s:ref="AI34" rgbClr="FF0000">
      <unresolved>
        <commentChain chainId="abe03df445e9919c94c15a4d93af54af9e64fda4">
          <item id="d2b5855539a23279033c18992e517866ae317215" isNormal="1">
            <s:text>
              <s:r>
                <s:t xml:space="preserve">Administrator:
12/23 上进口商贴纸 4600pcs
12/24 上UPC条码贴纸 4600pcs</s:t>
              </s:r>
            </s:text>
          </item>
        </commentChain>
      </unresolved>
      <resolved/>
    </commentChains>
    <commentChains s:ref="AF35" rgbClr="FF0000">
      <unresolved>
        <commentChain chainId="acfde6e0eee637ab381adee97fbb71514497a92d">
          <item id="823b768f1a6ae0cc55c2e910f6bbab9619f8ba69" isNormal="1">
            <s:text>
              <s:r>
                <s:t xml:space="preserve">Administrator:
0001079 1/15 750pcs 华兴三B14</s:t>
              </s:r>
            </s:text>
          </item>
        </commentChain>
      </unresolved>
      <resolved/>
    </commentChains>
    <commentChains s:ref="AI35" rgbClr="FF0000">
      <unresolved>
        <commentChain chainId="3798b61c55dee0be8f48ba9dd231e130517af120">
          <item id="b3bb10a1ff46f26e1144e23bedc1504ff78e2817" isNormal="1">
            <s:text>
              <s:r>
                <s:t xml:space="preserve">Administrator:
12/25 上UPC贴纸 750pcs</s:t>
              </s:r>
            </s:text>
          </item>
        </commentChain>
      </unresolved>
      <resolved/>
    </commentChains>
    <commentChains s:ref="AF36" rgbClr="FF0000">
      <unresolved>
        <commentChain chainId="188f5d37c86b8021fb793d306de5d54e614e4934">
          <item id="ed8a67a4ff86753ff35ec431e5e8a9db88acb75d" isNormal="1">
            <s:text>
              <s:r>
                <s:t xml:space="preserve">Administrator:
0001110 1/17 2226pcs 华兴三A29</s:t>
              </s:r>
            </s:text>
          </item>
        </commentChain>
      </unresolved>
      <resolved/>
    </commentChains>
    <commentChains s:ref="AI36" rgbClr="FF0000">
      <unresolved>
        <commentChain chainId="72eb3e9dcac1db7646de8357188c530f349f1de5">
          <item id="b1eee51c24c66ad4710e75804d2c7bba8c8ae7c6" isNormal="1">
            <s:text>
              <s:r>
                <s:t xml:space="preserve">Administrator:
12/25 上WIC贴纸 9336pcs
      上PDQ折页 1556pcs</s:t>
              </s:r>
            </s:text>
          </item>
        </commentChain>
      </unresolved>
      <resolved/>
    </commentChains>
    <commentChains s:ref="AF37" rgbClr="FF0000">
      <unresolved>
        <commentChain chainId="866eabede05b74873d844a4032168009414e0c80">
          <item id="32d4755fb447049afba122f0b38fc80e3e319114" isNormal="1">
            <s:text>
              <s:r>
                <s:t xml:space="preserve">Administrator:
0001110 1/17 708pcs 华兴三A29
</s:t>
              </s:r>
            </s:text>
          </item>
        </commentChain>
      </unresolved>
      <resolved/>
    </commentChains>
    <commentChains s:ref="AF38" rgbClr="FF0000">
      <unresolved>
        <commentChain chainId="3a2ded8e9e992b523fa58a84a07d6178bcc8ed24">
          <item id="7dbf316b430360189f4649bc97c1e02e4eb97bb9" isNormal="1">
            <s:text>
              <s:r>
                <s:t xml:space="preserve">Administrator:
0001110 1/17 942pcs 华兴三A29
</s:t>
              </s:r>
            </s:text>
          </item>
        </commentChain>
      </unresolved>
      <resolved/>
    </commentChains>
    <commentChains s:ref="AF39" rgbClr="FF0000">
      <unresolved>
        <commentChain chainId="6f34f7700b07a6b7c201762a3c8f519c9bf93205">
          <item id="4958bfdf47bc184ffe340e56fd462b7a8bfa36de" isNormal="1">
            <s:text>
              <s:r>
                <s:t xml:space="preserve">Administrator:
0001110 1/17 1416pcs 华兴三A29
</s:t>
              </s:r>
            </s:text>
          </item>
        </commentChain>
      </unresolved>
      <resolved/>
    </commentChains>
    <commentChains s:ref="AF40" rgbClr="FF0000">
      <unresolved>
        <commentChain chainId="ee3772f09529060664f9418fb7890561c7e699fc">
          <item id="be04474ca8f20c75b6cdadf5412e24f522fbf582" isNormal="1">
            <s:text>
              <s:r>
                <s:t xml:space="preserve">Administrator:
0001110 1/17 2010pcs 华兴三A29
</s:t>
              </s:r>
            </s:text>
          </item>
        </commentChain>
      </unresolved>
      <resolved/>
    </commentChains>
    <commentChains s:ref="AF41" rgbClr="FF0000">
      <unresolved>
        <commentChain chainId="3e65ae8cad1c3e7e153c30e7798367bdf0b4c7d1">
          <item id="2e9447101ad873e3ae114821581946ee131e0792" isNormal="1">
            <s:text>
              <s:r>
                <s:t xml:space="preserve">Administrator:
0001110 1/17 768pcs</s:t>
              </s:r>
            </s:text>
          </item>
        </commentChain>
      </unresolved>
      <resolved/>
    </commentChains>
    <commentChains s:ref="AF42" rgbClr="FF0000">
      <unresolved>
        <commentChain chainId="8c1f04babf0baca346d24086167ce0e258fcd313">
          <item id="b35c7eedbf5d0b09619f5ea1ec7191f8413b7d18" isNormal="1">
            <s:text>
              <s:r>
                <s:t xml:space="preserve">Administrator:
0001110 1/17 1266pcs 华兴三A29
</s:t>
              </s:r>
            </s:text>
          </item>
        </commentChain>
      </unresolved>
      <resolved/>
    </commentChains>
    <commentChains s:ref="AF43" rgbClr="FF0000">
      <unresolved>
        <commentChain chainId="4812d0d0425b3e1e97b42d6d4917f63c7d7ae4c5">
          <item id="862c20143023baa74727cdd4fedfe34a83c90f08" isNormal="1">
            <s:text>
              <s:r>
                <s:t xml:space="preserve">Administrator:
0001109 1/17 2600pcs 华兴三B15</s:t>
              </s:r>
            </s:text>
          </item>
        </commentChain>
      </unresolved>
      <resolved/>
    </commentChains>
    <commentChains s:ref="AI43" rgbClr="FF0000">
      <unresolved>
        <commentChain chainId="618d32f098a8a0097ada54963e32b76ebac1707e">
          <item id="fe3399bc96c39667b8e44601e2906cee6adeb0b4" isNormal="1">
            <s:text>
              <s:r>
                <s:t xml:space="preserve">Administrator:
12/12 上客户EAN条码贴纸 7176pcs</s:t>
              </s:r>
            </s:text>
          </item>
        </commentChain>
      </unresolved>
      <resolved/>
    </commentChains>
    <commentChains s:ref="AF44" rgbClr="FF0000">
      <unresolved>
        <commentChain chainId="85e9ef17b73af1d4513df6d1ce5cec5fcb58f5f0">
          <item id="2f8ef022b5cde8824e23b0dc7c8f6a58aaff9ebc" isNormal="1">
            <s:text>
              <s:r>
                <s:t xml:space="preserve">Administrator:
0001109 1/17 1456pcs 华兴三B15</s:t>
              </s:r>
            </s:text>
          </item>
        </commentChain>
      </unresolved>
      <resolved/>
    </commentChains>
    <commentChains s:ref="AF45" rgbClr="FF0000">
      <unresolved>
        <commentChain chainId="9a21eb60c9dc2bf1ca4869e5230d1b1288797d12">
          <item id="65d12481bb655ee5732e78006827393bbaf2c718" isNormal="1">
            <s:text>
              <s:r>
                <s:t xml:space="preserve">Administrator:
0001132 1/17 600pcs 华兴三A26</s:t>
              </s:r>
            </s:text>
          </item>
        </commentChain>
      </unresolved>
      <resolved/>
    </commentChains>
    <commentChains s:ref="AI45" rgbClr="FF0000">
      <unresolved>
        <commentChain chainId="03e75e017d3b6347ddd6155efef7967b55aae190">
          <item id="3fd96a3fe2f98b247cd63f8e3e3e3a6f2278f985" isNormal="1">
            <s:text>
              <s:r>
                <s:t xml:space="preserve">Administrator:
12/23 上客供价格贴纸 660pcs
12/18 上空白贴纸 4800pcs
147801/147799/147804/147806共用</s:t>
              </s:r>
            </s:text>
          </item>
        </commentChain>
      </unresolved>
      <resolved/>
    </commentChains>
    <commentChains s:ref="AF47" rgbClr="FF0000">
      <unresolved>
        <commentChain chainId="5100d6f3c1dcf351e96c965456324dc109ec0cf9">
          <item id="bcb5be4e504c92b727baa803fea2ee2edde75218" isNormal="1">
            <s:text>
              <s:r>
                <s:t xml:space="preserve">Administrator:
0001132 1/17 336pcs 华兴三B7</s:t>
              </s:r>
            </s:text>
          </item>
        </commentChain>
      </unresolved>
      <resolved/>
    </commentChains>
    <commentChains s:ref="AF50" rgbClr="FF0000">
      <unresolved>
        <commentChain chainId="f64879aef6fae9af95cc4051ff97dd0c275dbf98">
          <item id="3ce029409a2d5916b2c05ca2eb5963a693e62ff5" isNormal="1">
            <s:text>
              <s:r>
                <s:t xml:space="preserve">Administrator:
0001132 1/17 600pcs 华兴三B7</s:t>
              </s:r>
            </s:text>
          </item>
        </commentChain>
      </unresolved>
      <resolved/>
    </commentChains>
    <commentChains s:ref="AF51" rgbClr="FF0000">
      <unresolved>
        <commentChain chainId="61319104a386bcf9838ee7106c5511bf5e86e928">
          <item id="072de920c1da2e59f2e68acbaf453ca4f16df6bb" isNormal="1">
            <s:text>
              <s:r>
                <s:t xml:space="preserve">Administrator:
0001097 1/16 2304pcs 华兴三B4</s:t>
              </s:r>
            </s:text>
          </item>
        </commentChain>
      </unresolved>
      <resolved/>
    </commentChains>
    <commentChains s:ref="AI51" rgbClr="FF0000">
      <unresolved>
        <commentChain chainId="5047e80bc72d0a035099ddcdaae65c6922548528">
          <item id="729189c279216dc71a12c2344f47f50c7b74f919" isNormal="1">
            <s:text>
              <s:r>
                <s:t xml:space="preserve">Administrator:
1/3 上客供RFID贴纸 2304pcs</s:t>
              </s:r>
            </s:text>
          </item>
        </commentChain>
      </unresolved>
      <resolved/>
    </commentChains>
    <commentChains s:ref="AF52" rgbClr="FF0000">
      <unresolved>
        <commentChain chainId="9518a63b16950fa46e89be4f52fdce4cd7e6a13c">
          <item id="205e4cf680f3c0b2dac014f01b0f3203577dbba0" isNormal="1">
            <s:text>
              <s:r>
                <s:t xml:space="preserve">Administrator:
0001109 1/17 1152pcs 华兴三B5</s:t>
              </s:r>
            </s:text>
          </item>
        </commentChain>
      </unresolved>
      <resolved/>
    </commentChains>
    <commentChains s:ref="AI52" rgbClr="FF0000">
      <unresolved>
        <commentChain chainId="55f75f1d716a58ccb3ed72359eca95c5b6c720d1">
          <item id="88b61da5e12e950893a06fb52ef9a3696b09852d" isNormal="1">
            <s:text>
              <s:r>
                <s:t xml:space="preserve">Administrator:
1/3 上客供RFID贴纸 1152pcs</s:t>
              </s:r>
            </s:text>
          </item>
        </commentChain>
      </unresolved>
      <resolved/>
    </commentChains>
    <commentChains s:ref="AF53" rgbClr="FF0000">
      <unresolved>
        <commentChain chainId="6867e6a3dac8d2cade797b52ee43dda33e9a91e4">
          <item id="b316811a8280251ab20669b90c89fc5defd6049a" isNormal="1">
            <s:text>
              <s:r>
                <s:t xml:space="preserve">Administrator:
0001109 1/17 3456pcs 华兴三B5
</s:t>
              </s:r>
            </s:text>
          </item>
        </commentChain>
      </unresolved>
      <resolved/>
    </commentChains>
    <commentChains s:ref="AI53" rgbClr="FF0000">
      <unresolved>
        <commentChain chainId="7ac2ff7ecef4d21703d0cb0fa0096ae6fd83f145">
          <item id="0ddaee031a9afb22aaa439a451631ab04bcc7c62" isNormal="1">
            <s:text>
              <s:r>
                <s:t xml:space="preserve">Administrator:
1/3 上客供RFID贴纸 3456pcs</s:t>
              </s:r>
            </s:text>
          </item>
        </commentChain>
      </unresolved>
      <resolved/>
    </commentChains>
    <commentChains s:ref="AF54" rgbClr="FF0000">
      <unresolved>
        <commentChain chainId="607852a37368dbfbc712a3b166a2350140397b95">
          <item id="66b937b997f4a3da10dce77851d67ee65be1f8dd" isNormal="1">
            <s:text>
              <s:r>
                <s:t xml:space="preserve">Administrator:
0001109 1/17 1152pcs 华兴三B5
</s:t>
              </s:r>
            </s:text>
          </item>
        </commentChain>
      </unresolved>
      <resolved/>
    </commentChains>
    <commentChains s:ref="AI54" rgbClr="FF0000">
      <unresolved>
        <commentChain chainId="1f0c8ef49204b6a6ea31be0659eaf70fc95666f5">
          <item id="afd5f0187107aa91549d927eff2112b2f55ab33e" isNormal="1">
            <s:text>
              <s:r>
                <s:t xml:space="preserve">Administrator:
1/3 上客供RFID贴纸 1152pcs</s:t>
              </s:r>
            </s:text>
          </item>
        </commentChain>
      </unresolved>
      <resolved/>
    </commentChains>
    <commentChains s:ref="AI55" rgbClr="FF0000">
      <unresolved>
        <commentChain chainId="1173dda9849bc86eefbdc07ddcb78101f8856eeb">
          <item id="4681412d577c69a57b63da23d25143c86493da64" isNormal="1">
            <s:text>
              <s:r>
                <s:t xml:space="preserve">Administrator:
1/3 上客供RFID贴纸 1152pcs</s:t>
              </s:r>
            </s:text>
          </item>
        </commentChain>
      </unresolved>
      <resolved/>
    </commentChains>
    <commentChains s:ref="AI56" rgbClr="FF0000">
      <unresolved>
        <commentChain chainId="7112ecb76af3e787499a1d7a1f6151663b333cac">
          <item id="6fef510089ca454ac0da7b86cf28266cd420f8a4" isNormal="1">
            <s:text>
              <s:r>
                <s:t xml:space="preserve">Administrator:
1/3 上客供RFID贴纸 1152pcs</s:t>
              </s:r>
            </s:text>
          </item>
        </commentChain>
      </unresolved>
      <resolved/>
    </commentChains>
    <commentChains s:ref="AF57" rgbClr="FF0000">
      <unresolved>
        <commentChain chainId="773c81c794795bec78a355e6bfa8473720dfc059">
          <item id="f6f3016d19b8c268a542ee741fae913dc0adf2fe" isNormal="1">
            <s:text>
              <s:r>
                <s:t xml:space="preserve">Administrator:
0001242 2/18 520pcs 已走货</s:t>
              </s:r>
            </s:text>
          </item>
        </commentChain>
      </unresolved>
      <resolved/>
    </commentChains>
    <commentChains s:ref="AI57" rgbClr="FF0000">
      <unresolved>
        <commentChain chainId="dabdf963ba595428dfa8d449e6de8e1a951dfade">
          <item id="acac699c22849c525d4624cec063c14db784891e" isNormal="1">
            <s:text>
              <s:r>
                <s:t xml:space="preserve">Administrator:
1/6 上进口商贴纸 520pcs</s:t>
              </s:r>
            </s:text>
          </item>
        </commentChain>
      </unresolved>
      <resolved/>
    </commentChains>
    <commentChains s:ref="AF58" rgbClr="FF0000">
      <unresolved>
        <commentChain chainId="1343c861e024a01ad8408eb3e96b0e8e7c53fb57">
          <item id="13b88e0251448509b157e734a6ba050ad07fdba1" isNormal="1">
            <s:text>
              <s:r>
                <s:t xml:space="preserve">Administrator:
0001242 2/18 12pcs 华兴三B7</s:t>
              </s:r>
            </s:text>
          </item>
        </commentChain>
      </unresolved>
      <resolved/>
    </commentChains>
    <commentChains s:ref="AI58" rgbClr="FF0000">
      <unresolved>
        <commentChain chainId="6060b62758f1f70addfbad98f7ae637548640798">
          <item id="c9bf29a11a66a4672fe173fe07db3e82e9b6cad2" isNormal="1">
            <s:text>
              <s:r>
                <s:t xml:space="preserve">Administrator:
1/18 上亚马逊外箱贴纸 1pcs</s:t>
              </s:r>
            </s:text>
          </item>
        </commentChain>
      </unresolved>
      <resolved/>
    </commentChains>
    <commentChains s:ref="AF59" rgbClr="FF0000">
      <unresolved>
        <commentChain chainId="a21e595a76c5d38f3e7c0b0bb189ecf40642ab9e">
          <item id="2a5a776fde44ead727a17a55addb43ae3b59ec18" isNormal="1">
            <s:text>
              <s:r>
                <s:t xml:space="preserve">Administrator:
0001242 2/18 144pcs 华兴三B7</s:t>
              </s:r>
            </s:text>
          </item>
        </commentChain>
      </unresolved>
      <resolved/>
    </commentChains>
    <commentChains s:ref="AI59" rgbClr="FF0000">
      <unresolved>
        <commentChain chainId="9a1b287a325d1d903f6fcf3eb3561208dcf8da82">
          <item id="192f04178e29637a4e5e0b240ad62f0390b725d5" isNormal="1">
            <s:text>
              <s:r>
                <s:t xml:space="preserve">Administrator:
1/18 上亚马逊外箱贴纸 12pcs</s:t>
              </s:r>
            </s:text>
          </item>
        </commentChain>
      </unresolved>
      <resolved/>
    </commentChains>
    <commentChains s:ref="AF60" rgbClr="FF0000">
      <unresolved>
        <commentChain chainId="c000e9a29a161c7eeed5ce4691de660fb601b6f4">
          <item id="a058fcfc2eff6011118e51312b299bc5076a7328" isNormal="1">
            <s:text>
              <s:r>
                <s:t xml:space="preserve">Administrator:
0001242 2/18 1350pcs 华兴三B12</s:t>
              </s:r>
            </s:text>
          </item>
        </commentChain>
      </unresolved>
      <resolved/>
    </commentChains>
    <commentChains s:ref="AI60" rgbClr="FF0000">
      <unresolved>
        <commentChain chainId="a903f4bdc53446b64b90e534a17996a81124582d">
          <item id="71d52af80ca6de5468322882e2e93b6cfe6abbb7" isNormal="1">
            <s:text>
              <s:r>
                <s:t xml:space="preserve">Administrator:
2/11 上客供价标贴纸 1415pcs
2/13 上UPC条码贴纸 4750pcs
     上进口商贴纸 4750pcs
149460/154604/154624/151307共用</s:t>
              </s:r>
            </s:text>
          </item>
        </commentChain>
      </unresolved>
      <resolved/>
    </commentChains>
    <commentChains s:ref="AF61" rgbClr="FF0000">
      <unresolved>
        <commentChain chainId="6fca0d90d8875a025de9fe89d1ef2b20e888472c">
          <item id="093d77fca39aeeb12aed2de4594cd60ae26d3049" isNormal="1">
            <s:text>
              <s:r>
                <s:t xml:space="preserve">Administrator:
0001290 2/21 750pcs 华兴三B14</s:t>
              </s:r>
            </s:text>
          </item>
        </commentChain>
      </unresolved>
      <resolved/>
    </commentChains>
    <commentChains s:ref="AI61" rgbClr="FF0000">
      <unresolved>
        <commentChain chainId="9b5a7a0b51d7a803bb3323b36e059558429b2ef4">
          <item id="db3865a997849afe6e45b507c3a4df909778ad24" isNormal="1">
            <s:text>
              <s:r>
                <s:t xml:space="preserve">Administrator:
2/11 上客供价标贴纸 781pcs
2/13 上UPC条码贴纸 4750pcs
     上进口商贴纸 4750pcs
149460/154604/154624/151307共用
</s:t>
              </s:r>
            </s:text>
          </item>
        </commentChain>
      </unresolved>
      <resolved/>
    </commentChains>
    <commentChains s:ref="AF62" rgbClr="FF0000">
      <unresolved>
        <commentChain chainId="0351fceb1f872691cb9899221c98bb2821507252">
          <item id="b82b7c02c61a58c06e5199420b6560d46b575488" isNormal="1">
            <s:text>
              <s:r>
                <s:t xml:space="preserve">Administrator:
0001947 2/22 416pcs 华兴三A27</s:t>
              </s:r>
            </s:text>
          </item>
        </commentChain>
      </unresolved>
      <resolved/>
    </commentChains>
    <commentChains s:ref="AI62" rgbClr="FF0000">
      <unresolved>
        <commentChain chainId="684888bf661b88df696486378d883d1641c19f40">
          <item id="328c319c39400603ec3e14318d172244e707b501" isNormal="1">
            <s:text>
              <s:r>
                <s:t xml:space="preserve">Administrator:
1/6 上进口商贴纸 416pcs</s:t>
              </s:r>
            </s:text>
          </item>
        </commentChain>
      </unresolved>
      <resolved/>
    </commentChains>
    <commentChains s:ref="AF63" rgbClr="FF0000">
      <unresolved>
        <commentChain chainId="6bd2a1d9ac7897157f500a5449eb0fbd0b065c81">
          <item id="c6240df4fdb7dfb5c3dd820424f98588faf17da8" isNormal="1">
            <s:text>
              <s:r>
                <s:t xml:space="preserve">Administrator:
0001318 2/27 5000pcs 华兴三A27</s:t>
              </s:r>
            </s:text>
          </item>
        </commentChain>
      </unresolved>
      <resolved/>
    </commentChains>
    <commentChains s:ref="AI63" rgbClr="FF0000">
      <unresolved>
        <commentChain chainId="71733515685602d7b141b1b3e2f20377c434713b">
          <item id="081736a3dc27f82728b80ae902e2e36a4fdda2a6" isNormal="1">
            <s:text>
              <s:r>
                <s:t xml:space="preserve">Administrator:
1/14 上日语警语贴纸 5000pcs 作废
2/13 上日语警语贴纸 5000pcs 更新后</s:t>
              </s:r>
            </s:text>
          </item>
        </commentChain>
      </unresolved>
      <resolved/>
    </commentChains>
    <commentChains s:ref="AF64" rgbClr="FF0000">
      <unresolved>
        <commentChain chainId="9b27cc5cf40cb02626f6a204243e4e53bb7a0d13">
          <item id="a901657467c9fd8aeb65c30191a9e3fb3a7acc30" isNormal="1">
            <s:text>
              <s:r>
                <s:t xml:space="preserve">Administrator:
0001318 2/27 3224pcs 华兴三B16</s:t>
              </s:r>
            </s:text>
          </item>
        </commentChain>
      </unresolved>
      <resolved/>
    </commentChains>
    <commentChains s:ref="AI64" rgbClr="FF0000">
      <unresolved>
        <commentChain chainId="21cc21c55a2e526ef71b5127e3d45bc9d9de47a0">
          <item id="58210227d81ca533fb182d615f00473a4cc996e0" isNormal="1">
            <s:text>
              <s:r>
                <s:t xml:space="preserve">Administrator:
1/10 上客户EAN条码贴纸 3224pcs</s:t>
              </s:r>
            </s:text>
          </item>
        </commentChain>
      </unresolved>
      <resolved/>
    </commentChains>
    <commentChains s:ref="AF65" rgbClr="FF0000">
      <unresolved>
        <commentChain chainId="a3b9e2d02e9610022c7b0895618451abb8d5bbe5">
          <item id="6dc0477f23667282e495f869c575964308483e7e" isNormal="1">
            <s:text>
              <s:r>
                <s:t xml:space="preserve">Administrator:
0001310 2/26 2304pcs 华兴三B5</s:t>
              </s:r>
            </s:text>
          </item>
        </commentChain>
      </unresolved>
      <resolved/>
    </commentChains>
    <commentChains s:ref="AI65" rgbClr="FF0000">
      <unresolved>
        <commentChain chainId="b06533ac387623d60001e574d0d37fd1e8c18764">
          <item id="d59d1e2322bfbdd152a8e2a89af6964411bf4261" isNormal="1">
            <s:text>
              <s:r>
                <s:t xml:space="preserve">Administrator:
1/3 上客供RFID贴纸 2304pcs</s:t>
              </s:r>
            </s:text>
          </item>
        </commentChain>
      </unresolved>
      <resolved/>
    </commentChains>
    <commentChains s:ref="AF66" rgbClr="FF0000">
      <unresolved>
        <commentChain chainId="fb4572d446d58e2bfabb00c2185603d97193985a">
          <item id="0d30aaf2137a8b918108aefa8791229ec967895a" isNormal="1">
            <s:text>
              <s:r>
                <s:t xml:space="preserve">Administrator:
0001310 2/26 1152pcs 华兴三B5</s:t>
              </s:r>
            </s:text>
          </item>
        </commentChain>
      </unresolved>
      <resolved/>
    </commentChains>
    <commentChains s:ref="AI66" rgbClr="FF0000">
      <unresolved>
        <commentChain chainId="50ce83ca4a1b6bce9397e5207640589e5c97016b">
          <item id="2b0604d9a21ae363d99d92b853d2cef9164a0ac1" isNormal="1">
            <s:text>
              <s:r>
                <s:t xml:space="preserve">Administrator:
1/3 上客供RFID贴纸 1152pcs</s:t>
              </s:r>
            </s:text>
          </item>
        </commentChain>
      </unresolved>
      <resolved/>
    </commentChains>
    <commentChains s:ref="AI67" rgbClr="FF0000">
      <unresolved>
        <commentChain chainId="99dda7e0439bf26631acb1cfb8c3e4f8efbc6441">
          <item id="d4b41318cbdeea6f27a68dc6199a4813c62ec447" isNormal="1">
            <s:text>
              <s:r>
                <s:t xml:space="preserve">Administrator:
1/3 上客供RFID贴纸 1152pcs</s:t>
              </s:r>
            </s:text>
          </item>
        </commentChain>
      </unresolved>
      <resolved/>
    </commentChains>
    <commentChains s:ref="AI68" rgbClr="FF0000">
      <unresolved>
        <commentChain chainId="d1bf510b101803bbf5819b88a164c1864ca74858">
          <item id="2deb7751cc81c8a6419bd29305490a1c595c1f34" isNormal="1">
            <s:text>
              <s:r>
                <s:t xml:space="preserve">Administrator:
1/3 上客供RFID贴纸 1152pcs</s:t>
              </s:r>
            </s:text>
          </item>
        </commentChain>
      </unresolved>
      <resolved/>
    </commentChains>
    <commentChains s:ref="AI69" rgbClr="FF0000">
      <unresolved>
        <commentChain chainId="3605635da5587f212e77467551c7d3957e287e7f">
          <item id="31b35645969b68d83891bf0469e3856f0ea3f2c9" isNormal="1">
            <s:text>
              <s:r>
                <s:t xml:space="preserve">Administrator:
1/3 上客供RFID贴纸 1152pcs</s:t>
              </s:r>
            </s:text>
          </item>
        </commentChain>
      </unresolved>
      <resolved/>
    </commentChains>
    <commentChains s:ref="AI70" rgbClr="FF0000">
      <unresolved>
        <commentChain chainId="eea095c936f4e0c406559ac2523007973a6b985f">
          <item id="9569dec4ae5929969e862caf312ba0db033d43f2" isNormal="1">
            <s:text>
              <s:r>
                <s:t xml:space="preserve">Administrator:
1/3 上客供RFID贴纸 1152pcs</s:t>
              </s:r>
            </s:text>
          </item>
        </commentChain>
      </unresolved>
      <resolved/>
    </commentChains>
    <commentChains s:ref="AF71" rgbClr="FF0000">
      <unresolved>
        <commentChain chainId="b9ec10302597d6f8e576a116554f58a27250e1d4">
          <item id="14dc0490a825a0024d526b546a450c2392460607" isNormal="1">
            <s:text>
              <s:r>
                <s:t xml:space="preserve">Administrator:
0001318 2/27 2028pcs 华兴三B14
0001358 2/28  52pcs  华兴三B14</s:t>
              </s:r>
            </s:text>
          </item>
        </commentChain>
      </unresolved>
      <resolved/>
    </commentChains>
    <commentChains s:ref="AI71" rgbClr="FF0000">
      <unresolved>
        <commentChain chainId="1003d2aafe9bb959d4004bdd30a6350f22b67469">
          <item id="e216b3215e20c613a26e3c35eefdefd5044c08bd" isNormal="1">
            <s:text>
              <s:r>
                <s:t xml:space="preserve">Administrator:
1/6 上进口商贴纸 2080pcs</s:t>
              </s:r>
            </s:text>
          </item>
        </commentChain>
      </unresolved>
      <resolved/>
    </commentChains>
    <commentChains s:ref="AF72" rgbClr="FF0000">
      <unresolved>
        <commentChain chainId="f05b3022c46971727297e688af6518f680100cf5">
          <item id="ba2c37dbf9f762df80b546139662810ce6515058" isNormal="1">
            <s:text>
              <s:r>
                <s:t xml:space="preserve">Administrator:
0001358 2/28 1350pcs 华兴三B8</s:t>
              </s:r>
            </s:text>
          </item>
        </commentChain>
      </unresolved>
      <resolved/>
    </commentChains>
    <commentChains s:ref="AI72" rgbClr="FF0000">
      <unresolved>
        <commentChain chainId="41f8b30e8062a58d80648ef5975af3c4a3dec668">
          <item id="07e7a03241bcce8299cb827974f9ae19f2808d53" isNormal="1">
            <s:text>
              <s:r>
                <s:t xml:space="preserve">Administrator:
2/13 上UPC条码贴纸 4750pcs
     上进口商贴纸 4750pcs
149460/154604/154624/151307共用
2/18 上客供价格贴纸 1410pcs</s:t>
              </s:r>
            </s:text>
          </item>
        </commentChain>
      </unresolved>
      <resolved/>
    </commentChains>
    <commentChains s:ref="AF73" rgbClr="FF0000">
      <unresolved>
        <commentChain chainId="e71200060ccbeea5ae15cff1015a6d7f97dca0a5">
          <item id="9872838e776511df1407de67d776faadba110c58" isNormal="1">
            <s:text>
              <s:r>
                <s:t xml:space="preserve">Administrator:
0001310 2/26 360pcs 华兴三B13</s:t>
              </s:r>
            </s:text>
          </item>
        </commentChain>
      </unresolved>
      <resolved/>
    </commentChains>
    <commentChains s:ref="AF74" rgbClr="FF0000">
      <unresolved>
        <commentChain chainId="b74e709fb1dfaa12d3188e184fbdb3abab6517f6">
          <item id="d0490f7a047f092eda1627e3a6f143897e46b338" isNormal="1">
            <s:text>
              <s:r>
                <s:t xml:space="preserve">Administrator:
0001358 2/28 1550pcs 华兴三B8
0001343  3/5   50pcs 华兴三B8</s:t>
              </s:r>
            </s:text>
          </item>
        </commentChain>
      </unresolved>
      <resolved/>
    </commentChains>
    <commentChains s:ref="AI74" rgbClr="FF0000">
      <unresolved>
        <commentChain chainId="6e15b8593f6b54848a54e848f1dcb935529a4bdc">
          <item id="a041adbae75dfc3abc91e65510d898b67f39fe26" isNormal="1">
            <s:text>
              <s:r>
                <s:t xml:space="preserve">Administrator:
2/13 上UPC贴纸 1600pcs
     上进口商贴纸 1600pcs</s:t>
              </s:r>
            </s:text>
          </item>
        </commentChain>
      </unresolved>
      <resolved/>
    </commentChains>
    <commentChains s:ref="AF75" rgbClr="FF0000">
      <unresolved>
        <commentChain chainId="c265ccc48131d44d211b1e36f9335bd07fee32e0">
          <item id="ca68c88d06fa438471cca83b42ebadcf6654f8a7" isNormal="1">
            <s:text>
              <s:r>
                <s:t xml:space="preserve">Administrator:
0001358 2/28 1140pcs 华兴三B5
0001343  3/5  12pcs  华兴三B5</s:t>
              </s:r>
            </s:text>
          </item>
        </commentChain>
      </unresolved>
      <resolved/>
    </commentChains>
    <commentChains s:ref="AI75" rgbClr="FF0000">
      <unresolved>
        <commentChain chainId="b0440e5b8c02847631b486e77bef7d692bf5c830">
          <item id="654dec699f9f4b2ab5966378b979664c908e7ebb" isNormal="1">
            <s:text>
              <s:r>
                <s:t xml:space="preserve">Administrator:
2/18 上客供RFID贴纸 1152pcs</s:t>
              </s:r>
            </s:text>
          </item>
        </commentChain>
      </unresolved>
      <resolved/>
    </commentChains>
    <commentChains s:ref="AF76" rgbClr="FF0000">
      <unresolved>
        <commentChain chainId="21380b2d127e787a6656d5437c96de1b1cfd6280">
          <item id="e16cfffb62e4732bc6e59cad1691b89773fc6535" isNormal="1">
            <s:text>
              <s:r>
                <s:t xml:space="preserve">Administrator:
0001396 3/7 2500pcs 华兴三B14</s:t>
              </s:r>
            </s:text>
          </item>
        </commentChain>
      </unresolved>
      <resolved/>
    </commentChains>
    <commentChains s:ref="AI76" rgbClr="FF0000">
      <unresolved>
        <commentChain chainId="667976f7d2033edb7b9970144c5e4cac0062a686">
          <item id="44200d6be85b887917e5351221006ee7d96f5d78" isNormal="1">
            <s:text>
              <s:r>
                <s:t xml:space="preserve">Administrator:
3/4 上UPC贴纸 2500pcs
    上外箱贴纸 50pcs
    上进口商贴纸 2500pcs</s:t>
              </s:r>
            </s:text>
          </item>
        </commentChain>
      </unresolved>
      <resolved/>
    </commentChains>
    <commentChains s:ref="AF77" rgbClr="FF0000">
      <unresolved>
        <commentChain chainId="a7b991bf404b8bb27c0ed0d84c151a45f4a907fd">
          <item id="edfb2c82b92aab89936ed055ca09c6e24457de97" isNormal="1">
            <s:text>
              <s:r>
                <s:t xml:space="preserve">Administrator:
0001358 2/28 1250pcs 华兴三B8
0001343  3/5  50pcs  华兴三B8</s:t>
              </s:r>
            </s:text>
          </item>
        </commentChain>
      </unresolved>
      <resolved/>
    </commentChains>
    <commentChains s:ref="AI77" rgbClr="FF0000">
      <unresolved>
        <commentChain chainId="57a258b8053f940a12ef05adb56aae1202f3b45a">
          <item id="c78be0fb3677bc5538d01edf7556491140d5366e" isNormal="1">
            <s:text>
              <s:r>
                <s:t xml:space="preserve">Administrator:
2/13 上UPC条码贴纸 4750pcs
     上进口商贴纸 4750pcs
149460/154604/154624/151307共用
2/18 上客供价格贴纸 1360pcs
</s:t>
              </s:r>
            </s:text>
          </item>
        </commentChain>
      </unresolved>
      <resolved/>
    </commentChains>
    <commentChains s:ref="AF78" rgbClr="FF0000">
      <unresolved>
        <commentChain chainId="7657d41ab570ec40ef197faab38fc4f88c004aa4">
          <item id="f856440069c48f56461e235fbb22854e5d38eaee" isNormal="1">
            <s:text>
              <s:r>
                <s:t xml:space="preserve">Administrator:
0001442 3/11 1152pcs 华兴三B5</s:t>
              </s:r>
            </s:text>
          </item>
        </commentChain>
      </unresolved>
      <resolved/>
    </commentChains>
    <commentChains s:ref="AI78" rgbClr="FF0000">
      <unresolved>
        <commentChain chainId="0a5b4fba0636398bc9dc749409ce1cb8b7a0fa2f">
          <item id="ff16ded2afbf179d538e78aa5dec78858a669a88" isNormal="1">
            <s:text>
              <s:r>
                <s:t xml:space="preserve">Administrator:
2/11 上客供RFID贴纸 1152pcs</s:t>
              </s:r>
            </s:text>
          </item>
        </commentChain>
      </unresolved>
      <resolved/>
    </commentChains>
    <commentChains s:ref="AI79" rgbClr="FF0000">
      <unresolved>
        <commentChain chainId="ef3164e0fc9fb46978bb81a43c62be619765e8d9">
          <item id="51f475d2ceb501739b32361388b411562342dd49" isNormal="1">
            <s:text>
              <s:r>
                <s:t xml:space="preserve">Administrator:
2/11 上客供RFID贴纸 1152pcs</s:t>
              </s:r>
            </s:text>
          </item>
        </commentChain>
      </unresolved>
      <resolved/>
    </commentChains>
    <commentChains s:ref="AF80" rgbClr="FF0000">
      <unresolved>
        <commentChain chainId="81189430916004e5ad4f7a584138dcd15c2cf8ff">
          <item id="de0ee369f95d1081b98462575c08bb2800749fc3" isNormal="1">
            <s:text>
              <s:r>
                <s:t xml:space="preserve">Administrator:
0001456 3/12 3456pcs 华兴三B6</s:t>
              </s:r>
            </s:text>
          </item>
        </commentChain>
      </unresolved>
      <resolved/>
    </commentChains>
    <commentChains s:ref="AI80" rgbClr="FF0000">
      <unresolved>
        <commentChain chainId="88ed4c85c19ec9f9ace002a0ca57f8e7790aaa7a">
          <item id="7d55bec1e31f92e9e112a04bab714ccd5885de89" isNormal="1">
            <s:text>
              <s:r>
                <s:t xml:space="preserve">Administrator:
2/11 上客供RFID贴纸 3456pcs</s:t>
              </s:r>
            </s:text>
          </item>
        </commentChain>
      </unresolved>
      <resolved/>
    </commentChains>
    <commentChains s:ref="AF81" rgbClr="FF0000">
      <unresolved>
        <commentChain chainId="f64f957746c5fd80e3526d2829de4eec3b7d0995">
          <item id="51b441917b51a6e91cf6fddc8e5bcf8fc26f8731" isNormal="1">
            <s:text>
              <s:r>
                <s:t xml:space="preserve">Administrator:
0001456 3/12 2304pcs 华兴三B6</s:t>
              </s:r>
            </s:text>
          </item>
        </commentChain>
      </unresolved>
      <resolved/>
    </commentChains>
    <commentChains s:ref="AI81" rgbClr="FF0000">
      <unresolved>
        <commentChain chainId="bdbf49ae2e7b550ead66be22ab4ae4f187443692">
          <item id="56a37a86f5f30ef4cf0b1999f318055fa7821228" isNormal="1">
            <s:text>
              <s:r>
                <s:t xml:space="preserve">Administrator:
2/11 上客供RFID贴纸 2304pcs</s:t>
              </s:r>
            </s:text>
          </item>
        </commentChain>
      </unresolved>
      <resolved/>
    </commentChains>
    <commentChains s:ref="AF82" rgbClr="FF0000">
      <unresolved>
        <commentChain chainId="8dd3e258d54987656cb86fc4f4c9e3d3e107e966">
          <item id="5cac5184999771e3e08c474ab7f1be95ef0e02b3" isNormal="1">
            <s:text>
              <s:r>
                <s:t xml:space="preserve">Administrator:
0001442 3/11 1152pcs 华兴三B5</s:t>
              </s:r>
            </s:text>
          </item>
        </commentChain>
      </unresolved>
      <resolved/>
    </commentChains>
    <commentChains s:ref="AI82" rgbClr="FF0000">
      <unresolved>
        <commentChain chainId="3c79d0fd52814575d3f78a3698687b7518903bdb">
          <item id="4fe610ca8cbe35cd05bf7fd4f19a657c58a4731a" isNormal="1">
            <s:text>
              <s:r>
                <s:t xml:space="preserve">Administrator:
2/11 上客供RFID贴纸 1152pcs</s:t>
              </s:r>
            </s:text>
          </item>
        </commentChain>
      </unresolved>
      <resolved/>
    </commentChains>
    <commentChains s:ref="AI83" rgbClr="FF0000">
      <unresolved>
        <commentChain chainId="004b22ae20adb758a5d0a47cc03f954bafae6771">
          <item id="c896d67e7c3cd4ec5f96702ebca0ebe67318c054" isNormal="1">
            <s:text>
              <s:r>
                <s:t xml:space="preserve">Administrator:
2/11 上客供RFID贴纸 1152pcs</s:t>
              </s:r>
            </s:text>
          </item>
        </commentChain>
      </unresolved>
      <resolved/>
    </commentChains>
    <commentChains s:ref="AI84" rgbClr="FF0000">
      <unresolved>
        <commentChain chainId="3a6d32377f6d987cefcdff4364a982c5051e1f92">
          <item id="c9ae94b6b843d7ab831dba1720720acad5cab03b" isNormal="1">
            <s:text>
              <s:r>
                <s:t xml:space="preserve">Administrator:
2/21 上客供RFID贴纸 1152pcs</s:t>
              </s:r>
            </s:text>
          </item>
        </commentChain>
      </unresolved>
      <resolved/>
    </commentChains>
    <commentChains s:ref="AF85" rgbClr="FF0000">
      <unresolved>
        <commentChain chainId="4ee66710b5e6ded89fd0feb06f37f74b79f566f5">
          <item id="ff4e4983f62fe0ebd650fc3adb61e41d46ea5b80" isNormal="1">
            <s:text>
              <s:r>
                <s:t xml:space="preserve">Administrator:
0001507 3/19 1196pcs 华兴三B14</s:t>
              </s:r>
            </s:text>
          </item>
        </commentChain>
      </unresolved>
      <resolved/>
    </commentChains>
    <commentChains s:ref="AI85" rgbClr="FF0000">
      <unresolved>
        <commentChain chainId="c01ce262973cd4f3be74067b51877df9b38ed58f">
          <item id="b4f8b83d367a57eed24e9003b652b5228db3dea3" isNormal="1">
            <s:text>
              <s:r>
                <s:t xml:space="preserve">Administrator:
2/24 上进口商含UPC贴纸 1196pcs</s:t>
              </s:r>
            </s:text>
          </item>
        </commentChain>
      </unresolved>
      <resolved/>
    </commentChains>
    <commentChains s:ref="AF86" rgbClr="FF0000">
      <unresolved>
        <commentChain chainId="0820f5b3e431b9be94532a207932fbc06112a06e">
          <item id="74e889e18a9c054fcd0907b070e885830df0e2aa" isNormal="1">
            <s:text>
              <s:r>
                <s:t xml:space="preserve">Administrator:
0001386 3/26 750pcs 华兴三A27</s:t>
              </s:r>
            </s:text>
          </item>
        </commentChain>
      </unresolved>
      <resolved/>
    </commentChains>
    <commentChains s:ref="AI86" rgbClr="FF0000">
      <unresolved>
        <commentChain chainId="b4c5d36e38ef2034260ce28e025764ef1bd71854">
          <item id="c357801a4dac5a053b6da2908d9845826d6e2041" isNormal="1">
            <s:text>
              <s:r>
                <s:t xml:space="preserve">Administrator:
3/7 上UPC贴纸 750pcs</s:t>
              </s:r>
            </s:text>
          </item>
        </commentChain>
      </unresolved>
      <resolved/>
    </commentChains>
    <commentChains s:ref="AF87" rgbClr="FF0000">
      <unresolved>
        <commentChain chainId="8ce3e2a94fea7aee7efec404cfbb81caa07e7cd2">
          <item id="106fe54729dac8871a76856d834a2d945834b24c" isNormal="1">
            <s:text>
              <s:r>
                <s:t xml:space="preserve">Administrator:
0001899 3/31 142pcs</s:t>
              </s:r>
            </s:text>
          </item>
        </commentChain>
      </unresolved>
      <resolved/>
    </commentChains>
    <commentChains s:ref="AF88" rgbClr="FF0000">
      <unresolved>
        <commentChain chainId="d3c086003cd1190efe0a0569a59f71cc854ff3f5">
          <item id="99fd10b6d47315b7958f377ffc68068ea201a8d4" isNormal="1">
            <s:text>
              <s:r>
                <s:t xml:space="preserve">Administrator:
0001899 3/31 7pcs</s:t>
              </s:r>
            </s:text>
          </item>
        </commentChain>
      </unresolved>
      <resolved/>
    </commentChains>
    <commentChains s:ref="AF89" rgbClr="FF0000">
      <unresolved>
        <commentChain chainId="3e73ccd66d120a7cd5d927b542fa3bcf89e42a60">
          <item id="ef7827a7ac434c2a58cf23f4a35f70f03f4f9ef8" isNormal="1">
            <s:text>
              <s:r>
                <s:t xml:space="preserve">Administrator:
0001905 4/2 416pcs 华兴三B14</s:t>
              </s:r>
            </s:text>
          </item>
        </commentChain>
      </unresolved>
      <resolved/>
    </commentChains>
    <commentChains s:ref="AF90" rgbClr="FF0000">
      <unresolved>
        <commentChain chainId="818ade401b7e86e011cdc7ad17780a5683cf72b3">
          <item id="6a797f0cc43e4039ea01467701dd17e140884120" isNormal="1">
            <s:text>
              <s:r>
                <s:t xml:space="preserve">Administrator:
0001872 4/8 350pcs 华兴三B14
</s:t>
              </s:r>
            </s:text>
          </item>
        </commentChain>
      </unresolved>
      <resolved/>
    </commentChains>
    <commentChains s:ref="AI90" rgbClr="FF0000">
      <unresolved>
        <commentChain chainId="9066687d48c75af38a46162774e9fef3784a28fe">
          <item id="2255eb5940b74d38eb8663add86ce01b42213615" isNormal="1">
            <s:text>
              <s:r>
                <s:t xml:space="preserve">Administrator:
3/27 上UPC贴纸 2700pcs
     上进口商贴纸 2700pcs</s:t>
              </s:r>
            </s:text>
          </item>
        </commentChain>
      </unresolved>
      <resolved/>
    </commentChains>
    <commentChains s:ref="AF91" rgbClr="FF0000">
      <unresolved>
        <commentChain chainId="20e25d39076bf653654ef67c767ab5151547bb08">
          <item id="349d3d828e5cd8de98838fa83f6c26b1d98dbbde" isNormal="1">
            <s:text>
              <s:r>
                <s:t xml:space="preserve">Administrator:
0001872 4/8 200pcs 华兴三B14
</s:t>
              </s:r>
            </s:text>
          </item>
        </commentChain>
      </unresolved>
      <resolved/>
    </commentChains>
    <commentChains s:ref="AF92" rgbClr="FF0000">
      <unresolved>
        <commentChain chainId="c2c97748fd943393f9ef187d75d44a8bea2be046">
          <item id="348b093bf818f2649c50e66649bbcc9152ae4991" isNormal="1">
            <s:text>
              <s:r>
                <s:t xml:space="preserve">Administrator:
0001872 4/8 250pcs 华兴三B14
</s:t>
              </s:r>
            </s:text>
          </item>
        </commentChain>
      </unresolved>
      <resolved/>
    </commentChains>
    <commentChains s:ref="AF93" rgbClr="FF0000">
      <unresolved>
        <commentChain chainId="2633019d055b21dae157bfc4a3f44db960b8a9b4">
          <item id="9a49345cdf930459aa1281d92e36eaec25803334" isNormal="1">
            <s:text>
              <s:r>
                <s:t xml:space="preserve">Administrator:
0001872 4/8 900pcs 华兴三B14
</s:t>
              </s:r>
            </s:text>
          </item>
        </commentChain>
      </unresolved>
      <resolved/>
    </commentChains>
    <commentChains s:ref="AF94" rgbClr="FF0000">
      <unresolved>
        <commentChain chainId="0d39b0c43d824b33256731978c2aaabc395de323">
          <item id="ee9633019d68de7a388449dae9c2de05c982bac4" isNormal="1">
            <s:text>
              <s:r>
                <s:t xml:space="preserve">Administrator:
0001872 4/8 950pcs 华兴三B14
0001558 4/10 50pcs 华兴三B14</s:t>
              </s:r>
            </s:text>
          </item>
        </commentChain>
      </unresolved>
      <resolved/>
    </commentChains>
    <commentChains s:ref="AF95" rgbClr="FF0000">
      <unresolved>
        <commentChain chainId="5e5f86d51353dcf583a82ad6ae71280b41e7fdad">
          <item id="8daace0ba758648bb9a09908ef57c42cb4cd084f" isNormal="1">
            <s:text>
              <s:r>
                <s:t xml:space="preserve">Administrator:
0001660 4/16 200pcs 华兴三B7</s:t>
              </s:r>
            </s:text>
          </item>
        </commentChain>
      </unresolved>
      <resolved/>
    </commentChains>
    <commentChains s:ref="AI95" rgbClr="FF0000">
      <unresolved>
        <commentChain chainId="47b2134fe2e88fcbc8a9990098f106fd00714b8f">
          <item id="e7b3ecbd0641654afcf7d79f88397658f94a1e5e" isNormal="1">
            <s:text>
              <s:r>
                <s:t xml:space="preserve">Administrator:
4/1 上UPC贴纸 200pcs</s:t>
              </s:r>
            </s:text>
          </item>
        </commentChain>
      </unresolved>
      <resolved/>
    </commentChains>
    <commentChains s:ref="AF96" rgbClr="FF0000">
      <unresolved>
        <commentChain chainId="49acbeb14df0bfd34ec978d1a74a3cfb83974107">
          <item id="253a4c380541a8d65b89e60cb0e27da1e752d977" isNormal="1">
            <s:text>
              <s:r>
                <s:t xml:space="preserve">Administrator:
0001618 4/24 2304pcs 华兴三B4</s:t>
              </s:r>
            </s:text>
          </item>
        </commentChain>
      </unresolved>
      <resolved/>
    </commentChains>
    <commentChains s:ref="AI96" rgbClr="FF0000">
      <unresolved>
        <commentChain chainId="c0bcd436faa9583334e893a4da740d6df1d84061">
          <item id="815b8da90a4fa19418dfb9e9519e3c8ddd3d2b1f" isNormal="1">
            <s:text>
              <s:r>
                <s:t xml:space="preserve">Administrator:
4/7 上客供RFID贴纸 2304pcs</s:t>
              </s:r>
            </s:text>
          </item>
        </commentChain>
      </unresolved>
      <resolved/>
    </commentChains>
    <commentChains s:ref="AF97" rgbClr="FF0000">
      <unresolved>
        <commentChain chainId="4f8bff46ec9d65f8e3ced46f15de2643547362c2">
          <item id="f91ce60e9345d07ac83ad0036d7d3a410d5e2d66" isNormal="1">
            <s:text>
              <s:r>
                <s:t xml:space="preserve">Administrator:
0001618 4/24 1152pcs 华兴三B4</s:t>
              </s:r>
            </s:text>
          </item>
        </commentChain>
      </unresolved>
      <resolved/>
    </commentChains>
    <commentChains s:ref="AI97" rgbClr="FF0000">
      <unresolved>
        <commentChain chainId="dcaa521f2fa0fee629e2240bde6f3203189e5cbd">
          <item id="1655270647092fec6861ae66652faff0453989e4" isNormal="1">
            <s:text>
              <s:r>
                <s:t xml:space="preserve">Administrator:
4/7 上客供RFID贴纸 1152pcs</s:t>
              </s:r>
            </s:text>
          </item>
        </commentChain>
      </unresolved>
      <resolved/>
    </commentChains>
    <commentChains s:ref="AF98" rgbClr="FF0000">
      <unresolved>
        <commentChain chainId="241c546990f98c4abc7aeb55024b683260bcae32">
          <item id="fe2cdcf97102e66d0265455b927c3888ee87ea34" isNormal="1">
            <s:text>
              <s:r>
                <s:t xml:space="preserve">Administrator:
0001660 4/16 260pcs 华兴三B7</s:t>
              </s:r>
            </s:text>
          </item>
        </commentChain>
      </unresolved>
      <resolved/>
    </commentChains>
    <commentChains s:ref="AI98" rgbClr="FF0000">
      <unresolved>
        <commentChain chainId="1e8d5af5b4d6799d58e4f4e895d18d6187135136">
          <item id="4f697f355bb4ded63ead59aaa432fcca38302aae" isNormal="1">
            <s:text>
              <s:r>
                <s:t xml:space="preserve">Administrator:
3/31 上进口商贴纸 260pcs</s:t>
              </s:r>
            </s:text>
          </item>
        </commentChain>
      </unresolved>
      <resolved/>
    </commentChains>
    <commentChains s:ref="AF99" rgbClr="FF0000">
      <unresolved>
        <commentChain chainId="a8be71da50e170e8e053c315f4fdd7ea795d87b5">
          <item id="fe5d4feeab3569fdac8ab0bb7b6f82a71bf835cc" isNormal="1">
            <s:text>
              <s:r>
                <s:t xml:space="preserve">Administrator:
0001618 4/24 1008pcs 华兴三B15</s:t>
              </s:r>
            </s:text>
          </item>
        </commentChain>
      </unresolved>
      <resolved/>
    </commentChains>
    <commentChains s:ref="AI99" rgbClr="FF0000">
      <unresolved>
        <commentChain chainId="098db1529ed3a53fbfd41931b21db57bf890ac0d">
          <item id="85cb1db74f086c327a8da9cf2cdf83fb3421cd20" isNormal="1">
            <s:text>
              <s:r>
                <s:t xml:space="preserve">Administrator:
4/9 上亚马逊外箱贴纸 84pcs
4/11 上环保标贴纸 1008pcs</s:t>
              </s:r>
            </s:text>
          </item>
        </commentChain>
      </unresolved>
      <resolved/>
    </commentChains>
    <commentChains s:ref="AF100" rgbClr="FF0000">
      <unresolved>
        <commentChain chainId="77828198bd540fc63e05143c90d95dc0e9f678ea">
          <item id="534c57950ce2f276abd3b9aaad8e964f5d3a7982" isNormal="1">
            <s:text>
              <s:r>
                <s:t xml:space="preserve">Administrator:
0001665 4/18 800pcs 华兴三B4</s:t>
              </s:r>
            </s:text>
          </item>
        </commentChain>
      </unresolved>
      <resolved/>
    </commentChains>
    <commentChains s:ref="AF101" rgbClr="FF0000">
      <unresolved>
        <commentChain chainId="4d6d2944749b2259c14650ea1d13569ddff12605">
          <item id="b4d3c653a1aafc09971aaef379c758e4e975a3bd" isNormal="1">
            <s:text>
              <s:r>
                <s:t xml:space="preserve">Administrator:
2000981 5/16 1750pcs  华兴三B15
2000977 5/17  50pcs   华兴三B15</s:t>
              </s:r>
            </s:text>
          </item>
        </commentChain>
      </unresolved>
      <resolved/>
    </commentChains>
    <commentChains s:ref="AF102" rgbClr="FF0000">
      <unresolved>
        <commentChain chainId="9d2d56e1bed94a43e6754d734e78b9184577f683">
          <item id="c4d32e884ea79162807f1705d257d495839bdeca" isNormal="1">
            <s:text>
              <s:r>
                <s:t xml:space="preserve">Administrator:
2000941 5/16 16000pcs 莫海军B栋4楼B8区</s:t>
              </s:r>
            </s:text>
          </item>
        </commentChain>
      </unresolved>
      <resolved/>
    </commentChains>
    <commentChains s:ref="AI102" rgbClr="FF0000">
      <unresolved>
        <commentChain chainId="37809477a7c1f2789a85beefa74a04ed15037fec">
          <item id="41ae71eee31e2035eca555c09025ecb5e3e9f7aa" isNormal="1">
            <s:text>
              <s:r>
                <s:t xml:space="preserve">Administrator:
4/30 上UPC条码贴纸 16000pcs
     上进口商贴纸 16000pcs</s:t>
              </s:r>
            </s:text>
          </item>
        </commentChain>
      </unresolved>
      <resolved/>
    </commentChains>
    <commentChains s:ref="AF103" rgbClr="FF0000">
      <unresolved>
        <commentChain chainId="387eb50462402a4d72085277c2175c99b186a298">
          <item id="3dcbdd68dfa30653b5798f5331682d3079b2fb9e" isNormal="1">
            <s:text>
              <s:r>
                <s:t xml:space="preserve">Administrator:
2001233 5/15 1500pcs B栋4楼</s:t>
              </s:r>
            </s:text>
          </item>
        </commentChain>
      </unresolved>
      <resolved/>
    </commentChains>
    <commentChains s:ref="AI103" rgbClr="FF0000">
      <unresolved>
        <commentChain chainId="1d6cf71024db70862966131834fa0b31c35e5209">
          <item id="5bdcb43d1bde4627fcb25d45c8e1b01feb67db78" isNormal="1">
            <s:text>
              <s:r>
                <s:t xml:space="preserve">Administrator:
4/21 上UPC贴纸 1500pcs</s:t>
              </s:r>
            </s:text>
          </item>
        </commentChain>
      </unresolved>
      <resolved/>
    </commentChains>
    <commentChains s:ref="AF104" rgbClr="FF0000">
      <unresolved>
        <commentChain chainId="9baa173e711f73507a586f8c08ce6b417d2c189c">
          <item id="f6eee5bf4f521cf5a6848a3360241b38538f98c6" isNormal="1">
            <s:text>
              <s:r>
                <s:t xml:space="preserve">Administrator:
2000877 5/20 1000pcs 华兴三B15</s:t>
              </s:r>
            </s:text>
          </item>
        </commentChain>
      </unresolved>
      <resolved/>
    </commentChains>
    <commentChains s:ref="AI104" rgbClr="FF0000">
      <unresolved>
        <commentChain chainId="be0df4fc7ca67557b0882553c223e74b62657a61">
          <item id="7dcf4622d60f014e3665d56d36025f61f3b27dfe" isNormal="1">
            <s:text>
              <s:r>
                <s:t xml:space="preserve">Administrator:
5/6 上进口商贴纸 1000pcs</s:t>
              </s:r>
            </s:text>
          </item>
        </commentChain>
      </unresolved>
      <resolved/>
    </commentChains>
    <commentChains s:ref="AF105" rgbClr="FF0000">
      <unresolved>
        <commentChain chainId="0de568eb8846521cbf5f0fc5b8880c98048768eb">
          <item id="bab216cff209e2c2189385ba55f2a393034ac990" isNormal="1">
            <s:text>
              <s:r>
                <s:t xml:space="preserve">Administrator:
2000800 5/24 1300pcs 已走货</s:t>
              </s:r>
            </s:text>
          </item>
        </commentChain>
      </unresolved>
      <resolved/>
    </commentChains>
    <commentChains s:ref="AI105" rgbClr="FF0000">
      <unresolved>
        <commentChain chainId="1ede968c5da7471d7d02bd8243dee7f59a0ef780">
          <item id="06feafb5fa3f11f2e9527a9369eb0d153a2cfc5f" isNormal="1">
            <s:text>
              <s:r>
                <s:t xml:space="preserve">Administrator:
5/12 上日语贴纸 1300pcs
     上6+贴纸 2600pcs</s:t>
              </s:r>
            </s:text>
          </item>
        </commentChain>
      </unresolved>
      <resolved/>
    </commentChains>
    <commentChains s:ref="AF106" rgbClr="FF0000">
      <unresolved>
        <commentChain chainId="e6107ab6efba452a0eb0327f571cd2e0521f6c11">
          <item id="b64090120ad5a9bcaf6e23954da373c1fc668aea" isNormal="1">
            <s:text>
              <s:r>
                <s:t xml:space="preserve">Administrator:
2000654 5/27 12pcs 华兴三B14</s:t>
              </s:r>
            </s:text>
          </item>
        </commentChain>
      </unresolved>
      <resolved/>
    </commentChains>
    <commentChains s:ref="AI106" rgbClr="FF0000">
      <unresolved>
        <commentChain chainId="1c19db4a40bd5911b9a0deb9148627ced91e7d21">
          <item id="113ad13ef2b1ac0ae6675fdeb7c9445ddb11b675" isNormal="1">
            <s:text>
              <s:r>
                <s:t xml:space="preserve">Administrator:
5/12 上空白UPC贴纸 48pcs
5/12 上客供亚马逊外箱贴纸 1pcs</s:t>
              </s:r>
            </s:text>
          </item>
        </commentChain>
      </unresolved>
      <resolved/>
    </commentChains>
    <commentChains s:ref="AI107" rgbClr="FF0000">
      <unresolved>
        <commentChain chainId="2cdd63c8f6bc1ca0a69a83d16746e45a847cf2c7">
          <item id="657ad3753de78a844fbe1ba20e5f5dc856c4de3a" isNormal="1">
            <s:text>
              <s:r>
                <s:t xml:space="preserve">Administrator:
5/12 上空白UPC贴纸 48pcs
5/12 上客供亚马逊外箱贴纸 1pcs</s:t>
              </s:r>
            </s:text>
          </item>
        </commentChain>
      </unresolved>
      <resolved/>
    </commentChains>
    <commentChains s:ref="AF108" rgbClr="FF0000">
      <unresolved>
        <commentChain chainId="de50f45aa12761075dde33ade85d214e8eb4fcd2">
          <item id="092d16fe987412afbd6c46e5992a62f318e85c15" isNormal="1">
            <s:text>
              <s:r>
                <s:t xml:space="preserve">Administrator:
2002414 6/4 500pcs  新仓库一A2
</s:t>
              </s:r>
            </s:text>
          </item>
        </commentChain>
      </unresolved>
      <resolved/>
    </commentChains>
    <commentChains s:ref="AF109" rgbClr="FF0000">
      <unresolved>
        <commentChain chainId="7d500b24caad53406aa8521fedb40145b6536ac0">
          <item id="7ea0653a608236227fd194e674405b598622a4be" isNormal="1">
            <s:text>
              <s:r>
                <s:t xml:space="preserve">Administrator:
2002373 6/5 208pcs 新仓库一B10</s:t>
              </s:r>
            </s:text>
          </item>
        </commentChain>
      </unresolved>
      <resolved/>
    </commentChains>
    <commentChains s:ref="AI109" rgbClr="FF0000">
      <unresolved>
        <commentChain chainId="c807d72ecfd953f8525821e6dc922facc35d139a">
          <item id="107f6447de47a35ac1a2cfdff23f8db86911c4a2" isNormal="1">
            <s:text>
              <s:r>
                <s:t xml:space="preserve">Administrator:
5/14 上进口商贴纸 208pcs</s:t>
              </s:r>
            </s:text>
          </item>
        </commentChain>
      </unresolved>
      <resolved/>
    </commentChains>
    <commentChains s:ref="AF110" rgbClr="FF0000">
      <unresolved>
        <commentChain chainId="eaab5ed1f1f1c08068f8fd1924fd2a7f48b03828">
          <item id="cf138540e255012802c0e9cb878a756733b3be3f" isNormal="1">
            <s:text>
              <s:r>
                <s:t xml:space="preserve">Administrator:
2000814 5/30 120pcs 华兴三B8</s:t>
              </s:r>
            </s:text>
          </item>
        </commentChain>
      </unresolved>
      <resolved/>
    </commentChains>
    <commentChains s:ref="AI110" rgbClr="FF0000">
      <unresolved>
        <commentChain chainId="2cfa49481ec5d3f5a2cb987adbf1734c0e7a1f4b">
          <item id="80ccd3b86dc8dc9bedb8888a7dc4ec0f0bcf14ee" isNormal="1">
            <s:text>
              <s:r>
                <s:t xml:space="preserve">Administrator:
5/19 上进口商贴纸 144pcs
     上空白贴纸 288pcs
5/26 上客供亚马逊外箱贴纸 10pcs</s:t>
              </s:r>
            </s:text>
          </item>
        </commentChain>
      </unresolved>
      <resolved/>
    </commentChains>
    <commentChains s:ref="AF111" rgbClr="FF0000">
      <unresolved>
        <commentChain chainId="1cabf4d6b007cb7f02d4a6d8405e644e947aea19">
          <item id="107188065b43be2f5e7e0858e25f29d12a469b0a" isNormal="1">
            <s:text>
              <s:r>
                <s:t xml:space="preserve">Administrator:
2000814 5/30 24pcs 华兴三B8</s:t>
              </s:r>
            </s:text>
          </item>
        </commentChain>
      </unresolved>
      <resolved/>
    </commentChains>
    <commentChains s:ref="AI111" rgbClr="FF0000">
      <unresolved>
        <commentChain chainId="405ab01d5fdafbe0ad35f7ca0edcd9d7384ec189">
          <item id="892217b2beb021a025e92d6c9c3cc25533bb0a74" isNormal="1">
            <s:text>
              <s:r>
                <s:t xml:space="preserve">Administrator:
5/19 上进口商贴纸 144pcs
     上空白贴纸 288pcs
5/26 上客供亚马逊外箱贴纸 2pcs
</s:t>
              </s:r>
            </s:text>
          </item>
        </commentChain>
      </unresolved>
      <resolved/>
    </commentChains>
    <commentChains s:ref="AF112" rgbClr="FF0000">
      <unresolved>
        <commentChain chainId="2f4d1faf69733cf71937d70e99321c147820c550">
          <item id="a0cc097d36abf77304c7cd7550fb240145e474a7" isNormal="1">
            <s:text>
              <s:r>
                <s:t xml:space="preserve">Administrator:
2002325 6/7 2900pcs 已走货   </s:t>
              </s:r>
            </s:text>
          </item>
        </commentChain>
      </unresolved>
      <resolved/>
    </commentChains>
    <commentChains s:ref="AI112" rgbClr="FF0000">
      <unresolved>
        <commentChain chainId="3750cfad479f12d5944ecc332192a42f37d94e55">
          <item id="9fc0737fd4655142f16db91c597c98e8413cc629" isNormal="1">
            <s:text>
              <s:r>
                <s:t xml:space="preserve">Administrator:
5/21 上UPC贴纸 2900pcs
     上进口商贴纸 2900pcs
5/29 上外箱贴纸 58pcs</s:t>
              </s:r>
            </s:text>
          </item>
        </commentChain>
      </unresolved>
      <resolved/>
    </commentChains>
    <commentChains s:ref="AF113" rgbClr="FF0000">
      <unresolved>
        <commentChain chainId="62b0644e849845fe9b9a4c0979d427a273a2d753">
          <item id="213fd166436224cbfc640178ef6a9231849b8b0b" isNormal="1">
            <s:text>
              <s:r>
                <s:t xml:space="preserve">Administrator:
2002277 6/9 1116pcs  华兴三B6
2002265 6/10  36pcs  华兴三B6</s:t>
              </s:r>
            </s:text>
          </item>
        </commentChain>
      </unresolved>
      <resolved/>
    </commentChains>
    <commentChains s:ref="AI113" rgbClr="FF0000">
      <unresolved>
        <commentChain chainId="ca91c6fb9897d22e8f155b245df009a847bc4851">
          <item id="b23e0eae7304a54b89d58bb9e1e67d1552c951f6" isNormal="1">
            <s:text>
              <s:r>
                <s:t xml:space="preserve">Administrator:
5/24 上客供RFID贴纸 1152pcs</s:t>
              </s:r>
            </s:text>
          </item>
        </commentChain>
      </unresolved>
      <resolved/>
    </commentChains>
    <commentChains s:ref="AI114" rgbClr="FF0000">
      <unresolved>
        <commentChain chainId="026169710dd7c63c96b8567e116d27be56901301">
          <item id="099ba1f9bf6ec45916f7e7e0b3d6e948a58b0207" isNormal="1">
            <s:text>
              <s:r>
                <s:t xml:space="preserve">Administrator:
5/24 上客供RFID贴纸 1152pcs</s:t>
              </s:r>
            </s:text>
          </item>
        </commentChain>
      </unresolved>
      <resolved/>
    </commentChains>
    <commentChains s:ref="AI115" rgbClr="FF0000">
      <unresolved>
        <commentChain chainId="ae9b9563392bc3acc22ecb4f300557ba3378e840">
          <item id="d55e35502abee0beb3e93d167524c5b9580bff99" isNormal="1">
            <s:text>
              <s:r>
                <s:t xml:space="preserve">Administrator:
5/24 上客供RFID贴纸 1152pcs</s:t>
              </s:r>
            </s:text>
          </item>
        </commentChain>
      </unresolved>
      <resolved/>
    </commentChains>
    <commentChains s:ref="AF116" rgbClr="FF0000">
      <unresolved>
        <commentChain chainId="3840e42a89eef879ff3270a65506eeb4773aff12">
          <item id="8412f4f59a02349b7de36d698a72892c78360a90" isNormal="1">
            <s:text>
              <s:r>
                <s:t xml:space="preserve">Administrator:
2002292 6/7 550pcs 华兴三B16
2002265 6/10 50pcs 华兴三B16</s:t>
              </s:r>
            </s:text>
          </item>
        </commentChain>
      </unresolved>
      <resolved/>
    </commentChains>
    <commentChains s:ref="AI116" rgbClr="FF0000">
      <unresolved>
        <commentChain chainId="a1d2add2ae40a92f4ea807898089309163b71667">
          <item id="b3b7d33595da7bba63b15ce63c1f42cadc1d5e53" isNormal="1">
            <s:text>
              <s:r>
                <s:t xml:space="preserve">Administrator:
5/29 上进口商贴纸 600pcs</s:t>
              </s:r>
            </s:text>
          </item>
        </commentChain>
      </unresolved>
      <resolved/>
    </commentChains>
    <commentChains s:ref="AF117" rgbClr="FF0000">
      <unresolved>
        <commentChain chainId="ab7d0187e3de33579c1a2a429a43b2f3d0b8f9b1">
          <item id="31ddf093f936989673e2deba6756850e3c68d7ae" isNormal="1">
            <s:text>
              <s:r>
                <s:t xml:space="preserve">Administrator:
2002103 6/17 1768pcs 华兴三B14
2002124 6/18  52pcs  华兴三B14</s:t>
              </s:r>
            </s:text>
          </item>
        </commentChain>
      </unresolved>
      <resolved/>
    </commentChains>
    <commentChains s:ref="AI117" rgbClr="FF0000">
      <unresolved>
        <commentChain chainId="8773b94d5c64233d6a89d462452ca3db31e73653">
          <item id="c54bd4325212f0a2e50d79caa61dd2ca0926b42b" isNormal="1">
            <s:text>
              <s:r>
                <s:t xml:space="preserve">Administrator:
5/29 上进口商贴纸 1820pcs</s:t>
              </s:r>
            </s:text>
          </item>
        </commentChain>
      </unresolved>
      <resolved/>
    </commentChains>
    <commentChains s:ref="AF118" rgbClr="FF0000">
      <unresolved>
        <commentChain chainId="020a3921f47dd2bfdbea89c164f6d501bce87aa7">
          <item id="e45180ead536f0e5c3e1c8be648b78e7360a687a" isNormal="1">
            <s:text>
              <s:r>
                <s:t xml:space="preserve">Administrator:
2002070 6/20   50pcs 华兴三A23
2002192 6/20 2400pcs 华兴三A23
2002191 6/19 2550pcs 华兴三A23</s:t>
              </s:r>
            </s:text>
          </item>
        </commentChain>
      </unresolved>
      <resolved/>
    </commentChains>
    <commentChains s:ref="AI118" rgbClr="FF0000">
      <unresolved>
        <commentChain chainId="1e0e478c230f5c8d033570a3a7ffdf3800462abe">
          <item id="12f981d050c20fb5524aeac90f493e4d4557ea51" isNormal="1">
            <s:text>
              <s:r>
                <s:t xml:space="preserve">Administrator:
6/13 上进口商贴纸 5000pcs
     上UPC贴纸 5000pcs</s:t>
              </s:r>
            </s:text>
          </item>
        </commentChain>
      </unresolved>
      <resolved/>
    </commentChains>
    <commentChains s:ref="AF119" rgbClr="FF0000">
      <unresolved>
        <commentChain chainId="02c412f2f9470216bdc5eeacc2504a95274a7f15">
          <item id="7e894966012bfcd5285d96e76371877c84293e94" isNormal="1">
            <s:text>
              <s:r>
                <s:t xml:space="preserve">Administrator:
2002060 6/20 3000pcs 华兴三A29</s:t>
              </s:r>
            </s:text>
          </item>
        </commentChain>
      </unresolved>
      <resolved/>
    </commentChains>
    <commentChains s:ref="AI119" rgbClr="FF0000">
      <unresolved>
        <commentChain chainId="58962bdfb0a93df6873a91d0b5b9ff6dba7cb73f">
          <item id="4516e7895c52c37149b940b5198e756243401e40" isNormal="1">
            <s:text>
              <s:r>
                <s:t xml:space="preserve">Administrator:
6/10 上进口商贴纸 3000pcs</s:t>
              </s:r>
            </s:text>
          </item>
        </commentChain>
      </unresolved>
      <resolved/>
    </commentChains>
    <commentChains s:ref="AF120" rgbClr="FF0000">
      <unresolved>
        <commentChain chainId="034d4b3aafa77faa2fc08fc4149328eae7616677">
          <item id="abb270f0cdff627e618c51cf692aa13aaf6060ca" isNormal="1">
            <s:text>
              <s:r>
                <s:t xml:space="preserve">Administrator:
2002048 6/21 1152pcs 新仓库一B10
</s:t>
              </s:r>
            </s:text>
          </item>
        </commentChain>
      </unresolved>
      <resolved/>
    </commentChains>
    <commentChains s:ref="AI120" rgbClr="FF0000">
      <unresolved>
        <commentChain chainId="86185a41ffd0e98fff88c6338011e84f96d0ce0e">
          <item id="555d07421adca9f18a0cb9f29ab64077b071cfec" isNormal="1">
            <s:text>
              <s:r>
                <s:t xml:space="preserve">Administrator:
6/6 上客供RFID贴纸 1152pcs</s:t>
              </s:r>
            </s:text>
          </item>
        </commentChain>
      </unresolved>
      <resolved/>
    </commentChains>
    <commentChains s:ref="AI121" rgbClr="FF0000">
      <unresolved>
        <commentChain chainId="58c6921022b66d0f1f49eae6067c2016c0f01069">
          <item id="8993488f1066351e218d53b958755cf3b8073e80" isNormal="1">
            <s:text>
              <s:r>
                <s:t xml:space="preserve">Administrator:
6/6 上客供RFID贴纸 1152pcs</s:t>
              </s:r>
            </s:text>
          </item>
        </commentChain>
      </unresolved>
      <resolved/>
    </commentChains>
    <commentChains s:ref="AF122" rgbClr="FF0000">
      <unresolved>
        <commentChain chainId="98ad6ce2201adf8cd1fe05286879b9775fcb6ff0">
          <item id="36b4e14b60c80755d8bad6d2cd0d7d9b9d29c602" isNormal="1">
            <s:text>
              <s:r>
                <s:t xml:space="preserve">Administrator:
2002048 6/21 2304pcs 新仓库一B10</s:t>
              </s:r>
            </s:text>
          </item>
        </commentChain>
      </unresolved>
      <resolved/>
    </commentChains>
    <commentChains s:ref="AI122" rgbClr="FF0000">
      <unresolved>
        <commentChain chainId="a67e221d875cca470c29b812d8cded294e0b29a2">
          <item id="09242e3451b4b8ab72a83279740771944a39b853" isNormal="1">
            <s:text>
              <s:r>
                <s:t xml:space="preserve">Administrator:
6/6 上客供RFID贴纸 2304pcs</s:t>
              </s:r>
            </s:text>
          </item>
        </commentChain>
      </unresolved>
      <resolved/>
    </commentChains>
    <commentChains s:ref="AF123" rgbClr="FF0000">
      <unresolved>
        <commentChain chainId="2df1a828d3c6f8e93f47fc525edf0c0f5bd6e736">
          <item id="6f0bf02edd26647d00030566d094c7ee7fd0491e" isNormal="1">
            <s:text>
              <s:r>
                <s:t xml:space="preserve">Administrator:
2002048 6/21 1152pcs 新仓库一B10</s:t>
              </s:r>
            </s:text>
          </item>
        </commentChain>
      </unresolved>
      <resolved/>
    </commentChains>
    <commentChains s:ref="AI123" rgbClr="FF0000">
      <unresolved>
        <commentChain chainId="f900fca09b1518ce20d698ae2edf2917c14bf39d">
          <item id="feb8133818f70576f3138b6fecaa96996c2eeadd" isNormal="1">
            <s:text>
              <s:r>
                <s:t xml:space="preserve">Administrator:
6/6 上客供RFID贴纸 1152pcs</s:t>
              </s:r>
            </s:text>
          </item>
        </commentChain>
      </unresolved>
      <resolved/>
    </commentChains>
    <commentChains s:ref="AF124" rgbClr="FF0000">
      <unresolved>
        <commentChain chainId="9b3d31a38f4c3d28787ffe4a29258f6c612f5fd6">
          <item id="9dea917c4a64880b4376b80a5957a877f03e4400" isNormal="1">
            <s:text>
              <s:r>
                <s:t xml:space="preserve">Administrator:
3001953 7/1 750pcs</s:t>
              </s:r>
            </s:text>
          </item>
        </commentChain>
      </unresolved>
      <resolved/>
    </commentChains>
    <commentChains s:ref="AI124" rgbClr="FF0000">
      <unresolved>
        <commentChain chainId="16e5eb791e063217bb7e229dbe0890c3e17ceaca">
          <item id="8eac3f0f745d72f32d54e4596db051d64c75b32a" isNormal="1">
            <s:text>
              <s:r>
                <s:t xml:space="preserve">Administrator:
6/13 上荷兰警告语贴纸 750pcs</s:t>
              </s:r>
            </s:text>
          </item>
        </commentChain>
      </unresolved>
      <resolved/>
    </commentChains>
    <commentChains s:ref="AF125" rgbClr="FF0000">
      <unresolved>
        <commentChain chainId="8ce2d9665ff3b2f57cbc255b0979eccb5f918396">
          <item id="862934b452f46cfcc4749055e2ce31f36fdd69fc" isNormal="1">
            <s:text>
              <s:r>
                <s:t xml:space="preserve">Administrator:
3001737 7/5 400pcs 华兴三B14</s:t>
              </s:r>
            </s:text>
          </item>
        </commentChain>
      </unresolved>
      <resolved/>
    </commentChains>
    <commentChains s:ref="AI125" rgbClr="FF0000">
      <unresolved>
        <commentChain chainId="71fd03b28eca9d2a43d735fdcabe7e8a5dd7ade3">
          <item id="bd7a508a81b0896b198936a6afdd210abc2a3599" isNormal="1">
            <s:text>
              <s:r>
                <s:t xml:space="preserve">Administrator:
6/17 上UPC贴纸 750pcs
168705/168594/168463共用</s:t>
              </s:r>
            </s:text>
          </item>
        </commentChain>
      </unresolved>
      <resolved/>
    </commentChains>
    <commentChains s:ref="AI126" rgbClr="FF0000">
      <unresolved>
        <commentChain chainId="4e37317aece5fcb0c6505ed70bdc118cba6fc16b">
          <item id="95b4eb81ed3db2fd0caaed4988c6064f0dae55ed" isNormal="1">
            <s:text>
              <s:r>
                <s:t xml:space="preserve">Administrator:
6/17 上UPC贴纸 750pcs
168705/168594/168463共用</s:t>
              </s:r>
            </s:text>
          </item>
        </commentChain>
      </unresolved>
      <resolved/>
    </commentChains>
    <commentChains s:ref="AF127" rgbClr="FF0000">
      <unresolved>
        <commentChain chainId="45335591a46cc0ac069f46510268ca49fb9d7635">
          <item id="fdaaae9617f32356e69a8ec00ef2ce8914839e6c" isNormal="1">
            <s:text>
              <s:r>
                <s:t xml:space="preserve">Administrator:
3001699 7/8  12pcs 莫海军B4楼B9区
3001687 7/8 108pcs 莫海军B4楼B9区</s:t>
              </s:r>
            </s:text>
          </item>
        </commentChain>
      </unresolved>
      <resolved/>
    </commentChains>
    <commentChains s:ref="AI127" rgbClr="FF0000">
      <unresolved>
        <commentChain chainId="c30610d8c7bc3ed16d4c6e1e5338910f1e17cd41">
          <item id="68a4df1aae6c5cf16c615a7a7acf49021a49b28c" isNormal="1">
            <s:text>
              <s:r>
                <s:t xml:space="preserve">Administrator:
6/13 上空白UPC贴纸 240pcs
6/21 上客供亚马逊外箱贴纸 10pcs
6/26 业务与客人沟通取消铜版纸贴纸</s:t>
              </s:r>
            </s:text>
          </item>
        </commentChain>
      </unresolved>
      <resolved/>
    </commentChains>
    <commentChains s:ref="AF129" rgbClr="FF0000">
      <unresolved>
        <commentChain chainId="cd2b5f5b26aa4b3b23da73ca4486f2577ed5b94e">
          <item id="67e39f02b6d0543b5cde765edb833d88ba84b68c" isNormal="1">
            <s:text>
              <s:r>
                <s:t xml:space="preserve">Administrator:
3001890 7/4 15套-散件</s:t>
              </s:r>
            </s:text>
          </item>
        </commentChain>
      </unresolved>
      <resolved/>
    </commentChains>
    <commentChains s:ref="AF130" rgbClr="FF0000">
      <unresolved>
        <commentChain chainId="54e635fb24a652de8aba9e386a5c82438c0161e8">
          <item id="1d31ff78e7659e069ffab0acdfcde1fa52e592f3" isNormal="1">
            <s:text>
              <s:r>
                <s:t xml:space="preserve">Administrator:
3001634 7/11 2171pcs 华兴三A27</s:t>
              </s:r>
            </s:text>
          </item>
        </commentChain>
      </unresolved>
      <resolved/>
    </commentChains>
    <commentChains s:ref="AI130" rgbClr="FF0000">
      <unresolved>
        <commentChain chainId="1fc770e127b470d0a0794ff1466865da9e096904">
          <item id="e5a820f0f74ba3f15fa1b367a42e1659424ed445" isNormal="1">
            <s:text>
              <s:r>
                <s:t xml:space="preserve">Administrator:
6/21 上进口商贴纸 2171pcs
     上EAN条码贴纸 2171pcs
     上PDQ贴纸 167pcs
     上外箱贴纸 324pcs</s:t>
              </s:r>
            </s:text>
          </item>
        </commentChain>
      </unresolved>
      <resolved/>
    </commentChains>
    <commentChains s:ref="AF131" rgbClr="FF0000">
      <unresolved>
        <commentChain chainId="7b52b2955d07b4cf86d2975d4acf182c0479d062">
          <item id="47d43e5c1e87524d5990a96df353a43f9133074c" isNormal="1">
            <s:text>
              <s:r>
                <s:t xml:space="preserve">Administrator:
3001489 7/12 1040pcs 华兴三B10</s:t>
              </s:r>
            </s:text>
          </item>
        </commentChain>
      </unresolved>
      <resolved/>
    </commentChains>
    <commentChains s:ref="AI131" rgbClr="FF0000">
      <unresolved>
        <commentChain chainId="14cf0b9b0a8573b5427cc2dc6dbbeb160c331e36">
          <item id="752b8ac590f9456a79e9b54e3e3fc8d71bf2a92e" isNormal="1">
            <s:text>
              <s:r>
                <s:t xml:space="preserve">Administrator:
6/23 上进口商贴纸 1040pcs</s:t>
              </s:r>
            </s:text>
          </item>
        </commentChain>
      </unresolved>
      <resolved/>
    </commentChains>
    <commentChains s:ref="AF132" rgbClr="FF0000">
      <unresolved>
        <commentChain chainId="57781d0bc06082892685abafbf76a2bfb0a43636">
          <item id="0c12ca8707d907cf50b11c2a3af0f381e63feedd" isNormal="1">
            <s:text>
              <s:r>
                <s:t xml:space="preserve">Administrator:
3001458 7/15 1200pcs 华兴三B14</s:t>
              </s:r>
            </s:text>
          </item>
        </commentChain>
      </unresolved>
      <resolved/>
    </commentChains>
    <commentChains s:ref="AI132" rgbClr="FF0000">
      <unresolved>
        <commentChain chainId="fd42a2b56036b29027b806251b2d7aeb339ffe2c">
          <item id="b2d22e687379e126122390e4425d009f1eba2946" isNormal="1">
            <s:text>
              <s:r>
                <s:t xml:space="preserve">Administrator:
6/20 上荷兰语警告语贴纸 1200pcs</s:t>
              </s:r>
            </s:text>
          </item>
        </commentChain>
      </unresolved>
      <resolved/>
    </commentChains>
    <commentChains s:ref="AF133" rgbClr="FF0000">
      <unresolved>
        <commentChain chainId="870704ab2e65ab42badd26954228704885ec66a8">
          <item id="1c8a0cbcdb034e554c9d9ced2cdd6a9be83fc339" isNormal="1">
            <s:text>
              <s:r>
                <s:t xml:space="preserve">Administrator:
3001448 7/15 456pcs 华兴三A22</s:t>
              </s:r>
            </s:text>
          </item>
        </commentChain>
      </unresolved>
      <resolved/>
    </commentChains>
    <commentChains s:ref="AI134" rgbClr="FF0000">
      <unresolved>
        <commentChain chainId="b086434e5334df802687266c1d3fc0d424580646">
          <item id="ff588070a5bfe08d9fcf471e96dabd6eb7c6585d" isNormal="1">
            <s:text>
              <s:r>
                <s:t xml:space="preserve">Administrator:
6/28 上空白UPC贴纸 240pcs</s:t>
              </s:r>
            </s:text>
          </item>
        </commentChain>
      </unresolved>
      <resolved/>
    </commentChains>
    <commentChains s:ref="AI135" rgbClr="FF0000">
      <unresolved>
        <commentChain chainId="4931e45579422a11d6e1315718037b905917d49a">
          <item id="fc3301282117c0ce3ffe606d97c948bd3ad799be" isNormal="1">
            <s:text>
              <s:r>
                <s:t xml:space="preserve">Administrator:
6/28 上空白UPC贴纸 240pcs</s:t>
              </s:r>
            </s:text>
          </item>
        </commentChain>
      </unresolved>
      <resolved/>
    </commentChains>
    <commentChains s:ref="AI136" rgbClr="FF0000">
      <unresolved>
        <commentChain chainId="698ba96a8a82d6448306686e256145c00cfcf4b2">
          <item id="9f83338cf6609413fe097fcb597dfd12a27b66e6" isNormal="1">
            <s:text>
              <s:r>
                <s:t xml:space="preserve">Administrator:
6/28 上空白UPC贴纸 240pcs</s:t>
              </s:r>
            </s:text>
          </item>
        </commentChain>
      </unresolved>
      <resolved/>
    </commentChains>
    <commentChains s:ref="AI137" rgbClr="FF0000">
      <unresolved>
        <commentChain chainId="efc1543520a0929ef4c9b948d32ec1221dc8ea6d">
          <item id="e3c465b0713defeae60b965a591573408db10724" isNormal="1">
            <s:text>
              <s:r>
                <s:t xml:space="preserve">Administrator:
6/28 上空白UPC贴纸 240pcs</s:t>
              </s:r>
            </s:text>
          </item>
        </commentChain>
      </unresolved>
      <resolved/>
    </commentChains>
    <commentChains s:ref="AI138" rgbClr="FF0000">
      <unresolved>
        <commentChain chainId="cc7086120a82af3fe53e3034f8fbc39f29ff3ce1">
          <item id="9fb347b58c5472dc0067cc9e8950883e73c6e1f9" isNormal="1">
            <s:text>
              <s:r>
                <s:t xml:space="preserve">Administrator:
6/28 上空白UPC贴纸 240pcs</s:t>
              </s:r>
            </s:text>
          </item>
        </commentChain>
      </unresolved>
      <resolved/>
    </commentChains>
    <commentChains s:ref="AI139" rgbClr="FF0000">
      <unresolved>
        <commentChain chainId="f86a6c0870386f516d9c00983d85fc4938362122">
          <item id="913e2307a5b661f74be00a0f6e636b18a9abc24b" isNormal="1">
            <s:text>
              <s:r>
                <s:t xml:space="preserve">Administrator:
6/28 上空白UPC贴纸 240pcs</s:t>
              </s:r>
            </s:text>
          </item>
        </commentChain>
      </unresolved>
      <resolved/>
    </commentChains>
    <commentChains s:ref="AI140" rgbClr="FF0000">
      <unresolved>
        <commentChain chainId="bd8dc355500d1c415fddafa5d1a10c954a8d6794">
          <item id="e4735785b233c863fd140bea6d3725b9c7231043" isNormal="1">
            <s:text>
              <s:r>
                <s:t xml:space="preserve">Administrator:
6/28 上空白UPC贴纸 240pcs</s:t>
              </s:r>
            </s:text>
          </item>
        </commentChain>
      </unresolved>
      <resolved/>
    </commentChains>
    <commentChains s:ref="AI141" rgbClr="FF0000">
      <unresolved>
        <commentChain chainId="0fd43d92f71b3809f0f70cf82aae0f422bac463f">
          <item id="6e9382deba433acb5393be3a88e512f372165b97" isNormal="1">
            <s:text>
              <s:r>
                <s:t xml:space="preserve">Administrator:
6/28 上空白UPC贴纸 240pcs</s:t>
              </s:r>
            </s:text>
          </item>
        </commentChain>
      </unresolved>
      <resolved/>
    </commentChains>
    <commentChains s:ref="AI142" rgbClr="FF0000">
      <unresolved>
        <commentChain chainId="82afaceded3009deb371b74c5ec70ce5660c4724">
          <item id="16b9d7298c99d706e2358403662d8428b4f09afd" isNormal="1">
            <s:text>
              <s:r>
                <s:t xml:space="preserve">Administrator:
6/28 上空白UPC贴纸 240pcs</s:t>
              </s:r>
            </s:text>
          </item>
        </commentChain>
      </unresolved>
      <resolved/>
    </commentChains>
    <commentChains s:ref="AF143" rgbClr="FF0000">
      <unresolved>
        <commentChain chainId="2c49af8a11da9a129994604af4d1dc4bdc17252b">
          <item id="22aaa828e70060658a9a5aed10866ed6aa0d1cd9" isNormal="1">
            <s:text>
              <s:r>
                <s:t xml:space="preserve">Administrator:
3002496 7/23 1080pcs 华兴三A16
3002433 7/24  24pcs  华兴三A16</s:t>
              </s:r>
            </s:text>
          </item>
        </commentChain>
      </unresolved>
      <resolved/>
    </commentChains>
    <commentChains s:ref="AF144" rgbClr="FF0000">
      <unresolved>
        <commentChain chainId="d6aeb9b22111aba62dc8367dd4bcdbd4d8bd44f5">
          <item id="f71257ca1934a85b8bc7eebce46806d4436a1e3a" isNormal="1">
            <s:text>
              <s:r>
                <s:t xml:space="preserve">Administrator:
3002518 7/23 200pcs 莫海军B4楼A6区
</s:t>
              </s:r>
            </s:text>
          </item>
        </commentChain>
      </unresolved>
      <resolved/>
    </commentChains>
    <commentChains s:ref="AI144" rgbClr="FF0000">
      <unresolved>
        <commentChain chainId="b6470bf432ddb7d645541ca96c0107f038125100">
          <item id="e0b098b7d19e5f49f811566bc8c54dc0db8275e1" isNormal="1">
            <s:text>
              <s:r>
                <s:t xml:space="preserve">Administrator:
6/30 上UPC条码贴纸 200pcs</s:t>
              </s:r>
            </s:text>
          </item>
        </commentChain>
      </unresolved>
      <resolved/>
    </commentChains>
    <commentChains s:ref="AF145" rgbClr="FF0000">
      <unresolved>
        <commentChain chainId="0716595d60813c8abf28154f982fc2384dda9563">
          <item id="cae099e6c6c8f09c2ecbeef3dd9dd67294096d56" isNormal="1">
            <s:text>
              <s:r>
                <s:t xml:space="preserve">Administrator:
3002444 7/24  50pcs  华兴三B8
3002433 7/24 5350pcs 华兴三B8</s:t>
              </s:r>
            </s:text>
          </item>
        </commentChain>
      </unresolved>
      <resolved/>
    </commentChains>
    <commentChains s:ref="AF146" rgbClr="FF0000">
      <unresolved>
        <commentChain chainId="79f0fe9e73f76473b9323422ca54a7ab879c52c2">
          <item id="dc3b079b2ce865ee232d2a2391f6e4f055dbf60a" isNormal="1">
            <s:text>
              <s:r>
                <s:t xml:space="preserve">Administrator:
3002503 7/24 400pcs 莫海军B4楼A6区</s:t>
              </s:r>
            </s:text>
          </item>
        </commentChain>
      </unresolved>
      <resolved/>
    </commentChains>
    <commentChains s:ref="AI146" rgbClr="FF0000">
      <unresolved>
        <commentChain chainId="e785c2a323263fbdc6a13c792fadd455f13977fb">
          <item id="a06978f966c6f105902c452bfea98b7a1414d039" isNormal="1">
            <s:text>
              <s:r>
                <s:t xml:space="preserve">Administrator:
7/10 上客供价标贴纸 431pcs</s:t>
              </s:r>
            </s:text>
          </item>
        </commentChain>
      </unresolved>
      <resolved/>
    </commentChains>
    <commentChains s:ref="AF147" rgbClr="FF0000">
      <unresolved>
        <commentChain chainId="e8c6adcceb3fcbcdb60fef8cbf5e4de0672475c4">
          <item id="c41b3725dc74a986853604e91ec06630bd100a5f" isNormal="1">
            <s:text>
              <s:r>
                <s:t xml:space="preserve">Administrator:
3002481 7/26 24pcs 华兴三B11</s:t>
              </s:r>
            </s:text>
          </item>
        </commentChain>
      </unresolved>
      <resolved/>
    </commentChains>
    <commentChains s:ref="AI147" rgbClr="FF0000">
      <unresolved>
        <commentChain chainId="226aa49dc61c0caccfe5a23ab69d0dbe6e3f420f">
          <item id="ec6d92cc282f55a26b970629ae4c553cdc36f357" isNormal="1">
            <s:text>
              <s:r>
                <s:t xml:space="preserve">Administrator:
7/11 上亚马逊外箱贴纸 1pcs</s:t>
              </s:r>
            </s:text>
          </item>
        </commentChain>
      </unresolved>
      <resolved/>
    </commentChains>
    <commentChains s:ref="AF148" rgbClr="FF0000">
      <unresolved>
        <commentChain chainId="d5b41a5ca45945cba05fa4293c1d8cb1ea9c4ce3">
          <item id="ab3bf1692de18469643d2e7b12f377258ed3524c" isNormal="1">
            <s:text>
              <s:r>
                <s:t xml:space="preserve">Administrator:
3002154 8/2 600pcs 新仓库一A5</s:t>
              </s:r>
            </s:text>
          </item>
        </commentChain>
      </unresolved>
      <resolved/>
    </commentChains>
    <commentChains s:ref="AI148" rgbClr="FF0000">
      <unresolved>
        <commentChain chainId="a20822402eed2addff7df45401ee91aba0cf97f7">
          <item id="0d14ed6340213dc4c2ac8aa5957338334a9c4b1c" isNormal="1">
            <s:text>
              <s:r>
                <s:t xml:space="preserve">Administrator:
7/16 上客供价格贴纸 660pcs</s:t>
              </s:r>
            </s:text>
          </item>
        </commentChain>
      </unresolved>
      <resolved/>
    </commentChains>
    <commentChains s:ref="AF149" rgbClr="FF0000">
      <unresolved>
        <commentChain chainId="a5bb353b975c73fc44891cb94e7263a6715480ce">
          <item id="fb847c52a9defd9de44edddd77aadfe79fcac2cf" isNormal="1">
            <s:text>
              <s:r>
                <s:t xml:space="preserve">Administrator:
3002154 8/2 1800pcs 新仓库一A5</s:t>
              </s:r>
            </s:text>
          </item>
        </commentChain>
      </unresolved>
      <resolved/>
    </commentChains>
    <commentChains s:ref="AI149" rgbClr="FF0000">
      <unresolved>
        <commentChain chainId="3ac056deb524d6653890cd7b9a4c6c989851246e">
          <item id="5a3c839ce26ec6d962466aeb667ec00874970b33" isNormal="1">
            <s:text>
              <s:r>
                <s:t xml:space="preserve">Administrator:
7/16 上客供价格贴纸 1980pcs</s:t>
              </s:r>
            </s:text>
          </item>
        </commentChain>
      </unresolved>
      <resolved/>
    </commentChains>
    <commentChains s:ref="AF150" rgbClr="FF0000">
      <unresolved>
        <commentChain chainId="81256ceea6943ba34836d9d0eb0d409349ff9bf9">
          <item id="8e242bf50352c83999affcb37e56b4d0b978f98a" isNormal="1">
            <s:text>
              <s:r>
                <s:t xml:space="preserve">Administrator:
3002154 8/2 1200pcs 新仓库一A5</s:t>
              </s:r>
            </s:text>
          </item>
        </commentChain>
      </unresolved>
      <resolved/>
    </commentChains>
    <commentChains s:ref="AI150" rgbClr="FF0000">
      <unresolved>
        <commentChain chainId="a8b6b1c84b05d80d9b7ef0d7a40273dedc796ca1">
          <item id="c6e0fb5f86d25467e97e17b94bb80cabae8c36c3" isNormal="1">
            <s:text>
              <s:r>
                <s:t xml:space="preserve">Administrator:
7/16 上客供价格贴纸 1320pcs</s:t>
              </s:r>
            </s:text>
          </item>
        </commentChain>
      </unresolved>
      <resolved/>
    </commentChains>
    <commentChains s:ref="AF151" rgbClr="FF0000">
      <unresolved>
        <commentChain chainId="3781d98b6c2e5a1f065d8bf2f2a31fe164398e94">
          <item id="38ec68d6a25d93b940299133bfac8109caea03ce" isNormal="1">
            <s:text>
              <s:r>
                <s:t xml:space="preserve">Administrator:
3002146 8/2 1596pcs 华兴三7</s:t>
              </s:r>
            </s:text>
          </item>
        </commentChain>
      </unresolved>
      <resolved/>
    </commentChains>
    <commentChains s:ref="AI151" rgbClr="FF0000">
      <unresolved>
        <commentChain chainId="4fa64b43d601481557672049703c0ee9016e0d76">
          <item id="9b86853978317aa68caecb84450d4467b98d0519" isNormal="1">
            <s:text>
              <s:r>
                <s:t xml:space="preserve">Administrator:
7/16 上客供价格贴纸 1756pcs</s:t>
              </s:r>
            </s:text>
          </item>
        </commentChain>
      </unresolved>
      <resolved/>
    </commentChains>
    <commentChains s:ref="AF152" rgbClr="FF0000">
      <unresolved>
        <commentChain chainId="fb776ff9aee07557e8225a400dc129afa460a191">
          <item id="a3d599dc7077b81b302d100b2a51b2b7f7553f6b" isNormal="1">
            <s:text>
              <s:r>
                <s:t xml:space="preserve">Administrator:
3002154 8/2 996pcs 新仓库一A5</s:t>
              </s:r>
            </s:text>
          </item>
        </commentChain>
      </unresolved>
      <resolved/>
    </commentChains>
    <commentChains s:ref="AI152" rgbClr="FF0000">
      <unresolved>
        <commentChain chainId="112f456187d684371c7dd27735f818b32a36a623">
          <item id="05c99a1fbed338ce19087da28e41a5cbb4b1e55b" isNormal="1">
            <s:text>
              <s:r>
                <s:t xml:space="preserve">Administrator:
7/16 上客供价格贴纸 1096pcs</s:t>
              </s:r>
            </s:text>
          </item>
        </commentChain>
      </unresolved>
      <resolved/>
    </commentChains>
    <commentChains s:ref="AF153" rgbClr="FF0000">
      <unresolved>
        <commentChain chainId="729361662a6d93b21807eb0f04bf34a4ee76eccd">
          <item id="1801b065ef5b89144938a4efbbdc31cbaa630391" isNormal="1">
            <s:text>
              <s:r>
                <s:t xml:space="preserve">Administrator:
3002169 8/2 1200pcs 华兴三B11</s:t>
              </s:r>
            </s:text>
          </item>
        </commentChain>
      </unresolved>
      <resolved/>
    </commentChains>
    <commentChains s:ref="AI153" rgbClr="FF0000">
      <unresolved>
        <commentChain chainId="c551c14099a57ed33592eebc608031ef68faa54d">
          <item id="fcafc29082bbe744d84fab25337629c64edc0287" isNormal="1">
            <s:text>
              <s:r>
                <s:t xml:space="preserve">Administrator:
7/16 上客供价格贴纸 1320pcs</s:t>
              </s:r>
            </s:text>
          </item>
        </commentChain>
      </unresolved>
      <resolved/>
    </commentChains>
    <commentChains s:ref="AF154" rgbClr="FF0000">
      <unresolved>
        <commentChain chainId="148a631b95ef20b51afbeef1ee3a9543edba34b5">
          <item id="9c6476daaa195fc79886f4a3a2a7d0a4c17cf2e2" isNormal="1">
            <s:text>
              <s:r>
                <s:t xml:space="preserve">Administrator:
3002146 8/2 996pcs 华兴三A16</s:t>
              </s:r>
            </s:text>
          </item>
        </commentChain>
      </unresolved>
      <resolved/>
    </commentChains>
    <commentChains s:ref="AI154" rgbClr="FF0000">
      <unresolved>
        <commentChain chainId="902e2e3b83dae4c7af1bc0d64b3bb7cfc29b1da4">
          <item id="5b19f31564f20ac3ff90d46c772fb441fc7e3f96" isNormal="1">
            <s:text>
              <s:r>
                <s:t xml:space="preserve">Administrator:
7/16 上客供价格贴纸 1096pcs</s:t>
              </s:r>
            </s:text>
          </item>
        </commentChain>
      </unresolved>
      <resolved/>
    </commentChains>
    <commentChains s:ref="AF155" rgbClr="FF0000">
      <unresolved>
        <commentChain chainId="881abf3423c465a12593094515fec7521594a323">
          <item id="4c9cc54955d06b0317a0f3cbe2c29664153796e9" isNormal="1">
            <s:text>
              <s:r>
                <s:t xml:space="preserve">Administrator:
3002141 8/2 600pcs 华兴三A24</s:t>
              </s:r>
            </s:text>
          </item>
        </commentChain>
      </unresolved>
      <resolved/>
    </commentChains>
    <commentChains s:ref="AI155" rgbClr="FF0000">
      <unresolved>
        <commentChain chainId="14a939efd08c1bc26cc6e82a3abbac2663868d4a">
          <item id="c2161a91254ad9ff525e25eaa409a61a024b6e2e" isNormal="1">
            <s:text>
              <s:r>
                <s:t xml:space="preserve">Administrator:
7/16 上客供价格贴纸 660pcs</s:t>
              </s:r>
            </s:text>
          </item>
        </commentChain>
      </unresolved>
      <resolved/>
    </commentChains>
    <commentChains s:ref="AF156" rgbClr="FF0000">
      <unresolved>
        <commentChain chainId="52cf2d891bb4c423ae9b08c11ec710032dd4847f">
          <item id="93477d12ddc7674c87edd9ab74d0f70da96013ed" isNormal="1">
            <s:text>
              <s:r>
                <s:t xml:space="preserve">Administrator:
3002146 8/2 1800pcs 华兴三A12</s:t>
              </s:r>
            </s:text>
          </item>
        </commentChain>
      </unresolved>
      <resolved/>
    </commentChains>
    <commentChains s:ref="AI156" rgbClr="FF0000">
      <unresolved>
        <commentChain chainId="902411c68904e00e0928a5f5b30b543b576d1a7d">
          <item id="24ad7f27f03733bd119f9fc4a53027f52cab195f" isNormal="1">
            <s:text>
              <s:r>
                <s:t xml:space="preserve">Administrator:
7/16 上客供价格贴纸 1980pcs</s:t>
              </s:r>
            </s:text>
          </item>
        </commentChain>
      </unresolved>
      <resolved/>
    </commentChains>
    <commentChains s:ref="AF157" rgbClr="FF0000">
      <unresolved>
        <commentChain chainId="dbbb4be2ece5d69cde030e88d91112d129fc0d5a">
          <item id="e2431cd6fe48a7bc7108135afccc233ea4b4d983" isNormal="1">
            <s:text>
              <s:r>
                <s:t xml:space="preserve">Administrator:
3002154 8/2 1596pcs 新仓库一A5</s:t>
              </s:r>
            </s:text>
          </item>
        </commentChain>
      </unresolved>
      <resolved/>
    </commentChains>
    <commentChains s:ref="AI157" rgbClr="FF0000">
      <unresolved>
        <commentChain chainId="81f97eb1b2e874c82f7dc25e06dc91e47f43a124">
          <item id="b787c6d5ecc623779bdc9147b8a2745e328e6779" isNormal="1">
            <s:text>
              <s:r>
                <s:t xml:space="preserve">Administrator:
7/16 上客供价格贴纸 1756pcs</s:t>
              </s:r>
            </s:text>
          </item>
        </commentChain>
      </unresolved>
      <resolved/>
    </commentChains>
    <commentChains s:ref="AF158" rgbClr="FF0000">
      <unresolved>
        <commentChain chainId="f37d1d7cd0e47c8f734d0d751f9964e6df3efc79">
          <item id="c8a20b311baaa91655f08d19254c61308b28fb72" isNormal="1">
            <s:text>
              <s:r>
                <s:t xml:space="preserve">Administrator:
3002021 8/1 896pcs 华兴三A12</s:t>
              </s:r>
            </s:text>
          </item>
        </commentChain>
      </unresolved>
      <resolved/>
    </commentChains>
    <commentChains s:ref="AI158" rgbClr="FF0000">
      <unresolved>
        <commentChain chainId="a0bff3df87b04ebf468782525df0f39513a5d707">
          <item id="dbaaaa7aefd54841ff1327b2f0a74421a39c6fff" isNormal="1">
            <s:text>
              <s:r>
                <s:t xml:space="preserve">Administrator:
7/16 上客供价格贴纸 986pcs</s:t>
              </s:r>
            </s:text>
          </item>
        </commentChain>
      </unresolved>
      <resolved/>
    </commentChains>
    <commentChains s:ref="AF159" rgbClr="FF0000">
      <unresolved>
        <commentChain chainId="c11bac1f26f6122fc62f003bd560a98bfa0d06cc">
          <item id="f22964aa2ce4c40980f705cc960282c184cac8ca" isNormal="1">
            <s:text>
              <s:r>
                <s:t xml:space="preserve">Administrator:
3002021 8/1 1200pcs 华兴三B14</s:t>
              </s:r>
            </s:text>
          </item>
        </commentChain>
      </unresolved>
      <resolved/>
    </commentChains>
    <commentChains s:ref="AI159" rgbClr="FF0000">
      <unresolved>
        <commentChain chainId="4109302024d5159361369b0a9762a7177bd8e877">
          <item id="7b34a1474de70b075e604e0315b99f52d456700d" isNormal="1">
            <s:text>
              <s:r>
                <s:t xml:space="preserve">Administrator:
7/16 上客供价格贴纸 1320pcs</s:t>
              </s:r>
            </s:text>
          </item>
        </commentChain>
      </unresolved>
      <resolved/>
    </commentChains>
    <commentChains s:ref="AF160" rgbClr="FF0000">
      <unresolved>
        <commentChain chainId="ac1751da1435836ca630898f4923f0ed9ad1264d">
          <item id="300aab45f4368b61fc116537bb8f01930d2e2b8c" isNormal="1">
            <s:text>
              <s:r>
                <s:t xml:space="preserve">Administrator:
3002021 8/1 896pcs 华兴三A15</s:t>
              </s:r>
            </s:text>
          </item>
        </commentChain>
      </unresolved>
      <resolved/>
    </commentChains>
    <commentChains s:ref="AI160" rgbClr="FF0000">
      <unresolved>
        <commentChain chainId="fc2028b4106a2cd1561fbe65778e9b76f98db801">
          <item id="269d4a0a55c56ba939d071dd792f855d9e15cf12" isNormal="1">
            <s:text>
              <s:r>
                <s:t xml:space="preserve">Administrator:
7/16 上客供价格贴纸 986pcs</s:t>
              </s:r>
            </s:text>
          </item>
        </commentChain>
      </unresolved>
      <resolved/>
    </commentChains>
    <commentChains s:ref="AF161" rgbClr="FF0000">
      <unresolved>
        <commentChain chainId="31526107061c13aa1e67b38e74f81ee5da951131">
          <item id="34d13e85003b3b0c23c8a442daa251ed2e1c1852" isNormal="1">
            <s:text>
              <s:r>
                <s:t xml:space="preserve">Administrator:
3002024 8/1 1200pcs 华兴三A15</s:t>
              </s:r>
            </s:text>
          </item>
        </commentChain>
      </unresolved>
      <resolved/>
    </commentChains>
    <commentChains s:ref="AI161" rgbClr="FF0000">
      <unresolved>
        <commentChain chainId="71a0a9bef13f471bd10fe3d20e9d95a1dadca493">
          <item id="ee55d3ad698c473be0b6fe4fa05d9726f0ca9e97" isNormal="1">
            <s:text>
              <s:r>
                <s:t xml:space="preserve">Administrator:
7/16 上客供价格贴纸 1320pcs</s:t>
              </s:r>
            </s:text>
          </item>
        </commentChain>
      </unresolved>
      <resolved/>
    </commentChains>
    <commentChains s:ref="AF162" rgbClr="FF0000">
      <unresolved>
        <commentChain chainId="5448427fe0cfc973cfeea0ad42faa3af6c2c940e">
          <item id="a230c1bc48f5d489a36730f201f31cf53c8bddd9" isNormal="1">
            <s:text>
              <s:r>
                <s:t xml:space="preserve">Administrator:
3002161 8/1 600pcs 华兴三A13</s:t>
              </s:r>
            </s:text>
          </item>
        </commentChain>
      </unresolved>
      <resolved/>
    </commentChains>
    <commentChains s:ref="AI162" rgbClr="FF0000">
      <unresolved>
        <commentChain chainId="689412f1a0c5ca873d83ad036e957880605575c0">
          <item id="7240593e2c9e9fc73480e06e89fea0c91c465253" isNormal="1">
            <s:text>
              <s:r>
                <s:t xml:space="preserve">Administrator:
7/16 上客供价格贴纸 660pcs</s:t>
              </s:r>
            </s:text>
          </item>
        </commentChain>
      </unresolved>
      <resolved/>
    </commentChains>
    <commentChains s:ref="AF163" rgbClr="FF0000">
      <unresolved>
        <commentChain chainId="64a334747b80216a334477f24a8d086c43ce1767">
          <item id="12f16065a8610c30b0cda1264b2ffbc46f5550f1" isNormal="1">
            <s:text>
              <s:r>
                <s:t xml:space="preserve">Administrator:
3002021 8/1 800pcs 华兴三A13</s:t>
              </s:r>
            </s:text>
          </item>
        </commentChain>
      </unresolved>
      <resolved/>
    </commentChains>
    <commentChains s:ref="AI163" rgbClr="FF0000">
      <unresolved>
        <commentChain chainId="1fa2f2af4f823a8d9aac98efb2c66d17676f675a">
          <item id="fb91bb6a1d2c2bc926805309b943c1337cb7258f" isNormal="1">
            <s:text>
              <s:r>
                <s:t xml:space="preserve">Administrator:
7/16 上客供价格贴纸 880pcs</s:t>
              </s:r>
            </s:text>
          </item>
        </commentChain>
      </unresolved>
      <resolved/>
    </commentChains>
    <commentChains s:ref="AF164" rgbClr="FF0000">
      <unresolved>
        <commentChain chainId="d3bbcf0766f516a7221b6761c1e52ccea89db271">
          <item id="7c25ececd3b42d7da276ef2c3116875d8ded14ea" isNormal="1">
            <s:text>
              <s:r>
                <s:t xml:space="preserve">Administrator:
3002021 8/1 1000pcs 华兴三A14</s:t>
              </s:r>
            </s:text>
          </item>
        </commentChain>
      </unresolved>
      <resolved/>
    </commentChains>
    <commentChains s:ref="AI164" rgbClr="FF0000">
      <unresolved>
        <commentChain chainId="7ce2f64a32af526d32e42da7a3a24289f6189dd2">
          <item id="1166f088a1359adcc9d07615cfeb3e666b5327df" isNormal="1">
            <s:text>
              <s:r>
                <s:t xml:space="preserve">Administrator:
7/16 上客供价格贴纸 1100pcs</s:t>
              </s:r>
            </s:text>
          </item>
        </commentChain>
      </unresolved>
      <resolved/>
    </commentChains>
    <commentChains s:ref="AF165" rgbClr="FF0000">
      <unresolved>
        <commentChain chainId="65896a941b43432c1c9fdefc03b4780d08d003ed">
          <item id="8889aedb8f32623ace9da0755493c33d358de99c" isNormal="1">
            <s:text>
              <s:r>
                <s:t xml:space="preserve">Administrator:
3002024 8/1 600pcs 华兴三A15</s:t>
              </s:r>
            </s:text>
          </item>
        </commentChain>
      </unresolved>
      <resolved/>
    </commentChains>
    <commentChains s:ref="AI165" rgbClr="FF0000">
      <unresolved>
        <commentChain chainId="fbedc5629873bc74c661bf173c0b18daa91960f0">
          <item id="38fe4e7ccbf125448a304f5fc1abbdd8096485cf" isNormal="1">
            <s:text>
              <s:r>
                <s:t xml:space="preserve">Administrator:
7/16 上客供价格贴纸 660pcs</s:t>
              </s:r>
            </s:text>
          </item>
        </commentChain>
      </unresolved>
      <resolved/>
    </commentChains>
    <commentChains s:ref="AI166" rgbClr="FF0000">
      <unresolved>
        <commentChain chainId="c08b89832b44cb0cceae28a176132a3b89714b9a">
          <item id="27e64580d27ceed8e8bf82f809bd3e846c67831d" isNormal="1">
            <s:text>
              <s:r>
                <s:t xml:space="preserve">Administrator:
7/16 上客供价格贴纸 660pcs</s:t>
              </s:r>
            </s:text>
          </item>
        </commentChain>
      </unresolved>
      <resolved/>
    </commentChains>
    <commentChains s:ref="AF167" rgbClr="FF0000">
      <unresolved>
        <commentChain chainId="cca8cc11a27b3285a822875f100339b0e98791aa">
          <item id="62e5bc7eac820de53ff5e6145c0f59c97cca7a77" isNormal="1">
            <s:text>
              <s:r>
                <s:t xml:space="preserve">Administrator:
3002021 8/1 896pcs 华兴三A14</s:t>
              </s:r>
            </s:text>
          </item>
        </commentChain>
      </unresolved>
      <resolved/>
    </commentChains>
    <commentChains s:ref="AI167" rgbClr="FF0000">
      <unresolved>
        <commentChain chainId="a1295757d029b540bb971043273cb4120ee074ee">
          <item id="6edb61be535dad0ad31b091210220d5f92b5ed39" isNormal="1">
            <s:text>
              <s:r>
                <s:t xml:space="preserve">Administrator:
7/16 上客供价格贴纸 986pcs</s:t>
              </s:r>
            </s:text>
          </item>
        </commentChain>
      </unresolved>
      <resolved/>
    </commentChains>
    <commentChains s:ref="AF168" rgbClr="FF0000">
      <unresolved>
        <commentChain chainId="03451ca9c0e90b57e8281ce85816f3c388b603e5">
          <item id="f0136daaeae99239dd4ec6acaa2a9ca700430042" isNormal="1">
            <s:text>
              <s:r>
                <s:t xml:space="preserve">Administrator:
3002161 8/1 1000pcs 华兴三A13 </s:t>
              </s:r>
            </s:text>
          </item>
        </commentChain>
      </unresolved>
      <resolved/>
    </commentChains>
    <commentChains s:ref="AI168" rgbClr="FF0000">
      <unresolved>
        <commentChain chainId="78ed8a40fc1374adb47d9c783d09908154b78e07">
          <item id="4e6ed37c9078a1905633b0ee84313678d1d9d2a9" isNormal="1">
            <s:text>
              <s:r>
                <s:t xml:space="preserve">Administrator:
7/16 上客供价格贴纸 1100pcs</s:t>
              </s:r>
            </s:text>
          </item>
        </commentChain>
      </unresolved>
      <resolved/>
    </commentChains>
    <commentChains s:ref="AI169" rgbClr="FF0000">
      <unresolved>
        <commentChain chainId="b182bb68c97d37dfd511fce9c26087275a2ef188">
          <item id="3468264c76e19b5b76fe732897352635300d2f57" isNormal="1">
            <s:text>
              <s:r>
                <s:t xml:space="preserve">Administrator:
7/16 上客供价格贴纸 1100pcs</s:t>
              </s:r>
            </s:text>
          </item>
        </commentChain>
      </unresolved>
      <resolved/>
    </commentChains>
    <commentChains s:ref="AF170" rgbClr="FF0000">
      <unresolved>
        <commentChain chainId="fdb98dc0b0a799cbb417b874b7d73d8aa793cd1d">
          <item id="4f267acb725733f4934d477142af1fc09e2b59ea" isNormal="1">
            <s:text>
              <s:r>
                <s:t xml:space="preserve">Administrator:
3002141 8/2 950pcs 已走货</s:t>
              </s:r>
            </s:text>
          </item>
        </commentChain>
      </unresolved>
      <resolved/>
    </commentChains>
    <commentChains s:ref="AF171" rgbClr="FF0000">
      <unresolved>
        <commentChain chainId="267c81c463b96628df93877d2d981b82667ffa8a">
          <item id="03898e195e7dac6792180db85321a321c27ca26f" isNormal="1">
            <s:text>
              <s:r>
                <s:t xml:space="preserve">Administrator:
3002141 8/2 250pcs 已走货
</s:t>
              </s:r>
            </s:text>
          </item>
        </commentChain>
      </unresolved>
      <resolved/>
    </commentChains>
    <commentChains s:ref="AI171" rgbClr="FF0000">
      <unresolved>
        <commentChain chainId="1889f724f6467eac67df4fddb670a6f72041e66c">
          <item id="5ae48d2e5a20b19b6170af1ce1d5036373c1b06c" isNormal="1">
            <s:text>
              <s:r>
                <s:t xml:space="preserve">Administrator:
7/8 上UPC贴纸 2650pcs
171335/171342共用
7/16 上客供价格贴纸 275pcs</s:t>
              </s:r>
            </s:text>
          </item>
        </commentChain>
      </unresolved>
      <resolved/>
    </commentChains>
    <commentChains s:ref="AF172" rgbClr="FF0000">
      <unresolved>
        <commentChain chainId="fe4110f6df1f9ec6955ac7b1f24b52e4daec7db2">
          <item id="172d43e1363f22e888ca21f00e55e4e82e7e249a" isNormal="1">
            <s:text>
              <s:r>
                <s:t xml:space="preserve">Administrator:
3002141 8/2 950pcs 已走货
</s:t>
              </s:r>
            </s:text>
          </item>
        </commentChain>
      </unresolved>
      <resolved/>
    </commentChains>
    <commentChains s:ref="AI172" rgbClr="FF0000">
      <unresolved>
        <commentChain chainId="e2e73e8baf130092375cd52e282d54abbc2561aa">
          <item id="11f1d7061b80d17e89fa66b433ffc96369602228" isNormal="1">
            <s:text>
              <s:r>
                <s:t xml:space="preserve">Administrator:
7/8 上UPC贴纸 2650pcs
171335/171342共用
7/16 上客供价格贴纸 1045pcs</s:t>
              </s:r>
            </s:text>
          </item>
        </commentChain>
      </unresolved>
      <resolved/>
    </commentChains>
    <commentChains s:ref="AF173" rgbClr="FF0000">
      <unresolved>
        <commentChain chainId="eacd07b5871e3b07f2630438d3c1e1917d85763b">
          <item id="350505a7d33e4f2f987d1acca355b5a042eb2079" isNormal="1">
            <s:text>
              <s:r>
                <s:t xml:space="preserve">Administrator:
3002141 8/2 250pcs 已走货
</s:t>
              </s:r>
            </s:text>
          </item>
        </commentChain>
      </unresolved>
      <resolved/>
    </commentChains>
    <commentChains s:ref="AI173" rgbClr="FF0000">
      <unresolved>
        <commentChain chainId="1b118ca939eaadcb48596a99f27d95c7ef337569">
          <item id="a01e6082d0a7656a540b892f0af5ff94562f319d" isNormal="1">
            <s:text>
              <s:r>
                <s:t xml:space="preserve">Administrator:
7/8 上UPC贴纸 2650pcs
171335/171342共用
7/16 上客供价格贴纸 275pcs</s:t>
              </s:r>
            </s:text>
          </item>
        </commentChain>
      </unresolved>
      <resolved/>
    </commentChains>
    <commentChains s:ref="AF174" rgbClr="FF0000">
      <unresolved>
        <commentChain chainId="0223076344db90612622e7c283329280c7a770b1">
          <item id="eb9437595541cce1c20f926ad677b728f8ffc85c" isNormal="1">
            <s:text>
              <s:r>
                <s:t xml:space="preserve">Administrator:
3002141 8/2 150pcs 已走货
</s:t>
              </s:r>
            </s:text>
          </item>
        </commentChain>
      </unresolved>
      <resolved/>
    </commentChains>
    <commentChains s:ref="AI174" rgbClr="FF0000">
      <unresolved>
        <commentChain chainId="2439487d7c92044e906861b98e42e94cf9a43141">
          <item id="d10de7a34420e2891d1cc788320fad6682ac4003" isNormal="1">
            <s:text>
              <s:r>
                <s:t xml:space="preserve">Administrator:
7/8 上UPC贴纸 2650pcs
171335/171342共用
7/16 上客供价格贴纸 165pcs</s:t>
              </s:r>
            </s:text>
          </item>
        </commentChain>
      </unresolved>
      <resolved/>
    </commentChains>
    <commentChains s:ref="AF175" rgbClr="FF0000">
      <unresolved>
        <commentChain chainId="49d50131f1cf216db9e458e7fef83e7db684844c">
          <item id="8a6ab2ebe8fbeb8d9d6d948c85d0eb3d29410d30" isNormal="1">
            <s:text>
              <s:r>
                <s:t xml:space="preserve">Administrator:
3002141 8/2 100pcs 已走货
</s:t>
              </s:r>
            </s:text>
          </item>
        </commentChain>
      </unresolved>
      <resolved/>
    </commentChains>
    <commentChains s:ref="AI175" rgbClr="FF0000">
      <unresolved>
        <commentChain chainId="bc6f1d82787f8a63c2f0bb8d2892eac282041c5a">
          <item id="99e2895d0e14ca057f7e1030bd6d2f4c1838f6a0" isNormal="1">
            <s:text>
              <s:r>
                <s:t xml:space="preserve">Administrator:
7/8 上UPC贴纸 2650pcs
171335/171342共用
7/16 上客供价格 贴纸 110pcs</s:t>
              </s:r>
            </s:text>
          </item>
        </commentChain>
      </unresolved>
      <resolved/>
    </commentChains>
    <commentChains s:ref="AF176" rgbClr="FF0000">
      <unresolved>
        <commentChain chainId="031780bca420d4157282fe5e1e03559bbe537379">
          <item id="20b9a15bfbd4f9f14cb85d52c515855e2cfa714e" isNormal="1">
            <s:text>
              <s:r>
                <s:t xml:space="preserve">Administrator:
3002387 8/5 2004pcs 莫海军B4楼A7区</s:t>
              </s:r>
            </s:text>
          </item>
        </commentChain>
      </unresolved>
      <resolved/>
    </commentChains>
    <commentChains s:ref="AI176" rgbClr="FF0000">
      <unresolved>
        <commentChain chainId="b87849d04f6b9b53da2cfc09d5357a1841749a84">
          <item id="6ebe0539c0b4631ff78e9277f6acafd291a2ca7c" isNormal="1">
            <s:text>
              <s:r>
                <s:t xml:space="preserve">Administrator:
7/16 上客供价格贴纸 2100pcs</s:t>
              </s:r>
            </s:text>
          </item>
        </commentChain>
      </unresolved>
      <resolved/>
    </commentChains>
    <commentChains s:ref="AF177" rgbClr="FF0000">
      <unresolved>
        <commentChain chainId="048b4ca71ad801ea67d1eb1d5ac161dde9f330e2">
          <item id="5485f9ef36abdc70b3412b4b89a49bac05597164" isNormal="1">
            <s:text>
              <s:r>
                <s:t xml:space="preserve">Administrator:
3002358 8/6 500pcs 华兴三A27</s:t>
              </s:r>
            </s:text>
          </item>
        </commentChain>
      </unresolved>
      <resolved/>
    </commentChains>
    <commentChains s:ref="AF178" rgbClr="FF0000">
      <unresolved>
        <commentChain chainId="d147f375607c2fc975fcefcb692db7a9912489e4">
          <item id="fd2520fd74bc3f55bc295333c11b340e330497d7" isNormal="1">
            <s:text>
              <s:r>
                <s:t xml:space="preserve">Administrator:
3002319 8/7 2000pcs 莫海军A1楼A6区</s:t>
              </s:r>
            </s:text>
          </item>
        </commentChain>
      </unresolved>
      <resolved/>
    </commentChains>
    <commentChains s:ref="AI178" rgbClr="FF0000">
      <unresolved>
        <commentChain chainId="491f8697243855f2f465f10a9551b8593c324ac1">
          <item id="22d65711ae0142191ae8dc765aba7546b0ecfe97" isNormal="1">
            <s:text>
              <s:r>
                <s:t xml:space="preserve">Administrator:
7/22 上UPC贴纸 2000pcs</s:t>
              </s:r>
            </s:text>
          </item>
        </commentChain>
      </unresolved>
      <resolved/>
    </commentChains>
    <commentChains s:ref="AF179" rgbClr="FF0000">
      <unresolved>
        <commentChain chainId="e10060b86702fc637b11208f4f9638d63fd6ce02">
          <item id="045e63208f5ce29a780d1d23a079091499ebf0c6" isNormal="1">
            <s:text>
              <s:r>
                <s:t xml:space="preserve">Administrator:
3002319 8/7 304pcs 莫海军A1楼A6区
</s:t>
              </s:r>
            </s:text>
          </item>
        </commentChain>
      </unresolved>
      <resolved/>
    </commentChains>
    <commentChains s:ref="AI179" rgbClr="FF0000">
      <unresolved>
        <commentChain chainId="df7a7a8f6e5d91fe4831e08b0bd579c758a69a40">
          <item id="f6550c19cfdcf48f7b63651e9209e7a4d2f3b448" isNormal="1">
            <s:text>
              <s:r>
                <s:t xml:space="preserve">Administrator:
7/10 上客供价格贴纸 342pcs</s:t>
              </s:r>
            </s:text>
          </item>
        </commentChain>
      </unresolved>
      <resolved/>
    </commentChains>
    <commentChains s:ref="AF180" rgbClr="FF0000">
      <unresolved>
        <commentChain chainId="7fb1ebd7445d2deb3256b49792392062df285f45">
          <item id="f8b3119f2d2bd9e87efd2ac7732202e9de9e7a36" isNormal="1">
            <s:text>
              <s:r>
                <s:t xml:space="preserve">Administrator:
3002348 8/6 800pcs 莫海军A1楼C10区</s:t>
              </s:r>
            </s:text>
          </item>
        </commentChain>
      </unresolved>
      <resolved/>
    </commentChains>
    <commentChains s:ref="AI180" rgbClr="FF0000">
      <unresolved>
        <commentChain chainId="bd648a0c221f6e341807618314058ef914df20e1">
          <item id="f5a2b332f019409530b4ecd79eb7ee5ad665763e" isNormal="1">
            <s:text>
              <s:r>
                <s:t xml:space="preserve">Administrator:
7/18 上UPC条码贴纸 800pcs
     上进口商贴纸 800pcs</s:t>
              </s:r>
            </s:text>
          </item>
        </commentChain>
      </unresolved>
      <resolved/>
    </commentChains>
    <commentChains s:ref="AF181" rgbClr="FF0000">
      <unresolved>
        <commentChain chainId="b46e1b7aa8a4cca4a06b1af667d7577a64753522">
          <item id="9c3a7dd6f0f805c190d5f3a87be56b02f702bcbc" isNormal="1">
            <s:text>
              <s:r>
                <s:t xml:space="preserve">Administrator:
4000273 8/9 5256pcs 莫海军B4楼B1区</s:t>
              </s:r>
            </s:text>
          </item>
        </commentChain>
      </unresolved>
      <resolved/>
    </commentChains>
    <commentChains s:ref="AI181" rgbClr="FF0000">
      <unresolved>
        <commentChain chainId="9d877100ba8d459154c868e0da3482aaa07f6a18">
          <item id="5f501de505807f7fa3c6477cca95a8a4b1578d58" isNormal="1">
            <s:text>
              <s:r>
                <s:t xml:space="preserve">Administrator:
7/21 上进口商贴纸 16056pcs
     上空白条码贴纸 16056pcs
7/22 上价格贴纸 16056pcs</s:t>
              </s:r>
            </s:text>
          </item>
        </commentChain>
      </unresolved>
      <resolved/>
    </commentChains>
    <commentChains s:ref="AF182" rgbClr="FF0000">
      <unresolved>
        <commentChain chainId="007e51398d8a213a92f984d6b5b9b24858ab4082">
          <item id="a276cfdeaadb23338f88f16b8d95882f161c3404" isNormal="1">
            <s:text>
              <s:r>
                <s:t xml:space="preserve">Administrator:
4000273 8/9 708pcs 莫海军B4楼B1区
</s:t>
              </s:r>
            </s:text>
          </item>
        </commentChain>
      </unresolved>
      <resolved/>
    </commentChains>
    <commentChains s:ref="AF183" rgbClr="FF0000">
      <unresolved>
        <commentChain chainId="56373872fc899f6365e9edb5e426e84ba3d7b3bd">
          <item id="8cfbc43f27887289048b9b2a046146b1fea3437e" isNormal="1">
            <s:text>
              <s:r>
                <s:t xml:space="preserve">Administrator:
4000273 8/9 396pcs 莫海军B4楼B1区
</s:t>
              </s:r>
            </s:text>
          </item>
        </commentChain>
      </unresolved>
      <resolved/>
    </commentChains>
    <commentChains s:ref="AF184" rgbClr="FF0000">
      <unresolved>
        <commentChain chainId="ab089ba830ca414fef6a5f28480450de697a636f">
          <item id="082655b43dbb00392ea3dfe8df0a529625d13b64" isNormal="1">
            <s:text>
              <s:r>
                <s:t xml:space="preserve">Administrator:
4000273 8/9 480pcs 莫海军B4楼B1区
</s:t>
              </s:r>
            </s:text>
          </item>
        </commentChain>
      </unresolved>
      <resolved/>
    </commentChains>
    <commentChains s:ref="AF185" rgbClr="FF0000">
      <unresolved>
        <commentChain chainId="14836b4fa376a971a88538701aa15be913d2e56a">
          <item id="c3961899bbefc5c9c9e99edd8dd553d36149e999" isNormal="1">
            <s:text>
              <s:r>
                <s:t xml:space="preserve">Administrator:
4000273 8/9 744pcs 莫海军B4楼B8区
</s:t>
              </s:r>
            </s:text>
          </item>
        </commentChain>
      </unresolved>
      <resolved/>
    </commentChains>
    <commentChains s:ref="AF186" rgbClr="FF0000">
      <unresolved>
        <commentChain chainId="3917bf0b48a6d7e2793c328f1906c4660c12cab0">
          <item id="3c077ff4f86ef48f03a1504349154c082eeb5c83" isNormal="1">
            <s:text>
              <s:r>
                <s:t xml:space="preserve">Administrator:
4000273 8/9 180pcs 莫海军B4楼C8区
</s:t>
              </s:r>
            </s:text>
          </item>
        </commentChain>
      </unresolved>
      <resolved/>
    </commentChains>
    <commentChains s:ref="AF187" rgbClr="FF0000">
      <unresolved>
        <commentChain chainId="229b4a81557995aa4e59a39a92684109aba42ac8">
          <item id="a5878905bf4ec8326df9f6d3a83c3440d961e589" isNormal="1">
            <s:text>
              <s:r>
                <s:t xml:space="preserve">Administrator:
4000273 8/9 120pcs 莫海军B4楼C8区
</s:t>
              </s:r>
            </s:text>
          </item>
        </commentChain>
      </unresolved>
      <resolved/>
    </commentChains>
    <commentChains s:ref="AF188" rgbClr="FF0000">
      <unresolved>
        <commentChain chainId="f0dab779028bc38fc4314c90d25dc1b28556057f">
          <item id="253d56e907911669f365f1717835bd1b322d615c" isNormal="1">
            <s:text>
              <s:r>
                <s:t xml:space="preserve">Administrator:
4000273 8/9 144pcs 莫海军B4楼C8区
</s:t>
              </s:r>
            </s:text>
          </item>
        </commentChain>
      </unresolved>
      <resolved/>
    </commentChains>
    <commentChains s:ref="AF189" rgbClr="FF0000">
      <unresolved>
        <commentChain chainId="12f6f59f554ab087e98e918d305563a4d71de0e9">
          <item id="61c3f03c0e4447132c522a9ea0c2ac4472cdd71e" isNormal="1">
            <s:text>
              <s:r>
                <s:t xml:space="preserve">Administrator:
3002302 8/7 996pcs 莫海军B4楼A1区</s:t>
              </s:r>
            </s:text>
          </item>
        </commentChain>
      </unresolved>
      <resolved/>
    </commentChains>
    <commentChains s:ref="AI189" rgbClr="FF0000">
      <unresolved>
        <commentChain chainId="c98363c5458bb13c59b65b484ca3d52c41f7c900">
          <item id="e08a5cb323048c15b2834a782ac6d2994f279339" isNormal="1">
            <s:text>
              <s:r>
                <s:t xml:space="preserve">Administrator:
7/16 上客供价格贴纸 1096pcs</s:t>
              </s:r>
            </s:text>
          </item>
        </commentChain>
      </unresolved>
      <resolved/>
    </commentChains>
    <commentChains s:ref="AF190" rgbClr="FF0000">
      <unresolved>
        <commentChain chainId="1094e8ba2743a302335d93d89d566829dc00de49">
          <item id="d04e630ce30d39f483b1f7a08f992d4049aca417" isNormal="1">
            <s:text>
              <s:r>
                <s:t xml:space="preserve">Administrator:
4000267 8/8 1200pcs 新仓库一B7</s:t>
              </s:r>
            </s:text>
          </item>
        </commentChain>
      </unresolved>
      <resolved/>
    </commentChains>
    <commentChains s:ref="AI190" rgbClr="FF0000">
      <unresolved>
        <commentChain chainId="8f39da18b26e145b49732089a98aa9b2e3dc2096">
          <item id="ccda5f5a24f43ea442fa101b1fe1fce9f5c4212c" isNormal="1">
            <s:text>
              <s:r>
                <s:t xml:space="preserve">Administrator:
7/16 上客供价格贴纸 1320pcs</s:t>
              </s:r>
            </s:text>
          </item>
        </commentChain>
      </unresolved>
      <resolved/>
    </commentChains>
    <commentChains s:ref="AF191" rgbClr="FF0000">
      <unresolved>
        <commentChain chainId="1db5f5c1ec554fe6f0aa0bc9762d11d98a8ddcf2">
          <item id="0def1d170c09e52cbbb2d484d8c9d37ac76aa662" isNormal="1">
            <s:text>
              <s:r>
                <s:t xml:space="preserve">Administrator:
4000349 8/12 2004pcs 新仓库一B8</s:t>
              </s:r>
            </s:text>
          </item>
        </commentChain>
      </unresolved>
      <resolved/>
    </commentChains>
    <commentChains s:ref="AI191" rgbClr="FF0000">
      <unresolved>
        <commentChain chainId="2ca65ace5abc99cf22eddfdcfed2a952af1e44c6">
          <item id="6f018908d1ced106e663c41efddf4f167acd53c9" isNormal="1">
            <s:text>
              <s:r>
                <s:t xml:space="preserve">Administrator:
7/16 上客供价格贴纸 2100pcs</s:t>
              </s:r>
            </s:text>
          </item>
        </commentChain>
      </unresolved>
      <resolved/>
    </commentChains>
    <commentChains s:ref="AF192" rgbClr="FF0000">
      <unresolved>
        <commentChain chainId="0e2242564bdc20680b71f27b64035d0377937f81">
          <item id="b447b93cc3a0ab7fe81a43489c50ed0a5c3b4c7c" isNormal="1">
            <s:text>
              <s:r>
                <s:t xml:space="preserve">Administrator:
400320 8/11 507pcs 莫海军B4楼C7区</s:t>
              </s:r>
            </s:text>
          </item>
        </commentChain>
      </unresolved>
      <resolved/>
    </commentChains>
    <commentChains s:ref="AI192" rgbClr="FF0000">
      <unresolved>
        <commentChain chainId="9270d8ca2c4e30b29441d6f6fa74a3bac59d7d8a">
          <item id="774d59082cff8324838054d1cf11f5ae21ca914f" isNormal="1">
            <s:text>
              <s:r>
                <s:t xml:space="preserve">Administrator:
6/23 上进口商贴纸 507pcs
     上外箱贴纸 78pcs
     上PDQ贴纸 78pcs
     上EAN贴纸 507pcs
     上收藏指南贴纸 507pcs</s:t>
              </s:r>
            </s:text>
          </item>
        </commentChain>
      </unresolved>
      <resolved/>
    </commentChains>
    <commentChains s:ref="AF193" rgbClr="FF0000">
      <unresolved>
        <commentChain chainId="4c2746dbcd5406675253cbf4c2207a26949e1b5e">
          <item id="5cc934edee53479a7287af3f13fe367a94adbf36" isNormal="1">
            <s:text>
              <s:r>
                <s:t xml:space="preserve">Administrator:
4000595 8/18 276pcs 华兴三B8</s:t>
              </s:r>
            </s:text>
          </item>
        </commentChain>
      </unresolved>
      <resolved/>
    </commentChains>
    <commentChains s:ref="AI193" rgbClr="FF0000">
      <unresolved>
        <commentChain chainId="778dd107a5065fc8dcb44a104905f1267e732bfa">
          <item id="4e87d93201720cb0a0e0f25db4269c695435615a" isNormal="1">
            <s:text>
              <s:r>
                <s:t xml:space="preserve">Administrator:
8/1 上进口商贴纸 276pcs
    上空白贴纸 552pcs</s:t>
              </s:r>
            </s:text>
          </item>
        </commentChain>
      </unresolved>
      <resolved/>
    </commentChains>
    <commentChains s:ref="AF194" rgbClr="FF0000">
      <unresolved>
        <commentChain chainId="ac4d2585a0a0682103be6f6d51e892ef92f3706f">
          <item id="0f273d98cae1d2ce07adb107a8cca04678b70f5a" isNormal="1">
            <s:text>
              <s:r>
                <s:t xml:space="preserve">Administrator:
4000630 8/20 700pcs 新仓库一B8</s:t>
              </s:r>
            </s:text>
          </item>
        </commentChain>
      </unresolved>
      <resolved/>
    </commentChains>
    <commentChains s:ref="AI194" rgbClr="FF0000">
      <unresolved>
        <commentChain chainId="3bfab28513393e3f8c179b251667a0b70358b8ef">
          <item id="98b3e28206d1d53d6a4d76475a5a9de62014a96c" isNormal="1">
            <s:text>
              <s:r>
                <s:t xml:space="preserve">Administrator:
7/25 上UPC贴纸  700pcs
     上进口商贴纸 700pcs-供应商做错
7/29 上进口商贴纸 700pcs</s:t>
              </s:r>
            </s:text>
          </item>
        </commentChain>
      </unresolved>
      <resolved/>
    </commentChains>
    <commentChains s:ref="AF195" rgbClr="FF0000">
      <unresolved>
        <commentChain chainId="edd1f1e637600b4bd9334ee1955533163a271c84">
          <item id="5054aa0a767976986fc99bd13f6f0af8e78b3ddc" isNormal="1">
            <s:text>
              <s:r>
                <s:t xml:space="preserve">Administrator:
4000630 8/20 492pcs 新仓库一B8</s:t>
              </s:r>
            </s:text>
          </item>
        </commentChain>
      </unresolved>
      <resolved/>
    </commentChains>
    <commentChains s:ref="AI195" rgbClr="FF0000">
      <unresolved>
        <commentChain chainId="a937d4b37c6a4f0cac6f103d2621a4ce58b064a4">
          <item id="22a7be87db131e06265b64bd0a8e22fa91c1deee" isNormal="1">
            <s:text>
              <s:r>
                <s:t xml:space="preserve">Administrator:
7/22 上环保标贴纸 492pcs
7/31 上亚马逊外箱贴纸 41pcs</s:t>
              </s:r>
            </s:text>
          </item>
        </commentChain>
      </unresolved>
      <resolved/>
    </commentChains>
    <commentChains s:ref="AF196" rgbClr="FF0000">
      <unresolved>
        <commentChain chainId="bb4e86f4eb1b28189225da7c696606b92afe57da">
          <item id="b15a0007f4cb228abc2273d7cd11c5edd202527f" isNormal="1">
            <s:text>
              <s:r>
                <s:t xml:space="preserve">Administrator:
4000530 8/14 3456pcs 莫海军B4楼C8区</s:t>
              </s:r>
            </s:text>
          </item>
        </commentChain>
      </unresolved>
      <resolved/>
    </commentChains>
    <commentChains s:ref="AI196" rgbClr="FF0000">
      <unresolved>
        <commentChain chainId="387ba9607d49c31105520a9834551d8ec96a75f8">
          <item id="0e63b630d0ddba19c0a6b4e0c19e1c4fc84b4e12" isNormal="1">
            <s:text>
              <s:r>
                <s:t xml:space="preserve">Administrator:
7/28 上客供RFID贴纸 3456pcs</s:t>
              </s:r>
            </s:text>
          </item>
        </commentChain>
      </unresolved>
      <resolved/>
    </commentChains>
    <commentChains s:ref="AF197" rgbClr="FF0000">
      <unresolved>
        <commentChain chainId="4e4a43ae19e62155d1e4723e3de3ca1602455880">
          <item id="ea570552496222a01ea04dcfa4ce4202a9026e05" isNormal="1">
            <s:text>
              <s:r>
                <s:t xml:space="preserve">Administrator:
4000530 8/14 6912pcs 莫海军B4楼C8区
</s:t>
              </s:r>
            </s:text>
          </item>
        </commentChain>
      </unresolved>
      <resolved/>
    </commentChains>
    <commentChains s:ref="AI197" rgbClr="FF0000">
      <unresolved>
        <commentChain chainId="e0151b2e09014dcae57f0542f1e670fbc39f5d1c">
          <item id="57270651ad3279a4e24efea350e2bc6d1d4128d0" isNormal="1">
            <s:text>
              <s:r>
                <s:t xml:space="preserve">Administrator:
7/28 上客供RFID贴纸 6912pcs</s:t>
              </s:r>
            </s:text>
          </item>
        </commentChain>
      </unresolved>
      <resolved/>
    </commentChains>
    <commentChains s:ref="AF198" rgbClr="FF0000">
      <unresolved>
        <commentChain chainId="9a1b5f219eb70948cecee65ede05cd259cb3d67d">
          <item id="1f9d3e23d2ee36a0b4c11abb26eb14fc9a5b1087" isNormal="1">
            <s:text>
              <s:r>
                <s:t xml:space="preserve">Administrator:
4000530 8/14 2304pcs 莫海军B4楼C8区
</s:t>
              </s:r>
            </s:text>
          </item>
        </commentChain>
      </unresolved>
      <resolved/>
    </commentChains>
    <commentChains s:ref="AI198" rgbClr="FF0000">
      <unresolved>
        <commentChain chainId="2f86aba8cc89f476e66c7141d2da9a44d13c3d00">
          <item id="406fac360d0119c4480918d3011a2713be320785" isNormal="1">
            <s:text>
              <s:r>
                <s:t xml:space="preserve">Administrator:
7/28 上客供RFID贴纸 2304pcs</s:t>
              </s:r>
            </s:text>
          </item>
        </commentChain>
      </unresolved>
      <resolved/>
    </commentChains>
    <commentChains s:ref="AI199" rgbClr="FF0000">
      <unresolved>
        <commentChain chainId="ff68ac6755fb21adf9b66823341c0ebb731bda19">
          <item id="9ae943a119ea30293e77e0c81a4bb329a04002b3" isNormal="1">
            <s:text>
              <s:r>
                <s:t xml:space="preserve">Administrator:
7/28 上客供RFID贴纸 2304pcs</s:t>
              </s:r>
            </s:text>
          </item>
        </commentChain>
      </unresolved>
      <resolved/>
    </commentChains>
    <commentChains s:ref="AF200" rgbClr="FF0000">
      <unresolved>
        <commentChain chainId="c4b7cbca1aecb91b132127c0c38c4713e50eb453">
          <item id="d66c343b613e4fcb5c4a9a2fa5f10bda30f7214f" isNormal="1">
            <s:text>
              <s:r>
                <s:t xml:space="preserve">Administrator:
4000530 8/14 1152pcs 莫海军B4楼C8区
</s:t>
              </s:r>
            </s:text>
          </item>
        </commentChain>
      </unresolved>
      <resolved/>
    </commentChains>
    <commentChains s:ref="AI200" rgbClr="FF0000">
      <unresolved>
        <commentChain chainId="bff2614077d447869bed3d32daa2d92ebc22856e">
          <item id="9a168a0edf99373f985caf2960fe98dfa65f1167" isNormal="1">
            <s:text>
              <s:r>
                <s:t xml:space="preserve">Administrator:
7/28 上客供RFID贴纸 1152pcs</s:t>
              </s:r>
            </s:text>
          </item>
        </commentChain>
      </unresolved>
      <resolved/>
    </commentChains>
    <commentChains s:ref="AI201" rgbClr="FF0000">
      <unresolved>
        <commentChain chainId="3a1d32a1628e462aab48fcd1a6fa838008958bd5">
          <item id="237eb04f997269df791ed6babe000db17ac099a0" isNormal="1">
            <s:text>
              <s:r>
                <s:t xml:space="preserve">Administrator:
7/28 上客供RFID贴纸 1152pcs</s:t>
              </s:r>
            </s:text>
          </item>
        </commentChain>
      </unresolved>
      <resolved/>
    </commentChains>
    <commentChains s:ref="AI202" rgbClr="FF0000">
      <unresolved>
        <commentChain chainId="a31c0fa864f4f54fb80738bd7502af4d3c5b7823">
          <item id="75dfb17219bada515e8458f868313cd18017ec31" isNormal="1">
            <s:text>
              <s:r>
                <s:t xml:space="preserve">Administrator:
7/28 上客供RFID贴纸 1152pcs</s:t>
              </s:r>
            </s:text>
          </item>
        </commentChain>
      </unresolved>
      <resolved/>
    </commentChains>
    <commentChains s:ref="AF203" rgbClr="FF0000">
      <unresolved>
        <commentChain chainId="86dbbe7ebe586840c19c12af7b411d64f6904939">
          <item id="9c64683a15ad156e8ae6d7bfcd610b2583bef039" isNormal="1">
            <s:text>
              <s:r>
                <s:t xml:space="preserve">Administrator:
4000176 8/25 468pcs 莫海军B4楼B1区</s:t>
              </s:r>
            </s:text>
          </item>
        </commentChain>
      </unresolved>
      <resolved/>
    </commentChains>
    <commentChains s:ref="AF204" rgbClr="FF0000">
      <unresolved>
        <commentChain chainId="887f14fe1ee1dad64518fc1f078ba9249033a8cf">
          <item id="9b7eb6743d0a7df6a6d32d5e08c8a2cd224c719e" isNormal="1">
            <s:text>
              <s:r>
                <s:t xml:space="preserve">Administrator:
4000082 8/29 2028pcs 新仓库一B7</s:t>
              </s:r>
            </s:text>
          </item>
        </commentChain>
      </unresolved>
      <resolved/>
    </commentChains>
    <commentChains s:ref="AI204" rgbClr="FF0000">
      <unresolved>
        <commentChain chainId="d9b352146f446a175abc364cc7be40a70207e43a">
          <item id="cd0eea7fe710ee329e8058a5904a94c0e2714e7d" isNormal="1">
            <s:text>
              <s:r>
                <s:t xml:space="preserve">Administrator:
7/5 上日语贴纸 2028pcs
    上6+贴纸 2028pcs
7/8 上收藏指南6+贴纸 2028pcs</s:t>
              </s:r>
            </s:text>
          </item>
        </commentChain>
      </unresolved>
      <resolved/>
    </commentChains>
    <commentChains s:ref="AF205" rgbClr="FF0000">
      <unresolved>
        <commentChain chainId="b22e57ca5768ffc5c7490debf6204c3c56dd9611">
          <item id="106fb93b987a3e75250643816d9d0bae96fe50ca" isNormal="1">
            <s:text>
              <s:r>
                <s:t xml:space="preserve">Administrator:
4000048 9/2 2004pcs 华兴三B11</s:t>
              </s:r>
            </s:text>
          </item>
        </commentChain>
      </unresolved>
      <resolved/>
    </commentChains>
    <commentChains s:ref="AI205" rgbClr="FF0000">
      <unresolved>
        <commentChain chainId="044553bd86cc96558f7ea270e9a073d35f06bd9c">
          <item id="fbccef4fddd7779f3f1c9809666a2beb40e07657" isNormal="1">
            <s:text>
              <s:r>
                <s:t xml:space="preserve">Administrator:
8/14 上客供价格贴纸 2100pcs</s:t>
              </s:r>
            </s:text>
          </item>
        </commentChain>
      </unresolved>
      <resolved/>
    </commentChains>
    <commentChains s:ref="AF206" rgbClr="FF0000">
      <unresolved>
        <commentChain chainId="d8b2c7507e98d49d18ea9fa3f1e1c32a2778fb50">
          <item id="daa46aa744ea94f9d5ec3872c4a08f123850bdd3" isNormal="1">
            <s:text>
              <s:r>
                <s:t xml:space="preserve">Administrator:
4000101 8/30 600pcs</s:t>
              </s:r>
            </s:text>
          </item>
        </commentChain>
      </unresolved>
      <resolved/>
    </commentChains>
    <commentChains s:ref="AI206" rgbClr="FF0000">
      <unresolved>
        <commentChain chainId="faaee343b9214154a14e8a13c40757f8ec45cab8">
          <item id="9219694420b6fb82c318622e772a21f6cedac34d" isNormal="1">
            <s:text>
              <s:r>
                <s:t xml:space="preserve">Administrator:
8/14 上客供价格贴纸 636pcs</s:t>
              </s:r>
            </s:text>
          </item>
        </commentChain>
      </unresolved>
      <resolved/>
    </commentChains>
    <commentChains s:ref="AF207" rgbClr="FF0000">
      <unresolved>
        <commentChain chainId="8a5e25d26a84e0964fcb9293bb324858ac222268">
          <item id="de61984f2eba73b74a10757491ec8022c40e5ce9" isNormal="1">
            <s:text>
              <s:r>
                <s:t xml:space="preserve">Administrator:
4000101 8/30 192pcs</s:t>
              </s:r>
            </s:text>
          </item>
        </commentChain>
      </unresolved>
      <resolved/>
    </commentChains>
    <commentChains s:ref="AI207" rgbClr="FF0000">
      <unresolved>
        <commentChain chainId="e6b2eda5a8cf5b73412f13edf3bfef22ed333706">
          <item id="d489c6160fadf541866fee6aeab23e8b565acd0a" isNormal="1">
            <s:text>
              <s:r>
                <s:t xml:space="preserve">Administrator:
8/14 上客供价格贴纸 244pcs</s:t>
              </s:r>
            </s:text>
          </item>
        </commentChain>
      </unresolved>
      <resolved/>
    </commentChains>
    <commentChains s:ref="AF208" rgbClr="FF0000">
      <unresolved>
        <commentChain chainId="1474330a80277d57918781e32ea747f9b9900840">
          <item id="a3054bcbf5dd59fed94fea8e1ae1c149bd5f7786" isNormal="1">
            <s:text>
              <s:r>
                <s:t xml:space="preserve">Administrator:
4000003 9/4 408pcs 华兴三A32</s:t>
              </s:r>
            </s:text>
          </item>
        </commentChain>
      </unresolved>
      <resolved/>
    </commentChains>
    <commentChains s:ref="AI208" rgbClr="FF0000">
      <unresolved>
        <commentChain chainId="2acfbdc34424898b6eb5c0d9dfc4517fbc48ec89">
          <item id="1fbf5c3ddfa1326e575fe38595f1651255182416" isNormal="1">
            <s:text>
              <s:r>
                <s:t xml:space="preserve">Administrator:
8/14 上客供价格贴纸 440pcs</s:t>
              </s:r>
            </s:text>
          </item>
        </commentChain>
      </unresolved>
      <resolved/>
    </commentChains>
    <commentChains s:ref="AF209" rgbClr="FF0000">
      <unresolved>
        <commentChain chainId="01385ba674ad3481212f348cf0c35899a86ae9ea">
          <item id="39c896ac4379eeb94460a52e81dabc6008b5c44b" isNormal="1">
            <s:text>
              <s:r>
                <s:t xml:space="preserve">Administrator:
4000513 9/6 72pcs 华兴三B15</s:t>
              </s:r>
            </s:text>
          </item>
        </commentChain>
      </unresolved>
      <resolved/>
    </commentChains>
    <commentChains s:ref="AI209" rgbClr="FF0000">
      <unresolved>
        <commentChain chainId="20b15db846473bb4c1d208e28793be7867f35bb2">
          <item id="426c4f1038ba29c224d4354e440923c6aabadf84" isNormal="1">
            <s:text>
              <s:r>
                <s:t xml:space="preserve">Administrator:
8/18 上客供亚马逊外箱贴纸 6pcs</s:t>
              </s:r>
            </s:text>
          </item>
        </commentChain>
      </unresolved>
      <resolved/>
    </commentChains>
    <commentChains s:ref="AF210" rgbClr="FF0000">
      <unresolved>
        <commentChain chainId="62eea6ebb99a06c7e7f2531a698416c139675c21">
          <item id="e872ce6e7059ee7bf347eec081036348f532fd20" isNormal="1">
            <s:text>
              <s:r>
                <s:t xml:space="preserve">Administrator:
4000513 9/6 96pcs 华兴三B15</s:t>
              </s:r>
            </s:text>
          </item>
        </commentChain>
      </unresolved>
      <resolved/>
    </commentChains>
    <commentChains s:ref="AI210" rgbClr="FF0000">
      <unresolved>
        <commentChain chainId="87f3afa795c310d7811f266c2c6c74e0fce9d765">
          <item id="6e14708875b47fb5608e1036e37de92ccd656b89" isNormal="1">
            <s:text>
              <s:r>
                <s:t xml:space="preserve">Administrator:
8/18 上客供亚马逊外箱贴纸 8pcs</s:t>
              </s:r>
            </s:text>
          </item>
        </commentChain>
      </unresolved>
      <resolved/>
    </commentChains>
    <commentChains s:ref="AF211" rgbClr="FF0000">
      <unresolved>
        <commentChain chainId="09c5f4efb4b34ffc0e89178991bf7139550c9542">
          <item id="87ddcc5c0137ca12e3418b52d17a5394431934ba" isNormal="1">
            <s:text>
              <s:r>
                <s:t xml:space="preserve">Administrator:
4000513 9/6 60pcs 华兴三B15
</s:t>
              </s:r>
            </s:text>
          </item>
        </commentChain>
      </unresolved>
      <resolved/>
    </commentChains>
    <commentChains s:ref="AI211" rgbClr="FF0000">
      <unresolved>
        <commentChain chainId="34e4475432f659e114d8ed651ab21c29bd2bcd43">
          <item id="0be898001a62e414e2861ab78675308614bd99fc" isNormal="1">
            <s:text>
              <s:r>
                <s:t xml:space="preserve">Administrator:
8/18 上客供亚马逊外箱贴纸 5pcs</s:t>
              </s:r>
            </s:text>
          </item>
        </commentChain>
      </unresolved>
      <resolved/>
    </commentChains>
    <commentChains s:ref="AF212" rgbClr="FF0000">
      <unresolved>
        <commentChain chainId="2ce7b9abfff396b4a979447c3f6936825125709c">
          <item id="611bd578d1cb09b11613e268b694a77ac8d870c9" isNormal="1">
            <s:text>
              <s:r>
                <s:t xml:space="preserve">Administrator:
4000513 9/6 24pcs 华兴三B15
</s:t>
              </s:r>
            </s:text>
          </item>
        </commentChain>
      </unresolved>
      <resolved/>
    </commentChains>
    <commentChains s:ref="AI212" rgbClr="FF0000">
      <unresolved>
        <commentChain chainId="a83a8bd4c7402ea4e92a1acb2017c433b5a0bf4e">
          <item id="53f918e54c4bbff0c7fb031a9b219b77704dec94" isNormal="1">
            <s:text>
              <s:r>
                <s:t xml:space="preserve">Administrator:
8/18 上客供亚马逊外箱贴纸 2pcs</s:t>
              </s:r>
            </s:text>
          </item>
        </commentChain>
      </unresolved>
      <resolved/>
    </commentChains>
    <commentChains s:ref="AF213" rgbClr="FF0000">
      <unresolved>
        <commentChain chainId="68d6a40d7b164cffa82123875a15c098eb90091a">
          <item id="07549fce8812751b9aeb64e597afe6199e876df4" isNormal="1">
            <s:text>
              <s:r>
                <s:t xml:space="preserve">Administrator:
4000513 9/6 12pcs 华兴三B15
</s:t>
              </s:r>
            </s:text>
          </item>
        </commentChain>
      </unresolved>
      <resolved/>
    </commentChains>
    <commentChains s:ref="AI213" rgbClr="FF0000">
      <unresolved>
        <commentChain chainId="a4ae584f20f6a615dab1caa8a9d45e85adb6527b">
          <item id="cda5f06c012bb33840eae871b3dcddc8b633f3d1" isNormal="1">
            <s:text>
              <s:r>
                <s:t xml:space="preserve">Administrator:
8/18 上客供亚马逊外箱贴纸 1pcs</s:t>
              </s:r>
            </s:text>
          </item>
        </commentChain>
      </unresolved>
      <resolved/>
    </commentChains>
    <commentChains s:ref="AF214" rgbClr="FF0000">
      <unresolved>
        <commentChain chainId="06a1528717285b8621d1f6f266551e04304cbf22">
          <item id="c834d52bd5468669bebe59f4f85f7fc61286c016" isNormal="1">
            <s:text>
              <s:r>
                <s:t xml:space="preserve">Administrator:
4000513 9/6 36pcs 华兴三B15
</s:t>
              </s:r>
            </s:text>
          </item>
        </commentChain>
      </unresolved>
      <resolved/>
    </commentChains>
    <commentChains s:ref="AI214" rgbClr="FF0000">
      <unresolved>
        <commentChain chainId="673fa9e2c7a4ac317749520bff2a5529a778fb38">
          <item id="649d6d5eba5ffa0e7a40fb27accb837c877ae1e2" isNormal="1">
            <s:text>
              <s:r>
                <s:t xml:space="preserve">Administrator:
8/18 上客供亚马逊外箱贴纸 3pcs</s:t>
              </s:r>
            </s:text>
          </item>
        </commentChain>
      </unresolved>
      <resolved/>
    </commentChains>
    <commentChains s:ref="AF215" rgbClr="FF0000">
      <unresolved>
        <commentChain chainId="b22e999ad4c42fd697c7890aa61f27f8fd0ac109">
          <item id="c71b3aa9e501863e9ebb8d9839f4bec7a460e792" isNormal="1">
            <s:text>
              <s:r>
                <s:t xml:space="preserve">Administrator:
4000513 9/6 48pcs 华兴三B15
</s:t>
              </s:r>
            </s:text>
          </item>
        </commentChain>
      </unresolved>
      <resolved/>
    </commentChains>
    <commentChains s:ref="AI215" rgbClr="FF0000">
      <unresolved>
        <commentChain chainId="c65d29355a040b0822c5106deeb33f8c42234f6b">
          <item id="7f90185127d16f3fcd2bbf7e796159635c9cbaff" isNormal="1">
            <s:text>
              <s:r>
                <s:t xml:space="preserve">Administrator:
8/18 上客供亚马逊外箱贴纸 4pcs</s:t>
              </s:r>
            </s:text>
          </item>
        </commentChain>
      </unresolved>
      <resolved/>
    </commentChains>
    <commentChains s:ref="AF216" rgbClr="FF0000">
      <unresolved>
        <commentChain chainId="69e7580d16f97da06beb3cba92a9ebac0483fefe">
          <item id="05b573b15d328de2853b350d57b28aac80e8d286" isNormal="1">
            <s:text>
              <s:r>
                <s:t xml:space="preserve">Administrator:
4000379 9/4 1152pcs 华兴三B5</s:t>
              </s:r>
            </s:text>
          </item>
        </commentChain>
      </unresolved>
      <resolved/>
    </commentChains>
    <commentChains s:ref="AI216" rgbClr="FF0000">
      <unresolved>
        <commentChain chainId="5deb3eecddd00641a3e29b6622964ab29ccb994b">
          <item id="94084d968a8e1f18d37907f8ed80715944b00847" isNormal="1">
            <s:text>
              <s:r>
                <s:t xml:space="preserve">Administrator:
8/14 上客供RFID贴纸 1152pcs</s:t>
              </s:r>
            </s:text>
          </item>
        </commentChain>
      </unresolved>
      <resolved/>
    </commentChains>
    <commentChains s:ref="AI217" rgbClr="FF0000">
      <unresolved>
        <commentChain chainId="5fce0ba78abd7e63400ac640b41e06ce212c8f4f">
          <item id="975c8ec1621b8297bbc77bb34e13fcf5d8017acd" isNormal="1">
            <s:text>
              <s:r>
                <s:t xml:space="preserve">Administrator:
8/14 上客供RFID贴纸 1152pcs</s:t>
              </s:r>
            </s:text>
          </item>
        </commentChain>
      </unresolved>
      <resolved/>
    </commentChains>
    <commentChains s:ref="AI218" rgbClr="FF0000">
      <unresolved>
        <commentChain chainId="e9fe8e2eb8ca56459a8267860ea5dffd238b02c1">
          <item id="159f472e82f3f156ba59e6507185e4770b5796f4" isNormal="1">
            <s:text>
              <s:r>
                <s:t xml:space="preserve">Administrator:
8/14 上客供RFID贴纸 1152pcs</s:t>
              </s:r>
            </s:text>
          </item>
        </commentChain>
      </unresolved>
      <resolved/>
    </commentChains>
    <commentChains s:ref="AI219" rgbClr="FF0000">
      <unresolved>
        <commentChain chainId="068cf23e5900d6c3ff0ca4497108638c0b1ca8cf">
          <item id="01e855c69cc4975c3796aee8da2b3db89f2a3e7b" isNormal="1">
            <s:text>
              <s:r>
                <s:t xml:space="preserve">Administrator:
8/29 上客供RFID贴纸 1152pcs</s:t>
              </s:r>
            </s:text>
          </item>
        </commentChain>
      </unresolved>
      <resolved/>
    </commentChains>
    <commentChains s:ref="AI220" rgbClr="FF0000">
      <unresolved>
        <commentChain chainId="a9520d9699e70e6d300ee874659f059a0ac41976">
          <item id="501ba370c730c151b813c6ecd1ddf10ca99ece05" isNormal="1">
            <s:text>
              <s:r>
                <s:t xml:space="preserve">Administrator:
8/29 上客供RFID贴纸 1152pcs</s:t>
              </s:r>
            </s:text>
          </item>
        </commentChain>
      </unresolved>
      <resolved/>
    </commentChains>
    <commentChains s:ref="AI221" rgbClr="FF0000">
      <unresolved>
        <commentChain chainId="3aa37d224b76d868b44e9d0904451ee635aae5da">
          <item id="001cc7a1b43537774575d3a80e527be86089eb82" isNormal="1">
            <s:text>
              <s:r>
                <s:t xml:space="preserve">Administrator:
8/29 上客供RFID贴纸 1152pcs</s:t>
              </s:r>
            </s:text>
          </item>
        </commentChain>
      </unresolved>
      <resolved/>
    </commentChains>
    <commentChains s:ref="AI222" rgbClr="FF0000">
      <unresolved>
        <commentChain chainId="3236e0359139cf24945c4e9fdfef13915b39adb0">
          <item id="766e6d54fd77e810453d420c4a9db8dcd35e1a9b" isNormal="1">
            <s:text>
              <s:r>
                <s:t xml:space="preserve">Administrator:
8/29 上客供RFID贴纸 1152pcs</s:t>
              </s:r>
            </s:text>
          </item>
        </commentChain>
      </unresolved>
      <resolved/>
    </commentChains>
    <commentChains s:ref="AF223" rgbClr="FF0000">
      <unresolved>
        <commentChain chainId="210a94d0a83fbc27e474f83249b9d6a34f48c02f">
          <item id="1830b6b4f11b43155cef3e94a4c8d2cf1d75a363" isNormal="1">
            <s:text>
              <s:r>
                <s:t xml:space="preserve">Administrator:
4000008 9/4 660个-3箱
#1-#22各30各</s:t>
              </s:r>
            </s:text>
          </item>
        </commentChain>
      </unresolved>
      <resolved/>
    </commentChains>
    <commentChains s:ref="AF224" rgbClr="FF0000">
      <unresolved>
        <commentChain chainId="c03aafc9cffc88f2f9df8a25a7c628382cd4c87f">
          <item id="60d3a19991438a09e551678f41e985cc5e56b94f" isNormal="1">
            <s:text>
              <s:r>
                <s:t xml:space="preserve">Administrator:
4000437 9/15 600pcs 莫海军B4楼B1区
</s:t>
              </s:r>
            </s:text>
          </item>
        </commentChain>
      </unresolved>
      <resolved/>
    </commentChains>
    <commentChains s:ref="AI224" rgbClr="FF0000">
      <unresolved>
        <commentChain chainId="df71e373ddd3168025bf2afbbeb24c48e212e576">
          <item id="598d239823bb48b2d2c6bec3b26f61ddfe115256" isNormal="1">
            <s:text>
              <s:r>
                <s:t xml:space="preserve">Administrator:
8/14 上客供价格贴纸 630pcs</s:t>
              </s:r>
            </s:text>
          </item>
        </commentChain>
      </unresolved>
      <resolved/>
    </commentChains>
    <commentChains s:ref="AF225" rgbClr="FF0000">
      <unresolved>
        <commentChain chainId="bcb1713580655c9ed2c6a3d1174c3c12eface133">
          <item id="ec7d87139c357c8ceff908aff55d5902e92e095b" isNormal="1">
            <s:text>
              <s:r>
                <s:t xml:space="preserve">Administrator:
4000437 9/15 1800pcs 莫海军B4楼B1区
</s:t>
              </s:r>
            </s:text>
          </item>
        </commentChain>
      </unresolved>
      <resolved/>
    </commentChains>
    <commentChains s:ref="AF226" rgbClr="FF0000">
      <unresolved>
        <commentChain chainId="3b13b235b19e7beca681e4051df0274a3ede3b69">
          <item id="14e3cdcaef2e6408f70a109a2947593b52ba08dd" isNormal="1">
            <s:text>
              <s:r>
                <s:t xml:space="preserve">Administrator:
4000437 9/15 700pcs 莫海军B4楼B1区
</s:t>
              </s:r>
            </s:text>
          </item>
        </commentChain>
      </unresolved>
      <resolved/>
    </commentChains>
    <commentChains s:ref="AF227" rgbClr="FF0000">
      <unresolved>
        <commentChain chainId="9b9691ffefbf861e989132d8930d7b41a6cbe2e1">
          <item id="2c413434f5f538691e86bbfca2d40aeeaf2b8f8f" isNormal="1">
            <s:text>
              <s:r>
                <s:t xml:space="preserve">Administrator:
4000437 9/15 400pcs 莫海军B4楼A1区
</s:t>
              </s:r>
            </s:text>
          </item>
        </commentChain>
      </unresolved>
      <resolved/>
    </commentChains>
    <commentChains s:ref="AF228" rgbClr="FF0000">
      <unresolved>
        <commentChain chainId="76805a6d5fdbd9df0a7ec3e5c77fbab6e7c73538">
          <item id="2f14b701afdb9d70b5688d73348762abec7bb790" isNormal="1">
            <s:text>
              <s:r>
                <s:t xml:space="preserve">Administrator:
5000455 10/8 1508pcs 莫海军B4楼C4区</s:t>
              </s:r>
            </s:text>
          </item>
        </commentChain>
      </unresolved>
      <resolved/>
    </commentChains>
    <commentChains s:ref="AI228" rgbClr="FF0000">
      <unresolved>
        <commentChain chainId="582dac09f3fa83216e20c993cfa4c0e0526894bf">
          <item id="e12ef367f1b55c86499f6c08dd84f6b78b9230e3" isNormal="1">
            <s:text>
              <s:r>
                <s:t xml:space="preserve">Administrator:
9/11 上进口商贴纸 1508pcs</s:t>
              </s:r>
            </s:text>
          </item>
        </commentChain>
      </unresolved>
      <resolved/>
    </commentChains>
    <commentChains s:ref="AF229" rgbClr="FF0000">
      <unresolved>
        <commentChain chainId="ef0eb400916875070d1605d6ad15e826e653cf51">
          <item id="62e630a45b69be46f0110cd8e136b9b10f37e408" isNormal="1">
            <s:text>
              <s:r>
                <s:t xml:space="preserve">Administrator:
5000459 9/30 600pcs 华兴三A17</s:t>
              </s:r>
            </s:text>
          </item>
        </commentChain>
      </unresolved>
      <resolved/>
    </commentChains>
    <commentChains s:ref="AI229" rgbClr="FF0000">
      <unresolved>
        <commentChain chainId="fd21e9b00dbef466b2806e2178f9ea6186efa9ae">
          <item id="7beb33c5472785158c4ad68f2eeef8d498ed7930" isNormal="1">
            <s:text>
              <s:r>
                <s:t xml:space="preserve">Administrator:
9/12 上客供价格贴纸 630pcs</s:t>
              </s:r>
            </s:text>
          </item>
        </commentChain>
      </unresolved>
      <resolved/>
    </commentChains>
    <commentChains s:ref="AF230" rgbClr="FF0000">
      <unresolved>
        <commentChain chainId="c4035a5eaa80b7193b4dfe514a45492c87443334">
          <item id="9693f907fa215dbb69ae0ca0c2732bbbe171b2b4" isNormal="1">
            <s:text>
              <s:r>
                <s:t xml:space="preserve">Administrator:
5000459 9/30 720pcs 华兴三B8
5000446 10/7 12pcs  华兴三B8
</s:t>
              </s:r>
            </s:text>
          </item>
        </commentChain>
      </unresolved>
      <resolved/>
    </commentChains>
    <commentChains s:ref="AI230" rgbClr="FF0000">
      <unresolved>
        <commentChain chainId="d423fc78f5e466c6d013a52ca172f95661eaea7a">
          <item id="ca9cab9d0afa09ed60c439e71857d836a4ced686" isNormal="1">
            <s:text>
              <s:r>
                <s:t xml:space="preserve">Administrator:
9/9 上环保标贴纸 732pcs
9/18 上亚马逊外箱贴纸 61pcs</s:t>
              </s:r>
            </s:text>
          </item>
        </commentChain>
      </unresolved>
      <resolved/>
    </commentChains>
    <commentChains s:ref="AF231" rgbClr="FF0000">
      <unresolved>
        <commentChain chainId="5153a4eebb44bc2a46b71fdb8ebb906854b69ef8">
          <item id="ed82a65eb3fc4580a46ee7c1f23134dbb4de77c0" isNormal="1">
            <s:text>
              <s:r>
                <s:t xml:space="preserve">Administrator:
5000594 10/17 650pcs 华兴三B14</s:t>
              </s:r>
            </s:text>
          </item>
        </commentChain>
      </unresolved>
      <resolved/>
    </commentChains>
    <commentChains s:ref="AI231" rgbClr="FF0000">
      <unresolved>
        <commentChain chainId="837bfc9e2b782607ffeadd54cebfc929d8ef7018">
          <item id="12021fe9789e8f485a1bde3591390caa065d54df" isNormal="1">
            <s:text>
              <s:r>
                <s:t xml:space="preserve">Administrator:
9/23 上UPC贴纸 650pcs</s:t>
              </s:r>
            </s:text>
          </item>
        </commentChain>
      </unresolved>
      <resolved/>
    </commentChains>
    <commentChains s:ref="AF232" rgbClr="FF0000">
      <unresolved>
        <commentChain chainId="51cc2251ebe7187c75cc0f68759cefba9ea5b82b">
          <item id="fad5ab306541dfd2e67771cb135f6b7f2abb0946" isNormal="1">
            <s:text>
              <s:r>
                <s:t xml:space="preserve">Administrator:
5000161 10/23 520pcs 华兴一B3</s:t>
              </s:r>
            </s:text>
          </item>
        </commentChain>
      </unresolved>
      <resolved/>
    </commentChains>
    <commentChains s:ref="AF233" rgbClr="FF0000">
      <unresolved>
        <commentChain chainId="91aacff80d969fdb319fdfb8f8d877b9a0a37c33">
          <item id="c39a5413985398c1ad8853f84c15f6da427aecb5" isNormal="1">
            <s:text>
              <s:r>
                <s:t xml:space="preserve">Administrator:
11/12 湖南直接寄深圳雨禾</s:t>
              </s:r>
            </s:text>
          </item>
        </commentChain>
      </unresolved>
      <resolved/>
    </commentChains>
    <commentChains s:ref="AF234" rgbClr="FF0000">
      <unresolved>
        <commentChain chainId="7306029ea7dc1d6e83f4def88d426be80f339992">
          <item id="3e2c4c2dbb1fd522106808a3d9bc7d3523261b0a" isNormal="1">
            <s:text>
              <s:r>
                <s:t xml:space="preserve">Administrator:
消耗取消单4500128257  516pcs
1200339 11/8 84pcs 华兴三B13</s:t>
              </s:r>
            </s:text>
          </item>
        </commentChain>
      </unresolved>
      <resolved/>
    </commentChains>
    <commentChains s:ref="AI234" rgbClr="FF0000">
      <unresolved>
        <commentChain chainId="35ea0fe2935f0b3f2455285f2c2bfdf37e58eeee">
          <item id="5c67ac9d62245b5c394b0435d60c5a1fd391d232" isNormal="1">
            <s:text>
              <s:r>
                <s:t xml:space="preserve">Administrator:
10/17 上客供价格贴纸 630pcs</s:t>
              </s:r>
            </s:text>
          </item>
        </commentChain>
      </unresolved>
      <resolved/>
    </commentChains>
    <commentChains s:ref="AF235" rgbClr="FF0000">
      <unresolved>
        <commentChain chainId="3dbeb08acfc89a758bb347b803733e44a37c5593">
          <item id="61d53b3c0d45aa7d4577a8c15fb04b6bba583b33" isNormal="1">
            <s:text>
              <s:r>
                <s:t xml:space="preserve">Administrator:
1200446 11/19 2622pcs 华兴三B11</s:t>
              </s:r>
            </s:text>
          </item>
        </commentChain>
      </unresolved>
      <resolved/>
    </commentChains>
    <commentChains s:ref="AI235" rgbClr="FF0000">
      <unresolved>
        <commentChain chainId="abe4fbb03ae7b9ef9ccd885e978e689a8e7b3820">
          <item id="580bfd080884c311a0be409c246853ae7657ed93" isNormal="1">
            <s:text>
              <s:r>
                <s:t xml:space="preserve">Administrator:
11/6 上PDQ折页 3635pcs
     上WIC贴纸 21810pcs</s:t>
              </s:r>
            </s:text>
          </item>
        </commentChain>
      </unresolved>
      <resolved/>
    </commentChains>
    <commentChains s:ref="AF236" rgbClr="FF0000">
      <unresolved>
        <commentChain chainId="b1bdc34671d7e47a9ab85a70332bfd0d03999090">
          <item id="3afb9d006ec4ffe3d8274676e11b975ccbd1f30a" isNormal="1">
            <s:text>
              <s:r>
                <s:t xml:space="preserve">Administrator:
1200446 11/19 2208pcs 华兴三B11</s:t>
              </s:r>
            </s:text>
          </item>
        </commentChain>
      </unresolved>
      <resolved/>
    </commentChains>
    <commentChains s:ref="AI236" rgbClr="FF0000">
      <unresolved>
        <commentChain chainId="2c43cabd7cbbc8279083fa7f15beb128b50efc20">
          <item id="f2550d21beb867fab0478a02bc69e8ca2654c61f" isNormal="1">
            <s:text>
              <s:r>
                <s:t xml:space="preserve">Administrator:
11/6 上PDQ折页 3635pcs
     上WIC贴纸 21810pcs</s:t>
              </s:r>
            </s:text>
          </item>
        </commentChain>
      </unresolved>
      <resolved/>
    </commentChains>
    <commentChains s:ref="AF237" rgbClr="FF0000">
      <unresolved>
        <commentChain chainId="45a9461f9e5be7bffae65561bcaa96c254dfe424">
          <item id="eb936f71cef07f42a4ac1a3248216577eb506357" isNormal="1">
            <s:text>
              <s:r>
                <s:t xml:space="preserve">Administrator:
1200498 11/24 6006pcs 华兴三B14</s:t>
              </s:r>
            </s:text>
          </item>
        </commentChain>
      </unresolved>
      <resolved/>
    </commentChains>
    <commentChains s:ref="AI237" rgbClr="FF0000">
      <unresolved>
        <commentChain chainId="ef4b1e6251e0db80b0b806b28a54649a5013b5e8">
          <item id="2b62aa60762a5c2cdcf84f39af1823e8622ef268" isNormal="1">
            <s:text>
              <s:r>
                <s:t xml:space="preserve">Administrator:
11/4 上韩语警语贴纸 6006pcs</s:t>
              </s:r>
            </s:text>
          </item>
        </commentChain>
      </unresolved>
      <resolved/>
    </commentChains>
    <commentChains s:ref="AF238" rgbClr="FF0000">
      <unresolved>
        <commentChain chainId="de445ff3c2d2da426e276a6bed24c4100705814b">
          <item id="c6b3be2883f8c7595db9ed7e893f281a6f737200" isNormal="1">
            <s:text>
              <s:r>
                <s:t xml:space="preserve">Administrator:
1200547 11/27 2544pcs 华兴三B7</s:t>
              </s:r>
            </s:text>
          </item>
        </commentChain>
      </unresolved>
      <resolved/>
    </commentChains>
    <commentChains s:ref="AI238" rgbClr="FF0000">
      <unresolved>
        <commentChain chainId="7e6fc8c1be3b5bb004f3ff953a340050795740c0">
          <item id="e79931b98e1ca1050617f7d901b9be4971fd02ce" isNormal="1">
            <s:text>
              <s:r>
                <s:t xml:space="preserve">Administrator:
11/6 上PDQ折页 3635pcs
     上WIC贴纸 21810pcs</s:t>
              </s:r>
            </s:text>
          </item>
        </commentChain>
      </unresolved>
      <resolved/>
    </commentChains>
    <commentChains s:ref="AF239" rgbClr="FF0000">
      <unresolved>
        <commentChain chainId="125167e5b9bfcb4fba99ebb102dfb069fcaa51f0">
          <item id="31b79fc68a02f2e9676f7ade411aa0d0f6296544" isNormal="1">
            <s:text>
              <s:r>
                <s:t xml:space="preserve">Administrator:
1200547 11/27 3426pcs 华兴三B7
</s:t>
              </s:r>
            </s:text>
          </item>
        </commentChain>
      </unresolved>
      <resolved/>
    </commentChains>
    <commentChains s:ref="AI239" rgbClr="FF0000">
      <unresolved>
        <commentChain chainId="065a36f48b7a606d5c5f4df72e70b3385c6ddf9a">
          <item id="f86d3c9843048e4e59b4f4072518785548c0d072" isNormal="1">
            <s:text>
              <s:r>
                <s:t xml:space="preserve">Administrator:
11/6 上PDQ折页 3635pcs
     上WIC贴纸 21810pcs</s:t>
              </s:r>
            </s:text>
          </item>
        </commentChain>
      </unresolved>
      <resolved/>
    </commentChains>
    <commentChains s:ref="AF240" rgbClr="FF0000">
      <unresolved>
        <commentChain chainId="06b38d238d8dc5dadec6a97f9db92d0483123b1f">
          <item id="697d94a62e7dad31173be1075bd26527fe9933de" isNormal="1">
            <s:text>
              <s:r>
                <s:t xml:space="preserve">Administrator:
1200547 11/27 2694pcs 华兴三B7
</s:t>
              </s:r>
            </s:text>
          </item>
        </commentChain>
      </unresolved>
      <resolved/>
    </commentChains>
    <commentChains s:ref="AI240" rgbClr="FF0000">
      <unresolved>
        <commentChain chainId="1b8b19df3f766312bec6886cfe40fd59fd4243d3">
          <item id="425bd58deadc78a9c2a618e321875626eead4b2a" isNormal="1">
            <s:text>
              <s:r>
                <s:t xml:space="preserve">Administrator:
11/6 上PDQ折页 3635pcs
     上WIC贴纸 21810pcs</s:t>
              </s:r>
            </s:text>
          </item>
        </commentChain>
      </unresolved>
      <resolved/>
    </commentChains>
    <commentChains s:ref="AF241" rgbClr="FF0000">
      <unresolved>
        <commentChain chainId="5320cced357020b9473a1cfc925800f331b9dcb2">
          <item id="dab60f0365468ce129d2d860f254bacd6987f70a" isNormal="1">
            <s:text>
              <s:r>
                <s:t xml:space="preserve">Administrator:
1200547 11/27 2202pcs 华兴三B7
</s:t>
              </s:r>
            </s:text>
          </item>
        </commentChain>
      </unresolved>
      <resolved/>
    </commentChains>
    <commentChains s:ref="AI241" rgbClr="FF0000">
      <unresolved>
        <commentChain chainId="f4688a43e28ad53c72fce24c92fbeb9f14898e10">
          <item id="f00ec36570dc02ed79fddec4dd890863dca85712" isNormal="1">
            <s:text>
              <s:r>
                <s:t xml:space="preserve">Administrator:
11/6 上PDQ折页 3635pcs
     上WIC贴纸 21810pcs</s:t>
              </s:r>
            </s:text>
          </item>
        </commentChain>
      </unresolved>
      <resolved/>
    </commentChains>
    <commentChains s:ref="AF242" rgbClr="FF0000">
      <unresolved>
        <commentChain chainId="bdff23184aac78898d440208505f368c29e33901">
          <item id="25ab2aabdc7fc2c97a36e28dcf56f5650b798e89" isNormal="1">
            <s:text>
              <s:r>
                <s:t xml:space="preserve">Administrator:
1200547 11/27 924pcs 华兴三B7
</s:t>
              </s:r>
            </s:text>
          </item>
        </commentChain>
      </unresolved>
      <resolved/>
    </commentChains>
    <commentChains s:ref="AI242" rgbClr="FF0000">
      <unresolved>
        <commentChain chainId="9310e209d93f98e5cd04e8f808b1b9b39ad582d3">
          <item id="3a0312cdf465082a330ad0a549ed777de847174e" isNormal="1">
            <s:text>
              <s:r>
                <s:t xml:space="preserve">Administrator:
11/6 上PDQ折页 3635pcs
     上WIC贴纸 21810pcs</s:t>
              </s:r>
            </s:text>
          </item>
        </commentChain>
      </unresolved>
      <resolved/>
    </commentChains>
    <commentChains s:ref="AF243" rgbClr="FF0000">
      <unresolved>
        <commentChain chainId="96da53411f97266fc7ba25b15e69db0530dc214a">
          <item id="0111f45e1831b5f6810ab3d3d581f4317b5129d5" isNormal="1">
            <s:text>
              <s:r>
                <s:t xml:space="preserve">Administrator:
1200547 11/27 3246pcs 华兴三B7
</s:t>
              </s:r>
            </s:text>
          </item>
        </commentChain>
      </unresolved>
      <resolved/>
    </commentChains>
    <commentChains s:ref="AI243" rgbClr="FF0000">
      <unresolved>
        <commentChain chainId="718fff3d09a4336a8cfac36bf25ed53548d96015">
          <item id="57d4361aac4094b6e5cf02f71e480a2f3fcc9a56" isNormal="1">
            <s:text>
              <s:r>
                <s:t xml:space="preserve">Administrator:
11/6 上PDQ折页 3635pcs
     上WIC贴纸 21810pcs</s:t>
              </s:r>
            </s:text>
          </item>
        </commentChain>
      </unresolved>
      <resolved/>
    </commentChains>
    <commentChains s:ref="AF244" rgbClr="FF0000">
      <unresolved>
        <commentChain chainId="5ac80d9a8300e25ab4ce91425d7caaf185994ea0">
          <item id="07c404bc50d37c1c9e482eebcc66386f5ef04f21" isNormal="1">
            <s:text>
              <s:r>
                <s:t xml:space="preserve">Administrator:
1200547 11/27 1926pcs 华兴三B7
1200564 11/29  18pcs  华兴三B7</s:t>
              </s:r>
            </s:text>
          </item>
        </commentChain>
      </unresolved>
      <resolved/>
    </commentChains>
    <commentChains s:ref="AI244" rgbClr="FF0000">
      <unresolved>
        <commentChain chainId="3fd34fd782975f50e39e4ebf28972e89feb2a516">
          <item id="f575b9f741a7dc0bd5920e4b93f227506d33ad32" isNormal="1">
            <s:text>
              <s:r>
                <s:t xml:space="preserve">Administrator:
11/6 上PDQ折页 3635pcs
     上WIC贴纸 21810pcs</s:t>
              </s:r>
            </s:text>
          </item>
        </commentChain>
      </unresolved>
      <resolved/>
    </commentChains>
    <commentChains s:ref="AF245" rgbClr="FF0000">
      <unresolved>
        <commentChain chainId="dd9be1d9838bb1e0f2915f683497057b5a675135">
          <item id="7c24485bc10786f1814c25498d76d4aa5ad48e0d" isNormal="1">
            <s:text>
              <s:r>
                <s:t xml:space="preserve">Administrator:
1200208 12/8 2004pcs 华兴三B15</s:t>
              </s:r>
            </s:text>
          </item>
        </commentChain>
      </unresolved>
      <resolved/>
    </commentChains>
    <commentChains s:ref="AI245" rgbClr="FF0000">
      <unresolved>
        <commentChain chainId="1ad697619de22bc4c6bd3a53b898be70f1c3018b">
          <item id="7fd385402c694ce369c18b0307cb5f79d3d5e549" isNormal="1">
            <s:text>
              <s:r>
                <s:t xml:space="preserve">Administrator:
11/21 上客供价格贴纸 2100pcs</s:t>
              </s:r>
            </s:text>
          </item>
        </commentChain>
      </unresolved>
      <resolved/>
    </commentChains>
    <commentChains s:ref="AF246" rgbClr="FF0000">
      <unresolved>
        <commentChain chainId="f7115a9c07dd94d105e86ff061904235a0417eb6">
          <item id="138dbaf7f5171853e5a49cbf141e61a2ce627933" isNormal="1">
            <s:text>
              <s:r>
                <s:t xml:space="preserve">Administrator:
1200564 11/29 400pcs</s:t>
              </s:r>
            </s:text>
          </item>
        </commentChain>
      </unresolved>
      <resolved/>
    </commentChains>
    <commentChains s:ref="AI246" rgbClr="FF0000">
      <unresolved>
        <commentChain chainId="c658bf7dabd48ac7d313145713faa5b1d722b0f4">
          <item id="7a1d492800d25a7ddf3302550d60944a38824bdb" isNormal="1">
            <s:text>
              <s:r>
                <s:t xml:space="preserve">Administrator:
11/17 上进口商贴纸 4000pcs
      上UPC贴纸 4000pcs
181141/179365共用</s:t>
              </s:r>
            </s:text>
          </item>
        </commentChain>
      </unresolved>
      <resolved/>
    </commentChains>
    <commentChains s:ref="AF247" rgbClr="FF0000">
      <unresolved>
        <commentChain chainId="d61521fdae0945693f2881a27b18a99eb70fb7f7">
          <item id="1fd3d3c77390b2cac42bc8291e7157c289155942" isNormal="1">
            <s:text>
              <s:r>
                <s:t xml:space="preserve">Administrator:
1200648 12/4 996pcs 华兴三A22</s:t>
              </s:r>
            </s:text>
          </item>
        </commentChain>
      </unresolved>
      <resolved/>
    </commentChains>
    <commentChains s:ref="AI247" rgbClr="FF0000">
      <unresolved>
        <commentChain chainId="ae4e665ac46adaeeaad45cbc2f2ad79ba0688067">
          <item id="5fb4d484514f0c5850e8614f410e7f7c71d255cb" isNormal="1">
            <s:text>
              <s:r>
                <s:t xml:space="preserve">Administrator:
11/17 上空白贴纸 7992pcs
183797/183798/183806/183810共用
11/24 上客供价格贴纸 1096pcs</s:t>
              </s:r>
            </s:text>
          </item>
        </commentChain>
      </unresolved>
      <resolved/>
    </commentChains>
    <commentChains s:ref="AF248" rgbClr="FF0000">
      <unresolved>
        <commentChain chainId="001ffc11fe26a7577adca1d9cccad5820321ed3c">
          <item id="56b4b4f72b4d834b2ea0e993a23bd36ece0c9d96" isNormal="1">
            <s:text>
              <s:r>
                <s:t xml:space="preserve">Administrator:
1200648 12/4 1200pcs 华兴三A22</s:t>
              </s:r>
            </s:text>
          </item>
        </commentChain>
      </unresolved>
      <resolved/>
    </commentChains>
    <commentChains s:ref="AI248" rgbClr="FF0000">
      <unresolved>
        <commentChain chainId="06252ac34c8216743c60145d65a073a94b07ec3d">
          <item id="a1878ad96a6f70e4a8b4b23c52cf63eb4a6c4268" isNormal="1">
            <s:text>
              <s:r>
                <s:t xml:space="preserve">Administrator:
11/17 上空白贴纸 7992pcs
183797/183798/183806/183810共用
11/24 上客供价格贴纸 1320pcs</s:t>
              </s:r>
            </s:text>
          </item>
        </commentChain>
      </unresolved>
      <resolved/>
    </commentChains>
    <commentChains s:ref="AF249" rgbClr="FF0000">
      <unresolved>
        <commentChain chainId="4678fd58662ac9bd280cf6802270cc4a071aa733">
          <item id="878e214cedaac0bfb4c7cc0dd91fb3772322a0c6" isNormal="1">
            <s:text>
              <s:r>
                <s:t xml:space="preserve">Administrator:
1200200 12/6 250pcs B4楼A2区</s:t>
              </s:r>
            </s:text>
          </item>
        </commentChain>
      </unresolved>
      <resolved/>
    </commentChains>
    <commentChains s:ref="AF250" rgbClr="FF0000">
      <unresolved>
        <commentChain chainId="0891c6a5098a7b3975d7cadf2abab8321fdf4f5b">
          <item id="8922e62d46a7aaf6b447b9303c86b7ed840a88cc" isNormal="1">
            <s:text>
              <s:r>
                <s:t xml:space="preserve">Administrator:
1200761 12/12 12pcs B4楼A8区</s:t>
              </s:r>
            </s:text>
          </item>
        </commentChain>
      </unresolved>
      <resolved/>
    </commentChains>
    <commentChains s:ref="AI250" rgbClr="FF0000">
      <unresolved>
        <commentChain chainId="58ef2d454e8cda717718de84c7f6f048f538d3cc">
          <item id="48afcf3aa577a3658f9824018214dd8177cdf309" isNormal="1">
            <s:text>
              <s:r>
                <s:t xml:space="preserve">Administrator:
11/27 上客供亚马逊外箱贴纸 1pcs</s:t>
              </s:r>
            </s:text>
          </item>
        </commentChain>
      </unresolved>
      <resolved/>
    </commentChains>
    <commentChains s:ref="AF251" rgbClr="FF0000">
      <unresolved>
        <commentChain chainId="596189980c025d60ce0c91ed723362ff141c5abc">
          <item id="69c0e0e8784aa88d7da22445d8c65ea6b692b636" isNormal="1">
            <s:text>
              <s:r>
                <s:t xml:space="preserve">Administrator:
1200761 12/12 24pcs B4楼A8区</s:t>
              </s:r>
            </s:text>
          </item>
        </commentChain>
      </unresolved>
      <resolved/>
    </commentChains>
    <commentChains s:ref="AI251" rgbClr="FF0000">
      <unresolved>
        <commentChain chainId="12a87f7dbfcc66e645cdc834ce6b0f0a05c273e7">
          <item id="2b2f3aa1f75ca5cbf2b911a9562ae2b54418e8a7" isNormal="1">
            <s:text>
              <s:r>
                <s:t xml:space="preserve">Administrator:
11/27 上客供亚马逊外箱贴纸 2pcs</s:t>
              </s:r>
            </s:text>
          </item>
        </commentChain>
      </unresolved>
      <resolved/>
    </commentChains>
    <commentChains s:ref="AF252" rgbClr="FF0000">
      <unresolved>
        <commentChain chainId="2aeeb41b7f6d86847df87eebd1c0f88321e5b853">
          <item id="fa9efa1eb129c3a7717869c9ed49d2bb27ca4d0a" isNormal="1">
            <s:text>
              <s:r>
                <s:t xml:space="preserve">Administrator:
1200761 12/12 48pcs B4楼A8区</s:t>
              </s:r>
            </s:text>
          </item>
        </commentChain>
      </unresolved>
      <resolved/>
    </commentChains>
    <commentChains s:ref="AI252" rgbClr="FF0000">
      <unresolved>
        <commentChain chainId="dea7f7e79cd0af782d0c47cd1d752a29492bfc1d">
          <item id="97442ab05b0fabb8efa541f3418eb1c06ae42924" isNormal="1">
            <s:text>
              <s:r>
                <s:t xml:space="preserve">Administrator:
11/27 上客供亚马逊外箱贴纸 4pcs</s:t>
              </s:r>
            </s:text>
          </item>
        </commentChain>
      </unresolved>
      <resolved/>
    </commentChains>
    <commentChains s:ref="AF253" rgbClr="FF0000">
      <unresolved>
        <commentChain chainId="ceb832acc8c7c5872de72f796f5727df4b5c8bac">
          <item id="3b02ba68707faba345e020d07b25fa54d48201d0" isNormal="1">
            <s:text>
              <s:r>
                <s:t xml:space="preserve">Administrator:
1200761 12/12 12pcs B4楼A8区</s:t>
              </s:r>
            </s:text>
          </item>
        </commentChain>
      </unresolved>
      <resolved/>
    </commentChains>
    <commentChains s:ref="AI253" rgbClr="FF0000">
      <unresolved>
        <commentChain chainId="4ad778a95248edbb42efe9574c68f88d3c3ec8a8">
          <item id="a6130511c68b9f4bad0628fb966e0a3ac25d07a1" isNormal="1">
            <s:text>
              <s:r>
                <s:t xml:space="preserve">Administrator:
11/27 上客供亚马逊外箱贴纸 1pcs</s:t>
              </s:r>
            </s:text>
          </item>
        </commentChain>
      </unresolved>
      <resolved/>
    </commentChains>
    <commentChains s:ref="AI254" rgbClr="FF0000">
      <unresolved>
        <commentChain chainId="ea26572be91434992d08f96ebfba1b19ccc54c19">
          <item id="b2325eed028fbfddaf523cadd2ac5b4686efe311" isNormal="1">
            <s:text>
              <s:r>
                <s:t xml:space="preserve">Administrator:
11/27 上客供亚马逊外箱贴纸 1pcs</s:t>
              </s:r>
            </s:text>
          </item>
        </commentChain>
      </unresolved>
      <resolved/>
    </commentChains>
    <commentChains s:ref="AF255" rgbClr="FF0000">
      <unresolved>
        <commentChain chainId="8f93e3622ed0ef71899b295d078c7e982a664e45">
          <item id="906c37d18cc0349bf4afa91c3e79901babb95933" isNormal="1">
            <s:text>
              <s:r>
                <s:t xml:space="preserve">Administrator:
1200792 12/15 2250pcs B4楼A9区</s:t>
              </s:r>
            </s:text>
          </item>
        </commentChain>
      </unresolved>
      <resolved/>
    </commentChains>
    <commentChains s:ref="AF256" rgbClr="FF0000">
      <unresolved>
        <commentChain chainId="f6c9844b3f2a12b73d80c77786a6b9233085c455">
          <item id="769589fa6fae57b5d378b1c9af139681f3b0ccde" isNormal="1">
            <s:text>
              <s:r>
                <s:t xml:space="preserve">Administrator:
1600041 12/23   50pcs B4楼B1区
1600038 12/23 3550pcs B4楼B1区</s:t>
              </s:r>
            </s:text>
          </item>
        </commentChain>
      </unresolved>
      <resolved/>
    </commentChains>
    <commentChains s:ref="AI256" rgbClr="FF0000">
      <unresolved>
        <commentChain chainId="65d7e9d06397aed770e5fdab0f1c35b4109a92c3">
          <item id="ddfd0444cc5cfac445520efafcbd1c912bcd7c8b" isNormal="1">
            <s:text>
              <s:r>
                <s:t xml:space="preserve">Administrator:
11/17 上进口商贴纸 4000pcs
      上UPC贴纸 4000pcs
181141/179365共用</s:t>
              </s:r>
            </s:text>
          </item>
        </commentChain>
      </unresolved>
      <resolved/>
    </commentChains>
    <commentChains s:ref="AF257" rgbClr="FF0000">
      <unresolved>
        <commentChain chainId="9e5954d97c92a14dc5d37456922eefe165ea9a9e">
          <item id="47816ca91b696b2976904d6bcdc6a13f317b7d09" isNormal="1">
            <s:text>
              <s:r>
                <s:t xml:space="preserve">Administrator:
1600125 12/27 996pcs 华兴三B14</s:t>
              </s:r>
            </s:text>
          </item>
        </commentChain>
      </unresolved>
      <resolved/>
    </commentChains>
    <commentChains s:ref="AI257" rgbClr="FF0000">
      <unresolved>
        <commentChain chainId="9b036b025436a7b4c42afe7b2650e06b9d9d4dec">
          <item id="cb5fe8dc19aea11b251288c421e8c26f18c0d4cb" isNormal="1">
            <s:text>
              <s:r>
                <s:t xml:space="preserve">Administrator:
11/17 上空白贴纸 7992pcs
183797/183798/183806/183810共用
12/15 上客供价格贴纸 1096pcs
</s:t>
              </s:r>
            </s:text>
          </item>
        </commentChain>
      </unresolved>
      <resolved/>
    </commentChains>
    <commentChains s:ref="AF258" rgbClr="FF0000">
      <unresolved>
        <commentChain chainId="61fc99143ea6582b32afb30e14d83462c600730d">
          <item id="25a1ef63cf55b5b495291f834ad0a31a3eab816f" isNormal="1">
            <s:text>
              <s:r>
                <s:t xml:space="preserve">Administrator:
1600135 12/29 804pcs 华兴三B14</s:t>
              </s:r>
            </s:text>
          </item>
        </commentChain>
      </unresolved>
      <resolved/>
    </commentChains>
    <commentChains s:ref="AI258" rgbClr="FF0000">
      <unresolved>
        <commentChain chainId="80e6cc688c1f4e214d64659c00c2338f3accaa4b">
          <item id="feea4a1634596403093a8bc8ca55ece350d52a9f" isNormal="1">
            <s:text>
              <s:r>
                <s:t xml:space="preserve">Administrator:
11/17 上空白贴纸 7992pcs
183797/183798/183806/183810共用
12/15 上客供价格贴纸 885pcs</s:t>
              </s:r>
            </s:text>
          </item>
        </commentChain>
      </unresolved>
      <resolved/>
    </commentChains>
    <commentChains s:ref="AF259" rgbClr="FF0000">
      <unresolved>
        <commentChain chainId="97c25a8fdc6926eb142f4b12cca9c30cf641aedb">
          <item id="7e97890994512e821d4731bf9762bf24f4a2c857" isNormal="1">
            <s:text>
              <s:r>
                <s:t xml:space="preserve">Administrator:
1600954 1/2 2004pcs 华兴三A15</s:t>
              </s:r>
            </s:text>
          </item>
        </commentChain>
      </unresolved>
      <resolved/>
    </commentChains>
    <commentChains s:ref="AI259" rgbClr="FF0000">
      <unresolved>
        <commentChain chainId="b3ae4c5713f915cb736f1a6c2a9a9f8c92a151ec">
          <item id="98adc2726bab18316d5a8ec80278fd720e8c42fa" isNormal="1">
            <s:text>
              <s:r>
                <s:t xml:space="preserve">Administrator:
12/15 上客供价格贴纸 2100pcs</s:t>
              </s:r>
            </s:text>
          </item>
        </commentChain>
      </unresolved>
      <resolved/>
    </commentChains>
    <commentChains s:ref="AF260" rgbClr="FF0000">
      <unresolved>
        <commentChain chainId="a1a0a2846df7f3dbad2b86db89db289d6c39a7e4">
          <item id="223fc051827ac536deff506c273c6f9e060cb77a" isNormal="1">
            <s:text>
              <s:r>
                <s:t xml:space="preserve">Administrator:
1601063 1/9 804pcs 走货</s:t>
              </s:r>
            </s:text>
          </item>
        </commentChain>
      </unresolved>
      <resolved/>
    </commentChains>
    <commentChains s:ref="AI260" rgbClr="FF0000">
      <unresolved>
        <commentChain chainId="2d46ae2ad1f284aa299bce22201ede07a4fc6150">
          <item id="b6036d6ad41a9841a9be592b1a2a345147462d30" isNormal="1">
            <s:text>
              <s:r>
                <s:t xml:space="preserve">Administrator:
12/15 上客供价格贴纸 885pcs
12/23 上空白贴纸 7992pcs
187228/187231/187232/187236共用</s:t>
              </s:r>
            </s:text>
          </item>
        </commentChain>
      </unresolved>
      <resolved/>
    </commentChains>
    <commentChains s:ref="AF261" rgbClr="FF0000">
      <unresolved>
        <commentChain chainId="af9326f8d0822a1c8fcd6037937f94cd3f21e135">
          <item id="19d8e752336612f13a69babc16d6012c154636d4" isNormal="1">
            <s:text>
              <s:r>
                <s:t xml:space="preserve">Administrator:
1601063 1/9 996pcs 华兴三A29</s:t>
              </s:r>
            </s:text>
          </item>
        </commentChain>
      </unresolved>
      <resolved/>
    </commentChains>
    <commentChains s:ref="AI261" rgbClr="FF0000">
      <unresolved>
        <commentChain chainId="2064e0e519c5a4b463492f7173417eaec610f8a6">
          <item id="31b7523b81b41ddacd32052ee3d10fcc67e526c4" isNormal="1">
            <s:text>
              <s:r>
                <s:t xml:space="preserve">Administrator:
12/15 上客供价格贴纸 1096pcs
12/23 上空白贴纸 7992pcs
187228/187231/187232/187236共用
</s:t>
              </s:r>
            </s:text>
          </item>
        </commentChain>
      </unresolved>
      <resolved/>
    </commentChains>
    <commentChains s:ref="AI262" rgbClr="FF0000">
      <unresolved>
        <commentChain chainId="ecec9e2037d323092f59ad3478c3e1d722f2df2d">
          <item id="f11474b400bfee03ded9223cbba06101be96fb8b" isNormal="1">
            <s:text>
              <s:r>
                <s:t xml:space="preserve">Administrator:
12/15 上客供价格贴纸 1096pcs
12/23 上空白贴纸 7992pcs
187228/187231/187232/187236共用
</s:t>
              </s:r>
            </s:text>
          </item>
        </commentChain>
      </unresolved>
      <resolved/>
    </commentChains>
    <commentChains s:ref="AF263" rgbClr="FF0000">
      <unresolved>
        <commentChain chainId="fe8bcf99e3a344f1ded2ba281ebdbb7487918ad1">
          <item id="49e6a281fe55b806b01e5f0fab7e418f3cc55b83" isNormal="1">
            <s:text>
              <s:r>
                <s:t xml:space="preserve">Administrator:
1601063 1/9 1200pcs 走货</s:t>
              </s:r>
            </s:text>
          </item>
        </commentChain>
      </unresolved>
      <resolved/>
    </commentChains>
    <commentChains s:ref="AI263" rgbClr="FF0000">
      <unresolved>
        <commentChain chainId="8811f85e6c7b504bd6bbb4bac900bf6e845affa1">
          <item id="bca4c4f3d3fb660d1e7a3db3beadec05b3d535a2" isNormal="1">
            <s:text>
              <s:r>
                <s:t xml:space="preserve">Administrator:
12/15 上客供价格贴纸 1320pcs
12/23 上空白贴纸 7992pcs
187228/187231/187232/187236共用
</s:t>
              </s:r>
            </s:text>
          </item>
        </commentChain>
      </unresolved>
      <resolved/>
    </commentChains>
    <commentChains s:ref="AF264" rgbClr="FF0000">
      <unresolved>
        <commentChain chainId="36a913bf4f117650fb70247309104a8c8448ad06">
          <item id="5ccfb3665f1249c078cd9e48ca6a65175109ca1b" isNormal="1">
            <s:text>
              <s:r>
                <s:t xml:space="preserve">Administrator:
1600978 1/4 12pcs 华兴三B14</s:t>
              </s:r>
            </s:text>
          </item>
        </commentChain>
      </unresolved>
      <resolved/>
    </commentChains>
    <commentChains s:ref="AI264" rgbClr="FF0000">
      <unresolved>
        <commentChain chainId="31c0f15eb4159626e352e6d6c19c2abb09513b65">
          <item id="722ee5a22f1d13a85941370c9fbdb39f33536823" isNormal="1">
            <s:text>
              <s:r>
                <s:t xml:space="preserve">Administrator:
12/23 上客供亚马逊外箱贴纸 1pcs</s:t>
              </s:r>
            </s:text>
          </item>
        </commentChain>
      </unresolved>
      <resolved/>
    </commentChains>
    <commentChains s:ref="AF265" rgbClr="FF0000">
      <unresolved>
        <commentChain chainId="6c0ae37ed117ab4ca4bde45cfda600885c56c5a6">
          <item id="23957f7292fdcdef4245c3507bf84f187a401b4d" isNormal="1">
            <s:text>
              <s:r>
                <s:t xml:space="preserve">Administrator:
1601070 1/10 48pcs 华兴三B14</s:t>
              </s:r>
            </s:text>
          </item>
        </commentChain>
      </unresolved>
      <resolved/>
    </commentChains>
    <commentChains s:ref="AI265" rgbClr="FF0000">
      <unresolved>
        <commentChain chainId="63fa02b681a2566ffd7a2fa3ba4269267914a9e2">
          <item id="18639435c0c8c3c5bce19b6e43245428545404e1" isNormal="1">
            <s:text>
              <s:r>
                <s:t xml:space="preserve">Administrator:
1/5 上客供亚马逊外箱贴纸 4pcs</s:t>
              </s:r>
            </s:text>
          </item>
        </commentChain>
      </unresolved>
      <resolved/>
    </commentChains>
    <commentChains s:ref="AF266" rgbClr="FF0000">
      <unresolved>
        <commentChain chainId="00259b99e30c2c2d7332704566be9f1d53b2b826">
          <item id="ab20d0fceca39b45d1f14cea328b411688479f61" isNormal="1">
            <s:text>
              <s:r>
                <s:t xml:space="preserve">Administrator:
1601070 1/10 264pcs 华兴三B8</s:t>
              </s:r>
            </s:text>
          </item>
        </commentChain>
      </unresolved>
      <resolved/>
    </commentChains>
    <commentChains s:ref="AI266" rgbClr="FF0000">
      <unresolved>
        <commentChain chainId="144d0fa12da9fab306372561d13eed1cbe2ea1a5">
          <item id="2e22759d198f188fc5f81a5494a86d1c0ca5a45f" isNormal="1">
            <s:text>
              <s:r>
                <s:t xml:space="preserve">Administrator:
1/5 上客供亚马逊外箱贴纸 22pcs</s:t>
              </s:r>
            </s:text>
          </item>
        </commentChain>
      </unresolved>
      <resolved/>
    </commentChains>
    <commentChains s:ref="AF267" rgbClr="FF0000">
      <unresolved>
        <commentChain chainId="2cbb62132c6436bfc8395766feec75b365b21ab2">
          <item id="3b3daead1ed9978846ca7cf2b8e22a6443a0d650" isNormal="1">
            <s:text>
              <s:r>
                <s:t xml:space="preserve">Administrator:
1601070 1/10 276pcs 华兴三B8</s:t>
              </s:r>
            </s:text>
          </item>
        </commentChain>
      </unresolved>
      <resolved/>
    </commentChains>
    <commentChains s:ref="AI267" rgbClr="FF0000">
      <unresolved>
        <commentChain chainId="20ac4e0c46d3b33d8d00809aa369662205586851">
          <item id="43cdffb5d84cd450455636fc533276fab7659984" isNormal="1">
            <s:text>
              <s:r>
                <s:t xml:space="preserve">Administrator:
1/5 上客供亚马逊外箱贴纸 23pcs</s:t>
              </s:r>
            </s:text>
          </item>
        </commentChain>
      </unresolved>
      <resolved/>
    </commentChains>
    <commentChains s:ref="AF268" rgbClr="FF0000">
      <unresolved>
        <commentChain chainId="50109cfd53d13e2e2e16825ec1e34a4092fcc679">
          <item id="5d918a4da5e93e16e52ade87a44443f56d65fefb" isNormal="1">
            <s:text>
              <s:r>
                <s:t xml:space="preserve">Administrator:
1601070 1/10 24pcs 华兴三B14</s:t>
              </s:r>
            </s:text>
          </item>
        </commentChain>
      </unresolved>
      <resolved/>
    </commentChains>
    <commentChains s:ref="AI268" rgbClr="FF0000">
      <unresolved>
        <commentChain chainId="9e319ffa67fb1588b9cc342a5564f106b79054b0">
          <item id="89f0b6c617fec15a9a4c9b54b4e4e097974fe9b0" isNormal="1">
            <s:text>
              <s:r>
                <s:t xml:space="preserve">Administrator:
1/5 上客供亚马逊外箱贴纸 2pcs</s:t>
              </s:r>
            </s:text>
          </item>
        </commentChain>
      </unresolved>
      <resolved/>
    </commentChains>
    <commentChains s:ref="AF269" rgbClr="FF0000">
      <unresolved>
        <commentChain chainId="e3ffc18a903be47fbfb2a0e2a30c27ff6a19bdc7">
          <item id="18f14d188759741a4283dc756483c6931ee95c37" isNormal="1">
            <s:text>
              <s:r>
                <s:t xml:space="preserve">Administrator:
1600978 1/4 12pcs 华兴三B14</s:t>
              </s:r>
            </s:text>
          </item>
        </commentChain>
      </unresolved>
      <resolved/>
    </commentChains>
    <commentChains s:ref="AI269" rgbClr="FF0000">
      <unresolved>
        <commentChain chainId="e0515f3a4016e6ceff835b26000ff8c21ac9aafa">
          <item id="dab8b9be457748e12e19350fcd40f760e9a7bb44" isNormal="1">
            <s:text>
              <s:r>
                <s:t xml:space="preserve">Administrator:
12/23 上客供亚马逊外箱贴纸 1pcs</s:t>
              </s:r>
            </s:text>
          </item>
        </commentChain>
      </unresolved>
      <resolved/>
    </commentChains>
    <commentChains s:ref="AI270" rgbClr="FF0000">
      <unresolved>
        <commentChain chainId="77b0e4bd4e8e254215fa94274e04a5d83ce19069">
          <item id="560d2c9633c0a93d9ab367313bc3075358b0a95f" isNormal="1">
            <s:text>
              <s:r>
                <s:t xml:space="preserve">Administrator:
12/23 上客供亚马逊外箱贴纸 1pcs</s:t>
              </s:r>
            </s:text>
          </item>
        </commentChain>
      </unresolved>
      <resolved/>
    </commentChains>
    <commentChains s:ref="AI271" rgbClr="FF0000">
      <unresolved>
        <commentChain chainId="afd665107cb680f4d66a9598602577c947313a68">
          <item id="be921cd6c1e679ba95f61523e79ef8d621b479fa" isNormal="1">
            <s:text>
              <s:r>
                <s:t xml:space="preserve">Administrator:
12/23 上客供亚马逊外箱贴纸 1pcs</s:t>
              </s:r>
            </s:text>
          </item>
        </commentChain>
      </unresolved>
      <resolved/>
    </commentChains>
    <commentChains s:ref="AF272" rgbClr="FF0000">
      <unresolved>
        <commentChain chainId="c9b0b5b71bf69de39bf261286ee38fc049b619ba">
          <item id="46c4c3af2e34b228dd2a463ca7d9ab64c7334e67" isNormal="1">
            <s:text>
              <s:r>
                <s:t xml:space="preserve">Administrator:
1601236 1/22 600pcs 华兴三B13</s:t>
              </s:r>
            </s:text>
          </item>
        </commentChain>
      </unresolved>
      <resolved/>
    </commentChains>
    <commentChains s:ref="AI272" rgbClr="FF0000">
      <unresolved>
        <commentChain chainId="f691fd2924305f7d105ebab6f1f53fc128ba28a5">
          <item id="002d4c88d063f21faf8c79794b76193bc92e6b4d" isNormal="1">
            <s:text>
              <s:r>
                <s:t xml:space="preserve">Administrator:
1/9 上UPC贴纸 600pcs</s:t>
              </s:r>
            </s:text>
          </item>
        </commentChain>
      </unresolved>
      <resolved/>
    </commentChains>
    <commentChains s:ref="AF273" rgbClr="FF0000">
      <unresolved>
        <commentChain chainId="50c365dfb8537dd448d1ed57cc2cb67021a72398">
          <item id="9b3b12b1633cee49c63f32f715fb8ad7f6013e3b" isNormal="1">
            <s:text>
              <s:r>
                <s:t xml:space="preserve">Administrator:
5000252 1/27 4500pcs 华兴三A24</s:t>
              </s:r>
            </s:text>
          </item>
        </commentChain>
      </unresolved>
      <resolved/>
    </commentChains>
    <commentChains s:ref="AF274" rgbClr="FF0000">
      <unresolved>
        <commentChain chainId="4c14fa8944341cd268586a793492fdf63c55e514">
          <item id="f7cd33d1fe694add1e048f076e295dedcdf27680" isNormal="1">
            <s:text>
              <s:r>
                <s:t xml:space="preserve">Administrator:
5000252 1/27 1992pcs 华兴三B16
1405695 1/29   24pcs 华兴三B16</s:t>
              </s:r>
            </s:text>
          </item>
        </commentChain>
      </unresolved>
      <resolved/>
    </commentChains>
    <commentChains s:ref="AI274" rgbClr="FF0000">
      <unresolved>
        <commentChain chainId="fb49fb42f6a450fe668c104193e5fcd3b9ca3427">
          <item id="097c522c43028b39db11aea04964607b62a28f2c" isNormal="1">
            <s:text>
              <s:r>
                <s:t xml:space="preserve">Administrator:
1/5 上客供价格贴纸 2100pcs</s:t>
              </s:r>
            </s:text>
          </item>
        </commentChain>
      </unresolved>
      <resolved/>
    </commentChains>
    <commentChains s:ref="AF275" rgbClr="FF0000">
      <unresolved>
        <commentChain chainId="ac08842c1178096bd70d83a130db59c937879a50">
          <item id="18bf7cb7c156531c654631196a70bff414ebe0bf" isNormal="1">
            <s:text>
              <s:r>
                <s:t xml:space="preserve">Administrator:
1405621 2/4 48pcs 华兴三B14</s:t>
              </s:r>
            </s:text>
          </item>
        </commentChain>
      </unresolved>
      <resolved/>
    </commentChains>
    <commentChains s:ref="AI275" rgbClr="FF0000">
      <unresolved>
        <commentChain chainId="8f76104d0de05089134c0e5071d1207cddb36001">
          <item id="c87a34cdd130564486e6f37b1ea7584b0356cd96" isNormal="1">
            <s:text>
              <s:r>
                <s:t xml:space="preserve">Administrator:
1/28 上客供亚马逊外箱贴纸 4pcs</s:t>
              </s:r>
            </s:text>
          </item>
        </commentChain>
      </unresolved>
      <resolved/>
    </commentChains>
    <commentChains s:ref="AF276" rgbClr="FF0000">
      <unresolved>
        <commentChain chainId="f27271e94d597aedad3ad404d836db233e0fdb45">
          <item id="343ed75eaf14093d0412844b64be70e6e9f9042e" isNormal="1">
            <s:text>
              <s:r>
                <s:t xml:space="preserve">Administrator:
1405621 2/4 12pcs 华兴三B14
</s:t>
              </s:r>
            </s:text>
          </item>
        </commentChain>
      </unresolved>
      <resolved/>
    </commentChains>
    <commentChains s:ref="AI276" rgbClr="FF0000">
      <unresolved>
        <commentChain chainId="6c2bbc6038fcba407fc3f5fb711bbd690225a0ad">
          <item id="657e0e2415a6f23b14e013395f7cb8e3f51f8a85" isNormal="1">
            <s:text>
              <s:r>
                <s:t xml:space="preserve">Administrator:
1/28 上客供亚马逊外箱贴纸 1pcs</s:t>
              </s:r>
            </s:text>
          </item>
        </commentChain>
      </unresolved>
      <resolved/>
    </commentChains>
    <commentChains s:ref="AI277" rgbClr="FF0000">
      <unresolved>
        <commentChain chainId="5f2535f06492e3ab64b88fc848d9eaae72b07644">
          <item id="2c3d62879671b94fa9d1469f902da51ee601e505" isNormal="1">
            <s:text>
              <s:r>
                <s:t xml:space="preserve">Administrator:
1/28 上客供亚马逊外箱贴纸 1pcs</s:t>
              </s:r>
            </s:text>
          </item>
        </commentChain>
      </unresolved>
      <resolved/>
    </commentChains>
    <commentChains s:ref="AI278" rgbClr="FF0000">
      <unresolved>
        <commentChain chainId="648ba4feee78a0096f20084ff800414b2afbfe59">
          <item id="716208784330accb2ede1b59d6c6b12711190591" isNormal="1">
            <s:text>
              <s:r>
                <s:t xml:space="preserve">Administrator:
1/28 上客供亚马逊外箱贴纸 1pcs</s:t>
              </s:r>
            </s:text>
          </item>
        </commentChain>
      </unresolved>
      <resolved/>
    </commentChains>
    <commentChains s:ref="AF279" rgbClr="FF0000">
      <unresolved>
        <commentChain chainId="c32ab6edda8fae6b3e97517e0316d0ef825f853d">
          <item id="c227668dfb2355b2e1ec91d3da8fd096ec143450" isNormal="1">
            <s:text>
              <s:r>
                <s:t xml:space="preserve">Administrator:
1405586 2/6 612pcs 华兴三B14</s:t>
              </s:r>
            </s:text>
          </item>
        </commentChain>
      </unresolved>
      <resolved/>
    </commentChains>
    <commentChains s:ref="AI279" rgbClr="FF0000">
      <unresolved>
        <commentChain chainId="fd32e4c7bb1fc5de4ef408cee6498f0b6efc88ec">
          <item id="14f2ca3d8041e67fe5d78a576066a3e3124dc0dc" isNormal="1">
            <s:text>
              <s:r>
                <s:t xml:space="preserve">Administrator:
1/28 上客供亚马逊外箱贴纸 51pcs</s:t>
              </s:r>
            </s:text>
          </item>
        </commentChain>
      </unresolved>
      <resolved/>
    </commentChains>
    <commentChains s:ref="AF280" rgbClr="FF0000">
      <unresolved>
        <commentChain chainId="bc6240731c57bc839ec35f3b39fd1ce60e0f5961">
          <item id="31735f86401b346b2188d75a395d88046830b2cd" isNormal="1">
            <s:text>
              <s:r>
                <s:t xml:space="preserve">Administrator:
1405586 2/6 228pcs 华兴三B14</s:t>
              </s:r>
            </s:text>
          </item>
        </commentChain>
      </unresolved>
      <resolved/>
    </commentChains>
    <commentChains s:ref="AI280" rgbClr="FF0000">
      <unresolved>
        <commentChain chainId="0f011be96c709f780f55cfc9386a3b06fde32ad8">
          <item id="4e7a5328f491a04975668d710272e36ae8e0e24c" isNormal="1">
            <s:text>
              <s:r>
                <s:t xml:space="preserve">Administrator:
1/30 上客供亚马逊外箱贴纸 19pcs</s:t>
              </s:r>
            </s:text>
          </item>
        </commentChain>
      </unresolved>
      <resolved/>
    </commentChains>
    <commentChains s:ref="AF281" rgbClr="FF0000">
      <unresolved>
        <commentChain chainId="cbf358ba431900578a1f0ab2f723f529e6b0de7a">
          <item id="f011dff20c1be05205889a57d111f75b3e243169" isNormal="1">
            <s:text>
              <s:r>
                <s:t xml:space="preserve">Administrator:
1405586 2/6 36pcs 华兴三B14</s:t>
              </s:r>
            </s:text>
          </item>
        </commentChain>
      </unresolved>
      <resolved/>
    </commentChains>
    <commentChains s:ref="AI281" rgbClr="FF0000">
      <unresolved>
        <commentChain chainId="a1a056f81a89fff7f25b3dac860af427d350ae4a">
          <item id="44aaffb5c3c44a429b19264c06ad7cb62a843169" isNormal="1">
            <s:text>
              <s:r>
                <s:t xml:space="preserve">Administrator:
1/30 上客供亚马逊外箱贴纸 3pcs</s:t>
              </s:r>
            </s:text>
          </item>
        </commentChain>
      </unresolved>
      <resolved/>
    </commentChains>
    <commentChains s:ref="AF282" rgbClr="FF0000">
      <unresolved>
        <commentChain chainId="836d209f6cb64d708dd171ffaca4ee375b6f7661">
          <item id="f3295f8277835ec2117f7adf0cc5600975b8f7f7" isNormal="1">
            <s:text>
              <s:r>
                <s:t xml:space="preserve">Administrator:
1405586 2/6 252pcs 华兴三B14</s:t>
              </s:r>
            </s:text>
          </item>
        </commentChain>
      </unresolved>
      <resolved/>
    </commentChains>
    <commentChains s:ref="AI282" rgbClr="FF0000">
      <unresolved>
        <commentChain chainId="45da8e276e5f85f6a56dd5626da3e7b67ead3fba">
          <item id="86967156fd393b578b240905fc391553cb13fc2a" isNormal="1">
            <s:text>
              <s:r>
                <s:t xml:space="preserve">Administrator:
1/30 上客供亚马逊外箱贴纸 21pcs</s:t>
              </s:r>
            </s:text>
          </item>
        </commentChain>
      </unresolved>
      <resolved/>
    </commentChains>
    <commentChains s:ref="AF283" rgbClr="FF0000">
      <unresolved>
        <commentChain chainId="190dc8dda9777f801aa68192377160e87d1d6482">
          <item id="21aa8f988f77bdc068b8c9a12e62b1562d44f695" isNormal="1">
            <s:text>
              <s:r>
                <s:t xml:space="preserve">Administrator:
1405586 2/6 84pcs 华兴三B14</s:t>
              </s:r>
            </s:text>
          </item>
        </commentChain>
      </unresolved>
      <resolved/>
    </commentChains>
    <commentChains s:ref="AI283" rgbClr="FF0000">
      <unresolved>
        <commentChain chainId="59eb8e1e9f299ce73e890cc7f718ddf67e2266b0">
          <item id="c1d5f1f82068a54087d51ee0e30cae87cd05ba92" isNormal="1">
            <s:text>
              <s:r>
                <s:t xml:space="preserve">Administrator:
1/30 上客供亚马逊外箱贴纸 7pcs</s:t>
              </s:r>
            </s:text>
          </item>
        </commentChain>
      </unresolved>
      <resolved/>
    </commentChains>
    <commentChains s:ref="AF284" rgbClr="FF0000">
      <unresolved>
        <commentChain chainId="df5c59ab97b1f5f2b72d7010fa10f6f6bc05774d">
          <item id="d3cbe08f447b5f1400951fb30f41894046b0b5e8" isNormal="1">
            <s:text>
              <s:r>
                <s:t xml:space="preserve">Administrator:
3/19 1405249 600pcs B栋4楼C5区</s:t>
              </s:r>
            </s:text>
          </item>
        </commentChain>
      </unresolved>
      <resolved/>
    </commentChains>
    <commentChains s:ref="AI284" rgbClr="FF0000">
      <unresolved>
        <commentChain chainId="e1f5e1898861986227bb3b0d50465cdbe27a1ec5">
          <item id="5a22c4bf67a9f53940bb2de2d0e52ba5754a54c0" isNormal="1">
            <s:text>
              <s:r>
                <s:t xml:space="preserve">Administrator:
3/10 上客供价格贴纸600pcs</s:t>
              </s:r>
            </s:text>
          </item>
        </commentChain>
      </unresolved>
      <resolved/>
    </commentChains>
    <commentChains s:ref="AF285" rgbClr="FF0000">
      <unresolved>
        <commentChain chainId="ca571309787aa9f083fc4a5953d680dcc676d9ce">
          <item id="226f97d9587910bd18bae313d188dfe571bbdb14" isNormal="1">
            <s:text>
              <s:r>
                <s:t xml:space="preserve">Administrator:
3/19 1405249 2004pcs B栋4楼C6区
</s:t>
              </s:r>
            </s:text>
          </item>
        </commentChain>
      </unresolved>
      <resolved/>
    </commentChains>
    <commentChains s:ref="AI285" rgbClr="FF0000">
      <unresolved>
        <commentChain chainId="00adc00e985b91957df5bed09822da329faa6fef">
          <item id="8f6cce712e46551cb509ea8829f5949c6554e7f3" isNormal="1">
            <s:text>
              <s:r>
                <s:t xml:space="preserve">Administrator:
1/16 上客供价格贴纸 2100pcs</s:t>
              </s:r>
            </s:text>
          </item>
        </commentChain>
      </unresolved>
      <resolved/>
    </commentChains>
    <commentChains s:ref="AF286" rgbClr="FF0000">
      <unresolved>
        <commentChain chainId="00646ab87c25ebad91fdcbd0a178cda50594d380">
          <item id="dcbfcd70d060bb3002e33f45a36b82635b17cee4" isNormal="1">
            <s:text>
              <s:r>
                <s:t xml:space="preserve">Administrator:
4/3 1405383 5967pcs新仓库B6
4/6 1405360 39pcs新仓库B6
</s:t>
              </s:r>
            </s:text>
          </item>
        </commentChain>
      </unresolved>
      <resolved/>
    </commentChains>
    <commentChains s:ref="AI286" rgbClr="FF0000">
      <unresolved>
        <commentChain chainId="5dc3c993d041ca8e5ab484917521463a122e4ba5">
          <item id="ddee449367d114617100752f55e00b9714e1533a" isNormal="1">
            <s:text>
              <s:r>
                <s:t xml:space="preserve">Administrator:
3/14 上韩语贴纸 6006pcs</s:t>
              </s:r>
            </s:text>
          </item>
        </commentChain>
      </unresolved>
      <resolved/>
    </commentChains>
    <commentChains s:ref="AF287" rgbClr="FF0000">
      <unresolved>
        <commentChain chainId="2151cbb56b9f64dc9bc5fd6d0a530c996d6db308">
          <item id="cb9b88617dd8a8d1ac686aab3f9d6f6fe70c5b79" isNormal="1">
            <s:text>
              <s:r>
                <s:t xml:space="preserve">Administrator:
4/10 1405975 1272pcs华兴三楼A18
4/11 1405977 6720pcs 华兴三楼A18</s:t>
              </s:r>
            </s:text>
          </item>
        </commentChain>
      </unresolved>
      <resolved/>
    </commentChains>
    <commentChains s:ref="AI287" rgbClr="FF0000">
      <unresolved>
        <commentChain chainId="0b9cbde52e30e716ef4ae023717639947ea3d7f2">
          <item id="2d9e4c485aed3b85ff15312f9d3e7e79a153e28f" isNormal="1">
            <s:text>
              <s:r>
                <s:t xml:space="preserve">Administrator:
3/18 上客供价格贴纸 8792pcs
3/23 上空白贴纸 109176pcs
194771/194772/194773/194774/194774/194775/194777/193772/193773共用</s:t>
              </s:r>
            </s:text>
          </item>
        </commentChain>
      </unresolved>
      <resolved/>
    </commentChains>
    <commentChains s:ref="AI288" rgbClr="FF0000">
      <unresolved>
        <commentChain chainId="2b89c8170c153a9f0af77ccf99692a02edb8b34d">
          <item id="03b94cf1389a00dccaa700d61cabdf5f12dae04b" isNormal="1">
            <s:text>
              <s:r>
                <s:t xml:space="preserve">Administrator:
3/18 上客供价格贴纸 8792pcs
3/23 上空白贴纸 109176pcs
194771/194772/194773/194774/194774/194775/194777/193772/193773共用
</s:t>
              </s:r>
            </s:text>
          </item>
        </commentChain>
      </unresolved>
      <resolved/>
    </commentChains>
    <commentChains s:ref="AF289" rgbClr="FF0000">
      <unresolved>
        <commentChain chainId="808c7866254af96b1e436023d49169452f742d61">
          <item id="d08b4e640849cd6da9ba9fc6eafa288d636d73c8" isNormal="1">
            <s:text>
              <s:r>
                <s:t xml:space="preserve">Administrator:
4/11 1405932 1300pcs</s:t>
              </s:r>
            </s:text>
          </item>
        </commentChain>
      </unresolved>
      <resolved/>
    </commentChains>
    <commentChains s:ref="AF290" rgbClr="FF0000">
      <unresolved>
        <commentChain chainId="f462732b2989dd94557303f758bf7a78592dd0ad">
          <item id="3ced0393bfe3435ed5288c947a12cf541151fea6" isNormal="1">
            <s:text>
              <s:r>
                <s:t xml:space="preserve">Administrator:
1405899 4/16 2196pcs 华兴三B5</s:t>
              </s:r>
            </s:text>
          </item>
        </commentChain>
      </unresolved>
      <resolved/>
    </commentChains>
    <commentChains s:ref="AI290" rgbClr="FF0000">
      <unresolved>
        <commentChain chainId="035b36bbf778fb844bfc118771da053690ac0981">
          <item id="8aeb8f669439fb1445365067bf12133cf1bcc61a" isNormal="1">
            <s:text>
              <s:r>
                <s:t xml:space="preserve">Administrator:
3/10 上客供价格贴纸 2416pcs
3/23 上空白贴纸 109176pcs
194771/194772/194773/194774/194774/194775/194777/193772/193773共用
</s:t>
              </s:r>
            </s:text>
          </item>
        </commentChain>
      </unresolved>
      <resolved/>
    </commentChains>
    <commentChains s:ref="AF291" rgbClr="FF0000">
      <unresolved>
        <commentChain chainId="de3184c9679e844fa55d856509fb4f3457867357">
          <item id="9762dfa77a0b06fec0ef2a4528231c24748f2f05" isNormal="1">
            <s:text>
              <s:r>
                <s:t xml:space="preserve">Administrator:
1405899 4/16 2400pcs 华兴三B12</s:t>
              </s:r>
            </s:text>
          </item>
        </commentChain>
      </unresolved>
      <resolved/>
    </commentChains>
    <commentChains s:ref="AI291" rgbClr="FF0000">
      <unresolved>
        <commentChain chainId="c52b83dd95d48bbb439f1d8ef9c102616f7dc19a">
          <item id="0e0101134c7bd8f9f1c3da024e431acd29085451" isNormal="1">
            <s:text>
              <s:r>
                <s:t xml:space="preserve">Administrator:
3/10 上客供价格贴纸 2640pcs
3/23 上空白贴纸 109176pcs
194771/194772/194773/194774/194774/194775/194777/193772/193773共用
</s:t>
              </s:r>
            </s:text>
          </item>
        </commentChain>
      </unresolved>
      <resolved/>
    </commentChains>
    <commentChains s:ref="AF292" rgbClr="FF0000">
      <unresolved>
        <commentChain chainId="267dad6c1479ac806a8b333ce825e73c28df0ede">
          <item id="8fd7f658e8a30c4fa7389136cadcb39b24ba69ca" isNormal="1">
            <s:text>
              <s:r>
                <s:t xml:space="preserve">DELL:
1403832 4/22 2004pcs</s:t>
              </s:r>
            </s:text>
          </item>
        </commentChain>
      </unresolved>
      <resolved/>
    </commentChains>
    <commentChains s:ref="AI292" rgbClr="FF0000">
      <unresolved>
        <commentChain chainId="36d7507654f9010ad85b105847af37bbeea1deaa">
          <item id="d8859a930c83e19d1fcb04c98fee2db6d809f0f8" isNormal="1">
            <s:text>
              <s:r>
                <s:t xml:space="preserve">Administrator:
3/10 上客供价格贴纸 2100pcs</s:t>
              </s:r>
            </s:text>
          </item>
        </commentChain>
      </unresolved>
      <resolved/>
    </commentChains>
    <commentChains s:ref="AF293" rgbClr="FF0000">
      <unresolved>
        <commentChain chainId="c02a806737b04f94d0f9a110fe1426dc6926c2d5">
          <item id="fcf9c44a9c6de6069aa210d5ec3ecd96edf6effe" isNormal="1">
            <s:text>
              <s:r>
                <s:t xml:space="preserve">Administrator:
3/27 1405206 2000pcs B栋四楼A9区</s:t>
              </s:r>
            </s:text>
          </item>
        </commentChain>
      </unresolved>
      <resolved/>
    </commentChains>
    <commentChains s:ref="AF294" rgbClr="FF0000">
      <unresolved>
        <commentChain chainId="9617f411478adba9350e41508834c3c8a7b015e8">
          <item id="f3daa1fd36d48c794ad2abd04ad4d7697dc2781d" isNormal="1">
            <s:text>
              <s:r>
                <s:t xml:space="preserve">Administrator:
3/30 1405450 2196pcs 华兴三楼B12</s:t>
              </s:r>
            </s:text>
          </item>
        </commentChain>
      </unresolved>
      <resolved/>
    </commentChains>
    <commentChains s:ref="AI294" rgbClr="FF0000">
      <unresolved>
        <commentChain chainId="72af74f1a8ee473e706388a94c6a3938895e40f7">
          <item id="e0e61047a7780fbeba57580305f93bb75997a902" isNormal="1">
            <s:text>
              <s:r>
                <s:t xml:space="preserve">Administrator:
3/6 上空白贴纸 18384pcs
 193766/193767/193768/193769共用
3/10 上客供价格贴纸 2416pcs</s:t>
              </s:r>
            </s:text>
          </item>
        </commentChain>
      </unresolved>
      <resolved/>
    </commentChains>
    <commentChains s:ref="AF295" rgbClr="FF0000">
      <unresolved>
        <commentChain chainId="1534df0afe0f4ec7e48d7774170cf09427e00fe0">
          <item id="1fe6328c1055764e1553c1c9b0ad14946df50458" isNormal="1">
            <s:text>
              <s:r>
                <s:t xml:space="preserve">Administrator:
3/30 1405450 2400pcs华兴三楼B15</s:t>
              </s:r>
            </s:text>
          </item>
        </commentChain>
      </unresolved>
      <resolved/>
    </commentChains>
    <commentChains s:ref="AI295" rgbClr="FF0000">
      <unresolved>
        <commentChain chainId="acbaeedd3b636c98ac164e6a1d0da27db3903d2f">
          <item id="105d075ddf7e59e21a9cdac3484dd400759b5392" isNormal="1">
            <s:text>
              <s:r>
                <s:t xml:space="preserve">Administrator:
3/6 上空白贴纸 18384pcs
 193766/193767/193768/193769共用
3/10 上客供价格贴纸 2640pcs</s:t>
              </s:r>
            </s:text>
          </item>
        </commentChain>
      </unresolved>
      <resolved/>
    </commentChains>
    <commentChains s:ref="AF296" rgbClr="FF0000">
      <unresolved>
        <commentChain chainId="de01c95efa67d34ba2e1ad3dfbe5f0ddb7667505">
          <item id="c64115bec46965fdfad349fb602b7a85213f3abb" isNormal="1">
            <s:text>
              <s:r>
                <s:t xml:space="preserve">Administrator:
3/31 1405458 3600pcs 新仓库B6</s:t>
              </s:r>
            </s:text>
          </item>
        </commentChain>
      </unresolved>
      <resolved/>
    </commentChains>
    <commentChains s:ref="AF297" rgbClr="FF0000">
      <unresolved>
        <commentChain chainId="ea7c3cdcdcac39d7327eac0da3988347983194c5">
          <item id="d28c23d824352a3f358a8437155b3fc4719d1a7f" isNormal="1">
            <s:text>
              <s:r>
                <s:t xml:space="preserve">Administrator:
3/30 1405450 2196pcs 华兴三楼A24</s:t>
              </s:r>
            </s:text>
          </item>
        </commentChain>
      </unresolved>
      <resolved/>
    </commentChains>
    <commentChains s:ref="AI297" rgbClr="FF0000">
      <unresolved>
        <commentChain chainId="681e13e62a48f50b7de0505df2acebe0cfb37bd8">
          <item id="9ed457e47aacbcbc4909dc730e8811d9278e6263" isNormal="1">
            <s:text>
              <s:r>
                <s:t xml:space="preserve">Administrator:
3/6 上空白贴纸 18384pcs
 193766/193767/193768/193769共用
3/10 上客供价格贴纸 2416pcs</s:t>
              </s:r>
            </s:text>
          </item>
        </commentChain>
      </unresolved>
      <resolved/>
    </commentChains>
    <commentChains s:ref="AF298" rgbClr="FF0000">
      <unresolved>
        <commentChain chainId="33e8c9ac89ed22d824418c86d06f06feb5c9c720">
          <item id="d1eed0928bf7587992750171eeda6ad9cbdcba51" isNormal="1">
            <s:text>
              <s:r>
                <s:t xml:space="preserve">Administrator:
3/30 1405450 2400pcs 华兴三楼A24
</s:t>
              </s:r>
            </s:text>
          </item>
        </commentChain>
      </unresolved>
      <resolved/>
    </commentChains>
    <commentChains s:ref="AI298" rgbClr="FF0000">
      <unresolved>
        <commentChain chainId="3c9b91fdcc56e8ade53159d8eda37e78b19fa598">
          <item id="27bcce4bd7c9a6b998a87af3adf2bb4ddbfb37ba" isNormal="1">
            <s:text>
              <s:r>
                <s:t xml:space="preserve">Administrator:
3/6 上空白贴纸 18384pcs
 193766/193767/193768/193769共用
3/10 上客供价格贴纸 2640pcs</s:t>
              </s:r>
            </s:text>
          </item>
        </commentChain>
      </unresolved>
      <resolved/>
    </commentChains>
    <commentChains s:ref="AF299" rgbClr="FF0000">
      <unresolved>
        <commentChain chainId="330b4f588e326fb28cf0d055d2542cb7f26463c6">
          <item id="ffcf8c3c29f110460ce03a8444f2c0fd9af1ec38" isNormal="1">
            <s:text>
              <s:r>
                <s:t xml:space="preserve">Administrator:
3/26 1405203 1332pcs</s:t>
              </s:r>
            </s:text>
          </item>
        </commentChain>
      </unresolved>
      <resolved/>
    </commentChains>
    <commentChains s:ref="AI299" rgbClr="FF0000">
      <unresolved>
        <commentChain chainId="6787d8d89302f5697ea0a7932c385c0695341445">
          <item id="c0c4b95941c56b4a21ea48e172aeecfde2c9abf5" isNormal="1">
            <s:text>
              <s:r>
                <s:t xml:space="preserve">Administrator:
3/12 上WIC贴纸 9996pcs
     上PDQ折页 1666pcs</s:t>
              </s:r>
            </s:text>
          </item>
        </commentChain>
      </unresolved>
      <resolved/>
    </commentChains>
    <commentChains s:ref="AF300" rgbClr="FF0000">
      <unresolved>
        <commentChain chainId="ed7cf18f415dc82fc8c5a5d5aa11df69bf5e62e6">
          <item id="34821d9aa62d892abd8fe72d2bcd65edff94c087" isNormal="1">
            <s:text>
              <s:r>
                <s:t xml:space="preserve">Administrator:
3/26 1405203 132pcs</s:t>
              </s:r>
            </s:text>
          </item>
        </commentChain>
      </unresolved>
      <resolved/>
    </commentChains>
    <commentChains s:ref="AI300" rgbClr="FF0000">
      <unresolved>
        <commentChain chainId="de8350e708aa1448e3e82b3c34d618b33a4840c1">
          <item id="abed63f0ef8111c8c452dd30b62b3e488f94660a" isNormal="1">
            <s:text>
              <s:r>
                <s:t xml:space="preserve">Administrator:
3/12 上WIC贴纸 9996pcs
     上PDQ折页 1666pcs</s:t>
              </s:r>
            </s:text>
          </item>
        </commentChain>
      </unresolved>
      <resolved/>
    </commentChains>
    <commentChains s:ref="AF301" rgbClr="FF0000">
      <unresolved>
        <commentChain chainId="290fdd44d3c580ed69d92d24c444184f78a92633">
          <item id="3d71e099e64c5536706afcc7686b6617e7853b3b" isNormal="1">
            <s:text>
              <s:r>
                <s:t xml:space="preserve">Administrator:
3/26 1405203 1968pcs</s:t>
              </s:r>
            </s:text>
          </item>
        </commentChain>
      </unresolved>
      <resolved/>
    </commentChains>
    <commentChains s:ref="AI301" rgbClr="FF0000">
      <unresolved>
        <commentChain chainId="9731533d89baa53b325cdf75c278b3445f409a04">
          <item id="d8892d46c04bfb7d3877f548c3373bd56b14c804" isNormal="1">
            <s:text>
              <s:r>
                <s:t xml:space="preserve">Administrator:
3/12 上WIC贴纸 9996pcs
     上PDQ折页 1666pcs</s:t>
              </s:r>
            </s:text>
          </item>
        </commentChain>
      </unresolved>
      <resolved/>
    </commentChains>
    <commentChains s:ref="AF302" rgbClr="FF0000">
      <unresolved>
        <commentChain chainId="9390584fbe875411380fb6d9e8eb092b34d311f0">
          <item id="0e31df761ef912b55473b57d6329bf6e3d7c6581" isNormal="1">
            <s:text>
              <s:r>
                <s:t xml:space="preserve">Administrator:
3/26 1405203 1464pcs</s:t>
              </s:r>
            </s:text>
          </item>
        </commentChain>
      </unresolved>
      <resolved/>
    </commentChains>
    <commentChains s:ref="AI302" rgbClr="FF0000">
      <unresolved>
        <commentChain chainId="e1a1f74b0986ed2c24bd6f9625134cf0dd3b7ee0">
          <item id="241855ed48594b1bc24a6e64d3272cdd50566a3e" isNormal="1">
            <s:text>
              <s:r>
                <s:t xml:space="preserve">Administrator:
3/12 上WIC贴纸 9996pcs
     上PDQ折页 1666pcs</s:t>
              </s:r>
            </s:text>
          </item>
        </commentChain>
      </unresolved>
      <resolved/>
    </commentChains>
    <commentChains s:ref="AF303" rgbClr="FF0000">
      <unresolved>
        <commentChain chainId="dcba026f7b73c59e0a151fb76657450f63d65b41">
          <item id="90a2e9bd7d134a99f9cd98a3c266968dea0cc652" isNormal="1">
            <s:text>
              <s:r>
                <s:t xml:space="preserve">Administrator:
3/26 1405203 1032pcs</s:t>
              </s:r>
            </s:text>
          </item>
        </commentChain>
      </unresolved>
      <resolved/>
    </commentChains>
    <commentChains s:ref="AI303" rgbClr="FF0000">
      <unresolved>
        <commentChain chainId="5278a567f5c522c34b1a0db5b34ece7229907dfe">
          <item id="ce8f3e67ebb754afcc3a3d1dfe123eb1ac139c48" isNormal="1">
            <s:text>
              <s:r>
                <s:t xml:space="preserve">Administrator:
3/12 上WIC贴纸 9996pcs
     上PDQ折页 1666pcs</s:t>
              </s:r>
            </s:text>
          </item>
        </commentChain>
      </unresolved>
      <resolved/>
    </commentChains>
    <commentChains s:ref="AF304" rgbClr="FF0000">
      <unresolved>
        <commentChain chainId="1d06489bad73e458277ce31fc9de37e9d2aa0bc9">
          <item id="4aa46a6dd1b71ad8aabdfa7dcdf8d61888268693" isNormal="1">
            <s:text>
              <s:r>
                <s:t xml:space="preserve">Administrator:
3/26 1405203 372pcs</s:t>
              </s:r>
            </s:text>
          </item>
        </commentChain>
      </unresolved>
      <resolved/>
    </commentChains>
    <commentChains s:ref="AI304" rgbClr="FF0000">
      <unresolved>
        <commentChain chainId="98d44eb3f1015396cadc1629885bf3509faa6391">
          <item id="e43f577bedab4d970d2dcaa6f32c140d73d65718" isNormal="1">
            <s:text>
              <s:r>
                <s:t xml:space="preserve">Administrator:
3/12 上WIC贴纸 9996pcs
     上PDQ折页 1666pcs</s:t>
              </s:r>
            </s:text>
          </item>
        </commentChain>
      </unresolved>
      <resolved/>
    </commentChains>
    <commentChains s:ref="AF305" rgbClr="FF0000">
      <unresolved>
        <commentChain chainId="f42146b79b36517bd6beda94e8f3c6bb2c0cd8c6">
          <item id="62f9a2fb2c31c32fd39fc2dccf15623193343f35" isNormal="1">
            <s:text>
              <s:r>
                <s:t xml:space="preserve">Administrator:
3/26 1405203 1404pcs</s:t>
              </s:r>
            </s:text>
          </item>
        </commentChain>
      </unresolved>
      <resolved/>
    </commentChains>
    <commentChains s:ref="AI305" rgbClr="FF0000">
      <unresolved>
        <commentChain chainId="afa4f0bf296f205a4623891174bb114c9b5c79f3">
          <item id="3331c468494363e53e0bc1792bb0a7bfacf6e2aa" isNormal="1">
            <s:text>
              <s:r>
                <s:t xml:space="preserve">Administrator:
3/12 上WIC贴纸 9996pcs
     上PDQ折页 1666pcs</s:t>
              </s:r>
            </s:text>
          </item>
        </commentChain>
      </unresolved>
      <resolved/>
    </commentChains>
    <commentChains s:ref="AF306" rgbClr="FF0000">
      <unresolved>
        <commentChain chainId="dc10a77c2aa1863750d9a38c9edbb388635c2578">
          <item id="94746fca23731a585d7c3e477aa5a92a305f9173" isNormal="1">
            <s:text>
              <s:r>
                <s:t xml:space="preserve">Administrator:
3/26 1405203 108pcs</s:t>
              </s:r>
            </s:text>
          </item>
        </commentChain>
      </unresolved>
      <resolved/>
    </commentChains>
    <commentChains s:ref="AI306" rgbClr="FF0000">
      <unresolved>
        <commentChain chainId="3766811f58c40d8a21b6c2cf6ca97d6d4d2e9e9e">
          <item id="f945d2272ea18d6a1e94c198e7606f7d016247aa" isNormal="1">
            <s:text>
              <s:r>
                <s:t xml:space="preserve">Administrator:
3/12 上WIC贴纸 9996pcs
     上PDQ折页 1666pcs</s:t>
              </s:r>
            </s:text>
          </item>
        </commentChain>
      </unresolved>
      <resolved/>
    </commentChains>
    <commentChains s:ref="AF307" rgbClr="FF0000">
      <unresolved>
        <commentChain chainId="9201787a94319581ddd626aa01ecd89fe3f2ac41">
          <item id="5e18e3f5cdba2a48e03f2ab54ccd742815326b91" isNormal="1">
            <s:text>
              <s:r>
                <s:t xml:space="preserve">Administrator:
3/26 1405203 2148pcs 	B栋四楼A9区</s:t>
              </s:r>
            </s:text>
          </item>
        </commentChain>
      </unresolved>
      <resolved/>
    </commentChains>
    <commentChains s:ref="AI307" rgbClr="FF0000">
      <unresolved>
        <commentChain chainId="ebc6737b370174f18c338d57b51c5506ccd80935">
          <item id="85134d939bd5dfaccfe5a4df1e97195090d75394" isNormal="1">
            <s:text>
              <s:r>
                <s:t xml:space="preserve">Administrator:
3/12 上WIC贴纸 9996pcs
     上PDQ折页 1666pcs</s:t>
              </s:r>
            </s:text>
          </item>
        </commentChain>
      </unresolved>
      <resolved/>
    </commentChains>
    <commentChains s:ref="AF308" rgbClr="FF0000">
      <unresolved>
        <commentChain chainId="c6f29a28fffae7ac916f3e0682dc4ab44e31284c">
          <item id="0ca6d1f1c0d66741ad15be177537a20947e44ed3" isNormal="1">
            <s:text>
              <s:r>
                <s:t xml:space="preserve">DELL:
1403872 4/25 312pcs新仓库C1</s:t>
              </s:r>
            </s:text>
          </item>
        </commentChain>
      </unresolved>
      <resolved/>
    </commentChains>
    <commentChains s:ref="AF309" rgbClr="FF0000">
      <unresolved>
        <commentChain chainId="d3addd928f1cea9cf8e50446d70a233f8f79b05e">
          <item id="3ce9b64e3cc035f741d0ccfd2a6ec13af4baf097" isNormal="1">
            <s:text>
              <s:r>
                <s:t xml:space="preserve">DELL:
1403872 4/25 1300pcs新仓库C1</s:t>
              </s:r>
            </s:text>
          </item>
        </commentChain>
      </unresolved>
      <resolved/>
    </commentChains>
    <commentChains s:ref="AI309" rgbClr="FF0000">
      <unresolved>
        <commentChain chainId="474fafb0643dd1eae27c53c1e3a5a9efa2ac0635">
          <item id="df5ea81144890fc877046ccdbd6ac5822a687ba7" isNormal="1">
            <s:text>
              <s:r>
                <s:t xml:space="preserve">Administrator:
3/23 上客供价格贴纸 1365pcs
4/18 上警告语贴纸 1300pcs</s:t>
              </s:r>
            </s:text>
          </item>
        </commentChain>
      </unresolved>
      <resolved/>
    </commentChains>
    <commentChains s:ref="AF310" rgbClr="FF0000">
      <unresolved>
        <commentChain chainId="127e527a452f199190879b97b38b7bb3341144c6">
          <item id="c7c168f397428840de82ef370065a93eb45d39bb" isNormal="1">
            <s:text>
              <s:r>
                <s:t xml:space="preserve">DELL:
1403898 4/24 48pcs 新仓库B3区</s:t>
              </s:r>
            </s:text>
          </item>
        </commentChain>
      </unresolved>
      <resolved/>
    </commentChains>
    <commentChains s:ref="AI310" rgbClr="FF0000">
      <unresolved>
        <commentChain chainId="080eb6255bdf2e1b38004a6633a95b457c202e41">
          <item id="8d70313a9581d0cb2552f12e1fdbcce74fdee756" isNormal="1">
            <s:text>
              <s:r>
                <s:t xml:space="preserve">Administrator:
4/14 上客供外箱条码贴纸 2pcs</s:t>
              </s:r>
            </s:text>
          </item>
        </commentChain>
      </unresolved>
      <resolved/>
    </commentChains>
    <commentChains s:ref="AI311" rgbClr="FF0000">
      <unresolved>
        <commentChain chainId="f206be4d5c5b80f9e0622695e1412fb25cc28608">
          <item id="6c51e795c0d9f2a5be389a9a3d8e3150bd16acb5" isNormal="1">
            <s:text>
              <s:r>
                <s:t xml:space="preserve">Administrator:
4/14 上客供外箱条码贴纸 2pcs</s:t>
              </s:r>
            </s:text>
          </item>
        </commentChain>
      </unresolved>
      <resolved/>
    </commentChains>
    <commentChains s:ref="AI312" rgbClr="FF0000">
      <unresolved>
        <commentChain chainId="b4b8b963666c0c6fceaa3d30a99020dffa353738">
          <item id="ff426501d390db17e2be448e61afb82adbc41dd8" isNormal="1">
            <s:text>
              <s:r>
                <s:t xml:space="preserve">Administrator:
4/14 上客供外箱条码贴纸 2pcs</s:t>
              </s:r>
            </s:text>
          </item>
        </commentChain>
      </unresolved>
      <resolved/>
    </commentChains>
    <commentChains s:ref="AF313" rgbClr="FF0000">
      <unresolved>
        <commentChain chainId="cf2944736a8d71cb9644d603ccd2e641033ede62">
          <item id="0d3196207f40cd92c579dfc11e79bae99b21551c" isNormal="1">
            <s:text>
              <s:r>
                <s:t xml:space="preserve">DELL:
1403898 4/24 96pcs 新仓库B3区</s:t>
              </s:r>
            </s:text>
          </item>
        </commentChain>
      </unresolved>
      <resolved/>
    </commentChains>
    <commentChains s:ref="AI313" rgbClr="FF0000">
      <unresolved>
        <commentChain chainId="ad24a783280fb703ccf0cd7673e67bf42f4640c5">
          <item id="df8f8dafea2e7476dd50e655c0999165e60fd167" isNormal="1">
            <s:text>
              <s:r>
                <s:t xml:space="preserve">Administrator:
4/14 上客供外箱条码贴纸 4pcs</s:t>
              </s:r>
            </s:text>
          </item>
        </commentChain>
      </unresolved>
      <resolved/>
    </commentChains>
    <commentChains s:ref="AF314" rgbClr="FF0000">
      <unresolved>
        <commentChain chainId="23d27e56408b4de7738fec1153058d03eb23f7ae">
          <item id="022d4f19d194a2dbff9c5701d015471504c9f562" isNormal="1">
            <s:text>
              <s:r>
                <s:t xml:space="preserve">DELL:
1403898 4/24 96pcs 新仓库A6区</s:t>
              </s:r>
            </s:text>
          </item>
        </commentChain>
      </unresolved>
      <resolved/>
    </commentChains>
    <commentChains s:ref="AF315" rgbClr="FF0000">
      <unresolved>
        <commentChain chainId="c3f455f4270d2975361600a4499c8dc25bcd2066">
          <item id="a1d701cc1e403840db6a4a9d115c6a4952325de8" isNormal="1">
            <s:text>
              <s:r>
                <s:t xml:space="preserve">DELL:
1403861 4/25 192pcs华兴3楼A19</s:t>
              </s:r>
            </s:text>
          </item>
        </commentChain>
      </unresolved>
      <resolved/>
    </commentChains>
    <commentChains s:ref="AI315" rgbClr="FF0000">
      <unresolved>
        <commentChain chainId="da28243b2df33e1f174a551081ed6ffcd0a7336a">
          <item id="a6da6163dcdf76b3fda0e12a0c27f230804c6c95" isNormal="1">
            <s:text>
              <s:r>
                <s:t xml:space="preserve">Administrator:
3/30 上WIC贴纸 4536pcs
4/2上PDQ折页贴纸756pcs</s:t>
              </s:r>
            </s:text>
          </item>
        </commentChain>
      </unresolved>
      <resolved/>
    </commentChains>
    <commentChains s:ref="AF316" rgbClr="FF0000">
      <unresolved>
        <commentChain chainId="12ba0e41da85a3c4c238137b865de24641e3d80d">
          <item id="56d48632281d28319378f30c4b2db2917c759980" isNormal="1">
            <s:text>
              <s:r>
                <s:t xml:space="preserve">DELL:
1403861 4/25 222pcs华兴3楼A19
</s:t>
              </s:r>
            </s:text>
          </item>
        </commentChain>
      </unresolved>
      <resolved/>
    </commentChains>
    <commentChains s:ref="AF317" rgbClr="FF0000">
      <unresolved>
        <commentChain chainId="2c6a1d2e6979cb10d9e0744450536b4a16a59e4a">
          <item id="6a8bc3374bc3f90a8b816f531b6c9722fca46a4a" isNormal="1">
            <s:text>
              <s:r>
                <s:t xml:space="preserve">DELL:
1403861 4/25 876pcs华兴3楼A19
</s:t>
              </s:r>
            </s:text>
          </item>
        </commentChain>
      </unresolved>
      <resolved/>
    </commentChains>
    <commentChains s:ref="AF318" rgbClr="FF0000">
      <unresolved>
        <commentChain chainId="982b5fb1d83b44fca4920836daabd8d5c719cadc">
          <item id="ff01877a269a2a1f8378d688b3a9455edf8e41d8" isNormal="1">
            <s:text>
              <s:r>
                <s:t xml:space="preserve">DELL:
1403861 4/25 240pcs华兴3楼A19
</s:t>
              </s:r>
            </s:text>
          </item>
        </commentChain>
      </unresolved>
      <resolved/>
    </commentChains>
    <commentChains s:ref="AF319" rgbClr="FF0000">
      <unresolved>
        <commentChain chainId="6473a15a47f0e952603349fb40ed5195e98b54ff">
          <item id="f4d42a208ffd5285aa95991fb24f324f60a61b18" isNormal="1">
            <s:text>
              <s:r>
                <s:t xml:space="preserve">DELL:
1403861 4/25 870pcs华兴3楼A19
</s:t>
              </s:r>
            </s:text>
          </item>
        </commentChain>
      </unresolved>
      <resolved/>
    </commentChains>
    <commentChains s:ref="AF320" rgbClr="FF0000">
      <unresolved>
        <commentChain chainId="fe4df6cd2da32578027be4e35d4d853390017184">
          <item id="ddfe3814c0a5146a21f2aa68d73525ae375b12b3" isNormal="1">
            <s:text>
              <s:r>
                <s:t xml:space="preserve">DELL:
1403861 4/25 540pcs华兴3楼A19
</s:t>
              </s:r>
            </s:text>
          </item>
        </commentChain>
      </unresolved>
      <resolved/>
    </commentChains>
    <commentChains s:ref="AF322" rgbClr="FF0000">
      <unresolved>
        <commentChain chainId="bc1be671a3299b27c787c294101e90f9f690489a">
          <item id="d89b6bf194b067ab493f09cd6bd2fafec0328bff" isNormal="1">
            <s:text>
              <s:r>
                <s:t xml:space="preserve">DELL:
1403861 4/25 438pcs华兴3楼A19
</s:t>
              </s:r>
            </s:text>
          </item>
        </commentChain>
      </unresolved>
      <resolved/>
    </commentChains>
    <commentChains s:ref="AF323" rgbClr="FF0000">
      <unresolved>
        <commentChain chainId="72081c497d079f3a617952eed6eaa023d1fdf1aa">
          <item id="79a5874c79e3090efe75eb75f874332a0b4fbcbe" isNormal="1">
            <s:text>
              <s:r>
                <s:t xml:space="preserve">DELL:
1403861 4/25 804pcs华兴3楼A19
</s:t>
              </s:r>
            </s:text>
          </item>
        </commentChain>
      </unresolved>
      <resolved/>
    </commentChains>
    <commentChains s:ref="AF324" rgbClr="FF0000">
      <unresolved>
        <commentChain chainId="49d3432faa0d89443e230ef1da867dcf85d99e77">
          <item id="374f8b58596cdd46f2075c782d1cd2cccff4a038" isNormal="1">
            <s:text>
              <s:r>
                <s:t xml:space="preserve">DELL:
1403887 4/26 2196pcs华兴3楼B10
</s:t>
              </s:r>
            </s:text>
          </item>
        </commentChain>
      </unresolved>
      <resolved/>
    </commentChains>
    <commentChains s:ref="AI324" rgbClr="FF0000">
      <unresolved>
        <commentChain chainId="9b53cd84316e4111d4664ec09f2b4a0249a729dd">
          <item id="b7802d74789dc8b491cfe357cb65b2f1d1b1a747" isNormal="1">
            <s:text>
              <s:r>
                <s:t xml:space="preserve">Administrator:
3/18 上客供价格贴纸2416pcs
4/9 上空白贴纸9192pcs
4500195559/4500195560共用
</s:t>
              </s:r>
            </s:text>
          </item>
        </commentChain>
      </unresolved>
      <resolved/>
    </commentChains>
    <commentChains s:ref="AF325" rgbClr="FF0000">
      <unresolved>
        <commentChain chainId="a9cb3b79ea3a30d699f5e7a9563923c6eb426e28">
          <item id="9b4fb9d064f9d40f3f2e40aff6fe69f16d70521f" isNormal="1">
            <s:text>
              <s:r>
                <s:t xml:space="preserve">DELL:
1403887 4/26 2400pcs华兴3楼A20
</s:t>
              </s:r>
            </s:text>
          </item>
        </commentChain>
      </unresolved>
      <resolved/>
    </commentChains>
    <commentChains s:ref="AI325" rgbClr="FF0000">
      <unresolved>
        <commentChain chainId="afc2d3de71ae9a00fdbaf0b35374542fca9b3106">
          <item id="06d7acbc87cc21fcab2c6cf0e95692b790c34ead" isNormal="1">
            <s:text>
              <s:r>
                <s:t xml:space="preserve">Administrator:
3/18 上客供价格贴纸2640pcs
4/9 上空白贴纸9192pcs
4500195559/4500195560共用
</s:t>
              </s:r>
            </s:text>
          </item>
        </commentChain>
      </unresolved>
      <resolved/>
    </commentChains>
    <commentChains s:ref="AF326" rgbClr="FF0000">
      <unresolved>
        <commentChain chainId="730ad656e302886ac1f5011a2063884da399211b">
          <item id="7225f742257ff69805b338a3eeade076ac435ca6" isNormal="1">
            <s:text>
              <s:r>
                <s:t xml:space="preserve">Administrator:
5/8 1403418 8016PCS直走
</s:t>
              </s:r>
            </s:text>
          </item>
        </commentChain>
      </unresolved>
      <resolved/>
    </commentChains>
    <commentChains s:ref="AI326" rgbClr="FF0000">
      <unresolved>
        <commentChain chainId="d0dc310d51d7ec1526b48d504e7f07d848a56726">
          <item id="aa1c4d282b327a586500bc9323553580663d9404" isNormal="1">
            <s:text>
              <s:r>
                <s:t xml:space="preserve">Administrator:
3/23 上空白贴纸 109176pcs
194771/194772/194773/194774/194774/194775/194777/193772/193773共用
4/20 上客供价格贴纸 8818pcs</s:t>
              </s:r>
            </s:text>
          </item>
        </commentChain>
      </unresolved>
      <resolved/>
    </commentChains>
    <commentChains s:ref="AF327" rgbClr="FF0000">
      <unresolved>
        <commentChain chainId="09301af45aa379efdfe4a7070c13af6dfb859a0a">
          <item id="ff57a04ff6356bf2a714e7799aa16b544f87219d" isNormal="1">
            <s:text>
              <s:r>
                <s:t xml:space="preserve">Administrator:
5/8 1403413 7992pcs直走</s:t>
              </s:r>
            </s:text>
          </item>
        </commentChain>
      </unresolved>
      <resolved/>
    </commentChains>
    <commentChains s:ref="AI327" rgbClr="FF0000">
      <unresolved>
        <commentChain chainId="846e4e093d226d5163586a69e45ceb2740bf2f11">
          <item id="ddb97d4a5c5f2eb116f1cbefd9aa05d557609a95" isNormal="1">
            <s:text>
              <s:r>
                <s:t xml:space="preserve">Administrator:
3/23 上空白贴纸 109176pcs
194771/194772/194773/194774/194774/194775/194777/193772/193773共用
4/20 上客供价格贴纸 8792pcs
</s:t>
              </s:r>
            </s:text>
          </item>
        </commentChain>
      </unresolved>
      <resolved/>
    </commentChains>
    <commentChains s:ref="AF328" rgbClr="FF0000">
      <unresolved>
        <commentChain chainId="1c3a1697223722e1e6e510101721000ae23018f8">
          <item id="decbc4d8f4be7bc386433ef533d706b1b506057c" isNormal="1">
            <s:text>
              <s:r>
                <s:t xml:space="preserve">Administrator:
5/16 1403589 1200pcs</s:t>
              </s:r>
            </s:text>
          </item>
        </commentChain>
      </unresolved>
      <resolved/>
    </commentChains>
    <commentChains s:ref="AI328" rgbClr="FF0000">
      <unresolved>
        <commentChain chainId="bf293559375ebcda9366e3ca2276fb7c4c194f4c">
          <item id="05eda30a892ee122eac43a2b446e9567f6979bcd" isNormal="1">
            <s:text>
              <s:r>
                <s:t xml:space="preserve">DELL:
3/23 上客供价格贴纸 1260pcs
5/11 上警告语贴纸1200pcs</s:t>
              </s:r>
            </s:text>
          </item>
        </commentChain>
      </unresolved>
      <resolved/>
    </commentChains>
    <commentChains s:ref="AF329" rgbClr="FF0000">
      <unresolved>
        <commentChain chainId="107e537e190eca5437f88e99331432938827c79d">
          <item id="2866a406f49d7bed187b09fe182a5c9165172ca4" isNormal="1">
            <s:text>
              <s:r>
                <s:t xml:space="preserve">Administrator:
5/13 1405972 1400pcs</s:t>
              </s:r>
            </s:text>
          </item>
        </commentChain>
      </unresolved>
      <resolved/>
    </commentChains>
    <commentChains s:ref="AI329" rgbClr="FF0000">
      <unresolved>
        <commentChain chainId="210a8efc9399991eb0c7ae3927c0ac62ed32c8e4">
          <item id="0f04adfb65609aa6a362f07a56642a522148e694" isNormal="1">
            <s:text>
              <s:r>
                <s:t xml:space="preserve">DELL:
3/23 上客供价格贴纸 1470pcs</s:t>
              </s:r>
            </s:text>
          </item>
        </commentChain>
      </unresolved>
      <resolved/>
    </commentChains>
    <commentChains s:ref="AF330" rgbClr="FF0000">
      <unresolved>
        <commentChain chainId="11b290873ef380df92a2561fb58d843befe8e829">
          <item id="f6b1a1dae039bb139e2eacd617e2e265eaf397de" isNormal="1">
            <s:text>
              <s:r>
                <s:t xml:space="preserve">Administrator:
5/16 1403616 2196pcs</s:t>
              </s:r>
            </s:text>
          </item>
        </commentChain>
      </unresolved>
      <resolved/>
    </commentChains>
    <commentChains s:ref="AI330" rgbClr="FF0000">
      <unresolved>
        <commentChain chainId="7a809a8beabb3ce7c1146492ea856911965d1cc0">
          <item id="f3308fcdeedf8dd2e6013aa9b6b45dadcc21138c" isNormal="1">
            <s:text>
              <s:r>
                <s:t xml:space="preserve">Administrator:
4/20 上客供价格贴纸 2416pcs
4/27 上空白贴纸18384pcs
4500200296/4500200297/4500200300/4500200301共用</s:t>
              </s:r>
            </s:text>
          </item>
        </commentChain>
      </unresolved>
      <resolved/>
    </commentChains>
    <commentChains s:ref="AF331" rgbClr="FF0000">
      <unresolved>
        <commentChain chainId="b5383bba8f3351b4f41b0872cbf3b9c32a118c5d">
          <item id="51027a19aa38e7412afcf8db52b4302088cb7a4d" isNormal="1">
            <s:text>
              <s:r>
                <s:t xml:space="preserve">Administrator:
5/16 1403616 2400pcs</s:t>
              </s:r>
            </s:text>
          </item>
        </commentChain>
      </unresolved>
      <resolved/>
    </commentChains>
    <commentChains s:ref="AI331" rgbClr="FF0000">
      <unresolved>
        <commentChain chainId="ed255afbc6a67a34aa8a1e34158eab33cf4d95d0">
          <item id="c9320d8fb4cbbfac63585bac695136a8e1cd5970" isNormal="1">
            <s:text>
              <s:r>
                <s:t xml:space="preserve">Administrator:
4/20 上客供价格贴纸 2640pcs
4/27 上空白贴纸18384pcs
4500200296/4500200297/4500200300/4500200301共用
</s:t>
              </s:r>
            </s:text>
          </item>
        </commentChain>
      </unresolved>
      <resolved/>
    </commentChains>
    <commentChains s:ref="AF332" rgbClr="FF0000">
      <unresolved>
        <commentChain chainId="7c1817864553864e5d45a24cfae826c1136501ab">
          <item id="314581aa23c48a72578530ae7e61e26cf4a67f3a" isNormal="1">
            <s:text>
              <s:r>
                <s:t xml:space="preserve">Administrator:
5/18 1403618 2004pcs新B1</s:t>
              </s:r>
            </s:text>
          </item>
        </commentChain>
      </unresolved>
      <resolved/>
    </commentChains>
    <commentChains s:ref="AI332" rgbClr="FF0000">
      <unresolved>
        <commentChain chainId="d6b546cc8768a1463335c938472af9eb74875cc8">
          <item id="8ba7955a665ed0e28f0db58b56b12ba9edc6d57f" isNormal="1">
            <s:text>
              <s:r>
                <s:t xml:space="preserve">Administrator:
4/14 上客供价格贴纸 2100pcs</s:t>
              </s:r>
            </s:text>
          </item>
        </commentChain>
      </unresolved>
      <resolved/>
    </commentChains>
    <commentChains s:ref="AF333" rgbClr="FF0000">
      <unresolved>
        <commentChain chainId="11a83fb1e361cc7c9209b978847d14ba6c6b32d3">
          <item id="6e3c6715f588c0f34e5e5eea34a0af30bacc9e55" userID="1850010794" userName="龙丽娟" dateTime="2026-06-04T02:28:08" isNormal="0">
            <s:text>
              <s:r>
                <s:t xml:space="preserve">5/30 2800079 2196pcs新2A9</s:t>
              </s:r>
            </s:text>
          </item>
        </commentChain>
      </unresolved>
      <resolved/>
    </commentChains>
    <commentChains s:ref="AI333" rgbClr="FF0000">
      <unresolved>
        <commentChain chainId="7fd52635c0d6c441434f5f8001d3b5ff60fb48b3">
          <item id="ab17995783fab578eeeb0404c99c900012268208" isNormal="1">
            <s:text>
              <s:r>
                <s:t xml:space="preserve">Administrator:
4/20 上客供价格贴纸 2416pcs
4/27 上空白贴纸18384pcs
4500200296/4500200297/4500200300/4500200301共用
</s:t>
              </s:r>
            </s:text>
          </item>
        </commentChain>
      </unresolved>
      <resolved/>
    </commentChains>
    <commentChains s:ref="AF334" rgbClr="FF0000">
      <unresolved>
        <commentChain chainId="c7676846502127864ee0dbd63ce09074fe02b858">
          <item id="5a77dc3e79e3cd9a129a396a8cb11657cd335cd1" userID="1850010794" userName="龙丽娟" dateTime="2026-06-04T02:28:41" isNormal="0">
            <s:text>
              <s:r>
                <s:t xml:space="preserve">5/30 2800079 2400pcs新2A9</s:t>
              </s:r>
            </s:text>
          </item>
        </commentChain>
      </unresolved>
      <resolved/>
    </commentChains>
    <commentChains s:ref="AI334" rgbClr="FF0000">
      <unresolved>
        <commentChain chainId="9d33289c322eda6522446ddb85ce1eefaecee8c0">
          <item id="9027d88ee3b32f6df4b717b0accfa89682527718" isNormal="1">
            <s:text>
              <s:r>
                <s:t xml:space="preserve">Administrator:
4/20 上客供价格贴纸 2640pcs
4/27 上空白贴纸18384pcs
4500200296/4500200297/4500200300/4500200301共用
</s:t>
              </s:r>
            </s:text>
          </item>
        </commentChain>
      </unresolved>
      <resolved/>
    </commentChains>
    <commentChains s:ref="AF335" rgbClr="FF0000">
      <unresolved>
        <commentChain chainId="bdb29bbce1872eea5a4184fd58c436081d02a89f">
          <item id="8b5fda7c9d3381c9a2c5d20d63e4ad23eb776d55" userID="1850010794" userName="龙丽娟" dateTime="2026-06-01T05:46:08" isNormal="0">
            <s:text>
              <s:r>
                <s:t xml:space="preserve">5/28 2800056 5000pcs</s:t>
              </s:r>
            </s:text>
          </item>
        </commentChain>
      </unresolved>
      <resolved/>
    </commentChains>
    <commentChains s:ref="AF336" rgbClr="FF0000">
      <unresolved>
        <commentChain chainId="c8c47179947293a8b9799d8cfb9a5a91560d3511">
          <item id="9a51b2d6bb7b7bc7b506fa70f86a059bc04c7557" userID="1850010794" userName="龙丽娟" dateTime="2026-06-04T02:29:32" isNormal="0">
            <s:text>
              <s:r>
                <s:t xml:space="preserve">5/30 2800079 2196pcs新2A9</s:t>
              </s:r>
            </s:text>
          </item>
        </commentChain>
      </unresolved>
      <resolved/>
    </commentChains>
    <commentChains s:ref="AI336" rgbClr="FF0000">
      <unresolved>
        <commentChain chainId="901814f3e1ed32cece363d0c96a814481bd3809c">
          <item id="ff293bee8f21c3fef931c77459c8128197d2a003" isNormal="1">
            <s:text>
              <s:r>
                <s:t xml:space="preserve">Administrator:
3/23 上空白贴纸 109176pcs
194771/194772/194773/194774/194774/194775/194777/193772/193773共用
4/20 上客供价格贴纸 9900pcs</s:t>
              </s:r>
            </s:text>
          </item>
        </commentChain>
      </unresolved>
      <resolved/>
    </commentChains>
    <commentChains s:ref="AI337" rgbClr="FF0000">
      <unresolved>
        <commentChain chainId="a986317a69350dd3f3845104805dd028a3bac157">
          <item id="302506528d3486515613f53aa8863c3259ce7aac" isNormal="1">
            <s:text>
              <s:r>
                <s:t xml:space="preserve">Administrator:
3/23 上空白贴纸 109176pcs
194771/194772/194773/194774/194774/194775/194777/193772/193773共用
4/20 上客供价格贴纸 9900pcs</s:t>
              </s:r>
            </s:text>
          </item>
        </commentChain>
      </unresolved>
      <resolved/>
    </commentChains>
    <commentChains s:ref="AF338" rgbClr="FF0000">
      <unresolved>
        <commentChain chainId="155d19ff9c0a11b87636def227d95c4367c97c57">
          <item id="36a08223c41e85e86eacd88f6b2cbd5a49a90536" userID="1850010794" userName="龙丽娟" dateTime="2026-06-12T03:59:45" isNormal="0">
            <s:text>
              <s:r>
                <s:t xml:space="preserve">2801181 6/10 312PCS欣泰B2</s:t>
              </s:r>
            </s:text>
          </item>
        </commentChain>
      </unresolved>
      <resolved/>
    </commentChains>
    <commentChains s:ref="AF339" rgbClr="FF0000">
      <unresolved>
        <commentChain chainId="58d8b5c2efc4be6c0b88cda4c924e84983a9da7b">
          <item id="c6ca380068a9bdd9e064f38317b0aa5102ea048e" userID="1850010794" userName="龙丽娟" dateTime="2026-06-12T04:00:09" isNormal="0">
            <s:text>
              <s:r>
                <s:t xml:space="preserve">2801181 6/10 138PCS欣泰B2</s:t>
              </s:r>
            </s:text>
          </item>
        </commentChain>
      </unresolved>
      <resolved/>
    </commentChains>
    <commentChains s:ref="AF340" rgbClr="FF0000">
      <unresolved>
        <commentChain chainId="7b557c0121309b8bcb8c80a7808f56277afec661">
          <item id="383b4d73a9266f6c2e927cf38bb3429322ada64d" userID="1850010794" userName="龙丽娟" dateTime="2026-06-12T04:00:18" isNormal="0">
            <s:text>
              <s:r>
                <s:t xml:space="preserve">2801181 6/10 450PCS欣泰B2</s:t>
              </s:r>
            </s:text>
          </item>
        </commentChain>
      </unresolved>
      <resolved/>
    </commentChains>
    <commentChains s:ref="AF341" rgbClr="FF0000">
      <unresolved>
        <commentChain chainId="727bc380a7b73d104dc8d861dfb1276a981ef6ed">
          <item id="dfde9f99da9e39894354b41568042e6a071e1eb8" userID="1850010794" userName="龙丽娟" dateTime="2026-06-12T04:00:26" isNormal="0">
            <s:text>
              <s:r>
                <s:t xml:space="preserve">2801181 6/10 384PCS欣泰B2</s:t>
              </s:r>
            </s:text>
          </item>
        </commentChain>
      </unresolved>
      <resolved/>
    </commentChains>
    <commentChains s:ref="AF342" rgbClr="FF0000">
      <unresolved>
        <commentChain chainId="6fccf479a8dd6b7a1b868612534f8ba63bbd9466">
          <item id="fe89bc3f2328df0a4244dd8fe390ee6a170a4ae9" userID="1850010794" userName="龙丽娟" dateTime="2026-06-12T04:00:38" isNormal="0">
            <s:text>
              <s:r>
                <s:t xml:space="preserve">2801181 6/10 588PCS欣泰B2</s:t>
              </s:r>
            </s:text>
          </item>
        </commentChain>
      </unresolved>
      <resolved/>
    </commentChains>
    <commentChains s:ref="AF343" rgbClr="FF0000">
      <unresolved>
        <commentChain chainId="ca379c2398790b65945d0106823c524d8b4f1862">
          <item id="48523a99fac8eb7dc8abcd523af8ec141c00e18c" userID="1850010794" userName="龙丽娟" dateTime="2026-06-12T04:00:48" isNormal="0">
            <s:text>
              <s:r>
                <s:t xml:space="preserve">2801181 6/10 66PCS欣泰B2</s:t>
              </s:r>
            </s:text>
          </item>
        </commentChain>
      </unresolved>
      <resolved/>
    </commentChains>
    <commentChains s:ref="AF344" rgbClr="FF0000">
      <unresolved>
        <commentChain chainId="24534f907b250923e330acb71a8ac5c727180fe5">
          <item id="fbacc4467b35a8bd991a0d83347d7d8af6ba5fb2" userID="1850010794" userName="龙丽娟" dateTime="2026-06-12T04:00:58" isNormal="0">
            <s:text>
              <s:r>
                <s:t xml:space="preserve">2801181 6/10 276PCS欣泰B2</s:t>
              </s:r>
            </s:text>
          </item>
        </commentChain>
      </unresolved>
      <resolved/>
    </commentChains>
    <commentChains s:ref="AF345" rgbClr="FF0000">
      <unresolved>
        <commentChain chainId="3bb9f4f57f667ae725afde49bd3ea15dd1a8cce8">
          <item id="ff034517d2c2e67fcf6b86dd210f18078a452401" userID="1850010794" userName="龙丽娟" dateTime="2026-06-23T05:42:10" isNormal="0">
            <s:text>
              <s:r>
                <s:t xml:space="preserve">6/17 2201074  500pcs欣泰c4</s:t>
              </s:r>
            </s:text>
          </item>
        </commentChain>
      </unresolved>
      <resolved/>
    </commentChains>
    <commentChains s:ref="AF346" rgbClr="FF0000">
      <unresolved>
        <commentChain chainId="faf67f10e43cc800027882264a677c1569715d55">
          <item id="c61813e2c683cb1e3e2b4f8635d2a44a4c19cbe2" userID="1850010794" userName="龙丽娟" dateTime="2026-06-23T05:42:45" isNormal="0">
            <s:text>
              <s:r>
                <s:t xml:space="preserve">6/17 2201074  600pcs欣泰b4</s:t>
              </s:r>
            </s:text>
          </item>
        </commentChain>
      </unresolved>
      <resolved/>
    </commentChains>
    <commentChains s:ref="AI346" rgbClr="FF0000">
      <unresolved>
        <commentChain chainId="c9ea7807008f34823403fcf1ccd0d49c209b2670">
          <item id="9a4250df2f1d0910b349e176c1cc2476d0ceeee5" isNormal="1">
            <s:text>
              <s:r>
                <s:t xml:space="preserve">Administrator:
5/14 上客供价格贴纸630pcs</s:t>
              </s:r>
            </s:text>
          </item>
        </commentChain>
      </unresolved>
      <resolved/>
    </commentChains>
    <commentChains s:ref="AF347" rgbClr="FF0000">
      <unresolved>
        <commentChain chainId="b0367722c1e8744a7a7026f4f1bec24d09182ff9">
          <item id="d998b45aa170c31ba5f9318e9560e7eaca833c05" userID="1850010794" userName="龙丽娟" dateTime="2026-07-14T14:20:51" isNormal="0">
            <s:text>
              <s:r>
                <s:t xml:space="preserve">7/3 2201211 492PCS顶均B1</s:t>
              </s:r>
            </s:text>
          </item>
        </commentChain>
      </unresolved>
      <resolved/>
    </commentChains>
    <commentChains s:ref="AI347" rgbClr="FF0000">
      <unresolved>
        <commentChain chainId="3fb0fd54cc6beded275b9011e16dd05354e7964b">
          <item id="5ddd55baef908803e77a2c8ebcd96c0ec4fe01df" userID="1850010794" userName="龙丽娟" dateTime="2026-06-11T06:03:37" isNormal="0">
            <s:text>
              <s:r>
                <s:t xml:space="preserve">6/5上环保标贴纸492pcs</s:t>
              </s:r>
            </s:text>
          </item>
        </commentChain>
      </unresolved>
      <resolved/>
    </commentChains>
    <commentChains s:ref="AO347" rgbClr="FF0000">
      <unresolved>
        <commentChain chainId="bc214ae4317f8b6d10458abe163b91d4f89d2556">
          <item id="1bc7762f404e61ca6fbe72417de0f82b27dc03cc" userID="1474709007" userName="陈炎" dateTime="2026-06-03T13:22:09" isNormal="0">
            <s:text>
              <s:r>
                <s:t xml:space="preserve">MA  3L(无barcode)  收缩膜(新FR/DK/UK，翻单4500204860</s:t>
              </s:r>
            </s:text>
          </item>
        </commentChain>
      </unresolved>
      <resolved/>
    </commentChains>
    <commentChains s:ref="AI348" rgbClr="FF0000">
      <unresolved>
        <commentChain chainId="568a7e07642124f128a65ba93fc9741dca38fbe9">
          <item id="41b7d70337d6c7c5c4170020327584d4e2f2c98e" userID="1850010794" userName="龙丽娟" dateTime="2026-07-16T01:16:26" isNormal="0">
            <s:text>
              <s:r>
                <s:t xml:space="preserve">6/10 上客供价格贴纸 630pcs</s:t>
              </s:r>
            </s:text>
          </item>
        </commentChain>
      </unresolved>
      <resolved/>
    </commentChains>
    <commentChains s:ref="AI349" rgbClr="FF0000">
      <unresolved>
        <commentChain chainId="eedd92917cfbe1c0dc72a65788fd4e4ec52a51a7">
          <item id="fdf5d6bd7b658527689f747be198a5291a9178dc" userID="1850010794" userName="龙丽娟" dateTime="2026-07-16T01:17:39" isNormal="0">
            <s:text>
              <s:r>
                <s:t xml:space="preserve">7/9 上客供价格贴纸 2469pcs</s:t>
              </s:r>
            </s:text>
          </item>
          <item id="dbbcf2c78251f2cc8ddcb101567b4213af93e087" userID="1850010794" userName="龙丽娟" dateTime="2026-07-19T09:26:17" isNormal="0">
            <s:text>
              <s:r>
                <s:t xml:space="preserve">7/16上空白贴纸22500pcs
212370/212372/212378/212379/212384/386/212389/212394共用</s:t>
              </s:r>
            </s:text>
          </item>
        </commentChain>
      </unresolved>
      <resolved/>
    </commentChains>
    <commentChains s:ref="AI350" rgbClr="FF0000">
      <unresolved>
        <commentChain chainId="dea3d607b0f61fae783896fb6b8c87f81af63013">
          <item id="4d714908066d80e5855813620bf45c9e78f3d8a6" userID="1850010794" userName="龙丽娟" dateTime="2026-07-16T01:17:39" isNormal="0">
            <s:text>
              <s:r>
                <s:t xml:space="preserve">7/9 上客供价格贴纸 3300pcs</s:t>
              </s:r>
            </s:text>
          </item>
          <item id="c744050febd76fce71009a0f466af89544a7dc14" userID="1850010794" userName="龙丽娟" dateTime="2026-07-19T09:26:22" isNormal="0">
            <s:text>
              <s:r>
                <s:t xml:space="preserve">7/16上空白贴纸22500pcs
212370/212372/212378/212379/212384/386/212389/212394共用</s:t>
              </s:r>
            </s:text>
          </item>
        </commentChain>
      </unresolved>
      <resolved/>
    </commentChains>
    <commentChains s:ref="AI351" rgbClr="FF0000">
      <unresolved>
        <commentChain chainId="70cfe6b69c1a76dd7858e2fdaa613d6227796b20">
          <item id="207e375b22bbbaa9bdaf74e444685cdd9058dfca" userID="1850010794" userName="龙丽娟" dateTime="2026-07-16T01:17:39" isNormal="0">
            <s:text>
              <s:r>
                <s:t xml:space="preserve">7/9 上客供价格贴纸 3300pcs</s:t>
              </s:r>
            </s:text>
          </item>
          <item id="4f7886d1aa4584ad6b6c6fdc41aee95929a0d422" userID="1850010794" userName="龙丽娟" dateTime="2026-07-19T09:26:25" isNormal="0">
            <s:text>
              <s:r>
                <s:t xml:space="preserve">7/16上空白贴纸22500pcs
212370/212372/212378/212379/212384/386/212389/212394共用</s:t>
              </s:r>
            </s:text>
          </item>
        </commentChain>
      </unresolved>
      <resolved/>
    </commentChains>
    <commentChains s:ref="AI352" rgbClr="FF0000">
      <unresolved>
        <commentChain chainId="b631036c61187d433b3329cc15fcca5e88f3a63f">
          <item id="eaeaa22208c100f4e907bb766c8b013d11242f5e" userID="1850010794" userName="龙丽娟" dateTime="2026-07-16T01:17:39" isNormal="0">
            <s:text>
              <s:r>
                <s:t xml:space="preserve">7/9 上客供价格贴纸 3300pcs</s:t>
              </s:r>
            </s:text>
          </item>
          <item id="31b904e72fc57952e9077d89674173e285448f74" userID="1850010794" userName="龙丽娟" dateTime="2026-07-19T09:26:30" isNormal="0">
            <s:text>
              <s:r>
                <s:t xml:space="preserve">7/16上空白贴纸22500pcs
212370/212372/212378/212379/212384/386/212389/212394共用</s:t>
              </s:r>
            </s:text>
          </item>
        </commentChain>
      </unresolved>
      <resolved/>
    </commentChains>
    <commentChains s:ref="AF353" rgbClr="FF0000">
      <unresolved>
        <commentChain chainId="e854b005edbb063c623a03328084603df5004526">
          <item id="f015697547d53ab4c411346b1e45b2661062c66e" userID="1850010794" userName="龙丽娟" dateTime="2026-08-07T12:55:49" isNormal="0">
            <s:text>
              <s:r>
                <s:t xml:space="preserve">8/1 1001594 24pcs欣泰c5</s:t>
              </s:r>
            </s:text>
          </item>
        </commentChain>
      </unresolved>
      <resolved/>
    </commentChains>
    <commentChains s:ref="AI353" rgbClr="FF0000">
      <unresolved>
        <commentChain chainId="ce0bd6e6ca7f6d4c4bf0ff8872340819ff18942f">
          <item id="86d1dad0c9370e3d7240419e61e9126589d085d7" userID="1850010794" userName="龙丽娟" dateTime="2026-07-16T01:17:39" isNormal="0">
            <s:text>
              <s:r>
                <s:t xml:space="preserve">7/11 上客供价格贴纸 3300pcs</s:t>
              </s:r>
            </s:text>
          </item>
          <item id="664f29e226a70622154d49d1facdceb0b03ad32e" userID="1850010794" userName="龙丽娟" dateTime="2026-07-19T09:26:35" isNormal="0">
            <s:text>
              <s:r>
                <s:t xml:space="preserve">7/16上空白贴纸22500pcs
212370/212372/212378/212379/212384/386/212389/212394共用</s:t>
              </s:r>
            </s:text>
          </item>
        </commentChain>
      </unresolved>
      <resolved/>
    </commentChains>
    <commentChains s:ref="AF354" rgbClr="FF0000">
      <unresolved>
        <commentChain chainId="6e10ed8b89ad12bb30e87162c60050228a76bb16">
          <item id="485a12bdf1192ed5e323662bd85aa55871104cd8" userID="1850010794" userName="龙丽娟" dateTime="2026-08-07T12:55:18" isNormal="0">
            <s:text>
              <s:r>
                <s:t xml:space="preserve">8/1 1001594 2280pcs欣泰c4</s:t>
              </s:r>
            </s:text>
          </item>
          <item id="c5c2f29ebeb1f54ba637b60dd6528da73de5a42f" userID="1850010794" userName="龙丽娟" dateTime="2026-08-07T13:20:40" isNormal="0">
            <s:text>
              <s:r>
                <s:t xml:space="preserve">8/4 1001558 720pcs馥通c8</s:t>
              </s:r>
            </s:text>
          </item>
        </commentChain>
      </unresolved>
      <resolved/>
    </commentChains>
    <commentChains s:ref="AI354" rgbClr="FF0000">
      <unresolved>
        <commentChain chainId="9f29524f3f2ca87f9b0cec43d2e19343da4dd001">
          <item id="4ab600863fa65bd113d10bdc28a230a76b744ef7" userID="1850010794" userName="龙丽娟" dateTime="2026-07-16T01:17:39" isNormal="0">
            <s:text>
              <s:r>
                <s:t xml:space="preserve">7/9 上客供价格贴纸 3300pcs</s:t>
              </s:r>
            </s:text>
          </item>
          <item id="66883edd65c8c909816c45886f71e59f353c2eca" userID="1850010794" userName="龙丽娟" dateTime="2026-07-19T09:26:30" isNormal="0">
            <s:text>
              <s:r>
                <s:t xml:space="preserve">7/16上空白贴纸22500pcs
212370/212372/212378/212379/212384/386/212389/212394共用</s:t>
              </s:r>
            </s:text>
          </item>
        </commentChain>
      </unresolved>
      <resolved/>
    </commentChains>
    <commentChains s:ref="AI355" rgbClr="FF0000">
      <unresolved>
        <commentChain chainId="840d721d59cd98be8fefc65b1339b3dd033c302a">
          <item id="641278b752a0d55db83e996b596954ce5a7d1c58" userID="1850010794" userName="龙丽娟" dateTime="2026-06-30T07:18:06" isNormal="0">
            <s:text>
              <s:r>
                <s:t xml:space="preserve">6/27收到亚马逊贴纸41pcs</s:t>
              </s:r>
            </s:text>
          </item>
          <item id="2787796376c1045efe47bfafbc4a337d7f24caad" userID="1850010794" userName="龙丽娟" dateTime="2026-07-12T12:30:01" isNormal="0">
            <s:text>
              <s:r>
                <s:t xml:space="preserve">7/8上环保标贴纸492pcs</s:t>
              </s:r>
            </s:text>
          </item>
        </commentChain>
      </unresolved>
      <resolved/>
    </commentChains>
    <commentChains s:ref="AO355" rgbClr="FF0000">
      <unresolved>
        <commentChain chainId="b5af21a74520869c98be1351f72182fece08a3a8">
          <item id="579e1e3ff4c7877fb2442d30d1c1ad5431283655" userID="1474709007" userName="陈炎" dateTime="2026-06-03T13:22:09" isNormal="0">
            <s:text>
              <s:r>
                <s:t xml:space="preserve">MA  3L(无barcode)  收缩膜(新FR/DK/UK，翻单4500204860</s:t>
              </s:r>
            </s:text>
          </item>
        </commentChain>
      </unresolved>
      <resolved/>
    </commentChains>
    <commentChains s:ref="AF356" rgbClr="FF0000">
      <unresolved>
        <commentChain chainId="ef7bf87f4e89155ad47361bb3250ebe9afbd1d96">
          <item id="bf45bd31cb2443c4547927b2fe1a3befc88540be" userID="1850010794" userName="龙丽娟" dateTime="2026-08-14T09:05:20" isNormal="0">
            <s:text>
              <s:r>
                <s:t xml:space="preserve">8/6 1001544 3000PCS欣泰A4</s:t>
              </s:r>
            </s:text>
          </item>
        </commentChain>
      </unresolved>
      <resolved/>
    </commentChains>
    <commentChains s:ref="AI356" rgbClr="FF0000">
      <unresolved>
        <commentChain chainId="a0c94a989b823ed806bfc570bd0af9cf750ef94f">
          <item id="b562b9020521f476476f7df2dc2e68c20d5cac6d" userID="1850010794" userName="龙丽娟" dateTime="2026-07-16T01:17:39" isNormal="0">
            <s:text>
              <s:r>
                <s:t xml:space="preserve">7/9 上客供价格贴纸 3300pcs</s:t>
              </s:r>
            </s:text>
          </item>
          <item id="fd49e1a719fffeff93db31652d4f8f442af27be8" userID="1850010794" userName="龙丽娟" dateTime="2026-07-19T09:26:30" isNormal="0">
            <s:text>
              <s:r>
                <s:t xml:space="preserve">7/16上空白贴纸22500pcs
212370/212372/212378/212379/212384/386/212389/212394共用</s:t>
              </s:r>
            </s:text>
          </item>
        </commentChain>
      </unresolved>
      <resolved/>
    </commentChains>
    <commentChains s:ref="AF357" rgbClr="FF0000">
      <unresolved>
        <commentChain chainId="fff220edd0d5fccd547b359292614f1922d4de34">
          <item id="8be7a9ffdc614a6f0766d141557a8dd32e0ebcb8" userID="1850010794" userName="龙丽娟" dateTime="2026-08-14T09:09:05" isNormal="0">
            <s:text>
              <s:r>
                <s:t xml:space="preserve">8/6 1001301 3000pcs钜顺A4</s:t>
              </s:r>
            </s:text>
          </item>
        </commentChain>
      </unresolved>
      <resolved/>
    </commentChains>
    <commentChains s:ref="AI357" rgbClr="FF0000">
      <unresolved>
        <commentChain chainId="ebf64d9b9459d8e9f92276f9fbd43cf3fe12b3af">
          <item id="81506d8d1a4c23122eb0fb07291586aecba7f409" userID="1850010794" userName="龙丽娟" dateTime="2026-07-16T01:17:39" isNormal="0">
            <s:text>
              <s:r>
                <s:t xml:space="preserve">7/9 上客供价格贴纸 3300pcs</s:t>
              </s:r>
            </s:text>
          </item>
          <item id="eed71987d65dc16bfc0932a34c80e3971f30f741" userID="1850010794" userName="龙丽娟" dateTime="2026-07-19T09:26:30" isNormal="0">
            <s:text>
              <s:r>
                <s:t xml:space="preserve">7/16上空白贴纸22500pcs
212370/212372/212378/212379/212384/386/212389/212394共用</s:t>
              </s:r>
            </s:text>
          </item>
        </commentChain>
      </unresolved>
      <resolved/>
    </commentChains>
    <commentChains s:ref="AF358" rgbClr="FF0000">
      <unresolved>
        <commentChain chainId="2fd1d6a47175537d938f851360760a1fd837b6d5">
          <item id="5a8231c1d00ff432ae3040f62ee00e36fb0989f9" userID="1850010794" userName="龙丽娟" dateTime="2026-08-12T07:54:30" isNormal="0">
            <s:text>
              <s:r>
                <s:t xml:space="preserve">8/8  1001529 1500pcs欣泰二楼B1</s:t>
              </s:r>
            </s:text>
          </item>
        </commentChain>
      </unresolved>
      <resolved/>
    </commentChains>
    <commentChains s:ref="AI358" rgbClr="FF0000">
      <unresolved>
        <commentChain chainId="45cf1ec250736676fe3c25b62ed1a8b03b433f81">
          <item id="a08b84dd837ee4d69cf31ef7f2c30fe2c25b59c7" userID="1850010794" userName="龙丽娟" dateTime="2026-07-21T07:33:23" isNormal="0">
            <s:text>
              <s:r>
                <s:t xml:space="preserve">7/16 上WIC折页 13248pcs</s:t>
              </s:r>
            </s:text>
          </item>
        </commentChain>
      </unresolved>
      <resolved/>
    </commentChains>
    <commentChains s:ref="AF359" rgbClr="FF0000">
      <unresolved>
        <commentChain chainId="3ee50478255574c47f39038f84f9fc7dc4e19db4">
          <item id="0242ea6d6480be55dd35c4afc165900acba9c27e" userID="1850010794" userName="龙丽娟" dateTime="2026-08-12T07:54:42" isNormal="0">
            <s:text>
              <s:r>
                <s:t xml:space="preserve">8/8  1001529 924pcs欣泰二楼B1</s:t>
              </s:r>
            </s:text>
          </item>
        </commentChain>
      </unresolved>
      <resolved/>
    </commentChains>
    <commentChains s:ref="AF360" rgbClr="FF0000">
      <unresolved>
        <commentChain chainId="2e35076576d769bd524890751d52ac08c38b7755">
          <item id="9b7e8e7c07175e9f5d8ae744ea7218a3bf60d6f2" userID="1850010794" userName="龙丽娟" dateTime="2026-08-12T07:54:50" isNormal="0">
            <s:text>
              <s:r>
                <s:t xml:space="preserve">8/8  1001529 2340pcs欣泰二楼B1</s:t>
              </s:r>
            </s:text>
          </item>
        </commentChain>
      </unresolved>
      <resolved/>
    </commentChains>
    <commentChains s:ref="AF361" rgbClr="FF0000">
      <unresolved>
        <commentChain chainId="b56dc38dfd3abedbac3009fd30560a62279eff90">
          <item id="40d89824ca127b8e8b3479414246088b27daf228" userID="1850010794" userName="龙丽娟" dateTime="2026-08-12T07:54:59" isNormal="0">
            <s:text>
              <s:r>
                <s:t xml:space="preserve">8/8  1001529 1020pcs欣泰二楼B1</s:t>
              </s:r>
            </s:text>
          </item>
        </commentChain>
      </unresolved>
      <resolved/>
    </commentChains>
    <commentChains s:ref="AF362" rgbClr="FF0000">
      <unresolved>
        <commentChain chainId="e7540bed905c4453a59226ba8517691b58404476">
          <item id="a9b4d4cffb322f4dbd60f7b2fedd752a7f4416f2" userID="1850010794" userName="龙丽娟" dateTime="2026-08-12T07:55:06" isNormal="0">
            <s:text>
              <s:r>
                <s:t xml:space="preserve">8/8  1001529 2376pcs欣泰二楼B1</s:t>
              </s:r>
            </s:text>
          </item>
        </commentChain>
      </unresolved>
      <resolved/>
    </commentChains>
    <commentChains s:ref="AF363" rgbClr="FF0000">
      <unresolved>
        <commentChain chainId="d11a3e4a4c2da522e8512821f44c229b474b09ff">
          <item id="d6bed97329b3f589427a7da51519450833f253ed" userID="1850010794" userName="龙丽娟" dateTime="2026-08-12T07:55:14" isNormal="0">
            <s:text>
              <s:r>
                <s:t xml:space="preserve">8/8  1001529 1008pcs欣泰二楼B1</s:t>
              </s:r>
            </s:text>
          </item>
        </commentChain>
      </unresolved>
      <resolved/>
    </commentChains>
    <commentChains s:ref="AF364" rgbClr="FF0000">
      <unresolved>
        <commentChain chainId="a5ab09cde4a3495ac6a0860c884da9b12336fccc">
          <item id="6d41023f5e1f60ee5113e60f817a125a954cab21" userID="1850010794" userName="龙丽娟" dateTime="2026-08-12T07:55:23" isNormal="0">
            <s:text>
              <s:r>
                <s:t xml:space="preserve">8/8  1001529 1200pcs欣泰二楼B1</s:t>
              </s:r>
            </s:text>
          </item>
        </commentChain>
      </unresolved>
      <resolved/>
    </commentChains>
    <commentChains s:ref="AF365" rgbClr="FF0000">
      <unresolved>
        <commentChain chainId="3bb2756e57b53934f3590a500f045f2f931ae069">
          <item id="c9185d2247e3c84ac0d097279c38879b29e0bbfd" userID="1850010794" userName="龙丽娟" dateTime="2026-08-12T07:55:31" isNormal="0">
            <s:text>
              <s:r>
                <s:t xml:space="preserve">8/8  1001529 1602pcs欣泰二楼B1</s:t>
              </s:r>
            </s:text>
          </item>
        </commentChain>
      </unresolved>
      <resolved/>
    </commentChains>
    <commentChains s:ref="AF366" rgbClr="FF0000">
      <unresolved>
        <commentChain chainId="ae4a5891a626fd9db6318d44cfa311b818035fba">
          <item id="7b46ab1f8278462a28c7b46f7c5904c5bf8ebfd6" userID="1850010794" userName="龙丽娟" dateTime="2026-08-12T07:55:41" isNormal="0">
            <s:text>
              <s:r>
                <s:t xml:space="preserve">8/8  1001529 1278pcs欣泰二楼B1</s:t>
              </s:r>
            </s:text>
          </item>
        </commentChain>
      </unresolved>
      <resolved/>
    </commentChains>
    <commentChains s:ref="AI367" rgbClr="FF0000">
      <unresolved>
        <commentChain chainId="a0eeb9684792cc8f75a4e7d2cc4fd550c92ea730">
          <item id="7403077f8cde2aa80ae05b6e1301790aba504607" userID="1850010794" userName="龙丽娟" dateTime="2026-07-16T01:17:39" isNormal="0">
            <s:text>
              <s:r>
                <s:t xml:space="preserve">7/9 上客供价格贴纸 630pcs</s:t>
              </s:r>
            </s:text>
          </item>
        </commentChain>
      </unresolved>
      <resolved/>
    </commentChains>
  </commentList>
  <commentList sheetStid="33">
    <commentChains s:ref="AF7" rgbClr="FF0000">
      <unresolved>
        <commentChain chainId="36c1ca8afb85b2c2577a82543e76fd43a077580d">
          <item id="9bab2b623be817b5c08f4ef437ba9a185e0adf4b" isNormal="1">
            <s:text>
              <s:r>
                <s:t xml:space="preserve">Administrator:
1002028 8/26 4852pcs 张泉三B6（东莞混装）
1002555 8/28 107pcs 车间补数
剩余数量东莞生产</s:t>
              </s:r>
            </s:text>
          </item>
        </commentChain>
      </unresolved>
      <resolved/>
    </commentChains>
    <commentChains s:ref="AI7" rgbClr="FF0000">
      <unresolved>
        <commentChain chainId="982c29beb2bb85d4e8f89452d6c4de183aa52932">
          <item id="eccb541ff9146c123ca2cc7adbb50a3b40aab7df" isNormal="1">
            <s:text>
              <s:r>
                <s:t xml:space="preserve">Administrator:
8/11 收到KM外箱贴纸 490pcs
8/21 收到白色防盗贴纸 6370pcs</s:t>
              </s:r>
            </s:text>
          </item>
        </commentChain>
      </unresolved>
      <resolved/>
    </commentChains>
    <commentChains s:ref="AF8" rgbClr="FF0000">
      <unresolved>
        <commentChain chainId="c1670661dc640561a3d21e80c8d170e5560ef41e">
          <item id="859355076264f11310561c15817628321e66804e" isNormal="1">
            <s:text>
              <s:r>
                <s:t xml:space="preserve">Administrator:
1002028 8/26 300pcs 张泉三B6（东莞混装）
剩余数量东莞生产</s:t>
              </s:r>
            </s:text>
          </item>
        </commentChain>
      </unresolved>
      <resolved/>
    </commentChains>
    <commentChains s:ref="AI8" rgbClr="FF0000">
      <unresolved>
        <commentChain chainId="99ae5614f2a0f5bf8e4e4bd8143a1a17a12bec34">
          <item id="31035628e225341cb5a2103a72fc2026e00fb39d" isNormal="1">
            <s:text>
              <s:r>
                <s:t xml:space="preserve">Administrator:
8/11 收到KM外箱贴纸 54pcs
8/21 收到白色防盗贴纸 702pcs
</s:t>
              </s:r>
            </s:text>
          </item>
        </commentChain>
      </unresolved>
      <resolved/>
    </commentChains>
    <commentChains s:ref="AF9" rgbClr="FF0000">
      <unresolved>
        <commentChain chainId="7db7053cfa7aa8b0c3944fc67bc82e4f84df1253">
          <item id="269d1e7b1427150d328007fa8ae44060b186578c" isNormal="1">
            <s:text>
              <s:r>
                <s:t xml:space="preserve">Administrator:
1002228 9/6 22464pcs 莫海军B4楼C1区
1002235 9/8 11232pcs 莫海军B4楼C1区
1002233 9/8 56160pcs 莫海军B4楼C1区
1003824 9/9 18148pcs 莫海军B4楼A4区
</s:t>
              </s:r>
            </s:text>
          </item>
        </commentChain>
      </unresolved>
      <resolved/>
    </commentChains>
    <commentChains s:ref="AI9" rgbClr="FF0000">
      <unresolved>
        <commentChain chainId="0d7d6db98d6f79e65ce7edf5ee2a0dbc89c6650c">
          <item id="ff3e6376faa2682db73c601ebbda97aa961f08da" isNormal="1">
            <s:text>
              <s:r>
                <s:t xml:space="preserve">Administrator:
8/11 上背身UPC贴纸 4154pcs
8/26 上客供外箱条码贴纸 4196pcs
7/28 上Event label贴纸 2885pcs
8/8  上Event label贴纸 1269pcs 增加数量</s:t>
              </s:r>
            </s:text>
          </item>
        </commentChain>
      </unresolved>
      <resolved/>
    </commentChains>
    <commentChains s:ref="AF10" rgbClr="FF0000">
      <unresolved>
        <commentChain chainId="ddd39aa278a5c399a8e124b4fbfe9e6fc581be2e">
          <item id="1af2af026639c2b8e9d18378c8162a906ae1b885" isNormal="1">
            <s:text>
              <s:r>
                <s:t xml:space="preserve">Administrator:
1003867 9/13 1508pcs 华兴一F3</s:t>
              </s:r>
            </s:text>
          </item>
        </commentChain>
      </unresolved>
      <resolved/>
    </commentChains>
    <commentChains s:ref="AI10" rgbClr="FF0000">
      <unresolved>
        <commentChain chainId="1796965608fffe720320e031f43ac62e05fc26cb">
          <item id="c2c13373a044af9032bd9673a4e4b6db4353157e" isNormal="1">
            <s:text>
              <s:r>
                <s:t xml:space="preserve">Administrator:
8/21 上白色防盗贴纸 1508pcs
8/29 上KM外箱贴纸 116pcs</s:t>
              </s:r>
            </s:text>
          </item>
        </commentChain>
      </unresolved>
      <resolved/>
    </commentChains>
    <commentChains s:ref="AF11" rgbClr="FF0000">
      <unresolved>
        <commentChain chainId="2e4bb8044a3ee00199113df10a8c343c223296bb">
          <item id="9beddfabc61f0d3982863311ca290d4733431b49" isNormal="1">
            <s:text>
              <s:r>
                <s:t xml:space="preserve">Administrator:
1003886 9/15 3094pcs 莫海军B4楼B1区
</s:t>
              </s:r>
            </s:text>
          </item>
        </commentChain>
      </unresolved>
      <resolved/>
    </commentChains>
    <commentChains s:ref="AI11" rgbClr="FF0000">
      <unresolved>
        <commentChain chainId="52bb258f83f7f4e3702fea9267d140d09380886e">
          <item id="3e537a84c074f60ce28cbf30a27dc1133ac66088" isNormal="1">
            <s:text>
              <s:r>
                <s:t xml:space="preserve">Administrator:
8/21 上白色防盗贴纸 3094pcs
8/29 上KM外箱贴纸 238pcs
</s:t>
              </s:r>
            </s:text>
          </item>
        </commentChain>
      </unresolved>
      <resolved/>
    </commentChains>
    <commentChains s:ref="AF12" rgbClr="FF0000">
      <unresolved>
        <commentChain chainId="0b1fddebc94e5dcec5f75dda65c793c6d56158de">
          <item id="02908b53a77cc2a0647fd0b96c3ca5a909c8f8b5" isNormal="1">
            <s:text>
              <s:r>
                <s:t xml:space="preserve">Administrator:
1003867 9/13 130pcs 华兴一F3</s:t>
              </s:r>
            </s:text>
          </item>
        </commentChain>
      </unresolved>
      <resolved/>
    </commentChains>
    <commentChains s:ref="AI12" rgbClr="FF0000">
      <unresolved>
        <commentChain chainId="602bff91eeba0191db64405276c0b94f6f9a2186">
          <item id="8364498f8676d659003dc4c2c94dc5392f9097a8" isNormal="1">
            <s:text>
              <s:r>
                <s:t xml:space="preserve">Administrator:
8/21 上白色防盗贴纸 130pcs
8/29 上KM外箱贴纸 10pcs
</s:t>
              </s:r>
            </s:text>
          </item>
        </commentChain>
      </unresolved>
      <resolved/>
    </commentChains>
    <commentChains s:ref="AF13" rgbClr="FF0000">
      <unresolved>
        <commentChain chainId="52a8d6b465214663a39ca3251a4a4ce6af706861">
          <item id="aa4fa1705b7f409f2d8f096cddf9e65b885fe1ea" isNormal="1">
            <s:text>
              <s:r>
                <s:t xml:space="preserve">Administrator:
1003886 9/15 3750pcs 莫海军B4楼A5区</s:t>
              </s:r>
            </s:text>
          </item>
        </commentChain>
      </unresolved>
      <resolved/>
    </commentChains>
    <commentChains s:ref="AI13" rgbClr="FF0000">
      <unresolved>
        <commentChain chainId="8803890e467422e1abb34e7bf9da79abb2ef922c">
          <item id="1afb30ca684e9f96cae7b84393d6ca34bcb54d70" isNormal="1">
            <s:text>
              <s:r>
                <s:t xml:space="preserve">Administrator:
8/30 上1张日语警语贴纸 3750pcs</s:t>
              </s:r>
            </s:text>
          </item>
        </commentChain>
      </unresolved>
      <resolved/>
    </commentChains>
    <commentChains s:ref="AF14" rgbClr="FF0000">
      <unresolved>
        <commentChain chainId="6ecb68bd5bb2b82e7640d468edcdb2b47a630a55">
          <item id="bbdb3656e31caf65913a81df7f4fe0a7aac1b93f" isNormal="1">
            <s:text>
              <s:r>
                <s:t xml:space="preserve">Administrator:
1003473 9/16 1250pcs 华兴三A32</s:t>
              </s:r>
            </s:text>
          </item>
        </commentChain>
      </unresolved>
      <resolved/>
    </commentChains>
    <commentChains s:ref="AI14" rgbClr="FF0000">
      <unresolved>
        <commentChain chainId="0a2658a2b2b34c83c73525db9fa0914bbcd1a290">
          <item id="c8fd17c31febd3f4e126eeeb2405259f5f95279a" isNormal="1">
            <s:text>
              <s:r>
                <s:t xml:space="preserve">Administrator:
8/19 上客人通用进口商贴纸 1250pcs</s:t>
              </s:r>
            </s:text>
          </item>
        </commentChain>
      </unresolved>
      <resolved/>
    </commentChains>
    <commentChains s:ref="AF15" rgbClr="FF0000">
      <unresolved>
        <commentChain chainId="bd25288c168bd80d68d74b84074a6f41315f168e">
          <item id="83272ca3a5be4bc4d99afd248ca0ee0cd2c9614d" isNormal="1">
            <s:text>
              <s:r>
                <s:t xml:space="preserve">Administrator:
1003481 9/16 2691pcs 莫海军B4楼B4区</s:t>
              </s:r>
            </s:text>
          </item>
        </commentChain>
      </unresolved>
      <resolved/>
    </commentChains>
    <commentChains s:ref="AF16" rgbClr="FF0000">
      <unresolved>
        <commentChain chainId="6a7dfe709e211b4df3e2bb0cda4a25dff3e3558a">
          <item id="ba465cce571bb80ff9248e3dabca300fb24851a8" isNormal="1">
            <s:text>
              <s:r>
                <s:t xml:space="preserve">Administrator:
1003462 9/19 4784pcs 华兴三B17</s:t>
              </s:r>
            </s:text>
          </item>
        </commentChain>
      </unresolved>
      <resolved/>
    </commentChains>
    <commentChains s:ref="AF17" rgbClr="FF0000">
      <unresolved>
        <commentChain chainId="8853ff3546a5a985d0d727b7b5aa138fe30e0101">
          <item id="5a5ded44edf62242accf87da95c4b026203bc0b3" isNormal="1">
            <s:text>
              <s:r>
                <s:t xml:space="preserve">Administrator:
1003462 9/19 960pcs 华兴三B17</s:t>
              </s:r>
            </s:text>
          </item>
        </commentChain>
      </unresolved>
      <resolved/>
    </commentChains>
    <commentChains s:ref="AI17" rgbClr="FF0000">
      <unresolved>
        <commentChain chainId="7ea9ee452df3537fbf7288f76b63c69b97677ff5">
          <item id="79de4cf8e1c8b32180e54203145b6e399af0b88a" isNormal="1">
            <s:text>
              <s:r>
                <s:t xml:space="preserve">Administrator:
9/2 上客供RFID贴纸 960pcs
9/8 上布标贴纸 960pcs</s:t>
              </s:r>
            </s:text>
          </item>
        </commentChain>
      </unresolved>
      <resolved/>
    </commentChains>
    <commentChains s:ref="AF18" rgbClr="FF0000">
      <unresolved>
        <commentChain chainId="13232795a381259cc18c82fbc3d28e73220187e2">
          <item id="52e1601b99305283c3b17961c73a144c4dd11a78" isNormal="1">
            <s:text>
              <s:r>
                <s:t xml:space="preserve">Administrator:
1003462 9/19 520pcs 华兴三B17</s:t>
              </s:r>
            </s:text>
          </item>
        </commentChain>
      </unresolved>
      <resolved/>
    </commentChains>
    <commentChains s:ref="AI18" rgbClr="FF0000">
      <unresolved>
        <commentChain chainId="7b93c4d24ee83d7601a16e27fb8eb9079031d7ae">
          <item id="0089faf72660585a13b91add9225961db2343f0b" isNormal="1">
            <s:text>
              <s:r>
                <s:t xml:space="preserve">Administrator:
9/9 上进口商贴纸 520pcs</s:t>
              </s:r>
            </s:text>
          </item>
        </commentChain>
      </unresolved>
      <resolved/>
    </commentChains>
    <commentChains s:ref="AF19" rgbClr="FF0000">
      <unresolved>
        <commentChain chainId="20c6e93b3b7772fda79fe3559f5e336bb90cbbe7">
          <item id="f36f67a3d85af05813795b16f32a6f99944760f6" isNormal="1">
            <s:text>
              <s:r>
                <s:t xml:space="preserve">Administrator:
1003462 9/19 520pcs 华兴三B17</s:t>
              </s:r>
            </s:text>
          </item>
        </commentChain>
      </unresolved>
      <resolved/>
    </commentChains>
    <commentChains s:ref="AI19" rgbClr="FF0000">
      <unresolved>
        <commentChain chainId="854b3fdb9aec25b59e0a180d9fae8592d0cb1b58">
          <item id="ad489cbb3f56bd84306653a80a2c833b9b2f6d3d" isNormal="1">
            <s:text>
              <s:r>
                <s:t xml:space="preserve">Administrator:
12/12 收到通用贴纸 520pcs-陈新亦</s:t>
              </s:r>
            </s:text>
          </item>
        </commentChain>
      </unresolved>
      <resolved/>
    </commentChains>
    <commentChains s:ref="AF20" rgbClr="FF0000">
      <unresolved>
        <commentChain chainId="d9026ff6e80e0f36dd42afccd0c5311fbc0dbed5">
          <item id="644e81b8ed618a003c33fec5a9cbb781c97351c6" isNormal="1">
            <s:text>
              <s:r>
                <s:t xml:space="preserve">Administrator:
10003886 9/15 390pcs A栋一楼</s:t>
              </s:r>
            </s:text>
          </item>
        </commentChain>
      </unresolved>
      <resolved/>
    </commentChains>
    <commentChains s:ref="AF21" rgbClr="FF0000">
      <unresolved>
        <commentChain chainId="e326d21df7d19270ba7f6371f3c21a29e308e5c3">
          <item id="d432871ed7201a5328c845963d9ec1418b244d96" isNormal="1">
            <s:text>
              <s:r>
                <s:t xml:space="preserve">Administrator:
10003886 9/15 1500pcs A栋一楼</s:t>
              </s:r>
            </s:text>
          </item>
        </commentChain>
      </unresolved>
      <resolved/>
    </commentChains>
    <commentChains s:ref="AF22" rgbClr="FF0000">
      <unresolved>
        <commentChain chainId="72c9fd1c38e45236e73bf9d77da6f36833e37d46">
          <item id="07f92ed2e2bd089167f05e04057ad4f8c6e31e37" isNormal="1">
            <s:text>
              <s:r>
                <s:t xml:space="preserve">Administrator:
1003502 9/22 208pcs 莫海军B4楼A2区</s:t>
              </s:r>
            </s:text>
          </item>
        </commentChain>
      </unresolved>
      <resolved/>
    </commentChains>
    <commentChains s:ref="AI22" rgbClr="FF0000">
      <unresolved>
        <commentChain chainId="b6d5ffeb5bfd0eb05b7e56f00a5fb10668109dfc">
          <item id="b169eeb6fb15991e940dd34fbae265f199bbe6e3" isNormal="1">
            <s:text>
              <s:r>
                <s:t xml:space="preserve">Administrator:
9/19 上UPC贴纸 208pcs</s:t>
              </s:r>
            </s:text>
          </item>
        </commentChain>
      </unresolved>
      <resolved/>
    </commentChains>
    <commentChains s:ref="AF23" rgbClr="FF0000">
      <unresolved>
        <commentChain chainId="48e0cdbcab83173e8e56a2fd471855e7e8b86776">
          <item id="4517dfdb395c0d91fcf0f0360cd6a38b514817fc" isNormal="1">
            <s:text>
              <s:r>
                <s:t xml:space="preserve">Administrator:
1003502 9/22 3601pcs 莫海军B4楼B3区</s:t>
              </s:r>
            </s:text>
          </item>
        </commentChain>
      </unresolved>
      <resolved/>
    </commentChains>
    <commentChains s:ref="AI23" rgbClr="FF0000">
      <unresolved>
        <commentChain chainId="1aabce0b571532ddfee4eea9386916a960f584de">
          <item id="bed62af991767891411526994b5f8ccfaa89b8a7" isNormal="1">
            <s:text>
              <s:r>
                <s:t xml:space="preserve">Administrator:
8/21 上多语折叠警语贴纸 3601pcs</s:t>
              </s:r>
            </s:text>
          </item>
        </commentChain>
      </unresolved>
      <resolved/>
    </commentChains>
    <commentChains s:ref="AF24" rgbClr="FF0000">
      <unresolved>
        <commentChain chainId="77960f79ba885338cf9c369a85d9e116f655f4c3">
          <item id="51912f66c736cb6527b999c29f15b8bf05b8cd4d" isNormal="1">
            <s:text>
              <s:r>
                <s:t xml:space="preserve">Administrator:
1003506 9/23 700pcs 莫海军B4楼B4区</s:t>
              </s:r>
            </s:text>
          </item>
        </commentChain>
      </unresolved>
      <resolved/>
    </commentChains>
    <commentChains s:ref="AF25" rgbClr="FF0000">
      <unresolved>
        <commentChain chainId="2bbd85d7979e2e5a3a1fda42fbac81d2605b2d15">
          <item id="fc9d8f91eeca048708de33984ee7fe9e4cae5c35" isNormal="1">
            <s:text>
              <s:r>
                <s:t xml:space="preserve">Administrator:
1003547 9/30 21975pcs 莫海军B4楼A6区
</s:t>
              </s:r>
            </s:text>
          </item>
        </commentChain>
      </unresolved>
      <resolved/>
    </commentChains>
    <commentChains s:ref="AI25" rgbClr="FF0000">
      <unresolved>
        <commentChain chainId="7c9e2ab993f79f9f4f58f8352183ffa7515def9a">
          <item id="e57c63d2e04ac17414887b6a0b4cc3d59a61845a" isNormal="1">
            <s:text>
              <s:r>
                <s:t xml:space="preserve">Administrator:
9/2 上Event label贴纸 2090pcs
177334/177333共用
9/5 上客供外箱条码贴纸 888pcs</s:t>
              </s:r>
            </s:text>
          </item>
        </commentChain>
      </unresolved>
      <resolved/>
    </commentChains>
    <commentChains s:ref="AF26" rgbClr="FF0000">
      <unresolved>
        <commentChain chainId="be85029aeaa271932ab1c39cdf591aa5b9c58fb7">
          <item id="0caa7185c5c993792fe73380b46dc8821a79da3b" isNormal="1">
            <s:text>
              <s:r>
                <s:t xml:space="preserve">Administrator:
1003531 9/27 960pcs B栋四楼B1</s:t>
              </s:r>
            </s:text>
          </item>
        </commentChain>
      </unresolved>
      <resolved/>
    </commentChains>
    <commentChains s:ref="AI26" rgbClr="FF0000">
      <unresolved>
        <commentChain chainId="4bd0b0000b2b81922bb2833ce44f889b7fe82ae2">
          <item id="83ae861bdc004ac0163e7cff3a5d7e3d95c5be7c" isNormal="1">
            <s:text>
              <s:r>
                <s:t xml:space="preserve">Administrator:
9/2 上客供RFID贴纸 960pcs
</s:t>
              </s:r>
            </s:text>
          </item>
        </commentChain>
      </unresolved>
      <resolved/>
    </commentChains>
    <commentChains s:ref="AF27" rgbClr="FF0000">
      <unresolved>
        <commentChain chainId="80dc4f119bfe2a6d55559b60032bc13a3f4d7e67">
          <item id="ce4538bab0c436edaeb0df76cd9cdc50c33143da" isNormal="1">
            <s:text>
              <s:r>
                <s:t xml:space="preserve">Administrator:
1003531 9/27 960pcs B栋四楼B1</s:t>
              </s:r>
            </s:text>
          </item>
        </commentChain>
      </unresolved>
      <resolved/>
    </commentChains>
    <commentChains s:ref="AI27" rgbClr="FF0000">
      <unresolved>
        <commentChain chainId="65fb71f8c68c10d46b8c260a29130b1415a892f0">
          <item id="6e3e3a5e38e7e006055356b65b0509cbcc6ae15b" isNormal="1">
            <s:text>
              <s:r>
                <s:t xml:space="preserve">Administrator:
9/2 上客供RFID贴纸 960pcs
</s:t>
              </s:r>
            </s:text>
          </item>
        </commentChain>
      </unresolved>
      <resolved/>
    </commentChains>
    <commentChains s:ref="AF28" rgbClr="FF0000">
      <unresolved>
        <commentChain chainId="51d4b36212f3cb3464dbcde09cbeace56ba05031">
          <item id="6b2522aad8698bca5357ab3980c9722ea2b7ee41" isNormal="1">
            <s:text>
              <s:r>
                <s:t xml:space="preserve">Administrator:
1003531 9/27 960pcs B栋四楼B1</s:t>
              </s:r>
            </s:text>
          </item>
        </commentChain>
      </unresolved>
      <resolved/>
    </commentChains>
    <commentChains s:ref="AI28" rgbClr="FF0000">
      <unresolved>
        <commentChain chainId="1f3c1eb6c780ed45fe8bbba655e5cff1321e8d24">
          <item id="5c1c09ce21ab39b54f84413155c3eba78c8f5717" isNormal="1">
            <s:text>
              <s:r>
                <s:t xml:space="preserve">Administrator:
9/2 上客供RFID贴纸 960pcs
</s:t>
              </s:r>
            </s:text>
          </item>
        </commentChain>
      </unresolved>
      <resolved/>
    </commentChains>
    <commentChains s:ref="AF29" rgbClr="FF0000">
      <unresolved>
        <commentChain chainId="eefe628968fbfd3fe47e52b20617b6081309e800">
          <item id="bbe0333cca9ab5fc093e5b3ca1e2827c22f81a80" isNormal="1">
            <s:text>
              <s:r>
                <s:t xml:space="preserve">Administrator:
1003547 9/30 11296pcs 莫海军B4楼B10区
</s:t>
              </s:r>
            </s:text>
          </item>
        </commentChain>
      </unresolved>
      <resolved/>
    </commentChains>
    <commentChains s:ref="AI29" rgbClr="FF0000">
      <unresolved>
        <commentChain chainId="de01e9c5fb8a01c3597a8087da652d23e48816ba">
          <item id="61a70f6a01381b512cbf337277ba93bf68053be9" isNormal="1">
            <s:text>
              <s:r>
                <s:t xml:space="preserve">Administrator:
8/30 上粉色艾利贴纸 6458pcs
177088/177091/177093/177094共用
9/2 上客供RFID贴纸 11296pcs</s:t>
              </s:r>
            </s:text>
          </item>
        </commentChain>
      </unresolved>
      <resolved/>
    </commentChains>
    <commentChains s:ref="AF30" rgbClr="FF0000">
      <unresolved>
        <commentChain chainId="fdccf93736fff92a8a3ec0bd53e23164aabd4b3e">
          <item id="1c2806223d5af31f7c8ea6447b636d159b5d2aa6" isNormal="1">
            <s:text>
              <s:r>
                <s:t xml:space="preserve">Administrator:
1003554 10/7 117pcs 莫海军B4楼B7区</s:t>
              </s:r>
            </s:text>
          </item>
        </commentChain>
      </unresolved>
      <resolved/>
    </commentChains>
    <commentChains s:ref="AI30" rgbClr="FF0000">
      <unresolved>
        <commentChain chainId="b84d7f4f7fbb68b71d335942db9052b8ba6a26b9">
          <item id="da1c944125e3c44d43bef51427152d827cbb9d6e" isNormal="1">
            <s:text>
              <s:r>
                <s:t xml:space="preserve">Administrator:
9/18 上KM外箱贴纸 9pcs</s:t>
              </s:r>
            </s:text>
          </item>
        </commentChain>
      </unresolved>
      <resolved/>
    </commentChains>
    <commentChains s:ref="AF31" rgbClr="FF0000">
      <unresolved>
        <commentChain chainId="b63f3a25a121ea3dd766b0f1cf02a0c981c23e9a">
          <item id="b57ad4af2269bd88a419e3b9df63c640dffe84ce" isNormal="1">
            <s:text>
              <s:r>
                <s:t xml:space="preserve">Administrator:
1003554 10/7 3900pcs 莫海军B4楼B7区</s:t>
              </s:r>
            </s:text>
          </item>
        </commentChain>
      </unresolved>
      <resolved/>
    </commentChains>
    <commentChains s:ref="AI31" rgbClr="FF0000">
      <unresolved>
        <commentChain chainId="46c080d2ec9776a4df378572a4af8a10691e5cb3">
          <item id="619246f1ab0f6cd8bca8dbe0b795ac0e256588ee" isNormal="1">
            <s:text>
              <s:r>
                <s:t xml:space="preserve">Administrator:
9/18 上KM外箱贴纸 300pcs</s:t>
              </s:r>
            </s:text>
          </item>
        </commentChain>
      </unresolved>
      <resolved/>
    </commentChains>
    <commentChains s:ref="AF32" rgbClr="FF0000">
      <unresolved>
        <commentChain chainId="93d7828df32531835cd8de9c2e7e77ade61d10b1">
          <item id="71afebd42bc292a8a6597bd0b529a08403b36a79" isNormal="1">
            <s:text>
              <s:r>
                <s:t xml:space="preserve">Administrator:
1003556 10/7 143pcs 莫海军B4楼B7区</s:t>
              </s:r>
            </s:text>
          </item>
        </commentChain>
      </unresolved>
      <resolved/>
    </commentChains>
    <commentChains s:ref="AI32" rgbClr="FF0000">
      <unresolved>
        <commentChain chainId="820f4cee6392307a78af7b2420c75d411ef5eb90">
          <item id="f6ce9736be90a1e18ca9fcf136ecd577e282f2fb" isNormal="1">
            <s:text>
              <s:r>
                <s:t xml:space="preserve">Administrator:
9/26 上KM外箱贴纸 11pcs</s:t>
              </s:r>
            </s:text>
          </item>
        </commentChain>
      </unresolved>
      <resolved/>
    </commentChains>
    <commentChains s:ref="AF33" rgbClr="FF0000">
      <unresolved>
        <commentChain chainId="effcac7f37a02e2e7ad026654301e816c0add530">
          <item id="913c5284504121c74d808df5147514574eb9e08d" isNormal="1">
            <s:text>
              <s:r>
                <s:t xml:space="preserve">Administrator:
1003559 10/8 2223pcs 莫海军B4楼B9区</s:t>
              </s:r>
            </s:text>
          </item>
        </commentChain>
      </unresolved>
      <resolved/>
    </commentChains>
    <commentChains s:ref="AI33" rgbClr="FF0000">
      <unresolved>
        <commentChain chainId="8f2d3985935cd471d3755e31eb216273a075dec7">
          <item id="df248d598631049d1d865c4de5af2a98913cd71e" isNormal="1">
            <s:text>
              <s:r>
                <s:t xml:space="preserve">Administrator:
9/26 上KM外箱贴纸 171pcs</s:t>
              </s:r>
            </s:text>
          </item>
        </commentChain>
      </unresolved>
      <resolved/>
    </commentChains>
    <commentChains s:ref="AF34" rgbClr="FF0000">
      <unresolved>
        <commentChain chainId="9ebdff3724fbe24396e6475aea86b2f284587a03">
          <item id="3123a36a5c20d2167551c0f7d5dba595feb4a510" isNormal="1">
            <s:text>
              <s:r>
                <s:t xml:space="preserve">Administrator:
1003583 10/11 13056pcs 莫海军B4楼B4区
1003590 10/13   672pcs 莫海军B4楼B4区
</s:t>
              </s:r>
            </s:text>
          </item>
        </commentChain>
      </unresolved>
      <resolved/>
    </commentChains>
    <commentChains s:ref="AI34" rgbClr="FF0000">
      <unresolved>
        <commentChain chainId="a10c9acb7bdb4d8c06c296cdb1613b2382d3d295">
          <item id="c542e8e0e1a2989b131942bb4d6466ff40a5e3c1" isNormal="1">
            <s:text>
              <s:r>
                <s:t xml:space="preserve">Administrator:
8/30 上粉色艾利贴纸 6458pcs
177088/177091/177093/177094共用
9/2 上客供RFID贴纸 13728pcs
</s:t>
              </s:r>
            </s:text>
          </item>
        </commentChain>
      </unresolved>
      <resolved/>
    </commentChains>
    <commentChains s:ref="AF35" rgbClr="FF0000">
      <unresolved>
        <commentChain chainId="59ef1add14f2cd2c97471354359d658c53fd901f">
          <item id="918ad88b524fbdad412c3566c1d1fd2e14bc4e08" isNormal="1">
            <s:text>
              <s:r>
                <s:t xml:space="preserve">Administrator:
1003581 10/10 8160pcs  莫海军B4楼C5区
1003583 10/11 6208pcs  莫海军B4楼C6区
</s:t>
              </s:r>
            </s:text>
          </item>
        </commentChain>
      </unresolved>
      <resolved/>
    </commentChains>
    <commentChains s:ref="AI35" rgbClr="FF0000">
      <unresolved>
        <commentChain chainId="8e2136581822caab483802ded67751bd724ec81d">
          <item id="ae5bd0cf5558c17ff262fa0df7f7b1fdc77ed8f6" isNormal="1">
            <s:text>
              <s:r>
                <s:t xml:space="preserve">Administrator:
8/30 上粉色艾利贴纸 6458pcs
177088/177091/177093/177094共用
9/2 上客供RFID贴纸 14368pcs
</s:t>
              </s:r>
            </s:text>
          </item>
        </commentChain>
      </unresolved>
      <resolved/>
    </commentChains>
    <commentChains s:ref="AF36" rgbClr="FF0000">
      <unresolved>
        <commentChain chainId="e253f7bb0f66e1cd48594fdff9d0bd1ad4d481bd">
          <item id="4eb6c3f8931e57c1fa6c81056a7bb7bd1a0a0253" isNormal="1">
            <s:text>
              <s:r>
                <s:t xml:space="preserve">Administrator:
1003581 10/10 960pcs 莫海军B4楼B9区</s:t>
              </s:r>
            </s:text>
          </item>
        </commentChain>
      </unresolved>
      <resolved/>
    </commentChains>
    <commentChains s:ref="AI36" rgbClr="FF0000">
      <unresolved>
        <commentChain chainId="dd5973633a5167a967b067f8393d494960e628bc">
          <item id="d962fe93dcd846000cbbbd0daa71ec6f4e2b7cfa" isNormal="1">
            <s:text>
              <s:r>
                <s:t xml:space="preserve">Administrator:
9/2 上客供RFID贴纸 960pcs
</s:t>
              </s:r>
            </s:text>
          </item>
        </commentChain>
      </unresolved>
      <resolved/>
    </commentChains>
    <commentChains s:ref="AF37" rgbClr="FF0000">
      <unresolved>
        <commentChain chainId="9d592deb25bc6bb7a808eabd65c68eebef97491a">
          <item id="270d168cfb6664db2ef17d3585b2396b78fcb5ec" isNormal="1">
            <s:text>
              <s:r>
                <s:t xml:space="preserve">Administrator:
1003591 10/13 2500pcs 华兴一F4</s:t>
              </s:r>
            </s:text>
          </item>
        </commentChain>
      </unresolved>
      <resolved/>
    </commentChains>
    <commentChains s:ref="AI37" rgbClr="FF0000">
      <unresolved>
        <commentChain chainId="e0076664a86c3b98dd092f4d8ba2181fb218fd9b">
          <item id="b194e1b23f10d09d0a53f2b977f7ea176dd459d2" isNormal="1">
            <s:text>
              <s:r>
                <s:t xml:space="preserve">Administrator:
9/16 上客人通用进口商贴纸 2500pcs</s:t>
              </s:r>
            </s:text>
          </item>
        </commentChain>
      </unresolved>
      <resolved/>
    </commentChains>
    <commentChains s:ref="AF38" rgbClr="FF0000">
      <unresolved>
        <commentChain chainId="d8738ff7fd966c2baa48e629b38b4cd34bbdfd80">
          <item id="75e299c0d8c8299a2c83bd323557ef0bfc2133ee" isNormal="1">
            <s:text>
              <s:r>
                <s:t xml:space="preserve">Administrator:
1003615 10/15 22500pcs  莫海军B4楼B4区
1003618 10/16  7775pcs  莫海军B4楼B4区</s:t>
              </s:r>
            </s:text>
          </item>
        </commentChain>
      </unresolved>
      <resolved/>
    </commentChains>
    <commentChains s:ref="AI38" rgbClr="FF0000">
      <unresolved>
        <commentChain chainId="b59554d6ba95e937ed49372b0d4777ac9664e313">
          <item id="ff6a9453b45c8513bb2a2afd8ce962df440a21cb" isNormal="1">
            <s:text>
              <s:r>
                <s:t xml:space="preserve">Administrator:
9/2 上Event label贴纸 2090pcs
177334/177333共用
9/12 上客供外箱条码贴纸 1223pcs</s:t>
              </s:r>
            </s:text>
          </item>
        </commentChain>
      </unresolved>
      <resolved/>
    </commentChains>
    <commentChains s:ref="AF39" rgbClr="FF0000">
      <unresolved>
        <commentChain chainId="0e3b96dc2f382fbd4802c06f915b508052e52aad">
          <item id="126f5b12a0810d88a5e096e694c2f95715e1640f" isNormal="1">
            <s:text>
              <s:r>
                <s:t xml:space="preserve">Administrator:
1003615 10/15 14850pcs 莫海军B4楼A6区
1003605 10/14  6750pcs 莫海军B4楼A4区</s:t>
              </s:r>
            </s:text>
          </item>
        </commentChain>
      </unresolved>
      <resolved/>
    </commentChains>
    <commentChains s:ref="AI39" rgbClr="FF0000">
      <unresolved>
        <commentChain chainId="2601bb4393eb8aefe3885c8a57091b5b63bad7ae">
          <item id="80d666a981442270bb400648f2dab93c0cdf2b0b" isNormal="1">
            <s:text>
              <s:r>
                <s:t xml:space="preserve">Administrator:
9/23 上客供外箱条码贴纸 873pcs</s:t>
              </s:r>
            </s:text>
          </item>
        </commentChain>
      </unresolved>
      <resolved/>
    </commentChains>
    <commentChains s:ref="AF40" rgbClr="FF0000">
      <unresolved>
        <commentChain chainId="5a02f6106d589af1ec9041f3ca0265852eaff674">
          <item id="f33536b342debc9bce7832b56831f72fc8a32e6a" isNormal="1">
            <s:text>
              <s:r>
                <s:t xml:space="preserve">Administrator:
1003594 10/13 169pcs 莫海军B4楼B4区</s:t>
              </s:r>
            </s:text>
          </item>
        </commentChain>
      </unresolved>
      <resolved/>
    </commentChains>
    <commentChains s:ref="AI40" rgbClr="FF0000">
      <unresolved>
        <commentChain chainId="5478202da6c6767a861e709a25accd0f66d4424d">
          <item id="28a73630160aa16853340181c76d61d9a054584c" isNormal="1">
            <s:text>
              <s:r>
                <s:t xml:space="preserve">Administrator:
9/26 上KM外箱贴纸 13pcs</s:t>
              </s:r>
            </s:text>
          </item>
        </commentChain>
      </unresolved>
      <resolved/>
    </commentChains>
    <commentChains s:ref="AF41" rgbClr="FF0000">
      <unresolved>
        <commentChain chainId="bf2aa9efe0be11b7f80f44864eecb952810ac023">
          <item id="b2df540fed54cd5c917c4a8c419cc6fb9683ec5b" isNormal="1">
            <s:text>
              <s:r>
                <s:t xml:space="preserve">Administrator:
1003633 10/20 13500pcs A栋一楼B8区
1003632 10/20 45650pcs A栋一楼C8区</s:t>
              </s:r>
            </s:text>
          </item>
        </commentChain>
      </unresolved>
      <resolved/>
    </commentChains>
    <commentChains s:ref="AI41" rgbClr="FF0000">
      <unresolved>
        <commentChain chainId="40b38d7fffcac5294df03aecde02efbd40ca28fd">
          <item id="76caa65f7dcfa513f54940f428594118c53b7bc4" isNormal="1">
            <s:text>
              <s:r>
                <s:t xml:space="preserve">Administrator:
9/23 上客供外箱条码贴纸 2390pcs</s:t>
              </s:r>
            </s:text>
          </item>
        </commentChain>
      </unresolved>
      <resolved/>
    </commentChains>
    <commentChains s:ref="AF42" rgbClr="FF0000">
      <unresolved>
        <commentChain chainId="fd8f5d567498e559f5eeee2a2c7d9d33dcb0b1e7">
          <item id="5df19a6fc419a596db1f2dfd5351c015bc0ab53a" isNormal="1">
            <s:text>
              <s:r>
                <s:t xml:space="preserve">Administrator:
1003594 10/13 4550pcs 莫海军B4楼B4区</s:t>
              </s:r>
            </s:text>
          </item>
        </commentChain>
      </unresolved>
      <resolved/>
    </commentChains>
    <commentChains s:ref="AI42" rgbClr="FF0000">
      <unresolved>
        <commentChain chainId="994a1424a71e14431948bcc4091f9b5d94c4e063">
          <item id="6215693edb9192ab0c7410cf83d31ae289eb7f39" isNormal="1">
            <s:text>
              <s:r>
                <s:t xml:space="preserve">Administrator:
9/26 上KM外箱贴纸 350pcs</s:t>
              </s:r>
            </s:text>
          </item>
        </commentChain>
      </unresolved>
      <resolved/>
    </commentChains>
    <commentChains s:ref="AF43" rgbClr="FF0000">
      <unresolved>
        <commentChain chainId="d7fba8216e0dee57a3678751381a7f3904caec20">
          <item id="4e7c520deaf3c57d8aaa4cc0032d2db9afab0c7c" isNormal="1">
            <s:text>
              <s:r>
                <s:t xml:space="preserve">Administrator:
1003650 10/23 16544pcs B4楼B9区</s:t>
              </s:r>
            </s:text>
          </item>
        </commentChain>
      </unresolved>
      <resolved/>
    </commentChains>
    <commentChains s:ref="AI43" rgbClr="FF0000">
      <unresolved>
        <commentChain chainId="64c067da99ebae57a18960058b610c8534950e86">
          <item id="fdb68fe077fae39ef573c067095de3b6cb83a05c" isNormal="1">
            <s:text>
              <s:r>
                <s:t xml:space="preserve">Administrator:
8/30 上粉色艾利贴纸 6458pcs
177088/177091/177093/177094共用
9/2 上客供RFID贴纸 16544pcs
</s:t>
              </s:r>
            </s:text>
          </item>
        </commentChain>
      </unresolved>
      <resolved/>
    </commentChains>
    <commentChains s:ref="AF44" rgbClr="FF0000">
      <unresolved>
        <commentChain chainId="1519cce092a8672d9e89d8d16fddeea04891af86">
          <item id="3c80982fdda8d2426e6fa9905c6d82cd8bc1682d" isNormal="1">
            <s:text>
              <s:r>
                <s:t xml:space="preserve">Administrator:
1003695 10/23 16640pcs B4楼C8区
1003650 10/23  3840pcs B4楼C8区</s:t>
              </s:r>
            </s:text>
          </item>
        </commentChain>
      </unresolved>
      <resolved/>
    </commentChains>
    <commentChains s:ref="AI44" rgbClr="FF0000">
      <unresolved>
        <commentChain chainId="f1697da2f4b29e081d2a743ce4087300ee6d502b">
          <item id="517923727df9021335f2ed4ca89d44a8e282f58b" isNormal="1">
            <s:text>
              <s:r>
                <s:t xml:space="preserve">Administrator:
8/30 上粉色艾利贴纸 6458pcs
177088/177091/177093/177094共用
9/2 上客供RFID贴纸 20480pcs
</s:t>
              </s:r>
            </s:text>
          </item>
        </commentChain>
      </unresolved>
      <resolved/>
    </commentChains>
    <commentChains s:ref="AF45" rgbClr="FF0000">
      <unresolved>
        <commentChain chainId="d418e4b86e31fe8e87af0592d9d3d23cfc18e81d">
          <item id="531a0a5645dc9f109bd3429f7585a7c7299d3540" isNormal="1">
            <s:text>
              <s:r>
                <s:t xml:space="preserve">Administrator:
1003650 10/23 960pcs B4楼A9区</s:t>
              </s:r>
            </s:text>
          </item>
        </commentChain>
      </unresolved>
      <resolved/>
    </commentChains>
    <commentChains s:ref="AI45" rgbClr="FF0000">
      <unresolved>
        <commentChain chainId="5d470a33bb60eea3b7a93a2bb34df9c77cceb30f">
          <item id="6adb49fa9d94623698a6d5e50010b987f3a84e74" isNormal="1">
            <s:text>
              <s:r>
                <s:t xml:space="preserve">Administrator:
9/2 上客供RFID贴纸 960pcs
</s:t>
              </s:r>
            </s:text>
          </item>
        </commentChain>
      </unresolved>
      <resolved/>
    </commentChains>
    <commentChains s:ref="AF46" rgbClr="FF0000">
      <unresolved>
        <commentChain chainId="ba4e3e717b9d10b3135a1c871b67c2345d8e1d77">
          <item id="050ca5a7717c975d4a72c114b56d3388bb18aa98" isNormal="1">
            <s:text>
              <s:r>
                <s:t xml:space="preserve">Administrator:
1003650 10/23 960pcs B4楼A9区</s:t>
              </s:r>
            </s:text>
          </item>
        </commentChain>
      </unresolved>
      <resolved/>
    </commentChains>
    <commentChains s:ref="AI46" rgbClr="FF0000">
      <unresolved>
        <commentChain chainId="0b635f6e0fbc37878ff3885afecca207ce409097">
          <item id="0d5f361f114fdba78f77b918cb142c028f7d5d68" isNormal="1">
            <s:text>
              <s:r>
                <s:t xml:space="preserve">Administrator:
9/2 上客供RFID贴纸 960pcs
</s:t>
              </s:r>
            </s:text>
          </item>
        </commentChain>
      </unresolved>
      <resolved/>
    </commentChains>
    <commentChains s:ref="AF47" rgbClr="FF0000">
      <unresolved>
        <commentChain chainId="2b7955609c5a298fb8ee5232c361bab8f6b0c262">
          <item id="93e256291c0c5bdfccb074f5900e31c8f874043c" isNormal="1">
            <s:text>
              <s:r>
                <s:t xml:space="preserve">Administrator:
1003662 10/27 364pcs B4楼A9区</s:t>
              </s:r>
            </s:text>
          </item>
        </commentChain>
      </unresolved>
      <resolved/>
    </commentChains>
    <commentChains s:ref="AI47" rgbClr="FF0000">
      <unresolved>
        <commentChain chainId="b63a866657e697e7c269fd068dbff435092402dc">
          <item id="97ea18b421847a78a265f25dfdd5049241025ff4" isNormal="1">
            <s:text>
              <s:r>
                <s:t xml:space="preserve">Administrator:
10/13 上警语帖纸 364pcs</s:t>
              </s:r>
            </s:text>
          </item>
        </commentChain>
      </unresolved>
      <resolved/>
    </commentChains>
    <commentChains s:ref="AF48" rgbClr="FF0000">
      <unresolved>
        <commentChain chainId="f632dd31aa8d6f9b9e1d1dee45420aada5dac0ec">
          <item id="b354754a72d6954d7762c9737b55a61f0b1eba22" isNormal="1">
            <s:text>
              <s:r>
                <s:t xml:space="preserve">Administrator:
1003700 10/25 78pcs B4楼C8区</s:t>
              </s:r>
            </s:text>
          </item>
        </commentChain>
      </unresolved>
      <resolved/>
    </commentChains>
    <commentChains s:ref="AI48" rgbClr="FF0000">
      <unresolved>
        <commentChain chainId="650083cef8709146d0b178da5269ef31b223d4a0">
          <item id="79b2c4730c6361a52729638227670ebead8ae474" isNormal="1">
            <s:text>
              <s:r>
                <s:t xml:space="preserve">Administrator:
10/8 上白色防盗贴纸 78pcs
10/13 上KM外箱贴纸 6pcs</s:t>
              </s:r>
            </s:text>
          </item>
        </commentChain>
      </unresolved>
      <resolved/>
    </commentChains>
    <commentChains s:ref="AF49" rgbClr="FF0000">
      <unresolved>
        <commentChain chainId="edb16abae21d9e8c5d71bdd5d98e0d7a22219daa">
          <item id="f88108db007b315aed1e15e390b2aa31e1688248" isNormal="1">
            <s:text>
              <s:r>
                <s:t xml:space="preserve">Administrator:
1003700 10/25 1482pcs B4楼C8区</s:t>
              </s:r>
            </s:text>
          </item>
        </commentChain>
      </unresolved>
      <resolved/>
    </commentChains>
    <commentChains s:ref="AI49" rgbClr="FF0000">
      <unresolved>
        <commentChain chainId="fd9b012f566e1a73d72818f697403f8392f86029">
          <item id="7595534fb195285de53176aa54570c9e58b44c4d" isNormal="1">
            <s:text>
              <s:r>
                <s:t xml:space="preserve">Administrator:
10/8 上白色防盗贴纸 1482pcs
10/13 上KM外箱贴纸 114pcs(供应商做错）
10/21 上KM外箱贴纸 114pcs</s:t>
              </s:r>
            </s:text>
          </item>
        </commentChain>
      </unresolved>
      <resolved/>
    </commentChains>
    <commentChains s:ref="AF50" rgbClr="FF0000">
      <unresolved>
        <commentChain chainId="487fcc81695aaf7633899afc49d0a3c3754a120d">
          <item id="55dac3b64a3ff8b901e94f29c6e3c2cc6e2b6461" isNormal="1">
            <s:text>
              <s:r>
                <s:t xml:space="preserve">Administrator:
1003655 10/25 7776pcs B4楼C8区
1003662 10/27 5760pcs B4楼C8区</s:t>
              </s:r>
            </s:text>
          </item>
        </commentChain>
      </unresolved>
      <resolved/>
    </commentChains>
    <commentChains s:ref="AI50" rgbClr="FF0000">
      <unresolved>
        <commentChain chainId="87611591abceb981f8e71aed0f047410290dcbd2">
          <item id="589e6fbc0f8d22ae2c72a2a127c297de236e7699" isNormal="1">
            <s:text>
              <s:r>
                <s:t xml:space="preserve">Administrator:
8/30 上粉色艾利贴纸 6458pcs
177088/177091/177093/177094共用
9/2 上客供RFID贴纸 13536pcs
</s:t>
              </s:r>
            </s:text>
          </item>
        </commentChain>
      </unresolved>
      <resolved/>
    </commentChains>
    <commentChains s:ref="AF51" rgbClr="FF0000">
      <unresolved>
        <commentChain chainId="6bf9a633f166c575fe6f74b4916be5aad27c5479">
          <item id="ac206a3899f0effde5e4b4fbe38fddf968f4ce54" isNormal="1">
            <s:text>
              <s:r>
                <s:t xml:space="preserve">Administrator:
1003662 10/27 13376pcs B4楼C10区</s:t>
              </s:r>
            </s:text>
          </item>
        </commentChain>
      </unresolved>
      <resolved/>
    </commentChains>
    <commentChains s:ref="AI51" rgbClr="FF0000">
      <unresolved>
        <commentChain chainId="63683a7a41b01a8ff9519d50ddb30fd7365b104b">
          <item id="b39c37992d833b7bd0155a3c981cbc7ecf2747c8" isNormal="1">
            <s:text>
              <s:r>
                <s:t xml:space="preserve">Administrator:
8/30 上粉色艾利贴纸 6458pcs
177088/177091/177093/177094共用
9/2 上客供RFID贴纸 13376pcs
</s:t>
              </s:r>
            </s:text>
          </item>
        </commentChain>
      </unresolved>
      <resolved/>
    </commentChains>
    <commentChains s:ref="AF52" rgbClr="FF0000">
      <unresolved>
        <commentChain chainId="9c9edaa8546e3bfdcf22bb419e13b936f26f836f">
          <item id="ae7dac06482ae5023296f0988b6ce151b6c71747" isNormal="1">
            <s:text>
              <s:r>
                <s:t xml:space="preserve">Administrator:
1003662 10/27 960pcs B4楼A8区</s:t>
              </s:r>
            </s:text>
          </item>
        </commentChain>
      </unresolved>
      <resolved/>
    </commentChains>
    <commentChains s:ref="AI52" rgbClr="FF0000">
      <unresolved>
        <commentChain chainId="6cae359a1dd1ad4168713aafc161f8dd1deb1a03">
          <item id="55b8c0c7ac467818399ae620ebbc7d5b6eed5223" isNormal="1">
            <s:text>
              <s:r>
                <s:t xml:space="preserve">Administrator:
9/8 上客供RFID贴纸 960pcs</s:t>
              </s:r>
            </s:text>
          </item>
        </commentChain>
      </unresolved>
      <resolved/>
    </commentChains>
    <commentChains s:ref="AF53" rgbClr="FF0000">
      <unresolved>
        <commentChain chainId="cbd0dcdf0e075eae11ff8b342e402999f12b4836">
          <item id="9d4624a1edd980e36c2fba733538049d0aa498f2" isNormal="1">
            <s:text>
              <s:r>
                <s:t xml:space="preserve">Administrator:
1003684 10/31 1000pcs B4楼B8区</s:t>
              </s:r>
            </s:text>
          </item>
        </commentChain>
      </unresolved>
      <resolved/>
    </commentChains>
    <commentChains s:ref="AI53" rgbClr="FF0000">
      <unresolved>
        <commentChain chainId="d7bbbdc97b6d5d5c5a3cf3244385a4e751e9df73">
          <item id="c03681515e3c444ce14884001416b2705b5d4256" isNormal="1">
            <s:text>
              <s:r>
                <s:t xml:space="preserve">Administrator:
9/29 上进口商贴纸 1000pcs
10/30 上EAN条码贴纸 1000pcs
生产做错1L，跟客人沟通用1L+贴纸</s:t>
              </s:r>
            </s:text>
          </item>
        </commentChain>
      </unresolved>
      <resolved/>
    </commentChains>
    <commentChains s:ref="AF54" rgbClr="FF0000">
      <unresolved>
        <commentChain chainId="e185b882bd3dc8af3a944577d3f6e354047a629a">
          <item id="c7886f30c8d2fd72218c9a62896f2538d3f3178b" isNormal="1">
            <s:text>
              <s:r>
                <s:t xml:space="preserve">Administrator:
1002608 10/30 29750pcs B4楼B10区</s:t>
              </s:r>
            </s:text>
          </item>
        </commentChain>
      </unresolved>
      <resolved/>
    </commentChains>
    <commentChains s:ref="AI54" rgbClr="FF0000">
      <unresolved>
        <commentChain chainId="0aa06ecf8ae7b6d67b0eee56d6fa0330518850ea">
          <item id="d84ffdae8c66a9cdf5d677c53fe90555447fa587" isNormal="1">
            <s:text>
              <s:r>
                <s:t xml:space="preserve">Administrator:
9/23 上客供外箱条码贴纸 1202pcs</s:t>
              </s:r>
            </s:text>
          </item>
        </commentChain>
      </unresolved>
      <resolved/>
    </commentChains>
    <commentChains s:ref="AF55" rgbClr="FF0000">
      <unresolved>
        <commentChain chainId="5f7d8901dd13a7c8694afc182bb678e3f7298407">
          <item id="da50d406ece494b061542da304b6115a8123b302" isNormal="1">
            <s:text>
              <s:r>
                <s:t xml:space="preserve">Administrator:
1003684 10/31 12600pcs B4楼B8区</s:t>
              </s:r>
            </s:text>
          </item>
        </commentChain>
      </unresolved>
      <resolved/>
    </commentChains>
    <commentChains s:ref="AI55" rgbClr="FF0000">
      <unresolved>
        <commentChain chainId="2b27639162af890565db3c09695c86978e06cdb6">
          <item id="1bba9c4c9f3a4e8fa9b9bedc0681a802ae2ef220" isNormal="1">
            <s:text>
              <s:r>
                <s:t xml:space="preserve">Administrator:
10/8 上客供外箱条码贴纸 509pcs</s:t>
              </s:r>
            </s:text>
          </item>
        </commentChain>
      </unresolved>
      <resolved/>
    </commentChains>
    <commentChains s:ref="AF56" rgbClr="FF0000">
      <unresolved>
        <commentChain chainId="7bbdfd7ee7880ec305b9a5d8d8b7641ae2eec8ad">
          <item id="9a002718fdc5d5718a4d6373fa5ce216094cef18" isNormal="1">
            <s:text>
              <s:r>
                <s:t xml:space="preserve">Administrator:
1003684 10/31 1638pcs B4楼B8区</s:t>
              </s:r>
            </s:text>
          </item>
        </commentChain>
      </unresolved>
      <resolved/>
    </commentChains>
    <commentChains s:ref="AI56" rgbClr="FF0000">
      <unresolved>
        <commentChain chainId="185d8d08d02a2e46bb57f3653a1e746e7ffb43e2">
          <item id="b5986a537ac045ebce7eb1763a2c0e04d206bb36" isNormal="1">
            <s:text>
              <s:r>
                <s:t xml:space="preserve">Administrator:
10/8 上白色防盗贴纸 1638pcs
10/15 上KM外箱贴纸 126pcs</s:t>
              </s:r>
            </s:text>
          </item>
        </commentChain>
      </unresolved>
      <resolved/>
    </commentChains>
    <commentChains s:ref="AF57" rgbClr="FF0000">
      <unresolved>
        <commentChain chainId="46fea1c7b3ed9db43b22e41fcd5d6bb9b6ca98e5">
          <item id="682701457e3bd6d72846917694b73dfeaca9a751" isNormal="1">
            <s:text>
              <s:r>
                <s:t xml:space="preserve">Administrator:
1003684 10/31 130pcs B4楼B区</s:t>
              </s:r>
            </s:text>
          </item>
        </commentChain>
      </unresolved>
      <resolved/>
    </commentChains>
    <commentChains s:ref="AI57" rgbClr="FF0000">
      <unresolved>
        <commentChain chainId="0f0f434ae3938e2ed8c2d63b5270df1546f4cb3d">
          <item id="bad5fd0ec49f3221791e2ad9737ea9985a20b9ad" isNormal="1">
            <s:text>
              <s:r>
                <s:t xml:space="preserve">Administrator:
10/8 上白色防盗贴纸 130pcs
10/15 上KM外箱贴纸 10pcs</s:t>
              </s:r>
            </s:text>
          </item>
        </commentChain>
      </unresolved>
      <resolved/>
    </commentChains>
    <commentChains s:ref="AF58" rgbClr="FF0000">
      <unresolved>
        <commentChain chainId="6cea8ed150f42ae2da80995dd56b36f8cd4ab9de">
          <item id="ce28a5d4319978a27ac13b6c15eeedd143dd72a7" isNormal="1">
            <s:text>
              <s:r>
                <s:t xml:space="preserve">Administrator:
1002608 10/30 3000pcs B4楼C8区</s:t>
              </s:r>
            </s:text>
          </item>
        </commentChain>
      </unresolved>
      <resolved/>
    </commentChains>
    <commentChains s:ref="AI58" rgbClr="FF0000">
      <unresolved>
        <commentChain chainId="639e0ac415c2cc99997833e984c68c974536ac20">
          <item id="5fef1b86caf107bd1b1df6fdbe3d91a969ddc8e4" isNormal="1">
            <s:text>
              <s:r>
                <s:t xml:space="preserve">Administrator:
9/30 上客供亚马逊外箱贴纸 250pcs
10/13 上空白帖纸 6000pcs</s:t>
              </s:r>
            </s:text>
          </item>
        </commentChain>
      </unresolved>
      <resolved/>
    </commentChains>
    <commentChains s:ref="AF59" rgbClr="FF0000">
      <unresolved>
        <commentChain chainId="8bcf9d4826eda7348ef34601328402f6d74fb224">
          <item id="02ea77bb742421956f43b88b874feb911deced15" isNormal="1">
            <s:text>
              <s:r>
                <s:t xml:space="preserve">Administrator:
1002608 10/30 4500pcs B4楼B10区
1003684 10/31 2250pcs B4楼A8区
1003689 11/3  4500pcs B4楼A8区
1003676 11/4 27000pcs B4楼A8区
1002620 11/5 6750pcs  B4楼C9区
1003679 11/5 9000pcs  B4楼C9区
1002625  11/6 27500pcs B4楼C9区
</s:t>
              </s:r>
            </s:text>
          </item>
        </commentChain>
      </unresolved>
      <resolved/>
    </commentChains>
    <commentChains s:ref="AI59" rgbClr="FF0000">
      <unresolved>
        <commentChain chainId="d716d8fa6257a44d394bfdb79764ba8c88f88615">
          <item id="435349418aa903733f6c9c2e3d72f60592010065" isNormal="1">
            <s:text>
              <s:r>
                <s:t xml:space="preserve">Administrator:
10/22 上客供外箱条码贴纸 3293pcs</s:t>
              </s:r>
            </s:text>
          </item>
        </commentChain>
      </unresolved>
      <resolved/>
    </commentChains>
    <commentChains s:ref="AF60" rgbClr="FF0000">
      <unresolved>
        <commentChain chainId="4ded6a40bf0e3d18b1509f3b6c6d544c5aaca135">
          <item id="30fdc0ee59e32e455fd23a18b6ed5899eb17daa9" isNormal="1">
            <s:text>
              <s:r>
                <s:t xml:space="preserve">Administrator:
1003670 11/4  930pcs 华兴一F12
1003668 11/4 2880pcs 华兴一F12</s:t>
              </s:r>
            </s:text>
          </item>
        </commentChain>
      </unresolved>
      <resolved/>
    </commentChains>
    <commentChains s:ref="AF61" rgbClr="FF0000">
      <unresolved>
        <commentChain chainId="34082626a908db3304d6be2a0666c8f04caca19f">
          <item id="a2d1cdb46da03611b65a35d4cb045a788cecf511" isNormal="1">
            <s:text>
              <s:r>
                <s:t xml:space="preserve">Administrator:
1003689 11/3 9480pcs B4楼B9区</s:t>
              </s:r>
            </s:text>
          </item>
        </commentChain>
      </unresolved>
      <resolved/>
    </commentChains>
    <commentChains s:ref="AF62" rgbClr="FF0000">
      <unresolved>
        <commentChain chainId="dc1dc6e58030644d93e517c4713d5beba3bbab93">
          <item id="937401415621dda879d8ff8ff3abc4149f66b1e7" isNormal="1">
            <s:text>
              <s:r>
                <s:t xml:space="preserve">Administrator:
1003689 11/3 5190pcs B4楼C8区</s:t>
              </s:r>
            </s:text>
          </item>
        </commentChain>
      </unresolved>
      <resolved/>
    </commentChains>
    <commentChains s:ref="AF63" rgbClr="FF0000">
      <unresolved>
        <commentChain chainId="6360421b0a9e186f92f0f38b512cf648d9b91fce">
          <item id="0850c4e0423d475ee806d498799569c6d06fd05e" isNormal="1">
            <s:text>
              <s:r>
                <s:t xml:space="preserve">Administrator:
1003668 11/4 3030pcs 华兴一F12</s:t>
              </s:r>
            </s:text>
          </item>
        </commentChain>
      </unresolved>
      <resolved/>
    </commentChains>
    <commentChains s:ref="AF64" rgbClr="FF0000">
      <unresolved>
        <commentChain chainId="89ff242e6620c6ce6ee4a1e1bae08218720e2070">
          <item id="997494d3725bc9fdd4fde231c9d8b52f59acf74c" isNormal="1">
            <s:text>
              <s:r>
                <s:t xml:space="preserve">Administrator:
1003689 11/3 780pcs B4楼B9区</s:t>
              </s:r>
            </s:text>
          </item>
        </commentChain>
      </unresolved>
      <resolved/>
    </commentChains>
    <commentChains s:ref="AI64" rgbClr="FF0000">
      <unresolved>
        <commentChain chainId="4974be4dfa14a84809808a01167c5fd0796076e3">
          <item id="636faebdb7a973b50fc1e021ecf4dea046af506d" isNormal="1">
            <s:text>
              <s:r>
                <s:t xml:space="preserve">Administrator:
9/18 上客供警语贴纸贴球底部 808pcs
     上客供警语贴纸贴收藏指南 810pcs</s:t>
              </s:r>
            </s:text>
          </item>
        </commentChain>
      </unresolved>
      <resolved/>
    </commentChains>
    <commentChains s:ref="AF65" rgbClr="FF0000">
      <unresolved>
        <commentChain chainId="22cabc579b48ccd3c2bb1a0ee67b268360b7ce79">
          <item id="52fa624c2b3229b0330c1ab1179619f4eff40cde" isNormal="1">
            <s:text>
              <s:r>
                <s:t xml:space="preserve">Administrator:
1003679 11/5 960pcs B4楼C9区</s:t>
              </s:r>
            </s:text>
          </item>
        </commentChain>
      </unresolved>
      <resolved/>
    </commentChains>
    <commentChains s:ref="AI65" rgbClr="FF0000">
      <unresolved>
        <commentChain chainId="26031017fecb0dbe40910811f9bbad75916e1a39">
          <item id="089a25ae8a6d5ee980fa9669ae12e0490cfd3af6" isNormal="1">
            <s:text>
              <s:r>
                <s:t xml:space="preserve">Administrator:
10/17 上客供RFID贴纸 960pcs</s:t>
              </s:r>
            </s:text>
          </item>
        </commentChain>
      </unresolved>
      <resolved/>
    </commentChains>
    <commentChains s:ref="AF66" rgbClr="FF0000">
      <unresolved>
        <commentChain chainId="56243e9724f95945dcd852b9589ba013f16277f8">
          <item id="b097049670327a525272e10a6ebe9c0c2a76036d" isNormal="1">
            <s:text>
              <s:r>
                <s:t xml:space="preserve">Administrator:
1002625 11/6 960pcs B4楼A9区</s:t>
              </s:r>
            </s:text>
          </item>
        </commentChain>
      </unresolved>
      <resolved/>
    </commentChains>
    <commentChains s:ref="AI66" rgbClr="FF0000">
      <unresolved>
        <commentChain chainId="b50c53d0739de65c9ebd0c4d55a304462e8664d6">
          <item id="77bb606a79ffc0b7480930cd15fd714b1692529f" isNormal="1">
            <s:text>
              <s:r>
                <s:t xml:space="preserve">Administrator:
10/17 上客供RFID贴纸 960pcs</s:t>
              </s:r>
            </s:text>
          </item>
        </commentChain>
      </unresolved>
      <resolved/>
    </commentChains>
    <commentChains s:ref="AF67" rgbClr="FF0000">
      <unresolved>
        <commentChain chainId="203c5143e738ae4c8d74ef3c0aa5248ba999aea0">
          <item id="7a7cc3d738074d4c4ac0aae6b7731c7d185316ee" isNormal="1">
            <s:text>
              <s:r>
                <s:t xml:space="preserve">Administrator:
1002620 11/5 960pcs B4楼B9区</s:t>
              </s:r>
            </s:text>
          </item>
        </commentChain>
      </unresolved>
      <resolved/>
    </commentChains>
    <commentChains s:ref="AI67" rgbClr="FF0000">
      <unresolved>
        <commentChain chainId="f199519ba7dfb0e4727320c4d657d9144553c705">
          <item id="7742f174c48a5de6b89cf04c681e17868fd2a4b4" isNormal="1">
            <s:text>
              <s:r>
                <s:t xml:space="preserve">Administrator:
10/17 上客供RFID贴纸 960pcs</s:t>
              </s:r>
            </s:text>
          </item>
        </commentChain>
      </unresolved>
      <resolved/>
    </commentChains>
    <commentChains s:ref="AF68" rgbClr="FF0000">
      <unresolved>
        <commentChain chainId="b0bf2a9f8f66297b495e36b68af42ee9d3499486">
          <item id="012b68bc55c21c103a5ed9bea8d85c979f51d3b6" isNormal="1">
            <s:text>
              <s:r>
                <s:t xml:space="preserve">Administrator:
1002625 11/6 504pcs B4楼B9区</s:t>
              </s:r>
            </s:text>
          </item>
        </commentChain>
      </unresolved>
      <resolved/>
    </commentChains>
    <commentChains s:ref="AI68" rgbClr="FF0000">
      <unresolved>
        <commentChain chainId="2e8df4d1608b8c50cb9c4ab0a3232f3c85015617">
          <item id="45f3dc76d1c6ffb6d1fe768cf6db59254149d2e6" isNormal="1">
            <s:text>
              <s:r>
                <s:t xml:space="preserve">Administrator:
10/22 上客人白色Cat label 504pcs</s:t>
              </s:r>
            </s:text>
          </item>
        </commentChain>
      </unresolved>
      <resolved/>
    </commentChains>
    <commentChains s:ref="AF69" rgbClr="FF0000">
      <unresolved>
        <commentChain chainId="875c9703f2149a151d10df0a401ec7646d6e8c4e">
          <item id="0b8ae658a18bb4a74d0e7e9d70d9fe3ec1d8faaa" isNormal="1">
            <s:text>
              <s:r>
                <s:t xml:space="preserve">Administrator:
0004891 9/15 50套散件</s:t>
              </s:r>
            </s:text>
          </item>
        </commentChain>
      </unresolved>
      <resolved/>
    </commentChains>
    <commentChains s:ref="AF70" rgbClr="FF0000">
      <unresolved>
        <commentChain chainId="a7ddc73ba4f44fceebf619a9d63105dda265f15a">
          <item id="9a933712d9f0b2bfd8a0f55255a5e9f44b322b5c" isNormal="1">
            <s:text>
              <s:r>
                <s:t xml:space="preserve">Administrator:
1002660 11/11 17350pcs B4楼A7区</s:t>
              </s:r>
            </s:text>
          </item>
        </commentChain>
      </unresolved>
      <resolved/>
    </commentChains>
    <commentChains s:ref="AI70" rgbClr="FF0000">
      <unresolved>
        <commentChain chainId="43f16c53c98de945fb524d0b0fd22d4d3987105b">
          <item id="812abb98b94b5a2ccb17b8962fbefc441a58a444" isNormal="1">
            <s:text>
              <s:r>
                <s:t xml:space="preserve">Administrator:
10/17 上客供外箱条码贴纸 701pcs</s:t>
              </s:r>
            </s:text>
          </item>
        </commentChain>
      </unresolved>
      <resolved/>
    </commentChains>
    <commentChains s:ref="AF71" rgbClr="FF0000">
      <unresolved>
        <commentChain chainId="ac0e5018eee8ec3a99eec0c9190587d72c7764f5">
          <item id="58293a49c44f557d8b99bfc0aff39cc079eaf2a7" isNormal="1">
            <s:text>
              <s:r>
                <s:t xml:space="preserve">Administrator:
1002656 11/10 2080pcs B4楼B9区</s:t>
              </s:r>
            </s:text>
          </item>
        </commentChain>
      </unresolved>
      <resolved/>
    </commentChains>
    <commentChains s:ref="AF72" rgbClr="FF0000">
      <unresolved>
        <commentChain chainId="eb6644ee6ef53066773defdd45f54d9fd58f5751">
          <item id="fe510e615a892ea3f1fb5b2c58522594d9590415" isNormal="1">
            <s:text>
              <s:r>
                <s:t xml:space="preserve">Administrator:
1002656 11/10 1131pcs B4楼A9区</s:t>
              </s:r>
            </s:text>
          </item>
        </commentChain>
      </unresolved>
      <resolved/>
    </commentChains>
    <commentChains s:ref="AF73" rgbClr="FF0000">
      <unresolved>
        <commentChain chainId="c95f470d0d28fffa2807a5e8aa62583fe9a33296">
          <item id="6395190f4f63b5dd534534803d5c81853c551a53" isNormal="1">
            <s:text>
              <s:r>
                <s:t xml:space="preserve">Administrator:
1002652 11/10 6318pcs B4楼B8区</s:t>
              </s:r>
            </s:text>
          </item>
        </commentChain>
      </unresolved>
      <resolved/>
    </commentChains>
    <commentChains s:ref="AI73" rgbClr="FF0000">
      <unresolved>
        <commentChain chainId="228316ae6e8887ccfa83ffe0163fc52ad4cfe8aa">
          <item id="8b748c0b1292b459aa8a61145df37a3e4be819a7" isNormal="1">
            <s:text>
              <s:r>
                <s:t xml:space="preserve">Administrator:
10/8 上白色防盗贴纸 6318pcs
10/22 上KM外箱贴纸 486pcs</s:t>
              </s:r>
            </s:text>
          </item>
        </commentChain>
      </unresolved>
      <resolved/>
    </commentChains>
    <commentChains s:ref="AF74" rgbClr="FF0000">
      <unresolved>
        <commentChain chainId="12f89b9c6e472038e6d057885f13c5fa624d504d">
          <item id="0168d21724a8f510e2da311c73ccae1b49651ece" isNormal="1">
            <s:text>
              <s:r>
                <s:t xml:space="preserve">Administrator:
1002652 11/10 702pcs B4楼B9区</s:t>
              </s:r>
            </s:text>
          </item>
        </commentChain>
      </unresolved>
      <resolved/>
    </commentChains>
    <commentChains s:ref="AI74" rgbClr="FF0000">
      <unresolved>
        <commentChain chainId="e1559b28e16f981551e9dd90761647e93a9d2bd5">
          <item id="09643ea1c76f6c0b939f13979268187df0407c18" isNormal="1">
            <s:text>
              <s:r>
                <s:t xml:space="preserve">Administrator:
10/8 上白色防盗贴纸 702pcs
10/22 上KM外箱贴纸 54pcs</s:t>
              </s:r>
            </s:text>
          </item>
        </commentChain>
      </unresolved>
      <resolved/>
    </commentChains>
    <commentChains s:ref="AF75" rgbClr="FF0000">
      <unresolved>
        <commentChain chainId="d254edda7456dcc34f403b13442513aca2801b99">
          <item id="fa4b45f53f697506bbdc5e1c4b70c84f8ca0cf9f" isNormal="1">
            <s:text>
              <s:r>
                <s:t xml:space="preserve">Administrator:
1003689 11/3 360pcs B4楼B9区</s:t>
              </s:r>
            </s:text>
          </item>
        </commentChain>
      </unresolved>
      <resolved/>
    </commentChains>
    <commentChains s:ref="AF76" rgbClr="FF0000">
      <unresolved>
        <commentChain chainId="5da3fa9d7e0b56505aa1db73c41d5bb5fa580b06">
          <item id="e6c77d8f148f8f4ade4c42364e9c7cda85aa9674" isNormal="1">
            <s:text>
              <s:r>
                <s:t xml:space="preserve">Administrator:
1003689 11/3 120pcs A栋一楼</s:t>
              </s:r>
            </s:text>
          </item>
        </commentChain>
      </unresolved>
      <resolved/>
    </commentChains>
    <commentChains s:ref="AF77" rgbClr="FF0000">
      <unresolved>
        <commentChain chainId="1dbc98ddd0300c8219362e1d9d9ea327ef8b4455">
          <item id="6049ee4220d05f48970569a49d2678cefb83b7c2" isNormal="1">
            <s:text>
              <s:r>
                <s:t xml:space="preserve">Administrator:
1003651 10/23 5套</s:t>
              </s:r>
            </s:text>
          </item>
        </commentChain>
      </unresolved>
      <resolved/>
    </commentChains>
    <commentChains s:ref="AF78" rgbClr="FF0000">
      <unresolved>
        <commentChain chainId="8f0bb010f19e7177964c8e2475b76610ea562393">
          <item id="12e7cd08129ae5b0ce64e8558ff8119f0c6e9437" isNormal="1">
            <s:text>
              <s:r>
                <s:t xml:space="preserve">Administrator:
1002691 11/13 13900pcs B4楼B8区</s:t>
              </s:r>
            </s:text>
          </item>
        </commentChain>
      </unresolved>
      <resolved/>
    </commentChains>
    <commentChains s:ref="AI78" rgbClr="FF0000">
      <unresolved>
        <commentChain chainId="44dce99bc7c3047acb7a2b7916052c98b55c53fd">
          <item id="07418c1a0cdbd57413567951353a523e2fed72a9" isNormal="1">
            <s:text>
              <s:r>
                <s:t xml:space="preserve">Administrator:
10/17 上客供外箱条码贴纸 561pcs</s:t>
              </s:r>
            </s:text>
          </item>
        </commentChain>
      </unresolved>
      <resolved/>
    </commentChains>
    <commentChains s:ref="AF79" rgbClr="FF0000">
      <unresolved>
        <commentChain chainId="7e50b9705900fb114e3900df0242612b24624953">
          <item id="fd8a14c9a2407c65676e727bf1c19532157c790c" isNormal="1">
            <s:text>
              <s:r>
                <s:t xml:space="preserve">Administrator:
1002691 11/13 611pcs B4楼A9区</s:t>
              </s:r>
            </s:text>
          </item>
        </commentChain>
      </unresolved>
      <resolved/>
    </commentChains>
    <commentChains s:ref="AI79" rgbClr="FF0000">
      <unresolved>
        <commentChain chainId="fe457f24e0e0ba238a05b25f03ace1a14565d7c3">
          <item id="64bcf29ea7e698327c9722ecabf55c3811bcad6a" isNormal="1">
            <s:text>
              <s:r>
                <s:t xml:space="preserve">Administrator:
9/29 上警告语贴纸 611pcs</s:t>
              </s:r>
            </s:text>
          </item>
        </commentChain>
      </unresolved>
      <resolved/>
    </commentChains>
    <commentChains s:ref="AF80" rgbClr="FF0000">
      <unresolved>
        <commentChain chainId="6924ed16c25e5aa71ccc73e19c39b87af988cda0">
          <item id="ab9f92c5fd7fbde09f436c4783e2d5751595e81e" isNormal="1">
            <s:text>
              <s:r>
                <s:t xml:space="preserve">Administrator:
1003023 11/13 1925pcs B4楼A9区</s:t>
              </s:r>
            </s:text>
          </item>
        </commentChain>
      </unresolved>
      <resolved/>
    </commentChains>
    <commentChains s:ref="AI80" rgbClr="FF0000">
      <unresolved>
        <commentChain chainId="fc205ca33208bd19b5cbd220b7749894eb5aeca4">
          <item id="3ef541e29f96bfc8e2fefaabca3640cf53cc0b3b" isNormal="1">
            <s:text>
              <s:r>
                <s:t xml:space="preserve">Administrator:
10/23 上DE警语贴纸 1925pcs
      上产品图片贴纸 154pcs</s:t>
              </s:r>
            </s:text>
          </item>
        </commentChain>
      </unresolved>
      <resolved/>
    </commentChains>
    <commentChains s:ref="AF81" rgbClr="FF0000">
      <unresolved>
        <commentChain chainId="6a74c5a46a07b745364f6dd241f8f18912676959">
          <item id="a6eed2086d5f831caeef1b1d9d66f483bacade8d" isNormal="1">
            <s:text>
              <s:r>
                <s:t xml:space="preserve">Administrator:
1003676 11/4 750pcs B4楼A9区
</s:t>
              </s:r>
            </s:text>
          </item>
        </commentChain>
      </unresolved>
      <resolved/>
    </commentChains>
    <commentChains s:ref="AF82" rgbClr="FF0000">
      <unresolved>
        <commentChain chainId="577dff88cbdd8cea9fc8050169a7a1d143d400d4">
          <item id="d9f9667620efe2d11211a021f721ef7d3f3f6936" isNormal="1">
            <s:text>
              <s:r>
                <s:t xml:space="preserve">Administrator:
1003028 11/15 1664pcs 华兴三B16</s:t>
              </s:r>
            </s:text>
          </item>
        </commentChain>
      </unresolved>
      <resolved/>
    </commentChains>
    <commentChains s:ref="AI82" rgbClr="FF0000">
      <unresolved>
        <commentChain chainId="31d340d5c5532639125f4d9d014d5d126427a988">
          <item id="6093e97c5b68ee3740ec7d08d0e8b2e52afeb12f" isNormal="1">
            <s:text>
              <s:r>
                <s:t xml:space="preserve">Administrator:
10/22 上进口商贴纸 4836pcs</s:t>
              </s:r>
            </s:text>
          </item>
        </commentChain>
      </unresolved>
      <resolved/>
    </commentChains>
    <commentChains s:ref="AF83" rgbClr="FF0000">
      <unresolved>
        <commentChain chainId="818b27850f22862ea66e38a0d031c6a1d2f35a79">
          <item id="61af278cf4747b45467f8777271105f7323c0fc8" isNormal="1">
            <s:text>
              <s:r>
                <s:t xml:space="preserve">Administrator:
1003028 11/15 1456pcs 华兴三B16</s:t>
              </s:r>
            </s:text>
          </item>
        </commentChain>
      </unresolved>
      <resolved/>
    </commentChains>
    <commentChains s:ref="AF84" rgbClr="FF0000">
      <unresolved>
        <commentChain chainId="d0b439b6f014a7cbb59e080e378d685c86f725b7">
          <item id="56cd3809d06670d6f35bb93e1af3d4dd890129d1" isNormal="1">
            <s:text>
              <s:r>
                <s:t xml:space="preserve">Administrator:
1003028 11/15 1196pcs 华兴三B16</s:t>
              </s:r>
            </s:text>
          </item>
        </commentChain>
      </unresolved>
      <resolved/>
    </commentChains>
    <commentChains s:ref="AF85" rgbClr="FF0000">
      <unresolved>
        <commentChain chainId="0920f0e42b9738311d723a25374d6198f0c4b3ec">
          <item id="4254d2464734f8775fc4af1433334f8e7cb76bdd" isNormal="1">
            <s:text>
              <s:r>
                <s:t xml:space="preserve">Administrator:
1003028 11/15 520pcs 华兴三B16</s:t>
              </s:r>
            </s:text>
          </item>
        </commentChain>
      </unresolved>
      <resolved/>
    </commentChains>
    <commentChains s:ref="AF86" rgbClr="FF0000">
      <unresolved>
        <commentChain chainId="1957c5b321e1fb5ea188da299dc13fe2489ab29f">
          <item id="648737a59febcbec6e4303984932f2da7c5cd57f" isNormal="1">
            <s:text>
              <s:r>
                <s:t xml:space="preserve">Administrator:
1002691 11/13 780pcs B4楼A9区</s:t>
              </s:r>
            </s:text>
          </item>
        </commentChain>
      </unresolved>
      <resolved/>
    </commentChains>
    <commentChains s:ref="AI86" rgbClr="FF0000">
      <unresolved>
        <commentChain chainId="151a17addd714e085e2907bc5c1a9f2a9ab7e868">
          <item id="de444ab7bbbf486437253dd0279ec70e5451c7dc" isNormal="1">
            <s:text>
              <s:r>
                <s:t xml:space="preserve">Administrator:
10/30 上多语警语可折叠贴纸 780pcs</s:t>
              </s:r>
            </s:text>
          </item>
        </commentChain>
      </unresolved>
      <resolved/>
    </commentChains>
    <commentChains s:ref="AF87" rgbClr="FF0000">
      <unresolved>
        <commentChain chainId="ce493e5c1b672146d236475a51e6cab8129d93d2">
          <item id="c37a126ae86ff0fff94a1ecf989b4826869b4023" isNormal="1">
            <s:text>
              <s:r>
                <s:t xml:space="preserve">Administrator:
1003016 11/17 960pcs 华兴三B1</s:t>
              </s:r>
            </s:text>
          </item>
        </commentChain>
      </unresolved>
      <resolved/>
    </commentChains>
    <commentChains s:ref="AI87" rgbClr="FF0000">
      <unresolved>
        <commentChain chainId="b5731216365a3b3ac5608f23829690d14778cace">
          <item id="3051e06cc9b8924396d5012d6dd4ff3591575d72" isNormal="1">
            <s:text>
              <s:r>
                <s:t xml:space="preserve">Administrator:
10/31 上客供RFID帖纸 960pcs</s:t>
              </s:r>
            </s:text>
          </item>
        </commentChain>
      </unresolved>
      <resolved/>
    </commentChains>
    <commentChains s:ref="AF88" rgbClr="FF0000">
      <unresolved>
        <commentChain chainId="6aa1a8368ec337571b414e6493b937600fffe044">
          <item id="ab2482874f4a97fe433061c1be99d55f94c9364e" isNormal="1">
            <s:text>
              <s:r>
                <s:t xml:space="preserve">Administrator:
1003016 11/17 960pcs 华兴三B1</s:t>
              </s:r>
            </s:text>
          </item>
        </commentChain>
      </unresolved>
      <resolved/>
    </commentChains>
    <commentChains s:ref="AI88" rgbClr="FF0000">
      <unresolved>
        <commentChain chainId="57650fa8b5be3008dcd5ec2fc67e717281c5fdf4">
          <item id="75240fc333e8fe4f2e1a02d62df578a9fd90c841" isNormal="1">
            <s:text>
              <s:r>
                <s:t xml:space="preserve">Administrator:
10/31 上客供RFID帖纸 960pcs</s:t>
              </s:r>
            </s:text>
          </item>
        </commentChain>
      </unresolved>
      <resolved/>
    </commentChains>
    <commentChains s:ref="AF89" rgbClr="FF0000">
      <unresolved>
        <commentChain chainId="5bc9409b7090e2a51126a1e2ff4cae699f340b96">
          <item id="3bf367f2ca5022b837617c693e691326e7416794" isNormal="1">
            <s:text>
              <s:r>
                <s:t xml:space="preserve">Administrator:
1003016 11/17 960pcs 华兴三B1</s:t>
              </s:r>
            </s:text>
          </item>
        </commentChain>
      </unresolved>
      <resolved/>
    </commentChains>
    <commentChains s:ref="AI89" rgbClr="FF0000">
      <unresolved>
        <commentChain chainId="0d99d1727bee2f7e40397d1b2e42bede78800800">
          <item id="f7a96c3aa8186b108b1d9eaf3a154d0655a3a5f6" isNormal="1">
            <s:text>
              <s:r>
                <s:t xml:space="preserve">Administrator:
10/31 上客供RFID帖纸 960pcs</s:t>
              </s:r>
            </s:text>
          </item>
        </commentChain>
      </unresolved>
      <resolved/>
    </commentChains>
    <commentChains s:ref="AF90" rgbClr="FF0000">
      <unresolved>
        <commentChain chainId="4718cb35dd0606bf0075d3e25bad00ed1ecbdff7">
          <item id="cc206cdd98332bd9e485965ac37bba0f2e971c9d" isNormal="1">
            <s:text>
              <s:r>
                <s:t xml:space="preserve">Administrator:
1002999 11/18 19125pcs B4楼A6区</s:t>
              </s:r>
            </s:text>
          </item>
        </commentChain>
      </unresolved>
      <resolved/>
    </commentChains>
    <commentChains s:ref="AI90" rgbClr="FF0000">
      <unresolved>
        <commentChain chainId="aec0fcdf211fa3b6c5b2952ca6174e80cc3ecf63">
          <item id="c09af2c898e77b5bfc4b9891cd60b27f7d8d8f2d" isNormal="1">
            <s:text>
              <s:r>
                <s:t xml:space="preserve">Administrator:
10/27 上客供外箱条码帖纸 773pcs</s:t>
              </s:r>
            </s:text>
          </item>
        </commentChain>
      </unresolved>
      <resolved/>
    </commentChains>
    <commentChains s:ref="AF91" rgbClr="FF0000">
      <unresolved>
        <commentChain chainId="d2366461129e1331ffb04c8d8f4620a7e2a1c17a">
          <item id="f146a108fc44878b4b34163b1b6ab690b405bdad" isNormal="1">
            <s:text>
              <s:r>
                <s:t xml:space="preserve">Administrator:
1002959 11/20 600pcs B4楼B10区</s:t>
              </s:r>
            </s:text>
          </item>
        </commentChain>
      </unresolved>
      <resolved/>
    </commentChains>
    <commentChains s:ref="AI91" rgbClr="FF0000">
      <unresolved>
        <commentChain chainId="5b22e6586d912a09004eca0e27f18edaaaed5fb3">
          <item id="e0bf5f861891bf63ef99533c5a878d04c4fe0b9c" isNormal="1">
            <s:text>
              <s:r>
                <s:t xml:space="preserve">Administrator:
10/22 上环保标贴纸 600pcs
10/28 上亚马逊外箱贴纸 50pcs
11/6 上环保贴纸 600pcs</s:t>
              </s:r>
            </s:text>
          </item>
        </commentChain>
      </unresolved>
      <resolved/>
    </commentChains>
    <commentChains s:ref="AF92" rgbClr="FF0000">
      <unresolved>
        <commentChain chainId="807cec2d30e0b2ade79819fcab1646b03659bdca">
          <item id="b51e284dd57c33537077b587c6d0074e108c9219" isNormal="1">
            <s:text>
              <s:r>
                <s:t xml:space="preserve">Administrator:
1002953 11/19 2370pcs B4楼A1区</s:t>
              </s:r>
            </s:text>
          </item>
        </commentChain>
      </unresolved>
      <resolved/>
    </commentChains>
    <commentChains s:ref="AF93" rgbClr="FF0000">
      <unresolved>
        <commentChain chainId="a050eb40f4b898c78a06f39da21694302e96fb24">
          <item id="6e7596eda2749d06328214545f76b14af65a02f7" isNormal="1">
            <s:text>
              <s:r>
                <s:t xml:space="preserve">Administrator:
1003016 11/17 960pcs 华兴三B1</s:t>
              </s:r>
            </s:text>
          </item>
        </commentChain>
      </unresolved>
      <resolved/>
    </commentChains>
    <commentChains s:ref="AI93" rgbClr="FF0000">
      <unresolved>
        <commentChain chainId="154e3afdd96c6af8b1a4c59426ba21fdeb29b5eb">
          <item id="5fffc18396e890a48945bb69a7d837a38879a6f1" isNormal="1">
            <s:text>
              <s:r>
                <s:t xml:space="preserve">Administrator:
10/31 上客供RFID帖纸 960pcs</s:t>
              </s:r>
            </s:text>
          </item>
        </commentChain>
      </unresolved>
      <resolved/>
    </commentChains>
    <commentChains s:ref="AF94" rgbClr="FF0000">
      <unresolved>
        <commentChain chainId="dffb001b2ade639c0f726d89ec8104ef8de4a0f1">
          <item id="96ffc868a59e7a9aaaf9a05bd40c205443bd02f6" isNormal="1">
            <s:text>
              <s:r>
                <s:t xml:space="preserve">Administrator:
1002999 11/18 624pcs B4楼A7区</s:t>
              </s:r>
            </s:text>
          </item>
        </commentChain>
      </unresolved>
      <resolved/>
    </commentChains>
    <commentChains s:ref="AI94" rgbClr="FF0000">
      <unresolved>
        <commentChain chainId="3d7df75af8ca19ae74729f43d231530d2ed4dc3b">
          <item id="2022c0668c5d959d8c1a8c972c0899276d58b897" isNormal="1">
            <s:text>
              <s:r>
                <s:t xml:space="preserve">Administrator:
10/23 上进口商贴纸 624pcs</s:t>
              </s:r>
            </s:text>
          </item>
        </commentChain>
      </unresolved>
      <resolved/>
    </commentChains>
    <commentChains s:ref="AF95" rgbClr="FF0000">
      <unresolved>
        <commentChain chainId="fdbd93a9a32acc273cd4c59f665886e8203d8d71">
          <item id="1229ddee424c49a7bd14b7947ea5b66fce8f8934" isNormal="1">
            <s:text>
              <s:r>
                <s:t xml:space="preserve">Administrator:
1002999 11/18 1300pcs B4楼A7区</s:t>
              </s:r>
            </s:text>
          </item>
        </commentChain>
      </unresolved>
      <resolved/>
    </commentChains>
    <commentChains s:ref="AF96" rgbClr="FF0000">
      <unresolved>
        <commentChain chainId="362fb6265a77c5426a83dd2bf62edebb5ddb4c50">
          <item id="5e9b6da5aa65099fef4062ad77535611e129a639" isNormal="1">
            <s:text>
              <s:r>
                <s:t xml:space="preserve">Administrator:
1002999 11/18 1950pcs B4楼B5区</s:t>
              </s:r>
            </s:text>
          </item>
        </commentChain>
      </unresolved>
      <resolved/>
    </commentChains>
    <commentChains s:ref="AF97" rgbClr="FF0000">
      <unresolved>
        <commentChain chainId="f15f62327fbad9590ede5739047a36039d132fcb">
          <item id="c57cabc40fff105edb98f76a5beadba9e489b1d9" isNormal="1">
            <s:text>
              <s:r>
                <s:t xml:space="preserve">Administrator:
1003028 11/15 1170pcs 华兴三B14</s:t>
              </s:r>
            </s:text>
          </item>
        </commentChain>
      </unresolved>
      <resolved/>
    </commentChains>
    <commentChains s:ref="AI97" rgbClr="FF0000">
      <unresolved>
        <commentChain chainId="6dd57c8fd130b0a7f6e9df95a7653c56c9a06ac4">
          <item id="ed11884d5ff01925789cbfbda9ef56bbd7edbe63" isNormal="1">
            <s:text>
              <s:r>
                <s:t xml:space="preserve">Administrator:
11/6 上警告语贴纸 1170pcs</s:t>
              </s:r>
            </s:text>
          </item>
        </commentChain>
      </unresolved>
      <resolved/>
    </commentChains>
    <commentChains s:ref="AF98" rgbClr="FF0000">
      <unresolved>
        <commentChain chainId="5d4f4d2d764f0eb34a68296239405aa6cfc5407c">
          <item id="caaa0774e8b285fe1c0f9171b10bdd9b50326880" isNormal="1">
            <s:text>
              <s:r>
                <s:t xml:space="preserve">Administrator:
1002959 11/20 504pcs B4楼B10区
</s:t>
              </s:r>
            </s:text>
          </item>
        </commentChain>
      </unresolved>
      <resolved/>
    </commentChains>
    <commentChains s:ref="AI98" rgbClr="FF0000">
      <unresolved>
        <commentChain chainId="a8dd32e75eddcba5934fe60646a7726a6b202392">
          <item id="728ea077a7bdf0799983d926ba79302cd1b8597f" isNormal="1">
            <s:text>
              <s:r>
                <s:t xml:space="preserve">Administrator:
11/6 上环保标贴纸 2100pcs
181123/181162共用</s:t>
              </s:r>
            </s:text>
          </item>
        </commentChain>
      </unresolved>
      <resolved/>
    </commentChains>
    <commentChains s:ref="AF99" rgbClr="FF0000">
      <unresolved>
        <commentChain chainId="db8fcb8fc37643963820a951d5e6d209bc88ebd3">
          <item id="dd498cbf9216130db9722dee46418d51c2efe9f8" isNormal="1">
            <s:text>
              <s:r>
                <s:t xml:space="preserve">Administrator:
1002959 11/20 504pcs B4楼B10区
</s:t>
              </s:r>
            </s:text>
          </item>
        </commentChain>
      </unresolved>
      <resolved/>
    </commentChains>
    <commentChains s:ref="AI99" rgbClr="FF0000">
      <unresolved>
        <commentChain chainId="56306cee5657a8cc76eb4de987c42f10f6b263cb">
          <item id="5c0e1f6385ceb4879d0022935e31385b268a93b8" isNormal="1">
            <s:text>
              <s:r>
                <s:t xml:space="preserve">Administrator:
11/6 上环保标贴纸 2100pcs
181123/181162共用</s:t>
              </s:r>
            </s:text>
          </item>
        </commentChain>
      </unresolved>
      <resolved/>
    </commentChains>
    <commentChains s:ref="AF100" rgbClr="FF0000">
      <unresolved>
        <commentChain chainId="3b4344fbc3f961fd5d703571e4bf90b4718f540c">
          <item id="63aa12cae8b93a4ef98224e73b2d665a9fafd5b3" isNormal="1">
            <s:text>
              <s:r>
                <s:t xml:space="preserve">Administrator:
1003028 11/15 130pcs 华兴三B14</s:t>
              </s:r>
            </s:text>
          </item>
        </commentChain>
      </unresolved>
      <resolved/>
    </commentChains>
    <commentChains s:ref="AI100" rgbClr="FF0000">
      <unresolved>
        <commentChain chainId="dce502a82c7b6b92b5e0205d78d65eb829cc0a67">
          <item id="93f1e74c18b42a5db9889d439ad2d1b5f2458e19" isNormal="1">
            <s:text>
              <s:r>
                <s:t xml:space="preserve">Administrator:
11/4 上进口商贴纸 310pcs</s:t>
              </s:r>
            </s:text>
          </item>
        </commentChain>
      </unresolved>
      <resolved/>
    </commentChains>
    <commentChains s:ref="AF101" rgbClr="FF0000">
      <unresolved>
        <commentChain chainId="8e5a992b54da560429d17e5348f0965e694ee698">
          <item id="bda06d5c242f72667814af7737e7166e9ce71304" isNormal="1">
            <s:text>
              <s:r>
                <s:t xml:space="preserve">Administrator:
1003016 11/17 180pcs 华兴三B8</s:t>
              </s:r>
            </s:text>
          </item>
        </commentChain>
      </unresolved>
      <resolved/>
    </commentChains>
    <commentChains s:ref="AF102" rgbClr="FF0000">
      <unresolved>
        <commentChain chainId="853f8321b703f83325b1739a6580f46a18c23ca2">
          <item id="8b56294310362b4354c626fbb7f69707742c2556" isNormal="1">
            <s:text>
              <s:r>
                <s:t xml:space="preserve">Administrator:
1002959 11/20 588pcs B4楼B10区
</s:t>
              </s:r>
            </s:text>
          </item>
        </commentChain>
      </unresolved>
      <resolved/>
    </commentChains>
    <commentChains s:ref="AI102" rgbClr="FF0000">
      <unresolved>
        <commentChain chainId="7a6df23dc6364f7ea0414626c1beacec40eaf6e9">
          <item id="7261cad47b5dffba0006c4f81b23b0d519bc36a3" isNormal="1">
            <s:text>
              <s:r>
                <s:t xml:space="preserve">Administrator:
11/6 上环保标贴纸 2100pcs
181123/181162共用
11/12 上亚马逊外箱贴纸 49pcs</s:t>
              </s:r>
            </s:text>
          </item>
        </commentChain>
      </unresolved>
      <resolved/>
    </commentChains>
    <commentChains s:ref="AF103" rgbClr="FF0000">
      <unresolved>
        <commentChain chainId="9cb3fbeed69112d11a796a45333553f165f99943">
          <item id="c3309599b4a808de462519525e95c05a58d127f9" isNormal="1">
            <s:text>
              <s:r>
                <s:t xml:space="preserve">Administrator:
1002966 11/21 504pcs B4楼B9区</s:t>
              </s:r>
            </s:text>
          </item>
        </commentChain>
      </unresolved>
      <resolved/>
    </commentChains>
    <commentChains s:ref="AI103" rgbClr="FF0000">
      <unresolved>
        <commentChain chainId="2100c54fc06a67027135f1e48c3ee933691fd562">
          <item id="a69002cbd54ba34fa59d978ff54cb603eed8bca9" isNormal="1">
            <s:text>
              <s:r>
                <s:t xml:space="preserve">Administrator:
11/6 上环保标贴纸 2100pcs
181123/181162共用
11/12 上亚马逊外箱贴纸 42pcs</s:t>
              </s:r>
            </s:text>
          </item>
        </commentChain>
      </unresolved>
      <resolved/>
    </commentChains>
    <commentChains s:ref="AF104" rgbClr="FF0000">
      <unresolved>
        <commentChain chainId="d24c88e59dde886e1827a34baf1656feea558e14">
          <item id="0b1ecec1ccd74224d3cbbbcb374d8d602482901f" isNormal="1">
            <s:text>
              <s:r>
                <s:t xml:space="preserve">Administrator:
1002966 11/21 3150pcs B4楼B9区</s:t>
              </s:r>
            </s:text>
          </item>
        </commentChain>
      </unresolved>
      <resolved/>
    </commentChains>
    <commentChains s:ref="AF105" rgbClr="FF0000">
      <unresolved>
        <commentChain chainId="56b46429e8da2f14a5526dac4eac55c6d0f79891">
          <item id="3916c358def21e90b0e22b8899bd7fb7dd7617a5" isNormal="1">
            <s:text>
              <s:r>
                <s:t xml:space="preserve">Administrator:
1002966 11/21 1850pcs B4楼B10区</s:t>
              </s:r>
            </s:text>
          </item>
        </commentChain>
      </unresolved>
      <resolved/>
    </commentChains>
    <commentChains s:ref="AF106" rgbClr="FF0000">
      <unresolved>
        <commentChain chainId="6caf4846df0403aea8c3bf00eafbab1988deeeef">
          <item id="92da5f46bd2e2e0d4854f7cc0e299e3bebc1262b" isNormal="1">
            <s:text>
              <s:r>
                <s:t xml:space="preserve">Administrator:
1002698 11/26 408pcs B4楼B9区</s:t>
              </s:r>
            </s:text>
          </item>
        </commentChain>
      </unresolved>
      <resolved/>
    </commentChains>
    <commentChains s:ref="AI106" rgbClr="FF0000">
      <unresolved>
        <commentChain chainId="a9b00c0b35ebc31d63c1bcae79295c7f53c3289d">
          <item id="bdbad44ab860cb0e7a6443a73b221bc2d64226cb" isNormal="1">
            <s:text>
              <s:r>
                <s:t xml:space="preserve">Administrator:
11/14 上进口商贴纸 408pcs
11/19 上QR code贴纸 408pcs</s:t>
              </s:r>
            </s:text>
          </item>
        </commentChain>
      </unresolved>
      <resolved/>
    </commentChains>
    <commentChains s:ref="AF107" rgbClr="FF0000">
      <unresolved>
        <commentChain chainId="649ee2f34843001c0ae7558c37b588fe05dae5d8">
          <item id="12115296dd57892ba7179319d76a40fc2e2dcc35" isNormal="1">
            <s:text>
              <s:r>
                <s:t xml:space="preserve">Administrator:
1003070 11/29 3250pcs</s:t>
              </s:r>
            </s:text>
          </item>
        </commentChain>
      </unresolved>
      <resolved/>
    </commentChains>
    <commentChains s:ref="AI107" rgbClr="FF0000">
      <unresolved>
        <commentChain chainId="d01ef6806dcdc227d2f3dc9bf9e2dec9604528ba">
          <item id="7d3610a6fe5970e41ea96228451f8b7cb5883f60" isNormal="1">
            <s:text>
              <s:r>
                <s:t xml:space="preserve">Administrator:
10/21 上警告语进口商贴纸 3250pcs</s:t>
              </s:r>
            </s:text>
          </item>
        </commentChain>
      </unresolved>
      <resolved/>
    </commentChains>
    <commentChains s:ref="AF108" rgbClr="FF0000">
      <unresolved>
        <commentChain chainId="bb7587a4e36cb87afe509672b6d6880728517f0e">
          <item id="071b963976dcf444479d4a18470f1147ebfec5ed" isNormal="1">
            <s:text>
              <s:r>
                <s:t xml:space="preserve">Administrator:
1003070 11/29 611pcs</s:t>
              </s:r>
            </s:text>
          </item>
        </commentChain>
      </unresolved>
      <resolved/>
    </commentChains>
    <commentChains s:ref="AI108" rgbClr="FF0000">
      <unresolved>
        <commentChain chainId="c9fcb4af61e8d28c3264e238ad66cb8e8cb584cf">
          <item id="38ec70983dcc9ecc18b4532091a1e3e1d3d40fd9" isNormal="1">
            <s:text>
              <s:r>
                <s:t xml:space="preserve">Administrator:
10/25 上瑞典语警告语贴纸 611pcs</s:t>
              </s:r>
            </s:text>
          </item>
        </commentChain>
      </unresolved>
      <resolved/>
    </commentChains>
    <commentChains s:ref="AF109" rgbClr="FF0000">
      <unresolved>
        <commentChain chainId="f666dc1d1753c4356f1f0d62ecd5fc8cc137fbd9">
          <item id="f07fc78ba861d7b7c386f5492846e564f40469c5" isNormal="1">
            <s:text>
              <s:r>
                <s:t xml:space="preserve">Administrator:
1002698 11/26 960pcs B4楼A9区</s:t>
              </s:r>
            </s:text>
          </item>
        </commentChain>
      </unresolved>
      <resolved/>
    </commentChains>
    <commentChains s:ref="AI109" rgbClr="FF0000">
      <unresolved>
        <commentChain chainId="c73113cbd61f948cf83658eece133989d8f7d6fa">
          <item id="effe4fa56c9c4b79b7614957835ac945348e8a78" isNormal="1">
            <s:text>
              <s:r>
                <s:t xml:space="preserve">Administrator:
11/21 上客供RFID贴纸 960pcs</s:t>
              </s:r>
            </s:text>
          </item>
        </commentChain>
      </unresolved>
      <resolved/>
    </commentChains>
    <commentChains s:ref="AF110" rgbClr="FF0000">
      <unresolved>
        <commentChain chainId="fbdd9bb2bb037c0c3f1181ec1b95c97716b13335">
          <item id="35e01b5b0fc0ed3caa775aa9a2fbd9ebcce435cf" isNormal="1">
            <s:text>
              <s:r>
                <s:t xml:space="preserve">Administrator:
1002698 11/26 960pcs B4楼A9区</s:t>
              </s:r>
            </s:text>
          </item>
        </commentChain>
      </unresolved>
      <resolved/>
    </commentChains>
    <commentChains s:ref="AI110" rgbClr="FF0000">
      <unresolved>
        <commentChain chainId="f0228b16caa66f6e867bf4a79840a89542e70fc3">
          <item id="f6d2ecdb678aa4467d132e4d57f5330a0badc05d" isNormal="1">
            <s:text>
              <s:r>
                <s:t xml:space="preserve">Administrator:
11/21 上客供RFID贴纸 960pcs</s:t>
              </s:r>
            </s:text>
          </item>
        </commentChain>
      </unresolved>
      <resolved/>
    </commentChains>
    <commentChains s:ref="AF111" rgbClr="FF0000">
      <unresolved>
        <commentChain chainId="ec57148b274deebee4e7377beb06e7763e4fd551">
          <item id="b8a00890781a201d996649fc299937596e07edf4" isNormal="1">
            <s:text>
              <s:r>
                <s:t xml:space="preserve">Administrator:
1002698 11/26 960pcs B4楼A9区</s:t>
              </s:r>
            </s:text>
          </item>
        </commentChain>
      </unresolved>
      <resolved/>
    </commentChains>
    <commentChains s:ref="AI111" rgbClr="FF0000">
      <unresolved>
        <commentChain chainId="4786da1a16c89d383feacbc8a346bb1f7e726412">
          <item id="b127af98b7b2f84a80a8114f72c6d74d26e6f13c" isNormal="1">
            <s:text>
              <s:r>
                <s:t xml:space="preserve">Administrator:
11/21 上客供RFID贴纸 960pcs</s:t>
              </s:r>
            </s:text>
          </item>
        </commentChain>
      </unresolved>
      <resolved/>
    </commentChains>
    <commentChains s:ref="AF112" rgbClr="FF0000">
      <unresolved>
        <commentChain chainId="0926d190492c5c420f180f1907298f8a2b7a3f18">
          <item id="1354a231a82618f368b664c7e35a63792321a5cb" isNormal="1">
            <s:text>
              <s:r>
                <s:t xml:space="preserve">Administrator:
1003070 11/29 1209pcs</s:t>
              </s:r>
            </s:text>
          </item>
        </commentChain>
      </unresolved>
      <resolved/>
    </commentChains>
    <commentChains s:ref="AI112" rgbClr="FF0000">
      <unresolved>
        <commentChain chainId="357e6e76f28bdfe07461f40ebea5fa1af6fa3931">
          <item id="0606222491e4b2d71a67e88b07b25cb0fb8b9a27" isNormal="1">
            <s:text>
              <s:r>
                <s:t xml:space="preserve">Administrator:
11/17 上进口商贴纸 1209pcs</s:t>
              </s:r>
            </s:text>
          </item>
        </commentChain>
      </unresolved>
      <resolved/>
    </commentChains>
    <commentChains s:ref="AF113" rgbClr="FF0000">
      <unresolved>
        <commentChain chainId="460aa5f976421cff2b835b51e40f420f19d3c368">
          <item id="b16b91df519f3f8a6437f25b4f5e44c7425e9a1c" isNormal="1">
            <s:text>
              <s:r>
                <s:t xml:space="preserve">Administrator:
1003070 11/29 195pcs</s:t>
              </s:r>
            </s:text>
          </item>
        </commentChain>
      </unresolved>
      <resolved/>
    </commentChains>
    <commentChains s:ref="AI113" rgbClr="FF0000">
      <unresolved>
        <commentChain chainId="3d2df8f1a37a70e9a19f77e75dc6eb30d666d824">
          <item id="74e442be61cbeee56742cb72b076bec157f7055a" isNormal="1">
            <s:text>
              <s:r>
                <s:t xml:space="preserve">Administrator:
10/25 上警告语/客人进口商地址贴纸 195pcs</s:t>
              </s:r>
            </s:text>
          </item>
        </commentChain>
      </unresolved>
      <resolved/>
    </commentChains>
    <commentChains s:ref="AF114" rgbClr="FF0000">
      <unresolved>
        <commentChain chainId="2521585ad9985a091d779c96b71ed5f108bc6db9">
          <item id="255297e293e9e60ebdb0234c8785ab0c690b7534" isNormal="1">
            <s:text>
              <s:r>
                <s:t xml:space="preserve">Administrator:
1003070 11/29 400pcs</s:t>
              </s:r>
            </s:text>
          </item>
        </commentChain>
      </unresolved>
      <resolved/>
    </commentChains>
    <commentChains s:ref="AI114" rgbClr="FF0000">
      <unresolved>
        <commentChain chainId="c3694c29023ebb8d510d797338fb50f573e6a33c">
          <item id="76b4413c8d441b9d2da7207b341eb6306d6cbc11" isNormal="1">
            <s:text>
              <s:r>
                <s:t xml:space="preserve">Administrator:
11/17 上进口商贴纸 5400pcs
      上UPC贴纸 5400pcs
181141/179365共用</s:t>
              </s:r>
            </s:text>
          </item>
        </commentChain>
      </unresolved>
      <resolved/>
    </commentChains>
    <commentChains s:ref="AF115" rgbClr="FF0000">
      <unresolved>
        <commentChain chainId="43887050e8c107efdc776643e8e26719182f05eb">
          <item id="2e34dba7f8fb57c80bd65ecaa335f18b9c8ef30a" isNormal="1">
            <s:text>
              <s:r>
                <s:t xml:space="preserve">Administrator:
1002677 11/25 15015pcs B4楼A7区</s:t>
              </s:r>
            </s:text>
          </item>
        </commentChain>
      </unresolved>
      <resolved/>
    </commentChains>
    <commentChains s:ref="AI115" rgbClr="FF0000">
      <unresolved>
        <commentChain chainId="53f0de77599b2b37f708288cbab1ae71815b8bf3">
          <item id="88307aba145573e95fc9816cdac4ad92b22b64e5" isNormal="1">
            <s:text>
              <s:r>
                <s:t xml:space="preserve">Administrator:
10/17 上客供防串码贴纸 1拖13 15015pcs
10/16 上年龄贴纸 15015pcs</s:t>
              </s:r>
            </s:text>
          </item>
        </commentChain>
      </unresolved>
      <resolved/>
    </commentChains>
    <commentChains s:ref="AF116" rgbClr="FF0000">
      <unresolved>
        <commentChain chainId="ca240ad516cc4b0500fddeb4fb78ead0a51faffe">
          <item id="7290351b79db78d2ec8f3fd3c2b7999ac4178897" isNormal="1">
            <s:text>
              <s:r>
                <s:t xml:space="preserve">Administrator:
1003118 12/5 572pcs 华兴三B13</s:t>
              </s:r>
            </s:text>
          </item>
        </commentChain>
      </unresolved>
      <resolved/>
    </commentChains>
    <commentChains s:ref="AI116" rgbClr="FF0000">
      <unresolved>
        <commentChain chainId="1cea2093ce1c7bd1d09169075db8ae9879baa193">
          <item id="1863f499ae87875e477e1e64d15cadbc87a84dfe" isNormal="1">
            <s:text>
              <s:r>
                <s:t xml:space="preserve">Administrator:
11/24 上德意警告语贴纸 572pcs</s:t>
              </s:r>
            </s:text>
          </item>
        </commentChain>
      </unresolved>
      <resolved/>
    </commentChains>
    <commentChains s:ref="AF117" rgbClr="FF0000">
      <unresolved>
        <commentChain chainId="7b0688d15a8291d0c092f206cb300c92e30e5130">
          <item id="f7406dd85c538957e4ddd2f910afe3bbc249596c" isNormal="1">
            <s:text>
              <s:r>
                <s:t xml:space="preserve">Administrator:
1003111 12/4 17850pcs B4楼B8区</s:t>
              </s:r>
            </s:text>
          </item>
        </commentChain>
      </unresolved>
      <resolved/>
    </commentChains>
    <commentChains s:ref="AI117" rgbClr="FF0000">
      <unresolved>
        <commentChain chainId="a60d5489ce7d7cc0ac53bf2ac85a96ef73552f9e">
          <item id="59f55cd3866a3d68a47a9edb4d7de7dd674aa631" isNormal="1">
            <s:text>
              <s:r>
                <s:t xml:space="preserve">Administrator:
11/6 上客供外箱条码贴纸 721pcs</s:t>
              </s:r>
            </s:text>
          </item>
        </commentChain>
      </unresolved>
      <resolved/>
    </commentChains>
    <commentChains s:ref="AF118" rgbClr="FF0000">
      <unresolved>
        <commentChain chainId="1737df699a666e6e5d1d6e22099c4f8c73127e20">
          <item id="4e10529c9c4163804676b92066483397b9016f0a" isNormal="1">
            <s:text>
              <s:r>
                <s:t xml:space="preserve">Administrator:
1003089 12/2 960pcs B4楼B9区</s:t>
              </s:r>
            </s:text>
          </item>
        </commentChain>
      </unresolved>
      <resolved/>
    </commentChains>
    <commentChains s:ref="AI118" rgbClr="FF0000">
      <unresolved>
        <commentChain chainId="3ab6f2f5b651dcf33fcaed2a802d06da9e7ad0eb">
          <item id="ab8f3747f02516dfe0ba94eb7fd5f9b5620db206" isNormal="1">
            <s:text>
              <s:r>
                <s:t xml:space="preserve">Administrator:
11/21 上客供RFID贴纸 960pcs</s:t>
              </s:r>
            </s:text>
          </item>
        </commentChain>
      </unresolved>
      <resolved/>
    </commentChains>
    <commentChains s:ref="AF119" rgbClr="FF0000">
      <unresolved>
        <commentChain chainId="97887f640cdc1126bc994f9281b354e77570f3dd">
          <item id="c52bc51a39fbcab7b09f543e017f0fb4961b089d" isNormal="1">
            <s:text>
              <s:r>
                <s:t xml:space="preserve">Administrator:
1002959 11/20 588pcs B4楼B10区
</s:t>
              </s:r>
            </s:text>
          </item>
        </commentChain>
      </unresolved>
      <resolved/>
    </commentChains>
    <commentChains s:ref="AI119" rgbClr="FF0000">
      <unresolved>
        <commentChain chainId="efcadb55e12d1b44fcc50383abdeb0bb61c5827e">
          <item id="f7d999130e65386ec330ca5a6a3f743a048b3f43" isNormal="1">
            <s:text>
              <s:r>
                <s:t xml:space="preserve">Administrator:
11/12 上亚马逊外箱贴纸 49pcs
11/13 上环保标贴纸 588pcs</s:t>
              </s:r>
            </s:text>
          </item>
        </commentChain>
      </unresolved>
      <resolved/>
    </commentChains>
    <commentChains s:ref="AF120" rgbClr="FF0000">
      <unresolved>
        <commentChain chainId="f44582fc4e659b0f4a219a8a888c3b452b85d789">
          <item id="af5143a881169e5bce979a69473b57938eb29363" isNormal="1">
            <s:text>
              <s:r>
                <s:t xml:space="preserve">Administrator:
1003089 12/3 4560pcs B4楼B7区</s:t>
              </s:r>
            </s:text>
          </item>
        </commentChain>
      </unresolved>
      <resolved/>
    </commentChains>
    <commentChains s:ref="AI120" rgbClr="FF0000">
      <unresolved>
        <commentChain chainId="e0e31f307a8cfb2372c5e7a48c1b3219d7b0aa41">
          <item id="836a0f219163a45d76d27be12a43681822f8c7ef" isNormal="1">
            <s:text>
              <s:r>
                <s:t xml:space="preserve">Administrator:
10/30 上德语警告语贴纸 4560pcs
11/24 上客供价格贴纸 4560pcs</s:t>
              </s:r>
            </s:text>
          </item>
        </commentChain>
      </unresolved>
      <resolved/>
    </commentChains>
    <commentChains s:ref="AF121" rgbClr="FF0000">
      <unresolved>
        <commentChain chainId="fe09bc8b0c0cd3c5944392a6f2918c5d1a1564f2">
          <item id="a6b34468aed0ce93b49417cee343b938e4f33e72" isNormal="1">
            <s:text>
              <s:r>
                <s:t xml:space="preserve">Administrator:
1003089 12/3 507pcs B4楼B9区</s:t>
              </s:r>
            </s:text>
          </item>
        </commentChain>
      </unresolved>
      <resolved/>
    </commentChains>
    <commentChains s:ref="AI121" rgbClr="FF0000">
      <unresolved>
        <commentChain chainId="1792c222cd923ee6af85aac0cde885d68988079c">
          <item id="23705f82009544cebe070fca5b24252b053dcd53" isNormal="1">
            <s:text>
              <s:r>
                <s:t xml:space="preserve">Administrator:
11/24 上可折叠贴纸 1017pcs</s:t>
              </s:r>
            </s:text>
          </item>
        </commentChain>
      </unresolved>
      <resolved/>
    </commentChains>
    <commentChains s:ref="AF122" rgbClr="FF0000">
      <unresolved>
        <commentChain chainId="468a692e299b50f0372b4e5a6c4a5519cd0ad8be">
          <item id="4f2b1428c985316e89e2b2d7986dfdd16c3d96c5" isNormal="1">
            <s:text>
              <s:r>
                <s:t xml:space="preserve">Administrator:
1003136 12/8 510pcs 华兴三B8</s:t>
              </s:r>
            </s:text>
          </item>
        </commentChain>
      </unresolved>
      <resolved/>
    </commentChains>
    <commentChains s:ref="AF123" rgbClr="FF0000">
      <unresolved>
        <commentChain chainId="a4b9bdbbd2234a794b003f452e06960b7a75e575">
          <item id="a9aa2045667040f94dcae23f407d917372ddb9ff" isNormal="1">
            <s:text>
              <s:r>
                <s:t xml:space="preserve">Administrator:
1003111 12/4 3601pcs B4楼A8区</s:t>
              </s:r>
            </s:text>
          </item>
        </commentChain>
      </unresolved>
      <resolved/>
    </commentChains>
    <commentChains s:ref="AI123" rgbClr="FF0000">
      <unresolved>
        <commentChain chainId="d4f8224d4e045233e8759bb3e47e0cf982d70ae5">
          <item id="1be0a4d08675e816f27e3b515f6528b45f64ad7f" isNormal="1">
            <s:text>
              <s:r>
                <s:t xml:space="preserve">Administrator:
11/26 上多语警语折叠贴纸 3601pcs</s:t>
              </s:r>
            </s:text>
          </item>
        </commentChain>
      </unresolved>
      <resolved/>
    </commentChains>
    <commentChains s:ref="AF124" rgbClr="FF0000">
      <unresolved>
        <commentChain chainId="1b98db90da70756fde68dfcdbb8c5b2cc4472afc">
          <item id="900dfb59e275301c05f96a4915322ab781a4bed8" isNormal="1">
            <s:text>
              <s:r>
                <s:t xml:space="preserve">Administrator:
1003211 12/11 1001pcs B4楼B9区</s:t>
              </s:r>
            </s:text>
          </item>
        </commentChain>
      </unresolved>
      <resolved/>
    </commentChains>
    <commentChains s:ref="AI124" rgbClr="FF0000">
      <unresolved>
        <commentChain chainId="206eaee57e1e9440c3c13e76541541a06df9d7f6">
          <item id="e5a278948506fceb3f235b06c47a0404bc43c298" isNormal="1">
            <s:text>
              <s:r>
                <s:t xml:space="preserve">Administrator:
12/8  上客供防串码贴纸1拖13 1001pcs
11/21 上年龄贴纸 1000pcs</s:t>
              </s:r>
            </s:text>
          </item>
        </commentChain>
      </unresolved>
      <resolved/>
    </commentChains>
    <commentChains s:ref="AF125" rgbClr="FF0000">
      <unresolved>
        <commentChain chainId="2d0cf5dddbc404e64905277b71e52a77688798f7">
          <item id="b69925be49146e3dcd778294be022eb8a0d3e236" isNormal="1">
            <s:text>
              <s:r>
                <s:t xml:space="preserve">Administrator:
1003146 12/9 960pcs B4楼B5区</s:t>
              </s:r>
            </s:text>
          </item>
        </commentChain>
      </unresolved>
      <resolved/>
    </commentChains>
    <commentChains s:ref="AI125" rgbClr="FF0000">
      <unresolved>
        <commentChain chainId="3c14efa1c1424cf41a8c9b583873ef517360de81">
          <item id="8cd0891e0034551561dcb73de3a0ea5c1f6e441c" isNormal="1">
            <s:text>
              <s:r>
                <s:t xml:space="preserve">Administrator:
11/21 上客供RFID贴纸 960pcs</s:t>
              </s:r>
            </s:text>
          </item>
        </commentChain>
      </unresolved>
      <resolved/>
    </commentChains>
    <commentChains s:ref="AF126" rgbClr="FF0000">
      <unresolved>
        <commentChain chainId="b1b8f1606879c32c313d76c6a915545acc9e7d3a">
          <item id="3b7e12ac2b98473780eabc03a6d353a7c85c12a1" isNormal="1">
            <s:text>
              <s:r>
                <s:t xml:space="preserve">Administrator:
1003146 12/9 960pcs B4楼B5区</s:t>
              </s:r>
            </s:text>
          </item>
        </commentChain>
      </unresolved>
      <resolved/>
    </commentChains>
    <commentChains s:ref="AI126" rgbClr="FF0000">
      <unresolved>
        <commentChain chainId="39ad57e70789e006e274815dc59b430d68e0a79b">
          <item id="81db506be66b5708e576bbe090d4b02d4c5687cb" isNormal="1">
            <s:text>
              <s:r>
                <s:t xml:space="preserve">Administrator:
11/21 上客供RFID贴纸 960pcs</s:t>
              </s:r>
            </s:text>
          </item>
        </commentChain>
      </unresolved>
      <resolved/>
    </commentChains>
    <commentChains s:ref="AF127" rgbClr="FF0000">
      <unresolved>
        <commentChain chainId="7d524ecafca4c5640ef08ac4309d0228930d0401">
          <item id="4722e4cbdbd736a1fcdb27b367d4f0446d177d5f" isNormal="1">
            <s:text>
              <s:r>
                <s:t xml:space="preserve">Administrator:
1003146 12/9 960pcs B4楼B5区</s:t>
              </s:r>
            </s:text>
          </item>
        </commentChain>
      </unresolved>
      <resolved/>
    </commentChains>
    <commentChains s:ref="AI127" rgbClr="FF0000">
      <unresolved>
        <commentChain chainId="1014fee93a24f784e5ff79afa9ad7b50dfc3b09b">
          <item id="e69d4fc3d9ea137f8c1276a1d68f73698a15a7d6" isNormal="1">
            <s:text>
              <s:r>
                <s:t xml:space="preserve">Administrator:
11/21 上客供RFID贴纸 960pcs</s:t>
              </s:r>
            </s:text>
          </item>
        </commentChain>
      </unresolved>
      <resolved/>
    </commentChains>
    <commentChains s:ref="AF128" rgbClr="FF0000">
      <unresolved>
        <commentChain chainId="cf469269dc4742eb120292a3699d445c48fe6d09">
          <item id="9cf8d4382cd09152edcc65c561cce7af47399e55" isNormal="1">
            <s:text>
              <s:r>
                <s:t xml:space="preserve">Administrator:
1003146 12/9 960pcs B4楼B5区</s:t>
              </s:r>
            </s:text>
          </item>
        </commentChain>
      </unresolved>
      <resolved/>
    </commentChains>
    <commentChains s:ref="AI128" rgbClr="FF0000">
      <unresolved>
        <commentChain chainId="0a2f99e8d2bd7c0d5a9afd67f5f24b8054f7eb0b">
          <item id="33cb9cc6e3d191ba2e8fb7a7ee227ddc7a10d818" isNormal="1">
            <s:text>
              <s:r>
                <s:t xml:space="preserve">Administrator:
11/21 上客供RFID贴纸 960pcs</s:t>
              </s:r>
            </s:text>
          </item>
        </commentChain>
      </unresolved>
      <resolved/>
    </commentChains>
    <commentChains s:ref="AF129" rgbClr="FF0000">
      <unresolved>
        <commentChain chainId="a720a80e27b1a3b48664598fec914403ab8cdb06">
          <item id="666935f57b9d30ed7e1034755e9fde03b57b2bc3" isNormal="1">
            <s:text>
              <s:r>
                <s:t xml:space="preserve">Administrator:
1003173 12/16 12pcs B4楼A8区</s:t>
              </s:r>
            </s:text>
          </item>
        </commentChain>
      </unresolved>
      <resolved/>
    </commentChains>
    <commentChains s:ref="AI129" rgbClr="FF0000">
      <unresolved>
        <commentChain chainId="fb0f75ab4750e184a58d3331d9ae103e10e37403">
          <item id="55afd246a7b9381a3ef175385e9e060f0f5ca4a7" isNormal="1">
            <s:text>
              <s:r>
                <s:t xml:space="preserve">Administrator:
11/27 上客供亚马逊外箱贴纸 1pcs
12/3 上空白贴纸 120pcs</s:t>
              </s:r>
            </s:text>
          </item>
        </commentChain>
      </unresolved>
      <resolved/>
    </commentChains>
    <commentChains s:ref="AF130" rgbClr="FF0000">
      <unresolved>
        <commentChain chainId="5cff40a2f23aeab67f095244fbc3651769446f73">
          <item id="1e770abcb9e1c91bb502046cd0119c1b2ca1253c" isNormal="1">
            <s:text>
              <s:r>
                <s:t xml:space="preserve">Administrator:
1003173 12/16 12pcs B4楼A8区</s:t>
              </s:r>
            </s:text>
          </item>
        </commentChain>
      </unresolved>
      <resolved/>
    </commentChains>
    <commentChains s:ref="AI130" rgbClr="FF0000">
      <unresolved>
        <commentChain chainId="74dbe5c1d2c28b0c6510c72ad5e55e0c50b815cd">
          <item id="01c2114ee035203ce26f8a05d5325918b5760d2a" isNormal="1">
            <s:text>
              <s:r>
                <s:t xml:space="preserve">Administrator:
11/27 上客供亚马逊外箱贴纸 1pcs
12/3 上空白贴纸 120pcs</s:t>
              </s:r>
            </s:text>
          </item>
        </commentChain>
      </unresolved>
      <resolved/>
    </commentChains>
    <commentChains s:ref="AF131" rgbClr="FF0000">
      <unresolved>
        <commentChain chainId="fdf69f0bc7acec074c4d92077ccd86f7eaf6cfb2">
          <item id="a3949c8fb3c3445b746ae5243355b0cb08f13798" isNormal="1">
            <s:text>
              <s:r>
                <s:t xml:space="preserve">Administrator:
1003173 12/16 12pcs B4楼A8区</s:t>
              </s:r>
            </s:text>
          </item>
        </commentChain>
      </unresolved>
      <resolved/>
    </commentChains>
    <commentChains s:ref="AI131" rgbClr="FF0000">
      <unresolved>
        <commentChain chainId="dbda9849702947cadc4641fd0b6a146b20451cc8">
          <item id="64a2fbbea6ed5b26f8e9e7c08fe3fec0fa76a54b" isNormal="1">
            <s:text>
              <s:r>
                <s:t xml:space="preserve">Administrator:
11/27 上客供亚马逊外箱贴纸 1pcs
12/3 上空白贴纸 120pcs</s:t>
              </s:r>
            </s:text>
          </item>
        </commentChain>
      </unresolved>
      <resolved/>
    </commentChains>
    <commentChains s:ref="AF132" rgbClr="FF0000">
      <unresolved>
        <commentChain chainId="cfa5002e12dbcb8b374aa520a858c91fa2d7a4e4">
          <item id="a56b056e9da0965dfebfd86a0d536fa5f35f57fe" isNormal="1">
            <s:text>
              <s:r>
                <s:t xml:space="preserve">Administrator:
1003173 12/16 12pcs B4楼A8区</s:t>
              </s:r>
            </s:text>
          </item>
        </commentChain>
      </unresolved>
      <resolved/>
    </commentChains>
    <commentChains s:ref="AI132" rgbClr="FF0000">
      <unresolved>
        <commentChain chainId="657858c6df6f111e764388ff8a031cf476451034">
          <item id="199d4e2a5e547b5595a1002778a45744afa8cb95" isNormal="1">
            <s:text>
              <s:r>
                <s:t xml:space="preserve">Administrator:
11/27 上客供亚马逊外箱贴纸 1pcs
12/3 上空白贴纸 120pcs</s:t>
              </s:r>
            </s:text>
          </item>
        </commentChain>
      </unresolved>
      <resolved/>
    </commentChains>
    <commentChains s:ref="AF133" rgbClr="FF0000">
      <unresolved>
        <commentChain chainId="33188b0cc89f2cef60994a974b0774b582513a7e">
          <item id="a1fd84d9a3136c709f5967711305c183b90d0218" isNormal="1">
            <s:text>
              <s:r>
                <s:t xml:space="preserve">Administrator:
1003173 12/16 12pcs B4楼A8区</s:t>
              </s:r>
            </s:text>
          </item>
        </commentChain>
      </unresolved>
      <resolved/>
    </commentChains>
    <commentChains s:ref="AI133" rgbClr="FF0000">
      <unresolved>
        <commentChain chainId="60757040be222ad63e187d4727ecae98116329a2">
          <item id="b729ef8e09a221279827d38d5767c8a16d343cf9" isNormal="1">
            <s:text>
              <s:r>
                <s:t xml:space="preserve">Administrator:
11/27 上客供亚马逊外箱贴纸 1pcs
12/3 上空白贴纸 120pcs</s:t>
              </s:r>
            </s:text>
          </item>
        </commentChain>
      </unresolved>
      <resolved/>
    </commentChains>
    <commentChains s:ref="AF134" rgbClr="FF0000">
      <unresolved>
        <commentChain chainId="f9f8cf16bd278bbce77c5a754846acb76ecdef3d">
          <item id="f0788c8d858e1b702193ae0c867446d86168daa4" isNormal="1">
            <s:text>
              <s:r>
                <s:t xml:space="preserve">Administrator:
1003146 12/9 960pcs B4楼B5区</s:t>
              </s:r>
            </s:text>
          </item>
        </commentChain>
      </unresolved>
      <resolved/>
    </commentChains>
    <commentChains s:ref="AI134" rgbClr="FF0000">
      <unresolved>
        <commentChain chainId="2def02a041bb7d3a7ec5470aef45ef5ce7c0731b">
          <item id="fef3b062d8ac7e32226e08293f74624744ced598" isNormal="1">
            <s:text>
              <s:r>
                <s:t xml:space="preserve">Administrator:
11/21 上客供RFID贴纸 960pcs</s:t>
              </s:r>
            </s:text>
          </item>
        </commentChain>
      </unresolved>
      <resolved/>
    </commentChains>
    <commentChains s:ref="AF135" rgbClr="FF0000">
      <unresolved>
        <commentChain chainId="26ad857782ad2c7557170ec5099a1bab96ae2f79">
          <item id="f4bcd403eff8bc48d8406476ffa3c3928cbd60fd" isNormal="1">
            <s:text>
              <s:r>
                <s:t xml:space="preserve">Administrator:
1003245 12/15 30套散件</s:t>
              </s:r>
            </s:text>
          </item>
        </commentChain>
      </unresolved>
      <resolved/>
    </commentChains>
    <commentChains s:ref="AF136" rgbClr="FF0000">
      <unresolved>
        <commentChain chainId="1aab970211955e2c255ccd1003482640ad67fdaf">
          <item id="def6c9901eb27a63a7ace1d15d8bf43b694731ba" isNormal="1">
            <s:text>
              <s:r>
                <s:t xml:space="preserve">Administrator:
1003173 12/16 390pcs A栋一楼</s:t>
              </s:r>
            </s:text>
          </item>
        </commentChain>
      </unresolved>
      <resolved/>
    </commentChains>
    <commentChains s:ref="AF137" rgbClr="FF0000">
      <unresolved>
        <commentChain chainId="1a74200ff0015a2f630f564e06d28b32ceeb50e1">
          <item id="efc24cdae4d051992feb665e1742fba76367d15e" isNormal="1">
            <s:text>
              <s:r>
                <s:t xml:space="preserve">Administrator:
1003173 12/16 1500pcs A栋一楼</s:t>
              </s:r>
            </s:text>
          </item>
        </commentChain>
      </unresolved>
      <resolved/>
    </commentChains>
    <commentChains s:ref="AF138" rgbClr="FF0000">
      <unresolved>
        <commentChain chainId="b785262f3b34da2dab82131a27de1410a58f65b8">
          <item id="6fbc784d13d9d76e1635654763c41d43eeb2465c" isNormal="1">
            <s:text>
              <s:r>
                <s:t xml:space="preserve">Administrator:
1003150 12/9 13500pcs B4楼B4区
1003170 12/10 7500pcs B4楼B4区</s:t>
              </s:r>
            </s:text>
          </item>
        </commentChain>
      </unresolved>
      <resolved/>
    </commentChains>
    <commentChains s:ref="AI138" rgbClr="FF0000">
      <unresolved>
        <commentChain chainId="dd1f3dcefa84d13a0b2c19423b9c6837ec5b39a9">
          <item id="20798d69feb31e25cf4f0d5ceb378c46d7baadf9" isNormal="1">
            <s:text>
              <s:r>
                <s:t xml:space="preserve">Administrator:
11/6 上客供外箱条码贴纸 848pcs</s:t>
              </s:r>
            </s:text>
          </item>
        </commentChain>
      </unresolved>
      <resolved/>
    </commentChains>
    <commentChains s:ref="AF139" rgbClr="FF0000">
      <unresolved>
        <commentChain chainId="44a3e5b25bc107c8d7453507c720f6b8df7339a4">
          <item id="0f19a927ea0ecd2a8a08c081cf02660d075b1d46" isNormal="1">
            <s:text>
              <s:r>
                <s:t xml:space="preserve">Administrator:
1003173 12/16 450pcs B4楼A8区</s:t>
              </s:r>
            </s:text>
          </item>
        </commentChain>
      </unresolved>
      <resolved/>
    </commentChains>
    <commentChains s:ref="AI139" rgbClr="FF0000">
      <unresolved>
        <commentChain chainId="928b5df633c6d4cba615852f864206173ab2ae4a">
          <item id="f79a051546a858e3c8bc6678d2c7816bbab3b705" isNormal="1">
            <s:text>
              <s:r>
                <s:t xml:space="preserve">Administrator:
12/2 上客供价格贴纸 481pcs
12/8 上进口商贴纸 450pcs
     上UPC贴纸 450pcs</s:t>
              </s:r>
            </s:text>
          </item>
        </commentChain>
      </unresolved>
      <resolved/>
    </commentChains>
    <commentChains s:ref="AF140" rgbClr="FF0000">
      <unresolved>
        <commentChain chainId="0ac84b0690033979065c9ff3670ee9461735b5a1">
          <item id="18404b31065cf2c5260c1131e3956f2e7bf0ccfd" isNormal="1">
            <s:text>
              <s:r>
                <s:t xml:space="preserve">Administrator:
1003233 12/13 13000pcs 华兴三A26</s:t>
              </s:r>
            </s:text>
          </item>
        </commentChain>
      </unresolved>
      <resolved/>
    </commentChains>
    <commentChains s:ref="AI140" rgbClr="FF0000">
      <unresolved>
        <commentChain chainId="f1365a1d0a9ae1791dcaf90d33be8d9fdbddca7e">
          <item id="b671d3e80a3167ec0cab52b08e20f3ee1198047a" isNormal="1">
            <s:text>
              <s:r>
                <s:t xml:space="preserve">Administrator:
11/6 上进口商贴纸 13000pcs
     上UPC条码贴纸 13000pcs</s:t>
              </s:r>
            </s:text>
          </item>
        </commentChain>
      </unresolved>
      <resolved/>
    </commentChains>
    <commentChains s:ref="AF141" rgbClr="FF0000">
      <unresolved>
        <commentChain chainId="032d4c74bac6fdff1d858b535f5e98957743eacc">
          <item id="62e81d067441698329254dc4a0d3962e3692e992" isNormal="1">
            <s:text>
              <s:r>
                <s:t xml:space="preserve">Administrator:
1003237 12/13 1500pcs B4楼B3区</s:t>
              </s:r>
            </s:text>
          </item>
        </commentChain>
      </unresolved>
      <resolved/>
    </commentChains>
    <commentChains s:ref="AI141" rgbClr="FF0000">
      <unresolved>
        <commentChain chainId="748e2c953261279b78c4850df792fa568c514159">
          <item id="31a0bac7d25357bd011b84ca0b457f2c3eda80ce" isNormal="1">
            <s:text>
              <s:r>
                <s:t xml:space="preserve">Administrator:
11/28 上进口商贴纸 4000pcs
      上UPC贴纸 4000pcs
184316/184355/184422共用</s:t>
              </s:r>
            </s:text>
          </item>
        </commentChain>
      </unresolved>
      <resolved/>
    </commentChains>
    <commentChains s:ref="AF142" rgbClr="FF0000">
      <unresolved>
        <commentChain chainId="f0793761eb1fb74b29332be29ed38864fe9d4beb">
          <item id="419106213715ae0b82ac0803c264d32dec7fa951" isNormal="1">
            <s:text>
              <s:r>
                <s:t xml:space="preserve">Administrator:
1003237 12/13 1250pcs B4楼B5区</s:t>
              </s:r>
            </s:text>
          </item>
        </commentChain>
      </unresolved>
      <resolved/>
    </commentChains>
    <commentChains s:ref="AI142" rgbClr="FF0000">
      <unresolved>
        <commentChain chainId="8ed43d4756abc36bc0001e57d2ebe2b3434749c3">
          <item id="885e90387be15ea5262f5fb1c105805980ed8c0e" isNormal="1">
            <s:text>
              <s:r>
                <s:t xml:space="preserve">Administrator:
11/28 上进口商贴纸 4000pcs
      上UPC贴纸 4000pcs
184316/184355/184422共用</s:t>
              </s:r>
            </s:text>
          </item>
        </commentChain>
      </unresolved>
      <resolved/>
    </commentChains>
    <commentChains s:ref="AF143" rgbClr="FF0000">
      <unresolved>
        <commentChain chainId="51ffb2a10af13579affe4a63612c9bd7affd84a6">
          <item id="ffd2dbd6504f24033dd7b4a5f0de116fbe2123a1" isNormal="1">
            <s:text>
              <s:r>
                <s:t xml:space="preserve">Administrator:
1003237 12/13 1250pcs B4楼B5区</s:t>
              </s:r>
            </s:text>
          </item>
        </commentChain>
      </unresolved>
      <resolved/>
    </commentChains>
    <commentChains s:ref="AI143" rgbClr="FF0000">
      <unresolved>
        <commentChain chainId="7b39fa9cbc0823860ccd9fa17a6b7b1f5a014b70">
          <item id="10f47553cf27cac6df5106b72cba7724807c42ca" isNormal="1">
            <s:text>
              <s:r>
                <s:t xml:space="preserve">Administrator:
11/28 上进口商贴纸 4000pcs
      上UPC贴纸 4000pcs
184316/184355/184422共用</s:t>
              </s:r>
            </s:text>
          </item>
        </commentChain>
      </unresolved>
      <resolved/>
    </commentChains>
    <commentChains s:ref="AF144" rgbClr="FF0000">
      <unresolved>
        <commentChain chainId="91a970da452a363f9db85d327fbebd3f73278321">
          <item id="3d74223f3fea7ab4737c35cc4d2583bfeacaa0a5" isNormal="1">
            <s:text>
              <s:r>
                <s:t xml:space="preserve">Administrator:
1002629 12/19 300pcs B4楼B5区</s:t>
              </s:r>
            </s:text>
          </item>
        </commentChain>
      </unresolved>
      <resolved/>
    </commentChains>
    <commentChains s:ref="AI144" rgbClr="FF0000">
      <unresolved>
        <commentChain chainId="700ef7e6a70719bb0dd8371e1a6121ae75aabd20">
          <item id="ce7fb3cdc8538bfb09ae071855bdd5a5ddd84a7d" isNormal="1">
            <s:text>
              <s:r>
                <s:t xml:space="preserve">Administrator:
12/5 上EAN贴纸 300pcs
     上警告语贴纸 300pcs</s:t>
              </s:r>
            </s:text>
          </item>
        </commentChain>
      </unresolved>
      <resolved/>
    </commentChains>
    <commentChains s:ref="AF145" rgbClr="FF0000">
      <unresolved>
        <commentChain chainId="f9f09ebded36d94b7ae74dae97d13bb6630328d0">
          <item id="b0b7cf8c2d0b5cd6c4e34c4b7984622f5d8d762e" isNormal="1">
            <s:text>
              <s:r>
                <s:t xml:space="preserve">Administrator:
1003180 12/17 2750pcs B4楼C8区</s:t>
              </s:r>
            </s:text>
          </item>
        </commentChain>
      </unresolved>
      <resolved/>
    </commentChains>
    <commentChains s:ref="AI145" rgbClr="FF0000">
      <unresolved>
        <commentChain chainId="834051498e23c2d6b384e43abb0e37c14a5ec50e">
          <item id="bcb4417add89fc0b4ac3242ab412b4088e307b28" isNormal="1">
            <s:text>
              <s:r>
                <s:t xml:space="preserve">Administrator:
12/9 上进口商贴纸 2750pcs
     上UPC贴纸 2750pcs
12/10 上外箱贴纸 110pcs</s:t>
              </s:r>
            </s:text>
          </item>
        </commentChain>
      </unresolved>
      <resolved/>
    </commentChains>
    <commentChains s:ref="AF146" rgbClr="FF0000">
      <unresolved>
        <commentChain chainId="84baa567145d2241a719218f2496bddbba8de777">
          <item id="10f2aba589be4f1122235738dd02d0cd2657643e" isNormal="1">
            <s:text>
              <s:r>
                <s:t xml:space="preserve">Administrator:
1002629 12/19 5000pcs B4楼A5区</s:t>
              </s:r>
            </s:text>
          </item>
        </commentChain>
      </unresolved>
      <resolved/>
    </commentChains>
    <commentChains s:ref="AI146" rgbClr="FF0000">
      <unresolved>
        <commentChain chainId="1dbe82a239749ac0fa44c6e4ceb224c32fd15313">
          <item id="9155b132c6dccfc96c81a51fd5a87a97d23bbd5e" isNormal="1">
            <s:text>
              <s:r>
                <s:t xml:space="preserve">Administrator:
11/17 上进口商贴纸 5400pcs
      上UPC贴纸 5400pcs
181141/179365共用</s:t>
              </s:r>
            </s:text>
          </item>
        </commentChain>
      </unresolved>
      <resolved/>
    </commentChains>
    <commentChains s:ref="AF147" rgbClr="FF0000">
      <unresolved>
        <commentChain chainId="fdec8d99ffce0b831aaf9f3e5e322b1cd58c7cc7">
          <item id="5d57f9d950ba7d74411be1bbd4fa37cadc8c2af6" isNormal="1">
            <s:text>
              <s:r>
                <s:t xml:space="preserve">Administrator:
1003170 12/10 1800pcs B4楼B9区
1003250 12/16 5208pcs B4楼A8区
</s:t>
              </s:r>
            </s:text>
          </item>
        </commentChain>
      </unresolved>
      <resolved/>
    </commentChains>
    <commentChains s:ref="AI147" rgbClr="FF0000">
      <unresolved>
        <commentChain chainId="f761f61d18d6d3e4031caafb0a61579701a2a6b5">
          <item id="3172a53e68bf567c5aea2b78952e5e7258576054" isNormal="1">
            <s:text>
              <s:r>
                <s:t xml:space="preserve">Administrator:
12/3 上WIC贴贴纸 32040pcs</s:t>
              </s:r>
            </s:text>
          </item>
        </commentChain>
      </unresolved>
      <resolved/>
    </commentChains>
    <commentChains s:ref="AF148" rgbClr="FF0000">
      <unresolved>
        <commentChain chainId="0fb899c48a5c22aebf506148f417731cc93f4b8b">
          <item id="965dc12c803302edfcd021ce69b1cbefd3ffeb84" isNormal="1">
            <s:text>
              <s:r>
                <s:t xml:space="preserve">Administrator:
1002186 12/22 300pcs</s:t>
              </s:r>
            </s:text>
          </item>
        </commentChain>
      </unresolved>
      <resolved/>
    </commentChains>
    <commentChains s:ref="AF149" rgbClr="FF0000">
      <unresolved>
        <commentChain chainId="8b0ceaccc6553d03d798682624257a8e8fa8b0b7">
          <item id="43ab4294a4d4816d4a099907255691c787168cab" isNormal="1">
            <s:text>
              <s:r>
                <s:t xml:space="preserve">Administrator:
1002186 12/22 12600pcs 
1002196 12/23 12432pcs</s:t>
              </s:r>
            </s:text>
          </item>
        </commentChain>
      </unresolved>
      <resolved/>
    </commentChains>
    <commentChains s:ref="AI149" rgbClr="FF0000">
      <unresolved>
        <commentChain chainId="5d32e1ec5bfe128728de6e74b2c292529a4a3acc">
          <item id="ec2bb4d6feff9c4e6a3a87a1e6e6c44958058c54" isNormal="1">
            <s:text>
              <s:r>
                <s:t xml:space="preserve">Administrator:
12/3 上WIC贴贴纸 32040pcs</s:t>
              </s:r>
            </s:text>
          </item>
        </commentChain>
      </unresolved>
      <resolved/>
    </commentChains>
    <commentChains s:ref="AF150" rgbClr="FF0000">
      <unresolved>
        <commentChain chainId="b1ba1b9e83bd55514fb1adda69eca2fb5a803416">
          <item id="a6020275f44a71478cf8a80667bc66d0df72ed21" isNormal="1">
            <s:text>
              <s:r>
                <s:t xml:space="preserve">Administrator:
1002176 12/24 168pcs A栋一楼</s:t>
              </s:r>
            </s:text>
          </item>
        </commentChain>
      </unresolved>
      <resolved/>
    </commentChains>
    <commentChains s:ref="AF151" rgbClr="FF0000">
      <unresolved>
        <commentChain chainId="2e556356af52b78797a64b2842ce2a2331e8a439">
          <item id="fa13b8a7d9d6166e85d1a76e150360c0249aea77" isNormal="1">
            <s:text>
              <s:r>
                <s:t xml:space="preserve">Administrator:
1003758 12/31 17套散件</s:t>
              </s:r>
            </s:text>
          </item>
        </commentChain>
      </unresolved>
      <resolved/>
    </commentChains>
    <commentChains s:ref="AF152" rgbClr="FF0000">
      <unresolved>
        <commentChain chainId="2214279049261e36ff2c2e0d9c5f26c7eb55e75d">
          <item id="69daac08b24473f7592f20198903c533fd9246a9" isNormal="1">
            <s:text>
              <s:r>
                <s:t xml:space="preserve">Administrator:
1002196 12/23 3000pcs</s:t>
              </s:r>
            </s:text>
          </item>
        </commentChain>
      </unresolved>
      <resolved/>
    </commentChains>
    <commentChains s:ref="AI152" rgbClr="FF0000">
      <unresolved>
        <commentChain chainId="59e4154503c5f4d91d5e1334beead11956e99d14">
          <item id="b2f198bba32a9bde86b5e15aa76908047f68caca" isNormal="1">
            <s:text>
              <s:r>
                <s:t xml:space="preserve">Administrator:
12/8 上进口商贴纸（含客户条码） 3000pcs</s:t>
              </s:r>
            </s:text>
          </item>
        </commentChain>
      </unresolved>
      <resolved/>
    </commentChains>
    <commentChains s:ref="AF153" rgbClr="FF0000">
      <unresolved>
        <commentChain chainId="36fe2c082af3d3166b12934384bb07e8be8de60a">
          <item id="378ec33a02481e6f0ad074846ac97323e42daf68" isNormal="1">
            <s:text>
              <s:r>
                <s:t xml:space="preserve">Administrator:
1002186 12/22 7000pcs</s:t>
              </s:r>
            </s:text>
          </item>
        </commentChain>
      </unresolved>
      <resolved/>
    </commentChains>
    <commentChains s:ref="AI153" rgbClr="FF0000">
      <unresolved>
        <commentChain chainId="d76d7fe0419a03a48fdd4ad7e6d7f9cf16fa515c">
          <item id="6ce22289c104f4386068e892727cba9f504154ef" isNormal="1">
            <s:text>
              <s:r>
                <s:t xml:space="preserve">Administrator:
12/8 上进口商贴纸（含客户条码） 7000pcs</s:t>
              </s:r>
            </s:text>
          </item>
        </commentChain>
      </unresolved>
      <resolved/>
    </commentChains>
    <commentChains s:ref="AF154" rgbClr="FF0000">
      <unresolved>
        <commentChain chainId="02ffe290c134bfd65119bd2a9c8c8b78b1566c13">
          <item id="ea844394ef5236316bba9ba594bd71ba8c0b48fe" isNormal="1">
            <s:text>
              <s:r>
                <s:t xml:space="preserve">Administrator:
1002511 12/25 2250pcs B4楼A9区</s:t>
              </s:r>
            </s:text>
          </item>
        </commentChain>
      </unresolved>
      <resolved/>
    </commentChains>
    <commentChains s:ref="AF155" rgbClr="FF0000">
      <unresolved>
        <commentChain chainId="8d59fbdf1e76b33803eca07d09b194d98d9120a1">
          <item id="9cf565ea3dbc564296a743b7d6706a1f7961aa1a" isNormal="1">
            <s:text>
              <s:r>
                <s:t xml:space="preserve">Administrator:
1002511 12/25 960pcs B4楼B9区</s:t>
              </s:r>
            </s:text>
          </item>
        </commentChain>
      </unresolved>
      <resolved/>
    </commentChains>
    <commentChains s:ref="AI155" rgbClr="FF0000">
      <unresolved>
        <commentChain chainId="0fa16a185fb1606902181634fa90c7d2bb2aa533">
          <item id="907639cb964500136000e881cd6f2b0f78709e68" isNormal="1">
            <s:text>
              <s:r>
                <s:t xml:space="preserve">Administrator:
11/21 上客供RFID贴纸 960pcs</s:t>
              </s:r>
            </s:text>
          </item>
        </commentChain>
      </unresolved>
      <resolved/>
    </commentChains>
    <commentChains s:ref="AF156" rgbClr="FF0000">
      <unresolved>
        <commentChain chainId="0cc6e9cfbee914b888b4b87eb002ff7637c7c56e">
          <item id="0c50f2c3d0085647df2d75e1464ba5920fbb8dab" isNormal="1">
            <s:text>
              <s:r>
                <s:t xml:space="preserve">Administrator:
1002511 12/25 960pcs B4楼B9区</s:t>
              </s:r>
            </s:text>
          </item>
        </commentChain>
      </unresolved>
      <resolved/>
    </commentChains>
    <commentChains s:ref="AI156" rgbClr="FF0000">
      <unresolved>
        <commentChain chainId="d58e7519728238808a637d9ade2e183188ca279e">
          <item id="0af78cfe9037eca0296a356eec2c0382936eb09d" isNormal="1">
            <s:text>
              <s:r>
                <s:t xml:space="preserve">Administrator:
11/21 上客供RFID贴纸 960pcs</s:t>
              </s:r>
            </s:text>
          </item>
        </commentChain>
      </unresolved>
      <resolved/>
    </commentChains>
    <commentChains s:ref="AF157" rgbClr="FF0000">
      <unresolved>
        <commentChain chainId="6049edf0a8f6cece13e10276b34d7b2ba64ffcb8">
          <item id="36e39702abb387a8974893af1242b876aa8cfe34" isNormal="1">
            <s:text>
              <s:r>
                <s:t xml:space="preserve">Administrator:
1002518 12/26 1890pcs B4楼B9区</s:t>
              </s:r>
            </s:text>
          </item>
        </commentChain>
      </unresolved>
      <resolved/>
    </commentChains>
    <commentChains s:ref="AI157" rgbClr="FF0000">
      <unresolved>
        <commentChain chainId="29b9d917152e773a5f83ab18b7318fa7786987aa">
          <item id="ba52cc54face92bc60ab2a35c4daf0fae6264ffa" isNormal="1">
            <s:text>
              <s:r>
                <s:t xml:space="preserve">Administrator:
11/27 上客供RFID贴纸 1890pcs</s:t>
              </s:r>
            </s:text>
          </item>
        </commentChain>
      </unresolved>
      <resolved/>
    </commentChains>
    <commentChains s:ref="AF158" rgbClr="FF0000">
      <unresolved>
        <commentChain chainId="8c975da1f55ec2fb94c6eccd972ed2b6ef6a440b">
          <item id="b73993ef573b8aa3aa35b59154237d6aa56b0f19" isNormal="1">
            <s:text>
              <s:r>
                <s:t xml:space="preserve">Administrator:
1002511 12/25 832pcs B4楼A9区</s:t>
              </s:r>
            </s:text>
          </item>
        </commentChain>
      </unresolved>
      <resolved/>
    </commentChains>
    <commentChains s:ref="AI158" rgbClr="FF0000">
      <unresolved>
        <commentChain chainId="c2dcc00492207f5435cccb936c45d483d0e0a25a">
          <item id="6b020da9f95639eef56f76b73f3098c19969964c" isNormal="1">
            <s:text>
              <s:r>
                <s:t xml:space="preserve">Administrator:
12/10 上款号贴纸 832pcs
      上警语贴纸 832pcs</s:t>
              </s:r>
            </s:text>
          </item>
        </commentChain>
      </unresolved>
      <resolved/>
    </commentChains>
    <commentChains s:ref="AF159" rgbClr="FF0000">
      <unresolved>
        <commentChain chainId="03f0a8639c2d4087b94afad9f46c0d235acd31ba">
          <item id="9ef332b78190d330a045fba402b5056a877af9b4" isNormal="1">
            <s:text>
              <s:r>
                <s:t xml:space="preserve">Administrator:
1003758 12/31 4590pcs B4楼B4区</s:t>
              </s:r>
            </s:text>
          </item>
        </commentChain>
      </unresolved>
      <resolved/>
    </commentChains>
    <commentChains s:ref="AI159" rgbClr="FF0000">
      <unresolved>
        <commentChain chainId="da9f3211f2029228f803fc6d932619d474eb38c3">
          <item id="89674bb2f9a9e7d6dc921c5b352dd22f194fab18" isNormal="1">
            <s:text>
              <s:r>
                <s:t xml:space="preserve">Administrator:
12/8 上客供RFID贴纸 4590pcs</s:t>
              </s:r>
            </s:text>
          </item>
        </commentChain>
      </unresolved>
      <resolved/>
    </commentChains>
    <commentChains s:ref="AF160" rgbClr="FF0000">
      <unresolved>
        <commentChain chainId="905e193ce752a72c39384bf54956e8030278f1a3">
          <item id="1e0179b05d3c1d3732362f8401d544fa358bc5f5" isNormal="1">
            <s:text>
              <s:r>
                <s:t xml:space="preserve">Administrator:
1003758 12/31 4200pcs B4楼B4区</s:t>
              </s:r>
            </s:text>
          </item>
        </commentChain>
      </unresolved>
      <resolved/>
    </commentChains>
    <commentChains s:ref="AI160" rgbClr="FF0000">
      <unresolved>
        <commentChain chainId="5b43045d8d17b208409602594ce513026d1edcb1">
          <item id="920e2da868cb8d27a3fe4798d9668f0c62e9744d" isNormal="1">
            <s:text>
              <s:r>
                <s:t xml:space="preserve">Administrator:
12/8 上客供RFID贴纸 4200pcs</s:t>
              </s:r>
            </s:text>
          </item>
        </commentChain>
      </unresolved>
      <resolved/>
    </commentChains>
    <commentChains s:ref="AF161" rgbClr="FF0000">
      <unresolved>
        <commentChain chainId="080f5e7f0ea48f3f95f8322bc2bbe30f0d5e3dde">
          <item id="4456d64115d33aaa85cc0c5bfc6cd13c16dae025" isNormal="1">
            <s:text>
              <s:r>
                <s:t xml:space="preserve">Administrator:
1003758 12/31 2000pcs B栋4楼A9区</s:t>
              </s:r>
            </s:text>
          </item>
        </commentChain>
      </unresolved>
      <resolved/>
    </commentChains>
    <commentChains s:ref="AI161" rgbClr="FF0000">
      <unresolved>
        <commentChain chainId="80c43742882d35981be591b3d6fd7d051cc7a9c6">
          <item id="fb3716770ebc664f8b4afa9ea96557bf3297fff6" isNormal="1">
            <s:text>
              <s:r>
                <s:t xml:space="preserve">Administrator:
12/17 上进口商贴纸 2000pcs</s:t>
              </s:r>
            </s:text>
          </item>
        </commentChain>
      </unresolved>
      <resolved/>
    </commentChains>
    <commentChains s:ref="AF162" rgbClr="FF0000">
      <unresolved>
        <commentChain chainId="0453edf876a5c4e6d352f72e7c56aba05d19e973">
          <item id="d989e4beec4603571d0b72d5d252f17bb409d29c" isNormal="1">
            <s:text>
              <s:r>
                <s:t xml:space="preserve">Administrator:
1003758 12/31 2400pcs B栋四楼A9</s:t>
              </s:r>
            </s:text>
          </item>
        </commentChain>
      </unresolved>
      <resolved/>
    </commentChains>
    <commentChains s:ref="AI162" rgbClr="FF0000">
      <unresolved>
        <commentChain chainId="f41d37db4778f968debcc543f7747fadd626c05a">
          <item id="3f73092dec85d05c277ba7ecd9f5f3a2a054f35f" isNormal="1">
            <s:text>
              <s:r>
                <s:t xml:space="preserve">Administrator:
12/16 上进口商贴纸 2400pcs
      上UPC贴纸 2400pcs</s:t>
              </s:r>
            </s:text>
          </item>
        </commentChain>
      </unresolved>
      <resolved/>
    </commentChains>
    <commentChains s:ref="AF163" rgbClr="FF0000">
      <unresolved>
        <commentChain chainId="129a3ed260c999c9cd4cc8bff2c416ca5cea1712">
          <item id="6b6dd8dd7642b8c87b8293d4fd46b2e24fba83ad" isNormal="1">
            <s:text>
              <s:r>
                <s:t xml:space="preserve">Administrator:
1003758 12/31 3450pcs B栋四楼B5</s:t>
              </s:r>
            </s:text>
          </item>
        </commentChain>
      </unresolved>
      <resolved/>
    </commentChains>
    <commentChains s:ref="AI163" rgbClr="FF0000">
      <unresolved>
        <commentChain chainId="c3a7c6f2ffbe7128ea67d120ba682f9d3d873d9a">
          <item id="ed1ce356a5729a6ec1ee95a41c6a01f08be2b0e4" isNormal="1">
            <s:text>
              <s:r>
                <s:t xml:space="preserve">Administrator:
12/8 上客供RFID贴纸 3450pcs</s:t>
              </s:r>
            </s:text>
          </item>
        </commentChain>
      </unresolved>
      <resolved/>
    </commentChains>
    <commentChains s:ref="AF164" rgbClr="FF0000">
      <unresolved>
        <commentChain chainId="dfe745bdc34e066cda8908451919ff2bc11c071f">
          <item id="263c5ebb969d99db73038527cf61dd10b673edc7" isNormal="1">
            <s:text>
              <s:r>
                <s:t xml:space="preserve">Administrator:
1003758 12/31 12pcs B栋四楼B1</s:t>
              </s:r>
            </s:text>
          </item>
        </commentChain>
      </unresolved>
      <resolved/>
    </commentChains>
    <commentChains s:ref="AI164" rgbClr="FF0000">
      <unresolved>
        <commentChain chainId="abec7076e608c501704f311f753b8fbef80dd78f">
          <item id="6d3142109017b7d20d8c794e3ad9696965a0702d" isNormal="1">
            <s:text>
              <s:r>
                <s:t xml:space="preserve">Administrator:
12/23 上空白贴纸 24pcs
12/23 收到客供亚马逊外箱贴纸 1pcs</s:t>
              </s:r>
            </s:text>
          </item>
        </commentChain>
      </unresolved>
      <resolved/>
    </commentChains>
    <commentChains s:ref="AF165" rgbClr="FF0000">
      <unresolved>
        <commentChain chainId="f17abda684e85ac4179a9d08395d8b6c3f42239c">
          <item id="7c3f44d31f1dcfed8d806f2e65390322ac5bc980" isNormal="1">
            <s:text>
              <s:r>
                <s:t xml:space="preserve">Administrator:
1003758 12/31 6210pcs B栋四楼A4</s:t>
              </s:r>
            </s:text>
          </item>
        </commentChain>
      </unresolved>
      <resolved/>
    </commentChains>
    <commentChains s:ref="AI165" rgbClr="FF0000">
      <unresolved>
        <commentChain chainId="d966aa3383605f4268a83434051928a6a9ec92ee">
          <item id="ccffabad408ea85ae41154b45fc603aaadf03411" isNormal="1">
            <s:text>
              <s:r>
                <s:t xml:space="preserve">Administrator:
12/15 上客供RFID贴纸 6210pcs</s:t>
              </s:r>
            </s:text>
          </item>
        </commentChain>
      </unresolved>
      <resolved/>
    </commentChains>
    <commentChains s:ref="AF166" rgbClr="FF0000">
      <unresolved>
        <commentChain chainId="204a88d1e88c8847b2d0afea4c006d4939247e18">
          <item id="b00557e6618e3ef77b4a1c0a46e3918ff3bd0b72" isNormal="1">
            <s:text>
              <s:r>
                <s:t xml:space="preserve">Administrator:
1003731 1/6 960pcs B4楼C5区</s:t>
              </s:r>
            </s:text>
          </item>
        </commentChain>
      </unresolved>
      <resolved/>
    </commentChains>
    <commentChains s:ref="AI166" rgbClr="FF0000">
      <unresolved>
        <commentChain chainId="4b90b02a78e7269fcdca81c63504db13b1f177f5">
          <item id="c1a0dec4335d4dc4e6cb0a76991ce16f948d23fd" isNormal="1">
            <s:text>
              <s:r>
                <s:t xml:space="preserve">Administrator:
12/8 上客供RFID贴纸 960pcs</s:t>
              </s:r>
            </s:text>
          </item>
        </commentChain>
      </unresolved>
      <resolved/>
    </commentChains>
    <commentChains s:ref="AF167" rgbClr="FF0000">
      <unresolved>
        <commentChain chainId="65ca37db472ee52bbe6da18c82086c3a8805f63d">
          <item id="8a87ba7ddb56231e4f27942efeb694d113921a9b" isNormal="1">
            <s:text>
              <s:r>
                <s:t xml:space="preserve">Administrator:
1003731 1/6 960pcs B4楼C5区</s:t>
              </s:r>
            </s:text>
          </item>
        </commentChain>
      </unresolved>
      <resolved/>
    </commentChains>
    <commentChains s:ref="AI167" rgbClr="FF0000">
      <unresolved>
        <commentChain chainId="647ffc8259dd64f8a198b3945faf78a4cf124047">
          <item id="a6e92e8fa1b00128c86ddb1f285c25a9b651a03a" isNormal="1">
            <s:text>
              <s:r>
                <s:t xml:space="preserve">Administrator:
12/8 上客供RFID贴纸 960pcs</s:t>
              </s:r>
            </s:text>
          </item>
        </commentChain>
      </unresolved>
      <resolved/>
    </commentChains>
    <commentChains s:ref="AF168" rgbClr="FF0000">
      <unresolved>
        <commentChain chainId="7b629716bf8c886fb67a31df380bc64d2ab8a069">
          <item id="8400404c148ba05321f0a44059c83a247b55c0b5" isNormal="1">
            <s:text>
              <s:r>
                <s:t xml:space="preserve">Administrator:
1003731 1/6 960pcs B4楼B9区</s:t>
              </s:r>
            </s:text>
          </item>
        </commentChain>
      </unresolved>
      <resolved/>
    </commentChains>
    <commentChains s:ref="AI168" rgbClr="FF0000">
      <unresolved>
        <commentChain chainId="def301c80fc2da600a8f7156af7da436a9d56d10">
          <item id="3a6eca824aa5d179c9d7e3160d55f3c5c5625afc" isNormal="1">
            <s:text>
              <s:r>
                <s:t xml:space="preserve">Administrator:
12/8 上客供RFID贴纸 960pcs</s:t>
              </s:r>
            </s:text>
          </item>
        </commentChain>
      </unresolved>
      <resolved/>
    </commentChains>
    <commentChains s:ref="AF169" rgbClr="FF0000">
      <unresolved>
        <commentChain chainId="fccbfa69781e4f9e7a9b8e325c8f53eceb8db789">
          <item id="d8f763d0f7cd6cb16db751e5acba9771f620110f" isNormal="1">
            <s:text>
              <s:r>
                <s:t xml:space="preserve">Administrator:
1003731 1/6 960pcs B4楼C5区</s:t>
              </s:r>
            </s:text>
          </item>
        </commentChain>
      </unresolved>
      <resolved/>
    </commentChains>
    <commentChains s:ref="AI169" rgbClr="FF0000">
      <unresolved>
        <commentChain chainId="47ce63c7e8f99a76843eaff468b21fd5f9f71440">
          <item id="0bf9d9d318f254956c63ed906dcf466c125b522f" isNormal="1">
            <s:text>
              <s:r>
                <s:t xml:space="preserve">Administrator:
12/8 上客供RFID贴纸 960pcs</s:t>
              </s:r>
            </s:text>
          </item>
        </commentChain>
      </unresolved>
      <resolved/>
    </commentChains>
    <commentChains s:ref="AF170" rgbClr="FF0000">
      <unresolved>
        <commentChain chainId="e437d29f9d333716d62750ef411b0c3c9adb4443">
          <item id="08de95dc9d2745860b164efce814980c812966f7" isNormal="1">
            <s:text>
              <s:r>
                <s:t xml:space="preserve">Administrator:
1003731 1/6 960pcs B4楼B1区</s:t>
              </s:r>
            </s:text>
          </item>
        </commentChain>
      </unresolved>
      <resolved/>
    </commentChains>
    <commentChains s:ref="AI170" rgbClr="FF0000">
      <unresolved>
        <commentChain chainId="537082f3c6e09d942e9b823c07772466b6c4f78e">
          <item id="0acb90591685496c293f54c225406c80c50f93a9" isNormal="1">
            <s:text>
              <s:r>
                <s:t xml:space="preserve">Administrator:
12/8 上客供RFID贴纸 960pcs</s:t>
              </s:r>
            </s:text>
          </item>
        </commentChain>
      </unresolved>
      <resolved/>
    </commentChains>
    <commentChains s:ref="AF171" rgbClr="FF0000">
      <unresolved>
        <commentChain chainId="6c6120515de17db621f6c9d819f7cbb2addf1df8">
          <item id="042727a429b0ecb0b68c29044a93d082212adfa5" isNormal="1">
            <s:text>
              <s:r>
                <s:t xml:space="preserve">Administrator:
1001174 1/14 8套空展示架</s:t>
              </s:r>
            </s:text>
          </item>
        </commentChain>
      </unresolved>
      <resolved/>
    </commentChains>
    <commentChains s:ref="AF172" rgbClr="FF0000">
      <unresolved>
        <commentChain chainId="1d16bfd25e6c55d0b8a435d3bb809cd3abeafad3">
          <item id="da1def30c6952b6702da655ebba1ac980e1bbe7b" isNormal="1">
            <s:text>
              <s:r>
                <s:t xml:space="preserve">Administrator:
1001230 1/9 7200pcs B4楼A2区</s:t>
              </s:r>
            </s:text>
          </item>
        </commentChain>
      </unresolved>
      <resolved/>
    </commentChains>
    <commentChains s:ref="AF173" rgbClr="FF0000">
      <unresolved>
        <commentChain chainId="f27d23e8db9d3420482a8425d72d32a98f84728f">
          <item id="9277c7913d6c4274d1b63a12aa5bf39d8586f201" isNormal="1">
            <s:text>
              <s:r>
                <s:t xml:space="preserve">Administrator:
1001230 1/9 800pcs B4楼B8区</s:t>
              </s:r>
            </s:text>
          </item>
        </commentChain>
      </unresolved>
      <resolved/>
    </commentChains>
    <commentChains s:ref="AI173" rgbClr="FF0000">
      <unresolved>
        <commentChain chainId="dea5f46e0957a62d97fe8f716f96aa2aead984e2">
          <item id="bf1e2cab40487d7be14860319ab22e68d99a6795" isNormal="1">
            <s:text>
              <s:r>
                <s:t xml:space="preserve">Administrator:
12/10 上UPC贴纸 800pcs</s:t>
              </s:r>
            </s:text>
          </item>
        </commentChain>
      </unresolved>
      <resolved/>
    </commentChains>
    <commentChains s:ref="AF174" rgbClr="FF0000">
      <unresolved>
        <commentChain chainId="367c9eb8d8d4ddeb45db69212e92f50de612e0cf">
          <item id="0e87f0360c6ae0a67da375bea1d3e36e2c0c4dc2" isNormal="1">
            <s:text>
              <s:r>
                <s:t xml:space="preserve">Administrator:
1003271 1/21 34套散件（3026个球）</s:t>
              </s:r>
            </s:text>
          </item>
        </commentChain>
      </unresolved>
      <resolved/>
    </commentChains>
    <commentChains s:ref="AF175" rgbClr="FF0000">
      <unresolved>
        <commentChain chainId="083748463ace3330da1ae81a76ce4051f2969779">
          <item id="d50770977d8615968fb252818da4f81eb8252eae" isNormal="1">
            <s:text>
              <s:r>
                <s:t xml:space="preserve">Administrator:
1001230 1/9 1200pcs B4楼B8区</s:t>
              </s:r>
            </s:text>
          </item>
        </commentChain>
      </unresolved>
      <resolved/>
    </commentChains>
    <commentChains s:ref="AI175" rgbClr="FF0000">
      <unresolved>
        <commentChain chainId="3f71097002dd8b3ec8cfbb085522d893a0a5e09c">
          <item id="01fc5a0775f0e5d3243a90d8477ab5491aea31e1" isNormal="1">
            <s:text>
              <s:r>
                <s:t xml:space="preserve">Administrator:
12/25 上西班牙环保标贴纸 1200pcs</s:t>
              </s:r>
            </s:text>
          </item>
        </commentChain>
      </unresolved>
      <resolved/>
    </commentChains>
    <commentChains s:ref="AF176" rgbClr="FF0000">
      <unresolved>
        <commentChain chainId="cb1a9666ce506022e840c1d89a091ade00def1a0">
          <item id="7fecf2aeb1ba94e1a1510fd171cc09b1ff524ade" isNormal="1">
            <s:text>
              <s:r>
                <s:t xml:space="preserve">Administrator:
1001184 1/13 12pcs B4楼B1区</s:t>
              </s:r>
            </s:text>
          </item>
        </commentChain>
      </unresolved>
      <resolved/>
    </commentChains>
    <commentChains s:ref="AI176" rgbClr="FF0000">
      <unresolved>
        <commentChain chainId="53671b169cc45590756de785ff14cb85da72f1c6">
          <item id="9a9fc4ef1ab60f748c9480bb97d2b2978b443032" isNormal="1">
            <s:text>
              <s:r>
                <s:t xml:space="preserve">Administrator:
12/23 收到客供亚马逊外箱贴纸 1pcs</s:t>
              </s:r>
            </s:text>
          </item>
        </commentChain>
      </unresolved>
      <resolved/>
    </commentChains>
    <commentChains s:ref="AF177" rgbClr="FF0000">
      <unresolved>
        <commentChain chainId="6ee35960cc70f0ba38b076cc434d8306ffef3bf9">
          <item id="f9d53b778ad21fe97cc8c976ac833babc301886a" isNormal="1">
            <s:text>
              <s:r>
                <s:t xml:space="preserve">Administrator:
1001230 1/9 1200pcs B4楼B3区</s:t>
              </s:r>
            </s:text>
          </item>
        </commentChain>
      </unresolved>
      <resolved/>
    </commentChains>
    <commentChains s:ref="AI177" rgbClr="FF0000">
      <unresolved>
        <commentChain chainId="332c305b381d3e10b0508812722419950b377b98">
          <item id="00b6cd34d02732fc732facadf589cd929f703141" isNormal="1">
            <s:text>
              <s:r>
                <s:t xml:space="preserve">Administrator:
12/22 上西班牙环保标贴纸 1200pcs</s:t>
              </s:r>
            </s:text>
          </item>
        </commentChain>
      </unresolved>
      <resolved/>
    </commentChains>
    <commentChains s:ref="AF178" rgbClr="FF0000">
      <unresolved>
        <commentChain chainId="45efc52c927d1470fba6c1d6ba85cb55e0af84dd">
          <item id="c7677c6f7d2dc95773ff30f58bcd7b86290516a3" isNormal="1">
            <s:text>
              <s:r>
                <s:t xml:space="preserve">Administrator:
1001234 1/10 6930pcs B4楼A6区</s:t>
              </s:r>
            </s:text>
          </item>
        </commentChain>
      </unresolved>
      <resolved/>
    </commentChains>
    <commentChains s:ref="AI178" rgbClr="FF0000">
      <unresolved>
        <commentChain chainId="08de30427e32ea1f0e38e71d5500495cb0077356">
          <item id="62e1c14f95184a43f5d760bc03b8ff92b6fa1f33" isNormal="1">
            <s:text>
              <s:r>
                <s:t xml:space="preserve">Administrator:
12/8 上客供RFID贴纸 6930pcs</s:t>
              </s:r>
            </s:text>
          </item>
        </commentChain>
      </unresolved>
      <resolved/>
    </commentChains>
    <commentChains s:ref="AF179" rgbClr="FF0000">
      <unresolved>
        <commentChain chainId="aa663e02c018c3935b9b2a89a4190dc4a0aad5b0">
          <item id="e5e6a90bde368e167a740f1620b41318900a4d1a" isNormal="1">
            <s:text>
              <s:r>
                <s:t xml:space="preserve">Administrator:
1001184 1/13 960pcs B4楼A3区</s:t>
              </s:r>
            </s:text>
          </item>
        </commentChain>
      </unresolved>
      <resolved/>
    </commentChains>
    <commentChains s:ref="AI179" rgbClr="FF0000">
      <unresolved>
        <commentChain chainId="18984e55167c98df0148a35be99583276d6f98ca">
          <item id="c758d2f5fbd2b48c66a106ca5feaa229862087b6" isNormal="1">
            <s:text>
              <s:r>
                <s:t xml:space="preserve">Administrator:
12/8 上客供RFID贴纸 960pcs</s:t>
              </s:r>
            </s:text>
          </item>
        </commentChain>
      </unresolved>
      <resolved/>
    </commentChains>
    <commentChains s:ref="AF180" rgbClr="FF0000">
      <unresolved>
        <commentChain chainId="9a3e6b639d06cf306812ac0bfdac756a121bb348">
          <item id="3781d9a61d60df1bea666eb3add543bdf243dec4" isNormal="1">
            <s:text>
              <s:r>
                <s:t xml:space="preserve">Administrator:
1001191 1/13 1500pcs B4楼A2区</s:t>
              </s:r>
            </s:text>
          </item>
        </commentChain>
      </unresolved>
      <resolved/>
    </commentChains>
    <commentChains s:ref="AI180" rgbClr="FF0000">
      <unresolved>
        <commentChain chainId="777d16965457bb79b4d024cf4f0bd026c116363c">
          <item id="b9016ae450e670bcc62c19b1b6d739ef328cf52f" isNormal="1">
            <s:text>
              <s:r>
                <s:t xml:space="preserve">Administrator:
1/9 上UPC贴纸 1500pcs
    上进口商贴纸 1500pcs</s:t>
              </s:r>
            </s:text>
          </item>
        </commentChain>
      </unresolved>
      <resolved/>
    </commentChains>
    <commentChains s:ref="AF181" rgbClr="FF0000">
      <unresolved>
        <commentChain chainId="dda64f5d4262c83a92fd026d0d27ded0a9636095">
          <item id="e5ee12e5cd0467d959dcc80252f187315cb14f76" isNormal="1">
            <s:text>
              <s:r>
                <s:t xml:space="preserve">Administrator:
1001210 1/10 2730pcs B4楼B4区</s:t>
              </s:r>
            </s:text>
          </item>
        </commentChain>
      </unresolved>
      <resolved/>
    </commentChains>
    <commentChains s:ref="AI181" rgbClr="FF0000">
      <unresolved>
        <commentChain chainId="6ef56a3e0da8f0f4c2a5447c7f69f924866436c0">
          <item id="f6319464da8603c9746fc8c08fc7b9664bccb504" isNormal="1">
            <s:text>
              <s:r>
                <s:t xml:space="preserve">Administrator:
12/8 上客供RFID贴纸 2730pcs</s:t>
              </s:r>
            </s:text>
          </item>
        </commentChain>
      </unresolved>
      <resolved/>
    </commentChains>
    <commentChains s:ref="AF182" rgbClr="FF0000">
      <unresolved>
        <commentChain chainId="95a78f93f6b128768d356a2bddc525f63d4a0420">
          <item id="42d20fa39c47ca53a83579b50457c968ea79f5a1" isNormal="1">
            <s:text>
              <s:r>
                <s:t xml:space="preserve">Administrator:
1001191 1/13 300pcs B4楼A2区</s:t>
              </s:r>
            </s:text>
          </item>
        </commentChain>
      </unresolved>
      <resolved/>
    </commentChains>
    <commentChains s:ref="AI182" rgbClr="FF0000">
      <unresolved>
        <commentChain chainId="09ae8bd735e50bf7ad515aa14d4c5b435331cd35">
          <item id="1b19db7159859d2e9558ceb31322ddb86d4dc03a" isNormal="1">
            <s:text>
              <s:r>
                <s:t xml:space="preserve">Administrator:
12/31 上西班牙环保贴纸 300pcs</s:t>
              </s:r>
            </s:text>
          </item>
        </commentChain>
      </unresolved>
      <resolved/>
    </commentChains>
    <commentChains s:ref="AF183" rgbClr="FF0000">
      <unresolved>
        <commentChain chainId="737efc867df80b2f3edf6e5305e82104da3c6832">
          <item id="74c50f4c595f1ff9618799dbb724c4e5e122e812" isNormal="1">
            <s:text>
              <s:r>
                <s:t xml:space="preserve">Administrator:
1001184 1/13 960pcs B4楼A3区</s:t>
              </s:r>
            </s:text>
          </item>
        </commentChain>
      </unresolved>
      <resolved/>
    </commentChains>
    <commentChains s:ref="AI183" rgbClr="FF0000">
      <unresolved>
        <commentChain chainId="0ba56b9fddd3a97e57139338aca195db1a62aec4">
          <item id="278b0a14df77ebb37c574e809ff923d19daa148a" isNormal="1">
            <s:text>
              <s:r>
                <s:t xml:space="preserve">Administrator:
12/8 上客供RFID贴纸 960pcs</s:t>
              </s:r>
            </s:text>
          </item>
        </commentChain>
      </unresolved>
      <resolved/>
    </commentChains>
    <commentChains s:ref="AF184" rgbClr="FF0000">
      <unresolved>
        <commentChain chainId="3bab043ebef920e359f5a0f278a924efee851877">
          <item id="825f0838f367854c750598f749931d141ef34c5e" isNormal="1">
            <s:text>
              <s:r>
                <s:t xml:space="preserve">Administrator:
1001184 1/13 960pcs B4楼B5区</s:t>
              </s:r>
            </s:text>
          </item>
        </commentChain>
      </unresolved>
      <resolved/>
    </commentChains>
    <commentChains s:ref="AI184" rgbClr="FF0000">
      <unresolved>
        <commentChain chainId="9db0142adaec253033f37a1f9f5092e13ea761c1">
          <item id="2e4c03c6a9e9cb9ef2c8b7c8e0e1f7151e80ac90" isNormal="1">
            <s:text>
              <s:r>
                <s:t xml:space="preserve">Administrator:
12/15 上客供RFID贴纸 960pcs</s:t>
              </s:r>
            </s:text>
          </item>
        </commentChain>
      </unresolved>
      <resolved/>
    </commentChains>
    <commentChains s:ref="AF185" rgbClr="FF0000">
      <unresolved>
        <commentChain chainId="d74e086c9b844364868cc32395bc2ff4b535d447">
          <item id="5ffca693bb4e15f644f39862ba38ee724d417bb8" isNormal="1">
            <s:text>
              <s:r>
                <s:t xml:space="preserve">Administrator:
1001184 1/13 960pcs B4楼B5区</s:t>
              </s:r>
            </s:text>
          </item>
        </commentChain>
      </unresolved>
      <resolved/>
    </commentChains>
    <commentChains s:ref="AI185" rgbClr="FF0000">
      <unresolved>
        <commentChain chainId="ec475ef516959403cd862f37020d2e1dc604e3f5">
          <item id="134d2afcb86d45bc659f42cdf6757b16993d3033" isNormal="1">
            <s:text>
              <s:r>
                <s:t xml:space="preserve">Administrator:
12/15 上客供RFID贴纸 960pcs</s:t>
              </s:r>
            </s:text>
          </item>
        </commentChain>
      </unresolved>
      <resolved/>
    </commentChains>
    <commentChains s:ref="AF186" rgbClr="FF0000">
      <unresolved>
        <commentChain chainId="f7ccc9710f21f3e87801cb63c785a8eed2a63331">
          <item id="8461bf90e58727dde2b1749ac6114724aa25e44f" isNormal="1">
            <s:text>
              <s:r>
                <s:t xml:space="preserve">Administrator:
1001028 1/19 2500pcs 华兴一F3</s:t>
              </s:r>
            </s:text>
          </item>
        </commentChain>
      </unresolved>
      <resolved/>
    </commentChains>
    <commentChains s:ref="AI186" rgbClr="FF0000">
      <unresolved>
        <commentChain chainId="cb8ff7ac5fafa23fe381127d29e3d3a86897188d">
          <item id="60f0b76d963c0d8dbca9ef7ac03e62a00e9df878" isNormal="1">
            <s:text>
              <s:r>
                <s:t xml:space="preserve">Administrator:
12/27 上进口商贴纸 2500pcs
      上UPC贴纸 2500pcs</s:t>
              </s:r>
            </s:text>
          </item>
        </commentChain>
      </unresolved>
      <resolved/>
    </commentChains>
    <commentChains s:ref="AF187" rgbClr="FF0000">
      <unresolved>
        <commentChain chainId="17f55276bff7f5fbd48867170f987135411c4524">
          <item id="0989b5894942cd5be72ce399f4c77fdb6600cb97" isNormal="1">
            <s:text>
              <s:r>
                <s:t xml:space="preserve">Administrator:
1000996 1/17 1859pcs B4楼B9区</s:t>
              </s:r>
            </s:text>
          </item>
        </commentChain>
      </unresolved>
      <resolved/>
    </commentChains>
    <commentChains s:ref="AF188" rgbClr="FF0000">
      <unresolved>
        <commentChain chainId="1d32797350aec893b43440b4b170820c5620627b">
          <item id="662158982a7b8206b407baae7de0137c871c169c" isNormal="1">
            <s:text>
              <s:r>
                <s:t xml:space="preserve">Administrator:
1001264 1/23 2080pcs B4楼A2区</s:t>
              </s:r>
            </s:text>
          </item>
        </commentChain>
      </unresolved>
      <resolved/>
    </commentChains>
    <commentChains s:ref="AI188" rgbClr="FF0000">
      <unresolved>
        <commentChain chainId="c5c862edceff9a1cbb60d1f198cbaca2970d19f8">
          <item id="0530cbf29f189c8f4563b8f8996de16b46b26c14" isNormal="1">
            <s:text>
              <s:r>
                <s:t xml:space="preserve">Administrator:
1/7 上警语贴纸 2080pcs
1/13 上客供价格贴纸 2080pcs
1/29 收到警语贴纸 2080pcs-返工用
1/29 收到客供价格贴纸 2080pcs-返工用
</s:t>
              </s:r>
            </s:text>
          </item>
        </commentChain>
      </unresolved>
      <resolved/>
    </commentChains>
    <commentChains s:ref="AF189" rgbClr="FF0000">
      <unresolved>
        <commentChain chainId="858a9b5dda4fbeed7dcfbff6c503d9e8042c36ac">
          <item id="3a4407872e1d10af5505a7e6d1e8ae0427e5c60e" isNormal="1">
            <s:text>
              <s:r>
                <s:t xml:space="preserve">Administrator:
1001283 1/27 312pcs B4楼A4区</s:t>
              </s:r>
            </s:text>
          </item>
        </commentChain>
      </unresolved>
      <resolved/>
    </commentChains>
    <commentChains s:ref="AI189" rgbClr="FF0000">
      <unresolved>
        <commentChain chainId="66b0a47e3ee119466c65aaf06e1ba15ac4b6dc16">
          <item id="af2c0ab79b122da8b681477d9c06b743f429c5af" isNormal="1">
            <s:text>
              <s:r>
                <s:t xml:space="preserve">Administrator:
1/14 上进口商贴纸 312pcs
     上条码贴纸 312pcs</s:t>
              </s:r>
            </s:text>
          </item>
        </commentChain>
      </unresolved>
      <resolved/>
    </commentChains>
    <commentChains s:ref="AF190" rgbClr="FF0000">
      <unresolved>
        <commentChain chainId="c5b8a477c9653b3916d2d98c9687462f97095b3a">
          <item id="015e271b94f550de851d304f3f817416ae27e646" isNormal="1">
            <s:text>
              <s:r>
                <s:t xml:space="preserve">Administrator:
1001283 1/27 750pcs B4楼A4区
退回返工
1001126 1/31 750pcs B4楼B10区</s:t>
              </s:r>
            </s:text>
          </item>
        </commentChain>
      </unresolved>
      <resolved/>
    </commentChains>
    <commentChains s:ref="AI190" rgbClr="FF0000">
      <unresolved>
        <commentChain chainId="b22d7351f33088dbd095aa83620f9515cd1b270e">
          <item id="f3c0e9590811bb194dc993012652177e19651996" isNormal="1">
            <s:text>
              <s:r>
                <s:t xml:space="preserve">Administrator:
1/12 上UPC贴纸 5450pcs
189203/188248/189691/188307/190234共用</s:t>
              </s:r>
            </s:text>
          </item>
        </commentChain>
      </unresolved>
      <resolved/>
    </commentChains>
    <commentChains s:ref="AF191" rgbClr="FF0000">
      <unresolved>
        <commentChain chainId="7968307e6c8a6b7b3612508d359230f8f12ac411">
          <item id="73fe93cb030336b5367f08edd0c86e8adfbd5676" isNormal="1">
            <s:text>
              <s:r>
                <s:t xml:space="preserve">Administrator:
1000996 1/17 600pcs B4楼B5区
退回返工
1001126 1/31 600pcs B4楼C10区</s:t>
              </s:r>
            </s:text>
          </item>
        </commentChain>
      </unresolved>
      <resolved/>
    </commentChains>
    <commentChains s:ref="AI191" rgbClr="FF0000">
      <unresolved>
        <commentChain chainId="f58af8342f41d7f5ef8b3e2c4a815e668baf19fa">
          <item id="99118f05f84df8f12889bfeb19850b960ad1ddaf" isNormal="1">
            <s:text>
              <s:r>
                <s:t xml:space="preserve">Administrator:
1/12 上UPC贴纸 5450pcs
189203/188248/189691/188307/190234共用</s:t>
              </s:r>
            </s:text>
          </item>
        </commentChain>
      </unresolved>
      <resolved/>
    </commentChains>
    <commentChains s:ref="AF192" rgbClr="FF0000">
      <unresolved>
        <commentChain chainId="17cb35e492808e5f70b3bf13a13c083dadb7ef29">
          <item id="be42463863164ade4e99f81788c9e13d20962238" isNormal="1">
            <s:text>
              <s:r>
                <s:t xml:space="preserve">Administrator:
1001283 1/27 600pcs B4楼A4区</s:t>
              </s:r>
            </s:text>
          </item>
        </commentChain>
      </unresolved>
      <resolved/>
    </commentChains>
    <commentChains s:ref="AI192" rgbClr="FF0000">
      <unresolved>
        <commentChain chainId="85ec4056504ccb0d95c306b6681f6d7a656bb32b">
          <item id="ddb04cb5ff43643ff9b1b4767aebfabf8e7c411d" isNormal="1">
            <s:text>
              <s:r>
                <s:t xml:space="preserve">Administrator:
1/12 上UPC贴纸 5450pcs
189203/188248/189691/188307/190234共用</s:t>
              </s:r>
            </s:text>
          </item>
        </commentChain>
      </unresolved>
      <resolved/>
    </commentChains>
    <commentChains s:ref="AF193" rgbClr="FF0000">
      <unresolved>
        <commentChain chainId="a7292e1b1b73416d9cb245f9f8f060d9b6dd4b78">
          <item id="ca438ad84bb6ce4666abeba1e657649ac718779e" isNormal="1">
            <s:text>
              <s:r>
                <s:t xml:space="preserve">Administrator:
1001028 1/19 3000pcs华兴三B17
退回返工
1001126 1/31 3000pcs B4楼B10区</s:t>
              </s:r>
            </s:text>
          </item>
        </commentChain>
      </unresolved>
      <resolved/>
    </commentChains>
    <commentChains s:ref="AI193" rgbClr="FF0000">
      <unresolved>
        <commentChain chainId="0b2a2656c3a36fc95ad0fc106407ef8f4d029673">
          <item id="58a96f5a3ce656d99c84afa394b3d502b823925b" isNormal="1">
            <s:text>
              <s:r>
                <s:t xml:space="preserve">Administrator:
1/12 上UPC贴纸 5450pcs
189203/188248/189691/188307/190234共用</s:t>
              </s:r>
            </s:text>
          </item>
        </commentChain>
      </unresolved>
      <resolved/>
    </commentChains>
    <commentChains s:ref="AF194" rgbClr="FF0000">
      <unresolved>
        <commentChain chainId="1b115cf3edce397eb270d4b51ad02567c99b07e1">
          <item id="cb62d332c1dba4ab9d3b57273152b7f4e27c8f6e" isNormal="1">
            <s:text>
              <s:r>
                <s:t xml:space="preserve">Administrator:
1000996 1/17 500pcs B4楼B5区
退回返工
1001126 1/31 500pcs B4楼C10区</s:t>
              </s:r>
            </s:text>
          </item>
        </commentChain>
      </unresolved>
      <resolved/>
    </commentChains>
    <commentChains s:ref="AI194" rgbClr="FF0000">
      <unresolved>
        <commentChain chainId="d82b6ae61308734dba7d1ae17a1a7ef97215a395">
          <item id="e3cecfedb2b59265a52bb0811e7bd398b8687138" isNormal="1">
            <s:text>
              <s:r>
                <s:t xml:space="preserve">Administrator:
1/12 上UPC贴纸 5450pcs
189203/188248/189691/188307/190234共用</s:t>
              </s:r>
            </s:text>
          </item>
        </commentChain>
      </unresolved>
      <resolved/>
    </commentChains>
    <commentChains s:ref="AF195" rgbClr="FF0000">
      <unresolved>
        <commentChain chainId="77c8ea4155ba3a9c005451f32ad3a4d466ab5de7">
          <item id="42ad96d6bd58cb3cbe4b3f12c47b6bfc23df774c" isNormal="1">
            <s:text>
              <s:r>
                <s:t xml:space="preserve">Administrator:
1001283 1/27 442pcs B4楼A4区</s:t>
              </s:r>
            </s:text>
          </item>
        </commentChain>
      </unresolved>
      <resolved/>
    </commentChains>
    <commentChains s:ref="AI195" rgbClr="FF0000">
      <unresolved>
        <commentChain chainId="454756878563621175e93f612e69d461e60620da">
          <item id="21fd69124acbded7fac5f84d7a28e429a495decd" isNormal="1">
            <s:text>
              <s:r>
                <s:t xml:space="preserve">Administrator:
1/5 上进口商贴纸 442pcs
1/15 上UPC贴纸 442pcs</s:t>
              </s:r>
            </s:text>
          </item>
        </commentChain>
      </unresolved>
      <resolved/>
    </commentChains>
    <commentChains s:ref="AF196" rgbClr="FF0000">
      <unresolved>
        <commentChain chainId="6d4ff6c2f5307e57a43a96d11380bee8a95aa26d">
          <item id="d81c64105cc89cea390c6b0d1123122ba6f95bb8" isNormal="1">
            <s:text>
              <s:r>
                <s:t xml:space="preserve">Administrator:
1001298 1/29 1500pcs B4楼C10区</s:t>
              </s:r>
            </s:text>
          </item>
        </commentChain>
      </unresolved>
      <resolved/>
    </commentChains>
    <commentChains s:ref="AI196" rgbClr="FF0000">
      <unresolved>
        <commentChain chainId="4256f33d91246e2a9f05900b9ea1d04d20dac1a4">
          <item id="fc5e79f5f1400adc53730833ce4178092bf0a37e" isNormal="1">
            <s:text>
              <s:r>
                <s:t xml:space="preserve">Administrator:
1/12 上进口商贴纸 1500pcs
     上UPC贴纸 1500pcs</s:t>
              </s:r>
            </s:text>
          </item>
        </commentChain>
      </unresolved>
      <resolved/>
    </commentChains>
    <commentChains s:ref="AF197" rgbClr="FF0000">
      <unresolved>
        <commentChain chainId="d7af3fdcad482cb2363cc5a2a0a1dc423265ee8b">
          <item id="11e35fa9c2a0895d98a6414205d3c6974acb01c0" isNormal="1">
            <s:text>
              <s:r>
                <s:t xml:space="preserve">Administrator:
1001113 1/30 4000pcs B4楼A8区</s:t>
              </s:r>
            </s:text>
          </item>
        </commentChain>
      </unresolved>
      <resolved/>
    </commentChains>
    <commentChains s:ref="AI197" rgbClr="FF0000">
      <unresolved>
        <commentChain chainId="0d7ba8a21e892cbd51a89958bc62c5ccbbc4744f">
          <item id="4222010d50fa165b2831c4ab7f62674b8dcbede3" isNormal="1">
            <s:text>
              <s:r>
                <s:t xml:space="preserve">Administrator:
1/19 上进口商贴纸 4000pcs
     上UPC贴纸 4000pcs</s:t>
              </s:r>
            </s:text>
          </item>
        </commentChain>
      </unresolved>
      <resolved/>
    </commentChains>
    <commentChains s:ref="AF198" rgbClr="FF0000">
      <unresolved>
        <commentChain chainId="29a95f7b52294e42de61548c2553607d8b927928">
          <item id="74347142fd79cf77f45c462d2eaf948c02850265" isNormal="1">
            <s:text>
              <s:r>
                <s:t xml:space="preserve">Administrator:
1001114 1/30 960pcs B4楼B9区</s:t>
              </s:r>
            </s:text>
          </item>
        </commentChain>
      </unresolved>
      <resolved/>
    </commentChains>
    <commentChains s:ref="AI198" rgbClr="FF0000">
      <unresolved>
        <commentChain chainId="dcf700a9388cdba360161285fc2bfdd961547173">
          <item id="b2f1b3c6c09aaf36f68751289e6ff75d536a5dda" isNormal="1">
            <s:text>
              <s:r>
                <s:t xml:space="preserve">Administrator:
1/5 上客供RFID贴纸 960pcs</s:t>
              </s:r>
            </s:text>
          </item>
        </commentChain>
      </unresolved>
      <resolved/>
    </commentChains>
    <commentChains s:ref="AF199" rgbClr="FF0000">
      <unresolved>
        <commentChain chainId="504a34c0a0d33a7cbf9f0a9140783eb077f988a8">
          <item id="0aa32a79c3c2e976941ed87044ab2917013dd793" isNormal="1">
            <s:text>
              <s:r>
                <s:t xml:space="preserve">Administrator:
1001113 1/30 960pcs B4楼B9区</s:t>
              </s:r>
            </s:text>
          </item>
        </commentChain>
      </unresolved>
      <resolved/>
    </commentChains>
    <commentChains s:ref="AI199" rgbClr="FF0000">
      <unresolved>
        <commentChain chainId="7b9e3ccc21d2b1d8f13ab5dab0e9989dd236043a">
          <item id="a211c33ad2c9a5339717bb42a4c0bc296629d632" isNormal="1">
            <s:text>
              <s:r>
                <s:t xml:space="preserve">Administrator:
1/5 上客供RFID贴纸 960pcs</s:t>
              </s:r>
            </s:text>
          </item>
        </commentChain>
      </unresolved>
      <resolved/>
    </commentChains>
    <commentChains s:ref="AF200" rgbClr="FF0000">
      <unresolved>
        <commentChain chainId="b836ac83b3317e098760465b5ebe60263f83a7bc">
          <item id="0609ba4a8d9ec57f0d1d2996142dcdaed85951ac" isNormal="1">
            <s:text>
              <s:r>
                <s:t xml:space="preserve">Administrator:
1001113 1/30 960pcs B4楼B9区</s:t>
              </s:r>
            </s:text>
          </item>
        </commentChain>
      </unresolved>
      <resolved/>
    </commentChains>
    <commentChains s:ref="AI200" rgbClr="FF0000">
      <unresolved>
        <commentChain chainId="d123fcfdd3a3c8426a65d7249242cf5959e3d45e">
          <item id="821dce07fb5ca64fe97b57ee5bab8742faf975fb" isNormal="1">
            <s:text>
              <s:r>
                <s:t xml:space="preserve">Administrator:
1/5 上客供RFID贴纸 960pcs</s:t>
              </s:r>
            </s:text>
          </item>
        </commentChain>
      </unresolved>
      <resolved/>
    </commentChains>
    <commentChains s:ref="AF201" rgbClr="FF0000">
      <unresolved>
        <commentChain chainId="2c2650c6015a3b78b917d15134da91303803d650">
          <item id="f9f10221601aeed4067a6c809924cc7c97747eb9" isNormal="1">
            <s:text>
              <s:r>
                <s:t xml:space="preserve">Administrator:
1001114 1/30 960pcs B4楼B9区</s:t>
              </s:r>
            </s:text>
          </item>
        </commentChain>
      </unresolved>
      <resolved/>
    </commentChains>
    <commentChains s:ref="AI201" rgbClr="FF0000">
      <unresolved>
        <commentChain chainId="6d56c7442b302184714cdc526090b57dfcc8622a">
          <item id="f4575a3019cf2fdfbc90a75259a7d5d5e8dd001e" isNormal="1">
            <s:text>
              <s:r>
                <s:t xml:space="preserve">Administrator:
1/5 上客供RFID贴纸 960pcs</s:t>
              </s:r>
            </s:text>
          </item>
        </commentChain>
      </unresolved>
      <resolved/>
    </commentChains>
    <commentChains s:ref="AF202" rgbClr="FF0000">
      <unresolved>
        <commentChain chainId="b4ebf0d517b1435f7ab323e836ab46bbc1ddbe35">
          <item id="814346d2a31682c624d946c55d403bdd213ceb7a" isNormal="1">
            <s:text>
              <s:r>
                <s:t xml:space="preserve">Administrator:
1001114 1/30 960pcs B4楼B9区</s:t>
              </s:r>
            </s:text>
          </item>
        </commentChain>
      </unresolved>
      <resolved/>
    </commentChains>
    <commentChains s:ref="AI202" rgbClr="FF0000">
      <unresolved>
        <commentChain chainId="69cb8657171da8ab28ad659b7723ba396f38a949">
          <item id="ff127e8f7fb378dc8dd853e4e6bf2b767a8ae6e2" isNormal="1">
            <s:text>
              <s:r>
                <s:t xml:space="preserve">Administrator:
1/5 上客供RFID贴纸 960pcs</s:t>
              </s:r>
            </s:text>
          </item>
        </commentChain>
      </unresolved>
      <resolved/>
    </commentChains>
    <commentChains s:ref="AF203" rgbClr="FF0000">
      <unresolved>
        <commentChain chainId="37d57b19b01f219afd1a708445ee361ef7c67e43">
          <item id="7f87fd6c944e3e5077f7e835869ca44193c3b87f" isNormal="1">
            <s:text>
              <s:r>
                <s:t xml:space="preserve">Administrator:
1001113 1/30 960pcs B4楼B9区</s:t>
              </s:r>
            </s:text>
          </item>
        </commentChain>
      </unresolved>
      <resolved/>
    </commentChains>
    <commentChains s:ref="AI203" rgbClr="FF0000">
      <unresolved>
        <commentChain chainId="4eeec2c9c9fa8e4dd71a3b851c58fe8a85cf19d6">
          <item id="54634bf6900126faa2a6753116a4ca768e1b91ad" isNormal="1">
            <s:text>
              <s:r>
                <s:t xml:space="preserve">Administrator:
1/5 上客供RFID贴纸 960pcs</s:t>
              </s:r>
            </s:text>
          </item>
        </commentChain>
      </unresolved>
      <resolved/>
    </commentChains>
    <commentChains s:ref="AF204" rgbClr="FF0000">
      <unresolved>
        <commentChain chainId="2b9374509577d1e53ed1ddcc4a8990c02c3472e8">
          <item id="fa2b3aa7891c28169be91ea1985a50524ad49a6a" isNormal="1">
            <s:text>
              <s:r>
                <s:t xml:space="preserve">Administrator:
1001148 2/3 504pcs B4楼B1区</s:t>
              </s:r>
            </s:text>
          </item>
        </commentChain>
      </unresolved>
      <resolved/>
    </commentChains>
    <commentChains s:ref="AI204" rgbClr="FF0000">
      <unresolved>
        <commentChain chainId="20318e83a6200bd09c6afd77820a085fb8fe09f9">
          <item id="1bb90fa51bbe12e779666c38ae54e857f6d10879" isNormal="1">
            <s:text>
              <s:r>
                <s:t xml:space="preserve">Administrator:
12/31 上环保标贴纸 504pcs
1/26 上亚马逊外箱贴纸 42pcs</s:t>
              </s:r>
            </s:text>
          </item>
        </commentChain>
      </unresolved>
      <resolved/>
    </commentChains>
    <commentChains s:ref="AF205" rgbClr="FF0000">
      <unresolved>
        <commentChain chainId="63668e7d4e529adc89cd2ef0000614af96e5acc8">
          <item id="877812be1942b2017c672fb4bbfd984c37d839b1" isNormal="1">
            <s:text>
              <s:r>
                <s:t xml:space="preserve">Administrator:
1001113 1/30 960pcs B4楼B9区</s:t>
              </s:r>
            </s:text>
          </item>
        </commentChain>
      </unresolved>
      <resolved/>
    </commentChains>
    <commentChains s:ref="AI205" rgbClr="FF0000">
      <unresolved>
        <commentChain chainId="bf70d3d2d7d81039776fd58660ce9acf7fa2a413">
          <item id="2f4371d1956212fa9f7d6e248a923ee8f056f822" isNormal="1">
            <s:text>
              <s:r>
                <s:t xml:space="preserve">Administrator:
1/5 上客供RFID贴纸 960pcs</s:t>
              </s:r>
            </s:text>
          </item>
        </commentChain>
      </unresolved>
      <resolved/>
    </commentChains>
    <commentChains s:ref="AF206" rgbClr="FF0000">
      <unresolved>
        <commentChain chainId="92527a79561a598114afa7468aaa62e0236f5a2c">
          <item id="2051547e8ca2c0264c0da1fe5cef2dcc185b75e8" isNormal="1">
            <s:text>
              <s:r>
                <s:t xml:space="preserve">Administrator:
1001113 1/30 960pcs B4楼B9区</s:t>
              </s:r>
            </s:text>
          </item>
        </commentChain>
      </unresolved>
      <resolved/>
    </commentChains>
    <commentChains s:ref="AI206" rgbClr="FF0000">
      <unresolved>
        <commentChain chainId="72a33be7eff00e83ee9cf939bb7cee59d6e3754a">
          <item id="7160f813a08b3d29b39fef52fdad8cb9a4b32e1f" isNormal="1">
            <s:text>
              <s:r>
                <s:t xml:space="preserve">Administrator:
1/5 上客供RFID贴纸 960pcs</s:t>
              </s:r>
            </s:text>
          </item>
        </commentChain>
      </unresolved>
      <resolved/>
    </commentChains>
    <commentChains s:ref="AF207" rgbClr="FF0000">
      <unresolved>
        <commentChain chainId="ab3c9949bcecfa8caeb5340cac34880e861e9a05">
          <item id="d977652dab9698add04a9a288dc462b2cd009a97" isNormal="1">
            <s:text>
              <s:r>
                <s:t xml:space="preserve">Administrator:
1001111 1/29 1508pcs B4楼A10区</s:t>
              </s:r>
            </s:text>
          </item>
        </commentChain>
      </unresolved>
      <resolved/>
    </commentChains>
    <commentChains s:ref="AI207" rgbClr="FF0000">
      <unresolved>
        <commentChain chainId="120e94ff77a3774726eb6406615f1f4dab9fe86e">
          <item id="892f9f080870ba7b0703956afc7afbad6e14ee76" isNormal="1">
            <s:text>
              <s:r>
                <s:t xml:space="preserve">Administrator:
1/13 上白色防盗贴纸 1508pcs
1/26 上KM外箱贴纸 116pcs</s:t>
              </s:r>
            </s:text>
          </item>
        </commentChain>
      </unresolved>
      <resolved/>
    </commentChains>
    <commentChains s:ref="AF208" rgbClr="FF0000">
      <unresolved>
        <commentChain chainId="a0a978d8158771a3da3ade70d2d66c6e84cab4bb">
          <item id="5b2b10596913d914ca9abdb81014e964d48beaf1" isNormal="1">
            <s:text>
              <s:r>
                <s:t xml:space="preserve">Administrator:
1001155 2/9 1250pcs 华兴三A32</s:t>
              </s:r>
            </s:text>
          </item>
        </commentChain>
      </unresolved>
      <resolved/>
    </commentChains>
    <commentChains s:ref="AI208" rgbClr="FF0000">
      <unresolved>
        <commentChain chainId="f1f33e1e9a4779d3c39da567bbdd067947b2b8f1">
          <item id="3efe7def99c6e32698266ea01f5639df0cb2c082" isNormal="1">
            <s:text>
              <s:r>
                <s:t xml:space="preserve">Administrator:
1/21 上进口商贴纸1250pcs
      价标贴纸1250pcs
2/3 上客供mu贴纸（条码贴） 25pcs
    上客供ASN贴纸 25pcs</s:t>
              </s:r>
            </s:text>
          </item>
        </commentChain>
      </unresolved>
      <resolved/>
    </commentChains>
    <commentChains s:ref="AF209" rgbClr="FF0000">
      <unresolved>
        <commentChain chainId="2363ec621ca561b118c0b633dcef6f9901909b03">
          <item id="288d7f211fd7ea6d7c5182a0c4b3ea57903a6078" isNormal="1">
            <s:text>
              <s:r>
                <s:t xml:space="preserve">Administrator:
1001124 1/31 960pcs B4楼B9区</s:t>
              </s:r>
            </s:text>
          </item>
        </commentChain>
      </unresolved>
      <resolved/>
    </commentChains>
    <commentChains s:ref="AI209" rgbClr="FF0000">
      <unresolved>
        <commentChain chainId="83bb56b6fe3319abd163e919807a643ec5e7478e">
          <item id="81e7d42f030b9cb7286eb032205a011d974dac15" isNormal="1">
            <s:text>
              <s:r>
                <s:t xml:space="preserve">Administrator:
1/26 上客供RFID贴纸 960pcs</s:t>
              </s:r>
            </s:text>
          </item>
        </commentChain>
      </unresolved>
      <resolved/>
    </commentChains>
    <commentChains s:ref="AF210" rgbClr="FF0000">
      <unresolved>
        <commentChain chainId="3fbf93746bff90459886847682a4293de7f4b64e">
          <item id="a7a89fe0e770c5b97c1d4cfc066ab865a98f922d" isNormal="1">
            <s:text>
              <s:r>
                <s:t xml:space="preserve">Administrator:
1001124 1/31 960pcs B4楼B9区</s:t>
              </s:r>
            </s:text>
          </item>
        </commentChain>
      </unresolved>
      <resolved/>
    </commentChains>
    <commentChains s:ref="AI210" rgbClr="FF0000">
      <unresolved>
        <commentChain chainId="4a462b52f19676345d010c8172248c9431bf0e9a">
          <item id="bad932b5bf14b6f6a70441aa450ea71d991d9d3d" isNormal="1">
            <s:text>
              <s:r>
                <s:t xml:space="preserve">Administrator:
1/26 上客供RFID贴纸 960pcs</s:t>
              </s:r>
            </s:text>
          </item>
        </commentChain>
      </unresolved>
      <resolved/>
    </commentChains>
    <commentChains s:ref="AF211" rgbClr="FF0000">
      <unresolved>
        <commentChain chainId="e6422d4f374a5b70a74967fee061c59f721d8adb">
          <item id="4c8f7bb9ef59cf95c767977e27b23d8e27243294" isNormal="1">
            <s:text>
              <s:r>
                <s:t xml:space="preserve">Administrator:
1001124 1/31 960pcs B4楼B9区</s:t>
              </s:r>
            </s:text>
          </item>
        </commentChain>
      </unresolved>
      <resolved/>
    </commentChains>
    <commentChains s:ref="AI211" rgbClr="FF0000">
      <unresolved>
        <commentChain chainId="24f54ab3a458435bec28404ad3165f65e88a6da9">
          <item id="c6447a111a60e085b5740367ae83c8475ddc3396" isNormal="1">
            <s:text>
              <s:r>
                <s:t xml:space="preserve">Administrator:
1/26 上客供RFID贴纸 960pcs</s:t>
              </s:r>
            </s:text>
          </item>
        </commentChain>
      </unresolved>
      <resolved/>
    </commentChains>
    <commentChains s:ref="AF212" rgbClr="FF0000">
      <unresolved>
        <commentChain chainId="ec1ace269c714e17f8fec5a1cb3293e99820c28e">
          <item id="556e737e96a9c6c6a70ea97a90df37ea8e3e78ca" isNormal="1">
            <s:text>
              <s:r>
                <s:t xml:space="preserve">Administrator:
1001153 2/7 6000pcs B4楼C7区</s:t>
              </s:r>
            </s:text>
          </item>
        </commentChain>
      </unresolved>
      <resolved/>
    </commentChains>
    <commentChains s:ref="AI212" rgbClr="FF0000">
      <unresolved>
        <commentChain chainId="53470f6fea2168df0e5d32a6360f2dc29e2faceb">
          <item id="23d13f4896f36edbd0ed440de66fd41457e4938e" isNormal="1">
            <s:text>
              <s:r>
                <s:t xml:space="preserve">Administrator:
1/26 上空白贴纸 12000pcs</s:t>
              </s:r>
            </s:text>
          </item>
        </commentChain>
      </unresolved>
      <resolved/>
    </commentChains>
    <commentChains s:ref="AF213" rgbClr="FF0000">
      <unresolved>
        <commentChain chainId="8567a6e016ba187ed2e3f36504ae94e1ab085463">
          <item id="6f0999ac7b01fd7f2037b2a7706d009eb73432b6" isNormal="1">
            <s:text>
              <s:r>
                <s:t xml:space="preserve">Administrator:
1001153 2/7 4404pcs B4楼C7区</s:t>
              </s:r>
            </s:text>
          </item>
        </commentChain>
      </unresolved>
      <resolved/>
    </commentChains>
    <commentChains s:ref="AI213" rgbClr="FF0000">
      <unresolved>
        <commentChain chainId="5c97b1374788ad8dbe9e8b460242c1e19fd4033a">
          <item id="adcb4681f4ca6d843b9a04e50661be874c7b64ef" isNormal="1">
            <s:text>
              <s:r>
                <s:t xml:space="preserve">Administrator:
1/30 上客供亚马逊外箱贴纸 367pcs
1/30 上空白贴纸 8808pcs</s:t>
              </s:r>
            </s:text>
          </item>
        </commentChain>
      </unresolved>
      <resolved/>
    </commentChains>
    <commentChains s:ref="AF214" rgbClr="FF0000">
      <unresolved>
        <commentChain chainId="018c874729d44090223256c9387abc02fda75617">
          <item id="2bafbb8600b273dd1f6d246913a75edd79da061d" isNormal="1">
            <s:text>
              <s:r>
                <s:t xml:space="preserve">Administrator:
1001155 2/9 12pcs 华兴三A32</s:t>
              </s:r>
            </s:text>
          </item>
        </commentChain>
      </unresolved>
      <resolved/>
    </commentChains>
    <commentChains s:ref="AI214" rgbClr="FF0000">
      <unresolved>
        <commentChain chainId="c39e1f0b8c76a432db6366fc274ba4d2b612f6b6">
          <item id="7cea51f88c1469ef6f70a1d06f9d48b567391180" isNormal="1">
            <s:text>
              <s:r>
                <s:t xml:space="preserve">Administrator:
1/26 上空白贴纸 72pcs
1/30 上客供亚马逊外箱贴纸1pcs</s:t>
              </s:r>
            </s:text>
          </item>
        </commentChain>
      </unresolved>
      <resolved/>
    </commentChains>
    <commentChains s:ref="AF215" rgbClr="FF0000">
      <unresolved>
        <commentChain chainId="72fcaa4e23560c1b38bb421e36447a13c50e9e9d">
          <item id="e71b24943e14110b300975d043605c8f16c55e38" isNormal="1">
            <s:text>
              <s:r>
                <s:t xml:space="preserve">Administrator:
1001155 2/9 12pcs 华兴三A32</s:t>
              </s:r>
            </s:text>
          </item>
        </commentChain>
      </unresolved>
      <resolved/>
    </commentChains>
    <commentChains s:ref="AI215" rgbClr="FF0000">
      <unresolved>
        <commentChain chainId="6a6b6abd450f02e54c3141332ee92bdb82f8b874">
          <item id="fb9f37ca5eb543e10e5dba37712012a99c7c7136" isNormal="1">
            <s:text>
              <s:r>
                <s:t xml:space="preserve">Administrator:
1/26 上空白贴纸 72pcs
1/30 上客供亚马逊外箱贴纸1pcs</s:t>
              </s:r>
            </s:text>
          </item>
        </commentChain>
      </unresolved>
      <resolved/>
    </commentChains>
    <commentChains s:ref="AF216" rgbClr="FF0000">
      <unresolved>
        <commentChain chainId="f3fbb4fe423a54db10d712a47180ecf42bdbb74d">
          <item id="e001f3ebeef56d52cfc4bf9e850b9d3f0be240e5" isNormal="1">
            <s:text>
              <s:r>
                <s:t xml:space="preserve">Administrator:
1001155 2/9 12pcs 华兴三A32</s:t>
              </s:r>
            </s:text>
          </item>
        </commentChain>
      </unresolved>
      <resolved/>
    </commentChains>
    <commentChains s:ref="AI216" rgbClr="FF0000">
      <unresolved>
        <commentChain chainId="af47ef67292aa81c768b4dd4610c82d1db116234">
          <item id="53322ae56b554757bf15f0884bbc5a296bff208f" isNormal="1">
            <s:text>
              <s:r>
                <s:t xml:space="preserve">Administrator:
1/26 上空白贴纸 72pcs
1/30 上客供亚马逊外箱贴纸1pcs</s:t>
              </s:r>
            </s:text>
          </item>
        </commentChain>
      </unresolved>
      <resolved/>
    </commentChains>
    <commentChains s:ref="AF217" rgbClr="FF0000">
      <unresolved>
        <commentChain chainId="0658e185265abce21f098162acefe82a5e133c19">
          <item id="d34ebb058d3f6f0c2b9cf28aeef5a4a16b2ff7aa" isNormal="1">
            <s:text>
              <s:r>
                <s:t xml:space="preserve">Administrator:
1001124 1/31 960pcs B4楼B9区</s:t>
              </s:r>
            </s:text>
          </item>
        </commentChain>
      </unresolved>
      <resolved/>
    </commentChains>
    <commentChains s:ref="AI217" rgbClr="FF0000">
      <unresolved>
        <commentChain chainId="935027f26aa755f9f802e6918dfb9e7cbfc498b7">
          <item id="67d92cb3e31ab32fc9947fce06e3999d884eb6bb" isNormal="1">
            <s:text>
              <s:r>
                <s:t xml:space="preserve">Administrator:
1/26 上客供RFID贴纸 960pcs</s:t>
              </s:r>
            </s:text>
          </item>
        </commentChain>
      </unresolved>
      <resolved/>
    </commentChains>
    <commentChains s:ref="AF218" rgbClr="FF0000">
      <unresolved>
        <commentChain chainId="9d4302927516211d9887e631f9c98b2acb15c436">
          <item id="f29bb8e403c8f3dbaccf6a3ad5eb58b930d78ad2" isNormal="1">
            <s:text>
              <s:r>
                <s:t xml:space="preserve">Administrator:
1001141 2/3 960pcs B4楼B1区</s:t>
              </s:r>
            </s:text>
          </item>
        </commentChain>
      </unresolved>
      <resolved/>
    </commentChains>
    <commentChains s:ref="AI218" rgbClr="FF0000">
      <unresolved>
        <commentChain chainId="74577ff5916395ad8b9b482de721e295804d0602">
          <item id="6fa8218f4ab0a7355e0af10663d4171737e17df9" isNormal="1">
            <s:text>
              <s:r>
                <s:t xml:space="preserve">Administrator:
1/26 上客供RFID贴纸 960pcs</s:t>
              </s:r>
            </s:text>
          </item>
        </commentChain>
      </unresolved>
      <resolved/>
    </commentChains>
    <commentChains s:ref="AF219" rgbClr="FF0000">
      <unresolved>
        <commentChain chainId="ab0e43714c1aa610d0a7dac0c5ad65d6c424f5d6">
          <item id="e07e4b389997c66eb889d7e5cf4659d9c9d17a9f" isNormal="1">
            <s:text>
              <s:r>
                <s:t xml:space="preserve">Administrator:
1001124 1/31 960pcs B4楼B9区</s:t>
              </s:r>
            </s:text>
          </item>
        </commentChain>
      </unresolved>
      <resolved/>
    </commentChains>
    <commentChains s:ref="AI219" rgbClr="FF0000">
      <unresolved>
        <commentChain chainId="7ec7fd7f8c298c032a2e4bdd8d8b3527a4814a93">
          <item id="d3407c01d16f1d1394acffea1e77c1211f19d67c" isNormal="1">
            <s:text>
              <s:r>
                <s:t xml:space="preserve">Administrator:
1/26 上客供RFID贴纸 960pcs</s:t>
              </s:r>
            </s:text>
          </item>
        </commentChain>
      </unresolved>
      <resolved/>
    </commentChains>
    <commentChains s:ref="AF220" rgbClr="FF0000">
      <unresolved>
        <commentChain chainId="221dc6293ea2d3e28556e135ed884cef9468bff7">
          <item id="a1876d6af49761b4a9b766bbe4c93b1f507232e8" isNormal="1">
            <s:text>
              <s:r>
                <s:t xml:space="preserve">Administrator:
1001141 2/3 960pcs B4楼B1区</s:t>
              </s:r>
            </s:text>
          </item>
        </commentChain>
      </unresolved>
      <resolved/>
    </commentChains>
    <commentChains s:ref="AI220" rgbClr="FF0000">
      <unresolved>
        <commentChain chainId="e134d6889d3a1262ccfbe8f87d4c04210e3956a5">
          <item id="1093f90eeac398e53ec74f8a5e6f4ad71bdf3a76" isNormal="1">
            <s:text>
              <s:r>
                <s:t xml:space="preserve">Administrator:
1/26 上客供RFID贴纸 960pcs</s:t>
              </s:r>
            </s:text>
          </item>
        </commentChain>
      </unresolved>
      <resolved/>
    </commentChains>
    <commentChains s:ref="AF221" rgbClr="FF0000">
      <unresolved>
        <commentChain chainId="61d17a1d4a6453141e0b1f1244a6aa8216e69b16">
          <item id="23bf8f9ed56aabbba9737699b34c8ea27db37592" isNormal="1">
            <s:text>
              <s:r>
                <s:t xml:space="preserve">Administrator:
1001164 2/26 520pcs B4楼B1区</s:t>
              </s:r>
            </s:text>
          </item>
        </commentChain>
      </unresolved>
      <resolved/>
    </commentChains>
    <commentChains s:ref="AI221" rgbClr="FF0000">
      <unresolved>
        <commentChain chainId="b1fe4564486ed5b1b6076fd3917a5f38a65153c3">
          <item id="fe564010f746c2a3bf9a976b46d955413baa4bb2" isNormal="1">
            <s:text>
              <s:r>
                <s:t xml:space="preserve">Administrator:
11/21 上进口商贴纸 1508pcs
消耗182440的纸箱和贴纸
1/26 上进口商贴纸 1508pcs</s:t>
              </s:r>
            </s:text>
          </item>
        </commentChain>
      </unresolved>
      <resolved/>
    </commentChains>
    <commentChains s:ref="AF222" rgbClr="FF0000">
      <unresolved>
        <commentChain chainId="5c825bd05090fe3cf872c9f0824f9ccbd4c36081">
          <item id="c329ee682f0006be4c390e8fbc3576c2f3d3a289" isNormal="1">
            <s:text>
              <s:r>
                <s:t xml:space="preserve">Administrator:
1001164 2/26 468pcs B4楼B1区
</s:t>
              </s:r>
            </s:text>
          </item>
        </commentChain>
      </unresolved>
      <resolved/>
    </commentChains>
    <commentChains s:ref="AF223" rgbClr="FF0000">
      <unresolved>
        <commentChain chainId="08acb5b087ef2a9d2d43a2414e45414019d67ed4">
          <item id="da632add5e4a4e4434fd17d42cf50f7349f20ddd" isNormal="1">
            <s:text>
              <s:r>
                <s:t xml:space="preserve">Administrator:
1001164 2/26 364pcs B4楼B1区
</s:t>
              </s:r>
            </s:text>
          </item>
        </commentChain>
      </unresolved>
      <resolved/>
    </commentChains>
    <commentChains s:ref="AF224" rgbClr="FF0000">
      <unresolved>
        <commentChain chainId="c3c5f26d32f8614ef262b9c35f124c5a9fbf4939">
          <item id="6ff0aa2f23452f514ae11bfba205c86f6e55e652" isNormal="1">
            <s:text>
              <s:r>
                <s:t xml:space="preserve">Administrator:
1001164 2/26 156pcs B4楼B1区
</s:t>
              </s:r>
            </s:text>
          </item>
        </commentChain>
      </unresolved>
      <resolved/>
    </commentChains>
    <commentChains s:ref="AF225" rgbClr="FF0000">
      <unresolved>
        <commentChain chainId="3ea00b668659ce2d0ceaa6fcc5b7b06a84a3b278">
          <item id="ad9fdcb55a4eda46d11d377fa81583f25beab382" isNormal="1">
            <s:text>
              <s:r>
                <s:t xml:space="preserve">Administrator:
1000883 3/11 1000pcsB4楼B1区</s:t>
              </s:r>
            </s:text>
          </item>
        </commentChain>
      </unresolved>
      <resolved/>
    </commentChains>
    <commentChains s:ref="AI225" rgbClr="FF0000">
      <unresolved>
        <commentChain chainId="8ca9fd1040ba33db5f426575b87b3434689a99bf">
          <item id="f6b1b5cf96ba25de8284c01f6edd3455a27ccd49" isNormal="1">
            <s:text>
              <s:r>
                <s:t xml:space="preserve">Administrator:
2/5 上进口商贴纸 1000pcs
    上UPC贴纸 1000pcs</s:t>
              </s:r>
            </s:text>
          </item>
        </commentChain>
      </unresolved>
      <resolved/>
    </commentChains>
    <commentChains s:ref="AF226" rgbClr="FF0000">
      <unresolved>
        <commentChain chainId="47119a0e235396bdd63a3bd6aa6d68b7814a1b1e">
          <item id="0199c28a82a1c55d8b8fcddf87320e42f4d32880" isNormal="1">
            <s:text>
              <s:r>
                <s:t xml:space="preserve">Administrator:
1000865 3/13 504pcs B4楼B9区</s:t>
              </s:r>
            </s:text>
          </item>
        </commentChain>
      </unresolved>
      <resolved/>
    </commentChains>
    <commentChains s:ref="AI226" rgbClr="FF0000">
      <unresolved>
        <commentChain chainId="6f5be64df117b0ad438dbd0c50d2aa16ec634301">
          <item id="818299d8cac0705c80df93f4045293fb4123e1ee" isNormal="1">
            <s:text>
              <s:r>
                <s:t xml:space="preserve">Administrator:
2/3 上亚马逊外箱贴纸 42pcs
2/9 上环保标贴纸 504pcs
3/6 上地址贴纸 1008pcs</s:t>
              </s:r>
            </s:text>
          </item>
        </commentChain>
      </unresolved>
      <resolved/>
    </commentChains>
    <commentChains s:ref="AF227" rgbClr="FF0000">
      <unresolved>
        <commentChain chainId="ef936687a1f2137ed814259247a5409aecff62bb">
          <item id="bfc0ed8bf09e4ad6eabceae0fa18962b0a854689" isNormal="1">
            <s:text>
              <s:r>
                <s:t xml:space="preserve">Administrator:
3/18 1000818 12336pcs B栋4楼A7区</s:t>
              </s:r>
            </s:text>
          </item>
        </commentChain>
      </unresolved>
      <resolved/>
    </commentChains>
    <commentChains s:ref="AI227" rgbClr="FF0000">
      <unresolved>
        <commentChain chainId="3566290e69ca569e34b2b0e14b0a8f555492e17c">
          <item id="e3de3e2fdc8e87d1f509471617ffb095f07286c6" isNormal="1">
            <s:text>
              <s:r>
                <s:t xml:space="preserve">Administrator:
2/26 上客供RFID贴纸 12336pcs </s:t>
              </s:r>
            </s:text>
          </item>
        </commentChain>
      </unresolved>
      <resolved/>
    </commentChains>
    <commentChains s:ref="AF228" rgbClr="FF0000">
      <unresolved>
        <commentChain chainId="a56f589d51dbb509aac2b61d4758606c165d5b50">
          <item id="08c58d5ed84542cd1f5085f9afe10c03898075a5" isNormal="1">
            <s:text>
              <s:r>
                <s:t xml:space="preserve">Administrator:
3/18 1000818 6800pcs  B栋4楼A7区
</s:t>
              </s:r>
            </s:text>
          </item>
        </commentChain>
      </unresolved>
      <resolved/>
    </commentChains>
    <commentChains s:ref="AI228" rgbClr="FF0000">
      <unresolved>
        <commentChain chainId="b43bf56394fa08311401ddada2571e1bf60c474d">
          <item id="e93401dc93b225fc7457ce5b8726c4f7890b550a" isNormal="1">
            <s:text>
              <s:r>
                <s:t xml:space="preserve">Administrator:
2/26 上客供RFID贴纸 6800pcs </s:t>
              </s:r>
            </s:text>
          </item>
        </commentChain>
      </unresolved>
      <resolved/>
    </commentChains>
    <commentChains s:ref="AF229" rgbClr="FF0000">
      <unresolved>
        <commentChain chainId="4a414e8d5459305ffdde3355c35826550f53fa04">
          <item id="e4863f542c8c1608aae8395cb8338a0a1ca1a5cc" isNormal="1">
            <s:text>
              <s:r>
                <s:t xml:space="preserve">Administrator:
3/18 1000818 12496pcs  B栋4楼A7区
</s:t>
              </s:r>
            </s:text>
          </item>
        </commentChain>
      </unresolved>
      <resolved/>
    </commentChains>
    <commentChains s:ref="AI229" rgbClr="FF0000">
      <unresolved>
        <commentChain chainId="22b6d45c4127757c2a9a13969430f30342789cff">
          <item id="df27ae51646bc4b5339a1d0e82e1c1173dd707c3" isNormal="1">
            <s:text>
              <s:r>
                <s:t xml:space="preserve">Administrator:
2/26 上客供RFID贴纸 12496pcs </s:t>
              </s:r>
            </s:text>
          </item>
        </commentChain>
      </unresolved>
      <resolved/>
    </commentChains>
    <commentChains s:ref="AF230" rgbClr="FF0000">
      <unresolved>
        <commentChain chainId="a00fe9271815665dd158d5c5f422fc9a354b6aa5">
          <item id="7218dbc091fe14f7975582a68e18db5fda4395d9" isNormal="1">
            <s:text>
              <s:r>
                <s:t xml:space="preserve">Administrator:
3/18 1000818 7504pcs  B栋4楼A8区
</s:t>
              </s:r>
            </s:text>
          </item>
        </commentChain>
      </unresolved>
      <resolved/>
    </commentChains>
    <commentChains s:ref="AI230" rgbClr="FF0000">
      <unresolved>
        <commentChain chainId="53c83c419c8379a75ef1b1af867667f55ccb574c">
          <item id="03fde9eef7e586678a4713c88f1a3f6c85dbaf8b" isNormal="1">
            <s:text>
              <s:r>
                <s:t xml:space="preserve">Administrator:
2/26 上客供RFID贴纸 7504pcs </s:t>
              </s:r>
            </s:text>
          </item>
        </commentChain>
      </unresolved>
      <resolved/>
    </commentChains>
    <commentChains s:ref="AF231" rgbClr="FF0000">
      <unresolved>
        <commentChain chainId="60c374e481c7f3cec95d482b478414fbf752451a">
          <item id="8b7c3f1c53b115fa8776a5c5fb199dbf37a07ed3" isNormal="1">
            <s:text>
              <s:r>
                <s:t xml:space="preserve">Administrator:
3/18 1000818 9024pcs  B栋4楼A8区</s:t>
              </s:r>
            </s:text>
          </item>
        </commentChain>
      </unresolved>
      <resolved/>
    </commentChains>
    <commentChains s:ref="AI231" rgbClr="FF0000">
      <unresolved>
        <commentChain chainId="8a34dce905814d208bb7fa4348a770c47c5a02e9">
          <item id="27d93bc1ea695049bbef995dcdb173d2955c5ca6" isNormal="1">
            <s:text>
              <s:r>
                <s:t xml:space="preserve">Administrator:
2/26 上客供RFID贴纸 9024pcs </s:t>
              </s:r>
            </s:text>
          </item>
        </commentChain>
      </unresolved>
      <resolved/>
    </commentChains>
    <commentChains s:ref="AF232" rgbClr="FF0000">
      <unresolved>
        <commentChain chainId="44fbaed3bbeb99cc67f278014ff40bccb60bc83a">
          <item id="c8509f627556c7f706ab166102c15aedb687474f" isNormal="1">
            <s:text>
              <s:r>
                <s:t xml:space="preserve">Administrator:
3/18 1000818 4848pcs  B栋4楼A8区</s:t>
              </s:r>
            </s:text>
          </item>
        </commentChain>
      </unresolved>
      <resolved/>
    </commentChains>
    <commentChains s:ref="AI232" rgbClr="FF0000">
      <unresolved>
        <commentChain chainId="c9bfadadba53f2238fe30f6664ad27f190039582">
          <item id="831429e4ea4fc4349decd4c5a8c13eccea37877e" isNormal="1">
            <s:text>
              <s:r>
                <s:t xml:space="preserve">Administrator:
2/26 上客供RFID贴纸 4848pcs </s:t>
              </s:r>
            </s:text>
          </item>
        </commentChain>
      </unresolved>
      <resolved/>
    </commentChains>
    <commentChains s:ref="AF233" rgbClr="FF0000">
      <unresolved>
        <commentChain chainId="f25b2e02b67023aa2b0e18ee62b2fe4d6f611e30">
          <item id="0b7d73d77db87b3fb6ce66b5a22d0ca6dcd5f304" isNormal="1">
            <s:text>
              <s:r>
                <s:t xml:space="preserve">Administrator:
3/18 1000818 11968pcs  B栋4楼A7区
</s:t>
              </s:r>
            </s:text>
          </item>
        </commentChain>
      </unresolved>
      <resolved/>
    </commentChains>
    <commentChains s:ref="AI233" rgbClr="FF0000">
      <unresolved>
        <commentChain chainId="c572d90fca56e53efc444068e93ab0bee8e85f43">
          <item id="a2394baf3e1e8b4101c2fe1871404092ce16f6dd" isNormal="1">
            <s:text>
              <s:r>
                <s:t xml:space="preserve">Administrator:
2/26 上客供RFID贴纸 11968pcs </s:t>
              </s:r>
            </s:text>
          </item>
        </commentChain>
      </unresolved>
      <resolved/>
    </commentChains>
    <commentChains s:ref="AF234" rgbClr="FF0000">
      <unresolved>
        <commentChain chainId="5909c4d917efe9e851abf337e319638363e58605">
          <item id="8d16ec9330fe9aab758e89fcf7a6e21da1da7c6a" isNormal="1">
            <s:text>
              <s:r>
                <s:t xml:space="preserve">Administrator:
3/30 1000735 960pcs 华兴三楼B14</s:t>
              </s:r>
            </s:text>
          </item>
        </commentChain>
      </unresolved>
      <resolved/>
    </commentChains>
    <commentChains s:ref="AI234" rgbClr="FF0000">
      <unresolved>
        <commentChain chainId="3f30c6e1821f4564deffd1b871df416604c89343">
          <item id="94fcd4dd983abdaa3df33d21dfa6fa01a2ce2e37" isNormal="1">
            <s:text>
              <s:r>
                <s:t xml:space="preserve">Administrator:
2/26 上客供RFID贴纸 960pcs </s:t>
              </s:r>
            </s:text>
          </item>
        </commentChain>
      </unresolved>
      <resolved/>
    </commentChains>
    <commentChains s:ref="AF235" rgbClr="FF0000">
      <unresolved>
        <commentChain chainId="dbdf5b6472546d4fcd100859d30b777d5597f04a">
          <item id="7baf119597b45489101a9466d0066d941a0b3f0f" isNormal="1">
            <s:text>
              <s:r>
                <s:t xml:space="preserve">Administrator:
3/30 1000735 960pcs 华兴三楼B14</s:t>
              </s:r>
            </s:text>
          </item>
        </commentChain>
      </unresolved>
      <resolved/>
    </commentChains>
    <commentChains s:ref="AI235" rgbClr="FF0000">
      <unresolved>
        <commentChain chainId="9f74ee4ed57139706ffb4b8e2316c5cd003e0925">
          <item id="10d3bc15012a71db7704fb04cad08480a64b003d" isNormal="1">
            <s:text>
              <s:r>
                <s:t xml:space="preserve">Administrator:
2/26 上客供RFID贴纸 960pcs </s:t>
              </s:r>
            </s:text>
          </item>
        </commentChain>
      </unresolved>
      <resolved/>
    </commentChains>
    <commentChains s:ref="AF236" rgbClr="FF0000">
      <unresolved>
        <commentChain chainId="50bf26dfd5874cc5ee0fe16d19bf7c5d85e56e72">
          <item id="14989be69cbb4bcee50722340491762ec3e60330" isNormal="1">
            <s:text>
              <s:r>
                <s:t xml:space="preserve">Administrator:
3/30 1000735 960pcs 华兴三楼B14</s:t>
              </s:r>
            </s:text>
          </item>
        </commentChain>
      </unresolved>
      <resolved/>
    </commentChains>
    <commentChains s:ref="AI236" rgbClr="FF0000">
      <unresolved>
        <commentChain chainId="69090dc40a1fb1e8925e0385ba318426f5f638bd">
          <item id="f108425ed82046c342044f531f399600102f753a" isNormal="1">
            <s:text>
              <s:r>
                <s:t xml:space="preserve">Administrator:
2/26 上客供RFID贴纸 960pcs </s:t>
              </s:r>
            </s:text>
          </item>
        </commentChain>
      </unresolved>
      <resolved/>
    </commentChains>
    <commentChains s:ref="AF237" rgbClr="FF0000">
      <unresolved>
        <commentChain chainId="d7d61592d4e4e9c92382f835e5135287e3d095bf">
          <item id="8f50f5eee9e622e4136d92e1d8bf33646871bec8" isNormal="1">
            <s:text>
              <s:r>
                <s:t xml:space="preserve">Administrator:
3/30 1000735 960pcs 华兴三楼B14</s:t>
              </s:r>
            </s:text>
          </item>
        </commentChain>
      </unresolved>
      <resolved/>
    </commentChains>
    <commentChains s:ref="AI237" rgbClr="FF0000">
      <unresolved>
        <commentChain chainId="efe226cfa9b4119ad70dd6897d69fe74653891d4">
          <item id="4662ddddb08ddd1f5f54cb017aaaa96ab93865a3" isNormal="1">
            <s:text>
              <s:r>
                <s:t xml:space="preserve">Administrator:
2/26 上客供RFID贴纸 960pcs </s:t>
              </s:r>
            </s:text>
          </item>
        </commentChain>
      </unresolved>
      <resolved/>
    </commentChains>
    <commentChains s:ref="AF238" rgbClr="FF0000">
      <unresolved>
        <commentChain chainId="d53684a5e12977fd5531973065eda94d2199d4dd">
          <item id="093e4ed7ce2c83491582338a0afa8c08419531a7" isNormal="1">
            <s:text>
              <s:r>
                <s:t xml:space="preserve">Administrator:
3/30 1000735 960pcs 华兴三楼B14</s:t>
              </s:r>
            </s:text>
          </item>
        </commentChain>
      </unresolved>
      <resolved/>
    </commentChains>
    <commentChains s:ref="AI238" rgbClr="FF0000">
      <unresolved>
        <commentChain chainId="ce2a08436bb85fd8bcea29dfaa320f00c2efe0c0">
          <item id="4ce460944ddf558aff3069a688f48a14ba01ba34" isNormal="1">
            <s:text>
              <s:r>
                <s:t xml:space="preserve">Administrator:
2/26 上客供RFID贴纸 960pcs </s:t>
              </s:r>
            </s:text>
          </item>
        </commentChain>
      </unresolved>
      <resolved/>
    </commentChains>
    <commentChains s:ref="AF239" rgbClr="FF0000">
      <unresolved>
        <commentChain chainId="333111149a240b50764e83481ef2fdb74d6e4ca6">
          <item id="e60c259f0eb9dc814a86a798c2f1f7d5394a4213" isNormal="1">
            <s:text>
              <s:r>
                <s:t xml:space="preserve">Administrator:
3/30 1000735 5760pcs 华兴三楼B6</s:t>
              </s:r>
            </s:text>
          </item>
        </commentChain>
      </unresolved>
      <resolved/>
    </commentChains>
    <commentChains s:ref="AI239" rgbClr="FF0000">
      <unresolved>
        <commentChain chainId="3292e4645d6d3e2501f5cac64558260269919f0a">
          <item id="72a030dccaeaf7281c483e6c6da2b1b1da3da3ac" isNormal="1">
            <s:text>
              <s:r>
                <s:t xml:space="preserve">Administrator:
3/10 上上客供RFID贴纸 5760pcs
</s:t>
              </s:r>
            </s:text>
          </item>
        </commentChain>
      </unresolved>
      <resolved/>
    </commentChains>
    <commentChains s:ref="AF240" rgbClr="FF0000">
      <unresolved>
        <commentChain chainId="22b03d76d8db2f40564e834bea751c9cdcdae69a">
          <item id="49a00e1c3f7bbaedccf3c7f41bca24c232d06696" isNormal="1">
            <s:text>
              <s:r>
                <s:t xml:space="preserve">Administrator:
3/31 1000740 9600pcs 新仓库B5</s:t>
              </s:r>
            </s:text>
          </item>
        </commentChain>
      </unresolved>
      <resolved/>
    </commentChains>
    <commentChains s:ref="AI240" rgbClr="FF0000">
      <unresolved>
        <commentChain chainId="7298d25fea6c51ec0ec99f87db53f7b3f48188c1">
          <item id="95cf3b22df0b77da97d831bd699be74d9bb3f0a5" isNormal="1">
            <s:text>
              <s:r>
                <s:t xml:space="preserve">Administrator:
3/10 上客供RFID贴纸 9600pcs</s:t>
              </s:r>
            </s:text>
          </item>
        </commentChain>
      </unresolved>
      <resolved/>
    </commentChains>
    <commentChains s:ref="AF241" rgbClr="FF0000">
      <unresolved>
        <commentChain chainId="302f6cb7e1da6d78043733a8ac16845a47296b1c">
          <item id="ca776442e0f06e47229dd46a69444a556febc523" isNormal="1">
            <s:text>
              <s:r>
                <s:t xml:space="preserve">Administrator:
3/31 1000716 8640pcs 张文嘉新仓库B5</s:t>
              </s:r>
            </s:text>
          </item>
        </commentChain>
      </unresolved>
      <resolved/>
    </commentChains>
    <commentChains s:ref="AI241" rgbClr="FF0000">
      <unresolved>
        <commentChain chainId="bdb6f344833a3fb6b9561b17c7727c4e63b0530d">
          <item id="d65cbaa3b07a881b0deef72ce4f06952072acd16" isNormal="1">
            <s:text>
              <s:r>
                <s:t xml:space="preserve">Administrator:
3/10 上客供RFID贴纸 8640pcs
</s:t>
              </s:r>
            </s:text>
          </item>
        </commentChain>
      </unresolved>
      <resolved/>
    </commentChains>
    <commentChains s:ref="AF242" rgbClr="FF0000">
      <unresolved>
        <commentChain chainId="0e5c311fde91d54563ce2d7e6ecedaa71091d33a">
          <item id="1e939a84c9d969a7b95195f9655bb40f68f2c50f" isNormal="1">
            <s:text>
              <s:r>
                <s:t xml:space="preserve">Administrator:
3/30 1000735 2304  华兴三楼B6
3/31 1000740 10176pcs 新仓库B5</s:t>
              </s:r>
            </s:text>
          </item>
        </commentChain>
      </unresolved>
      <resolved/>
    </commentChains>
    <commentChains s:ref="AI242" rgbClr="FF0000">
      <unresolved>
        <commentChain chainId="63fcb3f0aab1c45a7b8c853ea76a1cc31f004977">
          <item id="b486e44502ffd6c73fa856c1b1af04ba4de37f13" isNormal="1">
            <s:text>
              <s:r>
                <s:t xml:space="preserve">Administrator:
3/10 上客供RFID贴纸 12480pcs
</s:t>
              </s:r>
            </s:text>
          </item>
        </commentChain>
      </unresolved>
      <resolved/>
    </commentChains>
    <commentChains s:ref="AF243" rgbClr="FF0000">
      <unresolved>
        <commentChain chainId="9e8f5b37c65fc1a272033914e51233ae9530b2d6">
          <item id="f7e9d6c00ae206c9cab3a92489678be23267ae1c" isNormal="1">
            <s:text>
              <s:r>
                <s:t xml:space="preserve">Administrator:
3/31 1000740 2688pcs 张文嘉新仓库B5
3/31 1000716 4032pcs 张文嘉新仓库B5</s:t>
              </s:r>
            </s:text>
          </item>
        </commentChain>
      </unresolved>
      <resolved/>
    </commentChains>
    <commentChains s:ref="AI243" rgbClr="FF0000">
      <unresolved>
        <commentChain chainId="55896696b2c97637ca9b1fe68f9a6dbdb2708c0b">
          <item id="cefab064ef69212edecf688a8a33326acf1e2d26" isNormal="1">
            <s:text>
              <s:r>
                <s:t xml:space="preserve">Administrator:
3/10 上客供RFID贴纸 6720pcs
</s:t>
              </s:r>
            </s:text>
          </item>
        </commentChain>
      </unresolved>
      <resolved/>
    </commentChains>
    <commentChains s:ref="AF244" rgbClr="FF0000">
      <unresolved>
        <commentChain chainId="eb1cb3e83d401f464f8ea32e2122e1c8c2173737">
          <item id="085a985e23fef59856bc0f4c09abf036859ec838" isNormal="1">
            <s:text>
              <s:r>
                <s:t xml:space="preserve">Administrator:
3/30 1000735 7680pcs华兴三楼B6
</s:t>
              </s:r>
            </s:text>
          </item>
        </commentChain>
      </unresolved>
      <resolved/>
    </commentChains>
    <commentChains s:ref="AI244" rgbClr="FF0000">
      <unresolved>
        <commentChain chainId="938a0a860e87c402fc64b54d22731d6f3c79aa3f">
          <item id="c91d54aebed8c06d7f476b414a1844ee68fe2588" isNormal="1">
            <s:text>
              <s:r>
                <s:t xml:space="preserve">Administrator:
3/10 上客供RFID贴纸 7680pcs
</s:t>
              </s:r>
            </s:text>
          </item>
        </commentChain>
      </unresolved>
      <resolved/>
    </commentChains>
    <commentChains s:ref="AF245" rgbClr="FF0000">
      <unresolved>
        <commentChain chainId="d46bd7bedd88bff40540cb360dd2f39558bd7919">
          <item id="74ea7dc625359e17a1fee641363becc5a2146493" isNormal="1">
            <s:text>
              <s:r>
                <s:t xml:space="preserve">Administrator:
3/30 1000735 7680pcs 华兴三楼B6
</s:t>
              </s:r>
            </s:text>
          </item>
        </commentChain>
      </unresolved>
      <resolved/>
    </commentChains>
    <commentChains s:ref="AI245" rgbClr="FF0000">
      <unresolved>
        <commentChain chainId="998d2b873bb105b55679682f3485f176e8cd2904">
          <item id="2ac142cb47158d630ac3e620a9c65eb5d4770b71" isNormal="1">
            <s:text>
              <s:r>
                <s:t xml:space="preserve">Administrator:
3/10 上客供RFID贴纸 7680pcs
</s:t>
              </s:r>
            </s:text>
          </item>
        </commentChain>
      </unresolved>
      <resolved/>
    </commentChains>
    <commentChains s:ref="AF246" rgbClr="FF0000">
      <unresolved>
        <commentChain chainId="ec6e404d75974287846b628260df181b34797bfd">
          <item id="64c878a4aa4dd0e6c48652ddd77c1e02f952c9aa" isNormal="1">
            <s:text>
              <s:r>
                <s:t xml:space="preserve">Administrator:
4/2 1000726 6500PCS</s:t>
              </s:r>
            </s:text>
          </item>
        </commentChain>
      </unresolved>
      <resolved/>
    </commentChains>
    <commentChains s:ref="AI246" rgbClr="FF0000">
      <unresolved>
        <commentChain chainId="670a3173b79f4540675f8bacb34f39bfdb9d1dcc">
          <item id="b2986faa065a164c9a1112f6632174fada1c42e4" isNormal="1">
            <s:text>
              <s:r>
                <s:t xml:space="preserve">Administrator:
3/3 上客供防串码贴纸1拖13 500pcs
3/6 上年龄贴纸 6500pcs</s:t>
              </s:r>
            </s:text>
          </item>
        </commentChain>
      </unresolved>
      <resolved/>
    </commentChains>
    <commentChains s:ref="AF247" rgbClr="FF0000">
      <unresolved>
        <commentChain chainId="b893a60f6868cb49e7bf35e8ce5df1abeff904bc">
          <item id="21cfd9c130b88dbb792a536235879855b8337434" isNormal="1">
            <s:text>
              <s:r>
                <s:t xml:space="preserve">Administrator:
4/2 1000726 960PCS新仓库B3</s:t>
              </s:r>
            </s:text>
          </item>
        </commentChain>
      </unresolved>
      <resolved/>
    </commentChains>
    <commentChains s:ref="AI247" rgbClr="FF0000">
      <unresolved>
        <commentChain chainId="6faeaa753b60334e6781d6e682b49bc5383402c0">
          <item id="6b3d8ed128951817fcbf1430625ba2dee87cf64e" isNormal="1">
            <s:text>
              <s:r>
                <s:t xml:space="preserve">Administrator:
3/10 上客供RFID贴纸960pcs</s:t>
              </s:r>
            </s:text>
          </item>
        </commentChain>
      </unresolved>
      <resolved/>
    </commentChains>
    <commentChains s:ref="AF248" rgbClr="FF0000">
      <unresolved>
        <commentChain chainId="dc2f2d6029af8fa3025bb00286acbca69f657801">
          <item id="f07e32dfa7c5a39ffd32f236b17547dc1457b363" isNormal="1">
            <s:text>
              <s:r>
                <s:t xml:space="preserve">Administrator:
4/2 1000726 960PCS新仓库B3</s:t>
              </s:r>
            </s:text>
          </item>
        </commentChain>
      </unresolved>
      <resolved/>
    </commentChains>
    <commentChains s:ref="AI248" rgbClr="FF0000">
      <unresolved>
        <commentChain chainId="46b001bf71dbb329017398f169f5f017c1a0f522">
          <item id="a410306347724cc612e813f501f7274df3b6fc49" isNormal="1">
            <s:text>
              <s:r>
                <s:t xml:space="preserve">Administrator:
3/13 上客供RFID贴纸960pcs</s:t>
              </s:r>
            </s:text>
          </item>
        </commentChain>
      </unresolved>
      <resolved/>
    </commentChains>
    <commentChains s:ref="AF249" rgbClr="FF0000">
      <unresolved>
        <commentChain chainId="f0f72951775d7dca61f607497bdbc5b9701a23f8">
          <item id="04b8a8db14ca370e9392b84f06d27442d4e6468c" isNormal="1">
            <s:text>
              <s:r>
                <s:t xml:space="preserve">Administrator:
4/2 1000726 960PCS新仓库B3</s:t>
              </s:r>
            </s:text>
          </item>
        </commentChain>
      </unresolved>
      <resolved/>
    </commentChains>
    <commentChains s:ref="AI249" rgbClr="FF0000">
      <unresolved>
        <commentChain chainId="db88807ff36747f45f675dadbc0d791c903a9b4d">
          <item id="a4806a3f060459f7f55283e50044f7647a27c6fb" isNormal="1">
            <s:text>
              <s:r>
                <s:t xml:space="preserve">Administrator:
3/13 上客供RFID贴纸960pcs</s:t>
              </s:r>
            </s:text>
          </item>
        </commentChain>
      </unresolved>
      <resolved/>
    </commentChains>
    <commentChains s:ref="AF250" rgbClr="FF0000">
      <unresolved>
        <commentChain chainId="e2f2b6b9060a09898a384de5b395eb6ae90fe237">
          <item id="0ff0a181adccf188b0700f189ec97630057025ad" isNormal="1">
            <s:text>
              <s:r>
                <s:t xml:space="preserve">Administrator:
4/2 1000726 960PCS新仓库B3</s:t>
              </s:r>
            </s:text>
          </item>
        </commentChain>
      </unresolved>
      <resolved/>
    </commentChains>
    <commentChains s:ref="AI250" rgbClr="FF0000">
      <unresolved>
        <commentChain chainId="66e739eca683961967eb9e14c591c9d94f69984a">
          <item id="1e622c81adfe177162fc163f65e538eabdff4c84" isNormal="1">
            <s:text>
              <s:r>
                <s:t xml:space="preserve">Administrator:
3/13 上客供RFID贴纸960pcs</s:t>
              </s:r>
            </s:text>
          </item>
        </commentChain>
      </unresolved>
      <resolved/>
    </commentChains>
    <commentChains s:ref="AF251" rgbClr="FF0000">
      <unresolved>
        <commentChain chainId="7f7277da5a15be85f7fa57e647fec534d95dc4bd">
          <item id="e841d4ecfd38010d4bb76584f8ec1d0a64f4a453" isNormal="1">
            <s:text>
              <s:r>
                <s:t xml:space="preserve">Administrator:
4/2 1000726 960PCS新仓库B3</s:t>
              </s:r>
            </s:text>
          </item>
        </commentChain>
      </unresolved>
      <resolved/>
    </commentChains>
    <commentChains s:ref="AI251" rgbClr="FF0000">
      <unresolved>
        <commentChain chainId="42c8c921ab20f865f496222b5dbb43fcd4ae5f3c">
          <item id="9c91581da38da62f9da53e7b9b8eec814b3520e7" isNormal="1">
            <s:text>
              <s:r>
                <s:t xml:space="preserve">Administrator:
3/13 上客供RFID贴纸960pcs</s:t>
              </s:r>
            </s:text>
          </item>
        </commentChain>
      </unresolved>
      <resolved/>
    </commentChains>
    <commentChains s:ref="AF252" rgbClr="FF0000">
      <unresolved>
        <commentChain chainId="8e395acbf5e37f747faec96b792c74fb3a09ac95">
          <item id="4396a356a73668831c93842651df69401a1c7827" isNormal="1">
            <s:text>
              <s:r>
                <s:t xml:space="preserve">Administrator:
4/7 1000710 1500pcs华兴三楼B14</s:t>
              </s:r>
            </s:text>
          </item>
        </commentChain>
      </unresolved>
      <resolved/>
    </commentChains>
    <commentChains s:ref="AI252" rgbClr="FF0000">
      <unresolved>
        <commentChain chainId="9fc7181d36b906ec42317b05456ff06b75c61ec6">
          <item id="18b27e008bae8b6745b3a41ac9db8d660039faf1" isNormal="1">
            <s:text>
              <s:r>
                <s:t xml:space="preserve">Administrator:
3/24 上进口商贴纸1500pcs
     上upc贴纸1500pcs
4/2 上白色防盗贴纸1510pcs
4/2 上客供价标贴纸1510pcs</s:t>
              </s:r>
            </s:text>
          </item>
        </commentChain>
      </unresolved>
      <resolved/>
    </commentChains>
    <commentChains s:ref="AF253" rgbClr="FF0000">
      <unresolved>
        <commentChain chainId="54821254307d8290e956da077ee9715279ab1911">
          <item id="3624f9061d771e5fb95ec18b33cb4d7e4ada7f40" isNormal="1">
            <s:text>
              <s:r>
                <s:t xml:space="preserve">Administrator:
4/3 1000706 12pcs新仓库	B5 </s:t>
              </s:r>
            </s:text>
          </item>
        </commentChain>
      </unresolved>
      <resolved/>
    </commentChains>
    <commentChains s:ref="AI253" rgbClr="FF0000">
      <unresolved>
        <commentChain chainId="841c5137ecdefb229703c36f8f704dcf00411d2f">
          <item id="8653ff649ead436c6b1a13963a9f0d349f4190dc" isNormal="1">
            <s:text>
              <s:r>
                <s:t xml:space="preserve">Administrator:
3/16 上空白贴纸 168pcs
3/27 上空白贴纸 72pcs
194885/193215共用
3/18 上客供亚马逊外箱贴纸10pcs
194885/193215共用</s:t>
              </s:r>
            </s:text>
          </item>
        </commentChain>
      </unresolved>
      <resolved/>
    </commentChains>
    <commentChains s:ref="AF254" rgbClr="FF0000">
      <unresolved>
        <commentChain chainId="d996c42a02f73253610ad3e48ca1335e36ca6e23">
          <item id="cf21a3bbcb232a24b8ca4d9c1c8e825a154b673a" isNormal="1">
            <s:text>
              <s:r>
                <s:t xml:space="preserve">Administrator:
4/3 1000706 12pcs新仓库	B5 </s:t>
              </s:r>
            </s:text>
          </item>
        </commentChain>
      </unresolved>
      <resolved/>
    </commentChains>
    <commentChains s:ref="AI254" rgbClr="FF0000">
      <unresolved>
        <commentChain chainId="85879020cd4bf65db2f5138ae1af2752a8955c0e">
          <item id="40da42819a084b487a12dbe44654a42e0ad62294" isNormal="1">
            <s:text>
              <s:r>
                <s:t xml:space="preserve">Administrator:
3/16 上空白贴纸 168pcs
3/27 上空白贴纸 72pcs
194885/193215共用
3/18 上客供亚马逊外箱贴纸10pcs
194885/193215共用</s:t>
              </s:r>
            </s:text>
          </item>
        </commentChain>
      </unresolved>
      <resolved/>
    </commentChains>
    <commentChains s:ref="AF255" rgbClr="FF0000">
      <unresolved>
        <commentChain chainId="97cb8e8ac45b0ad7b0b0cf47dd5b18d4306cfe7c">
          <item id="821e998ddca805336bd74b6bea0bf69cda54664b" isNormal="1">
            <s:text>
              <s:r>
                <s:t xml:space="preserve">Administrator:
4/3 1000706 36pcs新仓库B5</s:t>
              </s:r>
            </s:text>
          </item>
        </commentChain>
      </unresolved>
      <resolved/>
    </commentChains>
    <commentChains s:ref="AI255" rgbClr="FF0000">
      <unresolved>
        <commentChain chainId="3d77c244ac8f65e477213cc3fe49a56d61ff2225">
          <item id="2173f41def482b518bc64780ba510ea3a87a8f13" isNormal="1">
            <s:text>
              <s:r>
                <s:t xml:space="preserve">Administrator:
3/16 上空白贴纸 168pcs
3/27 上空白贴纸 72pcs
194885/193215共用
3/18 上客供亚马逊外箱贴纸10pcs
194885/193215共用</s:t>
              </s:r>
            </s:text>
          </item>
        </commentChain>
      </unresolved>
      <resolved/>
    </commentChains>
    <commentChains s:ref="AF256" rgbClr="FF0000">
      <unresolved>
        <commentChain chainId="c4d6122f4ee12e7e5f02181f4838268f5fbb9718">
          <item id="ed02e6f90fb13f3768681af99c451e9bb2416a5d" isNormal="1">
            <s:text>
              <s:r>
                <s:t xml:space="preserve">Administrator:
4/3 1000706 24pcs新仓库B5</s:t>
              </s:r>
            </s:text>
          </item>
        </commentChain>
      </unresolved>
      <resolved/>
    </commentChains>
    <commentChains s:ref="AI256" rgbClr="FF0000">
      <unresolved>
        <commentChain chainId="60a020cc6d4a08da3645f1a3d2b0df9bd16da2fe">
          <item id="80a37b3e940a45bd3b2e68e9e95f74b0f2f162a9" isNormal="1">
            <s:text>
              <s:r>
                <s:t xml:space="preserve">Administrator:
3/16 上空白贴纸 168pcs
3/27 上空白贴纸 72pcs
194885/193215共用
3/18 上客供亚马逊外箱贴纸10pcs
194885/193215共用</s:t>
              </s:r>
            </s:text>
          </item>
        </commentChain>
      </unresolved>
      <resolved/>
    </commentChains>
    <commentChains s:ref="AF257" rgbClr="FF0000">
      <unresolved>
        <commentChain chainId="c4ffd2984cf849f04f85653ddc812c63f516dc45">
          <item id="3240fdca4cacc2bf6f718b88e3fcee02bb2ff664" isNormal="1">
            <s:text>
              <s:r>
                <s:t xml:space="preserve">Administrator:
4/3 1000706 12pcs新仓库	B5 </s:t>
              </s:r>
            </s:text>
          </item>
        </commentChain>
      </unresolved>
      <resolved/>
    </commentChains>
    <commentChains s:ref="AI257" rgbClr="FF0000">
      <unresolved>
        <commentChain chainId="1ace1e00026339f69153830cccb56c9b9e100b1d">
          <item id="801326c6282dbf6064a3fdb730fffced304fcf0e" isNormal="1">
            <s:text>
              <s:r>
                <s:t xml:space="preserve">Administrator:
3/16 上空白贴纸 168pcs
3/27 上空白贴纸 72pcs
194885/193215共用
3/18 上客供亚马逊外箱贴纸10pcs
194885/193215共用</s:t>
              </s:r>
            </s:text>
          </item>
        </commentChain>
      </unresolved>
      <resolved/>
    </commentChains>
    <commentChains s:ref="AF258" rgbClr="FF0000">
      <unresolved>
        <commentChain chainId="27268ffac2c0a5c22ca20603409fcdc27486dc8a">
          <item id="1d7adc6c21ca71c90c6b5d781d001a44ada488c5" isNormal="1">
            <s:text>
              <s:r>
                <s:t xml:space="preserve">Administrator:
4/3 1000706 12pcs新仓库	B5 </s:t>
              </s:r>
            </s:text>
          </item>
        </commentChain>
      </unresolved>
      <resolved/>
    </commentChains>
    <commentChains s:ref="AI258" rgbClr="FF0000">
      <unresolved>
        <commentChain chainId="858f7a1d49013ae17cabe451c10883a2b13547a7">
          <item id="2f15b17bb7a0905b1e7cafa6df0790956423d159" isNormal="1">
            <s:text>
              <s:r>
                <s:t xml:space="preserve">Administrator:
3/16 上空白贴纸 168pcs
3/27 上空白贴纸 72pcs
194885/193215共用
3/18 上客供亚马逊外箱贴纸10pcs
194885/193215共用</s:t>
              </s:r>
            </s:text>
          </item>
        </commentChain>
      </unresolved>
      <resolved/>
    </commentChains>
    <commentChains s:ref="AF259" rgbClr="FF0000">
      <unresolved>
        <commentChain chainId="6f0d0e50d5f54d839867fc1e6db314e9ac76115d">
          <item id="e82d218d459bb8d049a5f4745af064a799b2722c" isNormal="1">
            <s:text>
              <s:r>
                <s:t xml:space="preserve">Administrator:
4/3 1000706 12pcs新仓库	B5 </s:t>
              </s:r>
            </s:text>
          </item>
        </commentChain>
      </unresolved>
      <resolved/>
    </commentChains>
    <commentChains s:ref="AI259" rgbClr="FF0000">
      <unresolved>
        <commentChain chainId="4d94ae7e0a492cd7a23e58af580eb647f209b571">
          <item id="88326247a59ff55c85c3ad221fc40309c09faddb" isNormal="1">
            <s:text>
              <s:r>
                <s:t xml:space="preserve">Administrator:
3/16 上空白贴纸 168pcs
3/27 上空白贴纸 72pcs
194885/193215共用
3/18 上客供亚马逊外箱贴纸10pcs
194885/193215共用</s:t>
              </s:r>
            </s:text>
          </item>
        </commentChain>
      </unresolved>
      <resolved/>
    </commentChains>
    <commentChains s:ref="AF260" rgbClr="FF0000">
      <unresolved>
        <commentChain chainId="a97fce79f7a7dd3a9d4486fbc9eb38e1437090bd">
          <item id="3d227dce9034600b514e96794241446ec06d3886" isNormal="1">
            <s:text>
              <s:r>
                <s:t xml:space="preserve">Administrator:
4/9 1000784 4758pcs华兴三楼B12</s:t>
              </s:r>
            </s:text>
          </item>
        </commentChain>
      </unresolved>
      <resolved/>
    </commentChains>
    <commentChains s:ref="AI260" rgbClr="FF0000">
      <unresolved>
        <commentChain chainId="5bfcc5cb21a34dfe19fe395ab1d235a7c5da6883">
          <item id="7fe2ccc57e8445453c3a7e48a4f014d6d404a8f8" isNormal="1">
            <s:text>
              <s:r>
                <s:t xml:space="preserve">Administrator:
3/27 上Kmart外箱贴纸 366pcs
4/2 上白色防盗贴纸4758pcs</s:t>
              </s:r>
            </s:text>
          </item>
        </commentChain>
      </unresolved>
      <resolved/>
    </commentChains>
    <commentChains s:ref="AF261" rgbClr="FF0000">
      <unresolved>
        <commentChain chainId="040f146680370eb8538dbf7b9313acbed738a976">
          <item id="e0d3029cc8592443eeac8c1276723bbc9fdbce41" isNormal="1">
            <s:text>
              <s:r>
                <s:t xml:space="preserve">Administrator:
4/9 1000784 429pcs华兴三楼B16</s:t>
              </s:r>
            </s:text>
          </item>
        </commentChain>
      </unresolved>
      <resolved/>
    </commentChains>
    <commentChains s:ref="AI261" rgbClr="FF0000">
      <unresolved>
        <commentChain chainId="018b2e82a98dd0de06cd96c642695db072e9ae2a">
          <item id="96b3f914aa85deb1a67750007348acb9108090c9" isNormal="1">
            <s:text>
              <s:r>
                <s:t xml:space="preserve">Administrator:
3/27 上Kmart外箱贴纸 33pcs
4/2 上白色防盗贴纸429pcs
</s:t>
              </s:r>
            </s:text>
          </item>
        </commentChain>
      </unresolved>
      <resolved/>
    </commentChains>
    <commentChains s:ref="AF262" rgbClr="FF0000">
      <unresolved>
        <commentChain chainId="605ae85b05e21833e8c62f03bda96db8bd501eb0">
          <item id="00206d0017cab94d43a0deb1e839f8249f871a67" isNormal="1">
            <s:text>
              <s:r>
                <s:t xml:space="preserve">Administrator:
1000778 4/18 1300pcs</s:t>
              </s:r>
            </s:text>
          </item>
        </commentChain>
      </unresolved>
      <resolved/>
    </commentChains>
    <commentChains s:ref="AI262" rgbClr="FF0000">
      <unresolved>
        <commentChain chainId="ee1456031883109312be82f062144752674dc3df">
          <item id="9126a601cf46ec5f961446969a79676b9d2e241c" isNormal="1">
            <s:text>
              <s:r>
                <s:t xml:space="preserve">Administrator:
3/30 上年龄贴纸1300pcs
4/17 上客供防串码贴纸 100pcs
4/21 上防串码贴纸 100pcs</s:t>
              </s:r>
            </s:text>
          </item>
        </commentChain>
      </unresolved>
      <resolved/>
    </commentChains>
    <commentChains s:ref="AF263" rgbClr="FF0000">
      <unresolved>
        <commentChain chainId="9e6f49dcb6e4fe85b8e9797fb593af66708f7097">
          <item id="75115886a0dba9a191ff3a400a6a3f959aa76c78" isNormal="1">
            <s:text>
              <s:r>
                <s:t xml:space="preserve">Administrator:
1000772 4/17 500pcs 新仓库B3区</s:t>
              </s:r>
            </s:text>
          </item>
        </commentChain>
      </unresolved>
      <resolved/>
    </commentChains>
    <commentChains s:ref="AI263" rgbClr="FF0000">
      <unresolved>
        <commentChain chainId="66292ef24834ef544b203361c2e27667703de60c">
          <item id="d1ed440e5344d624635eedc40e1b419ff95bff13" isNormal="1">
            <s:text>
              <s:r>
                <s:t xml:space="preserve">Administrator:
4/8 上进口商贴纸500pcs
4/8 上UPC贴纸500pcs</s:t>
              </s:r>
            </s:text>
          </item>
        </commentChain>
      </unresolved>
      <resolved/>
    </commentChains>
    <commentChains s:ref="AF264" rgbClr="FF0000">
      <unresolved>
        <commentChain chainId="3a510465be6a8abe35c2343e27800802d721e893">
          <item id="2e76bb9277eed55c147debb23b9741e1f3361b10" isNormal="1">
            <s:text>
              <s:r>
                <s:t xml:space="preserve">Administrator:
10007772 4/17 1950pcs 新仓库A4区</s:t>
              </s:r>
            </s:text>
          </item>
        </commentChain>
      </unresolved>
      <resolved/>
    </commentChains>
    <commentChains s:ref="AI264" rgbClr="FF0000">
      <unresolved>
        <commentChain chainId="d4e1f0246331b9607e03edcd4a94a3e661e65269">
          <item id="b7a33828eef6917393ca2b8a6b3644169a48c81f" isNormal="1">
            <s:text>
              <s:r>
                <s:t xml:space="preserve">Administrator:
4/9 上年龄贴纸1950pcs
4/8 客供防窜码贴纸1拖13 150pcs</s:t>
              </s:r>
            </s:text>
          </item>
        </commentChain>
      </unresolved>
      <resolved/>
    </commentChains>
    <commentChains s:ref="AF265" rgbClr="FF0000">
      <unresolved>
        <commentChain chainId="a0d74f4f5a23571ea6540b9b771ec61c577b8baa">
          <item id="deab094739279149bdd8299322f2546ddaf9ce49" isNormal="1">
            <s:text>
              <s:r>
                <s:t xml:space="preserve">Administrator:
4/3 1000705 12pcs</s:t>
              </s:r>
            </s:text>
          </item>
        </commentChain>
      </unresolved>
      <resolved/>
    </commentChains>
    <commentChains s:ref="AI265" rgbClr="FF0000">
      <unresolved>
        <commentChain chainId="1734b03b2290b8946752768a22ab8aec8697ea02">
          <item id="453d1b5757932b4589045abce4fa75b14e351aac" isNormal="1">
            <s:text>
              <s:r>
                <s:t xml:space="preserve">Administrator:
4/14 上空白贴纸72pcs
4/16 收到亚马逊外箱贴纸 1pcs</s:t>
              </s:r>
            </s:text>
          </item>
        </commentChain>
      </unresolved>
      <resolved/>
    </commentChains>
    <commentChains s:ref="AF266" rgbClr="FF0000">
      <unresolved>
        <commentChain chainId="7524da5208a0fadcdab54b4bc9f5c8533e76c64b">
          <item id="d71f66aac7bfb2be77c81fd4afe5c4a19a9a4067" isNormal="1">
            <s:text>
              <s:r>
                <s:t xml:space="preserve">Administrator:
4/3 1000705 12pcs</s:t>
              </s:r>
            </s:text>
          </item>
        </commentChain>
      </unresolved>
      <resolved/>
    </commentChains>
    <commentChains s:ref="AI266" rgbClr="FF0000">
      <unresolved>
        <commentChain chainId="caa136dcf5d5bf1ed41b62efc5d654ff0da21ea5">
          <item id="46013ab2d257106d5dbc699661403fa60dfa5bbf" isNormal="1">
            <s:text>
              <s:r>
                <s:t xml:space="preserve">Administrator:
4/14 上空白贴纸72pcs
4/16 收到亚马逊外箱贴纸 1pcs</s:t>
              </s:r>
            </s:text>
          </item>
        </commentChain>
      </unresolved>
      <resolved/>
    </commentChains>
    <commentChains s:ref="AF267" rgbClr="FF0000">
      <unresolved>
        <commentChain chainId="a49a0eabcf697fe1a288c11220939a269d352cbb">
          <item id="93d91787bc3d9fa07c6034f9a1a5b3694ee1f6fa" isNormal="1">
            <s:text>
              <s:r>
                <s:t xml:space="preserve">Administrator:
4/3 1000705 12pcs</s:t>
              </s:r>
            </s:text>
          </item>
        </commentChain>
      </unresolved>
      <resolved/>
    </commentChains>
    <commentChains s:ref="AI267" rgbClr="FF0000">
      <unresolved>
        <commentChain chainId="cac8e29dd6438f4b891e3fdf88dfd3d1ba8b2688">
          <item id="363175e028e649812d2894428636123440483629" isNormal="1">
            <s:text>
              <s:r>
                <s:t xml:space="preserve">Administrator:
4/14 上空白贴纸72pcs
4/16 收到亚马逊外箱贴纸 1pcs</s:t>
              </s:r>
            </s:text>
          </item>
        </commentChain>
      </unresolved>
      <resolved/>
    </commentChains>
    <commentChains s:ref="AF268" rgbClr="FF0000">
      <unresolved>
        <commentChain chainId="039762d00a700e25b36d488e3424a1efdb204786">
          <item id="14f6a2f0d9f51a57adf517dcd9e10b2bb5d1309f" isNormal="1">
            <s:text>
              <s:r>
                <s:t xml:space="preserve">Administrator:
1001164 2/26 960pcs B4楼B1区
</s:t>
              </s:r>
            </s:text>
          </item>
        </commentChain>
      </unresolved>
      <resolved/>
    </commentChains>
    <commentChains s:ref="AI268" rgbClr="FF0000">
      <unresolved>
        <commentChain chainId="a3d32ef0c6b179ee0c85e1994479f8b1ae0a78ee">
          <item id="f0f6e9d6c1b32ba6362b3352f1e25dd864b78c22" isNormal="1">
            <s:text>
              <s:r>
                <s:t xml:space="preserve">Administrator:
1/26 上客供RFID贴纸 960pcs</s:t>
              </s:r>
            </s:text>
          </item>
        </commentChain>
      </unresolved>
      <resolved/>
    </commentChains>
    <commentChains s:ref="AF269" rgbClr="FF0000">
      <unresolved>
        <commentChain chainId="2de6c66273a8fef0a84126bf399eed5d720ed099">
          <item id="821bd400ef387e5cce916f54b5f18c3f964e71f7" isNormal="1">
            <s:text>
              <s:r>
                <s:t xml:space="preserve">Administrator:
1001164 2/26 960pcs B4楼B1区
</s:t>
              </s:r>
            </s:text>
          </item>
        </commentChain>
      </unresolved>
      <resolved/>
    </commentChains>
    <commentChains s:ref="AI269" rgbClr="FF0000">
      <unresolved>
        <commentChain chainId="7a1f51fb812a7d8998022547da91dfe671a6e54a">
          <item id="9cae9b423d986215562fa577dede9cb632205e30" isNormal="1">
            <s:text>
              <s:r>
                <s:t xml:space="preserve">Administrator:
1/26 上客供RFID贴纸 960pcs</s:t>
              </s:r>
            </s:text>
          </item>
        </commentChain>
      </unresolved>
      <resolved/>
    </commentChains>
    <commentChains s:ref="AF270" rgbClr="FF0000">
      <unresolved>
        <commentChain chainId="3d2ba84f27ce12673eadd32a99e10ffcbc0e9af1">
          <item id="8c0dc72eb8d296a8105510c094e56937e44d2129" isNormal="1">
            <s:text>
              <s:r>
                <s:t xml:space="preserve">Administrator:
3/26 10000822 1508pcs</s:t>
              </s:r>
            </s:text>
          </item>
        </commentChain>
      </unresolved>
      <resolved/>
    </commentChains>
    <commentChains s:ref="AI270" rgbClr="FF0000">
      <unresolved>
        <commentChain chainId="b3e4bf481766db10f4c21e4af7bab9d6b47fc3f0">
          <item id="625b5156b37355869d4361835695402624f287a4" isNormal="1">
            <s:text>
              <s:r>
                <s:t xml:space="preserve">Administrator:
3/16 上白色防盗贴纸 1508pcs
3/14 上KM外箱贴纸 116pcs</s:t>
              </s:r>
            </s:text>
          </item>
        </commentChain>
      </unresolved>
      <resolved/>
    </commentChains>
    <commentChains s:ref="AF271" rgbClr="FF0000">
      <unresolved>
        <commentChain chainId="3ea29c3cb7d7a5afec679af4ee91182638bdc46d">
          <item id="5fee818d2a6961f1c15e29b24923c97aaebc3be3" isNormal="1">
            <s:text>
              <s:r>
                <s:t xml:space="preserve">Administrator:
3/26 1000822 819pcs</s:t>
              </s:r>
            </s:text>
          </item>
        </commentChain>
      </unresolved>
      <resolved/>
    </commentChains>
    <commentChains s:ref="AF272" rgbClr="FF0000">
      <unresolved>
        <commentChain chainId="3ff009c1230ebe72c10cb44c9a46af8691fb2aed">
          <item id="01ddba0b4698ecace10c1f8ce0fceffb935cb198" isNormal="1">
            <s:text>
              <s:r>
                <s:t xml:space="preserve">Administrator:
3/26 1000822 390pcs</s:t>
              </s:r>
            </s:text>
          </item>
        </commentChain>
      </unresolved>
      <resolved/>
    </commentChains>
    <commentChains s:ref="AF273" rgbClr="FF0000">
      <unresolved>
        <commentChain chainId="d784574f3f1df7cf763358c0932600a67f2ad99d">
          <item id="bfe7c26994f8685af00f29d34336c59ea9c51290" isNormal="1">
            <s:text>
              <s:r>
                <s:t xml:space="preserve">Administrator:
4/3 1000728 1500pcs新仓库B5
</s:t>
              </s:r>
            </s:text>
          </item>
        </commentChain>
      </unresolved>
      <resolved/>
    </commentChains>
    <commentChains s:ref="AI273" rgbClr="FF0000">
      <unresolved>
        <commentChain chainId="14d7557c5a6252fc0e76deaa3f7c1d106912a10b">
          <item id="c71238ec7e1de2f4e5dec44cb0cb4780a8a6e9c8" isNormal="1">
            <s:text>
              <s:r>
                <s:t xml:space="preserve">Administrator:
3/23 上PDQUPC贴纸60pcs</s:t>
              </s:r>
            </s:text>
          </item>
        </commentChain>
      </unresolved>
      <resolved/>
    </commentChains>
    <commentChains s:ref="AF274" rgbClr="FF0000">
      <unresolved>
        <commentChain chainId="b04c548bdd49dc3a016a4fd26319d738cdc9a66c">
          <item id="0d2cd36aed1d309cc56d37d922989cfed4dd11f9" isNormal="1">
            <s:text>
              <s:r>
                <s:t xml:space="preserve">Administrator:
4/29 3001872 828pcs</s:t>
              </s:r>
            </s:text>
          </item>
        </commentChain>
      </unresolved>
      <resolved/>
    </commentChains>
    <commentChains s:ref="AI274" rgbClr="FF0000">
      <unresolved>
        <commentChain chainId="3a0984c4882efaaf1020ad92968c18c40393d48d">
          <item id="ff02dbf6482da95f3cdb728955cd593cf1b36abe" isNormal="1">
            <s:text>
              <s:r>
                <s:t xml:space="preserve">Administrator:
3/30 上亚马逊外箱贴纸 69pcs
3/30 上环保标贴纸828pcs</s:t>
              </s:r>
            </s:text>
          </item>
        </commentChain>
      </unresolved>
      <resolved/>
    </commentChains>
    <commentChains s:ref="AF275" rgbClr="FF0000">
      <unresolved>
        <commentChain chainId="f9da97d351352a77138ad88dcff33c348cd88ead">
          <item id="ae6ce05d4b8f1fdd7ae8be42e07959b767fef5d4" isNormal="1">
            <s:text>
              <s:r>
                <s:t xml:space="preserve">Administrator:
4/29 3001872 576pcs</s:t>
              </s:r>
            </s:text>
          </item>
        </commentChain>
      </unresolved>
      <resolved/>
    </commentChains>
    <commentChains s:ref="AI275" rgbClr="FF0000">
      <unresolved>
        <commentChain chainId="3579d1d6749ef1f2153c36e6997ecffd25d19dc6">
          <item id="0ca5b3d3ca092fce1a2b456810632d2cfac4b7ed" isNormal="1">
            <s:text>
              <s:r>
                <s:t xml:space="preserve">Administrator:
4/9 上环保标贴纸576pcs
4/16 上亚马逊外箱贴纸 48pcs</s:t>
              </s:r>
            </s:text>
          </item>
        </commentChain>
      </unresolved>
      <resolved/>
    </commentChains>
    <commentChains s:ref="AF276" rgbClr="FF0000">
      <unresolved>
        <commentChain chainId="08453a87535ed4e8395fecca3ef675457279fa4c">
          <item id="001e76486d5bd045b6269d322a8964e9d1999a92" isNormal="1">
            <s:text>
              <s:r>
                <s:t xml:space="preserve">DELL:
1000682 4/22 1404pcs</s:t>
              </s:r>
            </s:text>
          </item>
        </commentChain>
      </unresolved>
      <resolved/>
    </commentChains>
    <commentChains s:ref="AI276" rgbClr="FF0000">
      <unresolved>
        <commentChain chainId="7a584ff37199bbf3ae1f783710f6ca65b28e44af">
          <item id="ae3aae2b8c99afa4743e81506281e71267fd08ed" isNormal="1">
            <s:text>
              <s:r>
                <s:t xml:space="preserve">Administrator:
4/2 上白色防盗贴纸1404pcs
4/16 上KM外箱tie贴纸 108pcs</s:t>
              </s:r>
            </s:text>
          </item>
        </commentChain>
      </unresolved>
      <resolved/>
    </commentChains>
    <commentChains s:ref="AF277" rgbClr="FF0000">
      <unresolved>
        <commentChain chainId="ac25aced081ffe34dce7a459a4cc30f6f1eca48c">
          <item id="d5f7b0f80fc101fa875e8d9b9ca052a30cff84a2" isNormal="1">
            <s:text>
              <s:r>
                <s:t xml:space="preserve">DELL:
1000654 4/25 104pcs新仓库B3</s:t>
              </s:r>
            </s:text>
          </item>
        </commentChain>
      </unresolved>
      <resolved/>
    </commentChains>
    <commentChains s:ref="AI277" rgbClr="FF0000">
      <unresolved>
        <commentChain chainId="35d1501dab46c011aabc8a4ce712fa2e72946737">
          <item id="4aeb11cb222a5d2fb07cd257fdb9ca6c2e0a99dd" isNormal="1">
            <s:text>
              <s:r>
                <s:t xml:space="preserve">Administrator:
4/2 上白色防盗贴纸104pcs
4/16 上KM外箱贴纸 8pcs</s:t>
              </s:r>
            </s:text>
          </item>
        </commentChain>
      </unresolved>
      <resolved/>
    </commentChains>
    <commentChains s:ref="AF278" rgbClr="FF0000">
      <unresolved>
        <commentChain chainId="5e9cae9961b2b0805efb6dbd67256af13fc59527">
          <item id="f502f1cbe63411284b7e52076d99b358a73d117d" isNormal="1">
            <s:text>
              <s:r>
                <s:t xml:space="preserve">DELL:
1000654 4/25 312pcs新仓库B3</s:t>
              </s:r>
            </s:text>
          </item>
        </commentChain>
      </unresolved>
      <resolved/>
    </commentChains>
    <commentChains s:ref="AI278" rgbClr="FF0000">
      <unresolved>
        <commentChain chainId="da0e27d016c38bc17d4351148891fe9cb9eb4e1b">
          <item id="699c17711c807e3f38bd8e1b73a043fe8a204997" isNormal="1">
            <s:text>
              <s:r>
                <s:t xml:space="preserve">Administrator:
4/15 上进口商贴纸312pcs
4/15 上条码贴纸312pcs</s:t>
              </s:r>
            </s:text>
          </item>
        </commentChain>
      </unresolved>
      <resolved/>
    </commentChains>
    <commentChains s:ref="AF279" rgbClr="FF0000">
      <unresolved>
        <commentChain chainId="78d9d93b22caf7c84bf16223e86a341ec5a16974">
          <item id="06a9d2611b05b79bf5c00a03b1c1d75f788fe31d" isNormal="1">
            <s:text>
              <s:r>
                <s:t xml:space="preserve">DELL:
1000654 4/25 156pcs新仓库B3
</s:t>
              </s:r>
            </s:text>
          </item>
        </commentChain>
      </unresolved>
      <resolved/>
    </commentChains>
    <commentChains s:ref="AI279" rgbClr="FF0000">
      <unresolved>
        <commentChain chainId="59b75b2a33a7eed1048e8df0308c60bf8f2f219e">
          <item id="fc30d5206f6f9c4dfb111d4c2b27542d47ebbb67" isNormal="1">
            <s:text>
              <s:r>
                <s:t xml:space="preserve">Administrator:
4/9上通用贴纸156pcs</s:t>
              </s:r>
            </s:text>
          </item>
        </commentChain>
      </unresolved>
      <resolved/>
    </commentChains>
    <commentChains s:ref="AF280" rgbClr="FF0000">
      <unresolved>
        <commentChain chainId="e2041e9c39571fbab89d088cdcfb4b1b12b36c1c">
          <item id="9d60f7c0f56022aaf2ae8470ed8c9f3cfa7f7ac7" isNormal="1">
            <s:text>
              <s:r>
                <s:t xml:space="preserve">DELL:
3001879 4/30 1152pcs</s:t>
              </s:r>
            </s:text>
          </item>
        </commentChain>
      </unresolved>
      <resolved/>
    </commentChains>
    <commentChains s:ref="AI280" rgbClr="FF0000">
      <unresolved>
        <commentChain chainId="b44b6bccd2008e91caff86621ed33aeab20d5eeb">
          <item id="5835a1f31ec856934c60ce1da56abb202e46d924" isNormal="1">
            <s:text>
              <s:r>
                <s:t xml:space="preserve">Administrator:
4/14 上环保标贴纸1152pcs 
4/29 上亚马逊外箱贴纸96pcs</s:t>
              </s:r>
            </s:text>
          </item>
        </commentChain>
      </unresolved>
      <resolved/>
    </commentChains>
    <commentChains s:ref="AF281" rgbClr="FF0000">
      <unresolved>
        <commentChain chainId="011a1f13cd5ecacebe3cb7c9928b5f91dd42d25f">
          <item id="319c3271df4356f1da04f48fa7695be61030b9db" isNormal="1">
            <s:text>
              <s:r>
                <s:t xml:space="preserve">DELL:
3001885 4/30 624pcs</s:t>
              </s:r>
            </s:text>
          </item>
        </commentChain>
      </unresolved>
      <resolved/>
    </commentChains>
    <commentChains s:ref="AI281" rgbClr="FF0000">
      <unresolved>
        <commentChain chainId="755df6810adaf572b35895930e4bb956e6e50edb">
          <item id="0cc8ab05e8ebb030e9964f10d6c972169a1a0c01" isNormal="1">
            <s:text>
              <s:r>
                <s:t xml:space="preserve">DELL:
4/24 上进口商贴纸 1872pcs</s:t>
              </s:r>
            </s:text>
          </item>
        </commentChain>
      </unresolved>
      <resolved/>
    </commentChains>
    <commentChains s:ref="AF282" rgbClr="FF0000">
      <unresolved>
        <commentChain chainId="539bb350290d949afea555c78ab77f410e40f362">
          <item id="e2a394cb28d166910e3c7c7ed9ff170be87b315e" isNormal="1">
            <s:text>
              <s:r>
                <s:t xml:space="preserve">DELL:
3001885 4/30 572pcs</s:t>
              </s:r>
            </s:text>
          </item>
        </commentChain>
      </unresolved>
      <resolved/>
    </commentChains>
    <commentChains s:ref="AF283" rgbClr="FF0000">
      <unresolved>
        <commentChain chainId="ab30f5efd2db24d026ae1e26faebf663d8b316e8">
          <item id="363c2a0a9be2e271095b81104b6f113ed31fc3b9" isNormal="1">
            <s:text>
              <s:r>
                <s:t xml:space="preserve">DELL:
3001885 4/30 468pcs</s:t>
              </s:r>
            </s:text>
          </item>
        </commentChain>
      </unresolved>
      <resolved/>
    </commentChains>
    <commentChains s:ref="AF284" rgbClr="FF0000">
      <unresolved>
        <commentChain chainId="3f04d604cacee5f5d883209efb45449aff440fd6">
          <item id="2a49b9cb3171e06f95bde9715a3bd199ac831fb7" isNormal="1">
            <s:text>
              <s:r>
                <s:t xml:space="preserve">DELL:
3001885 4/30 208pcs</s:t>
              </s:r>
            </s:text>
          </item>
        </commentChain>
      </unresolved>
      <resolved/>
    </commentChains>
    <commentChains s:ref="AF285" rgbClr="FF0000">
      <unresolved>
        <commentChain chainId="3d176751f9e0338d87aabc9f77b90dc578bfeeec">
          <item id="953ed25eb82dbbe4e86b37fbe25aabcb0b3aab3a" isNormal="1">
            <s:text>
              <s:r>
                <s:t xml:space="preserve">Administrator:
5/5 3001931 84pcs B4-B9</s:t>
              </s:r>
            </s:text>
          </item>
        </commentChain>
      </unresolved>
      <resolved/>
    </commentChains>
    <commentChains s:ref="AI285" rgbClr="FF0000">
      <unresolved>
        <commentChain chainId="688c1000bb9ed5af4851e0260d7c02795ef7debe">
          <item id="5d7ef8bdff06c3d56b6dcadc0956de6ee1d1662f" isNormal="1">
            <s:text>
              <s:r>
                <s:t xml:space="preserve">Administrator:
4/20 上空白贴纸 168pcs</s:t>
              </s:r>
            </s:text>
          </item>
        </commentChain>
      </unresolved>
      <resolved/>
    </commentChains>
    <commentChains s:ref="AF286" rgbClr="FF0000">
      <unresolved>
        <commentChain chainId="f0cb17c9a0159126b81463ee12b3f6ab75510fe9">
          <item id="5c7659946c9047649e9385fe1acab5ab4d39b2e2" isNormal="1">
            <s:text>
              <s:r>
                <s:t xml:space="preserve">Administrator:
5/4 3001908 1508pcs</s:t>
              </s:r>
            </s:text>
          </item>
        </commentChain>
      </unresolved>
      <resolved/>
    </commentChains>
    <commentChains s:ref="AI286" rgbClr="FF0000">
      <unresolved>
        <commentChain chainId="9126944c0d56892d6b7a5643f561e2b7efd8253c">
          <item id="96d8a79f0923ca5ad8c7169d025b40398e002ea8" isNormal="1">
            <s:text>
              <s:r>
                <s:t xml:space="preserve">DELL:
4/23 上KM外箱贴纸 116pcs
4/29 上白色防盗贴纸 1508pcs</s:t>
              </s:r>
            </s:text>
          </item>
        </commentChain>
      </unresolved>
      <resolved/>
    </commentChains>
    <commentChains s:ref="AF287" rgbClr="FF0000">
      <unresolved>
        <commentChain chainId="80fac2ca9087c255bccc3fe023b52e1deb7a5dd0">
          <item id="70756eaa8f01a28c6056956e986af2704333ca2b" isNormal="1">
            <s:text>
              <s:r>
                <s:t xml:space="preserve">Administrator:
5/7 3001949 2500pcs新仓库A5</s:t>
              </s:r>
            </s:text>
          </item>
        </commentChain>
      </unresolved>
      <resolved/>
    </commentChains>
    <commentChains s:ref="AI287" rgbClr="FF0000">
      <unresolved>
        <commentChain chainId="ff80bdda7f7a696d24a2b1ec3b69b050e693a47d">
          <item id="68059fd0172238cce17e2beaa864ab22fd1d82b5" isNormal="1">
            <s:text>
              <s:r>
                <s:t xml:space="preserve">Administrator:
4/27 上客人通用进口商贴纸 2500pcs</s:t>
              </s:r>
            </s:text>
          </item>
        </commentChain>
      </unresolved>
      <resolved/>
    </commentChains>
    <commentChains s:ref="AF288" rgbClr="FF0000">
      <unresolved>
        <commentChain chainId="a2e7f55f321a840f3854efc52f33d7f460a434be">
          <item id="4d40ef20d12f75effea2d3d591ee4daecde1e34c" isNormal="1">
            <s:text>
              <s:r>
                <s:t xml:space="preserve">Administrator:
5/16 3001723 1500pcs</s:t>
              </s:r>
            </s:text>
          </item>
        </commentChain>
      </unresolved>
      <resolved/>
    </commentChains>
    <commentChains s:ref="AI288" rgbClr="FF0000">
      <unresolved>
        <commentChain chainId="29f0297cdb873365a1d82e7113938b60264ea711">
          <item id="f87fe89259bf3ae441e208a46b567c9e5fc46f54" isNormal="1">
            <s:text>
              <s:r>
                <s:t xml:space="preserve">Administrator:
5/8 上进口商贴纸 1500pcs
5/8 上UPC贴纸1500pcs</s:t>
              </s:r>
            </s:text>
          </item>
        </commentChain>
      </unresolved>
      <resolved/>
    </commentChains>
    <commentChains s:ref="AF289" rgbClr="FF0000">
      <unresolved>
        <commentChain chainId="6940faae983e1fe324ddac197e068a451a50eb06">
          <item id="0e19ec2200b4e9700044cb591922726aa0a074e9" isNormal="1">
            <s:text>
              <s:r>
                <s:t xml:space="preserve">Administrator:
5/21 201277 792PCS新A5
</s:t>
              </s:r>
            </s:text>
          </item>
        </commentChain>
      </unresolved>
      <resolved/>
    </commentChains>
    <commentChains s:ref="AI289" rgbClr="FF0000">
      <unresolved>
        <commentChain chainId="c7468c479a0efdfc2869769079bd24ecbbd77d3f">
          <item id="b8b25b8995ebff4f80dbcb645e0c7e6b761dbc04" isNormal="1">
            <s:text>
              <s:r>
                <s:t xml:space="preserve">Administrator:
5/11 上亚马逊贴纸66pcs
5/16 上环保标贴纸792pcs</s:t>
              </s:r>
            </s:text>
          </item>
        </commentChain>
      </unresolved>
      <resolved/>
    </commentChains>
    <commentChains s:ref="AF290" rgbClr="FF0000">
      <unresolved>
        <commentChain chainId="3788e60e65c938cad2abce7d5b590b6d36b9682d">
          <item id="9f20f4fbffd6efda4604ea775e04852305b1142c" isNormal="1">
            <s:text>
              <s:r>
                <s:t xml:space="preserve">Administrator:
5/22 3700pcs 3001732
新仓库B5</s:t>
              </s:r>
            </s:text>
          </item>
        </commentChain>
      </unresolved>
      <resolved/>
    </commentChains>
    <commentChains s:ref="AF291" rgbClr="FF0000">
      <unresolved>
        <commentChain chainId="2c9e5398930ed09171422acda02dd077eb37f8f6">
          <item id="9f1cfcc98a9c2ca4b3ca6417786ff9d237372c15" isNormal="1">
            <s:text>
              <s:r>
                <s:t xml:space="preserve">Administrator:
5/21 201277 520PCS新A5</s:t>
              </s:r>
            </s:text>
          </item>
        </commentChain>
      </unresolved>
      <resolved/>
    </commentChains>
    <commentChains s:ref="AI291" rgbClr="FF0000">
      <unresolved>
        <commentChain chainId="f1bff3c8fc8f1197bdfffe479c92125d1237f775">
          <item id="b3a117898d45a6daecc48fb2ecf72cd19a631e56" isNormal="1">
            <s:text>
              <s:r>
                <s:t xml:space="preserve">Administrator:
5/18 上sni label贴纸520pcs</s:t>
              </s:r>
            </s:text>
          </item>
        </commentChain>
      </unresolved>
      <resolved/>
    </commentChains>
    <commentChains s:ref="AF292" rgbClr="FF0000">
      <unresolved>
        <commentChain chainId="0ba8faf51184e989e5ef26ed4c57fad0e3b71454">
          <item id="6bf75e39a887bd53e0db2160bb6cf48396268e95" isNormal="1">
            <s:text>
              <s:r>
                <s:t xml:space="preserve">Administrator:
5/18 3002597 2028pcs</s:t>
              </s:r>
            </s:text>
          </item>
        </commentChain>
      </unresolved>
      <resolved/>
    </commentChains>
    <commentChains s:ref="AI292" rgbClr="FF0000">
      <unresolved>
        <commentChain chainId="abe87714b05edc6e460c29e73d63cb5bcec38c1b">
          <item id="fe0c039f120860bca22a5d3b5370c392fc865cf8" isNormal="1">
            <s:text>
              <s:r>
                <s:t xml:space="preserve">Administrator:
5/11 上UPC/环保标/洗涤说明书贴纸2028pcs
5/14 上价格贴纸2028pcs</s:t>
              </s:r>
            </s:text>
          </item>
        </commentChain>
      </unresolved>
      <resolved/>
    </commentChains>
    <commentChains s:ref="AF293" rgbClr="FF0000">
      <unresolved>
        <commentChain chainId="4188c8e3702d5f6ffab392ed71efb9f6d233d6b3">
          <item id="254ddffc2037eed18eb9f7d2b33e2c47829c3e43" isNormal="1">
            <s:text>
              <s:r>
                <s:t xml:space="preserve">Administrator:
5/5 3001931 650pcs B4-B9</s:t>
              </s:r>
            </s:text>
          </item>
        </commentChain>
      </unresolved>
      <resolved/>
    </commentChains>
    <commentChains s:ref="AI293" rgbClr="FF0000">
      <unresolved>
        <commentChain chainId="bf6d41f680ecdce60bab401e0b7a1b87949b4c54">
          <item id="bb338af148c4805df226f34e905a5cd75d3cd926" isNormal="1">
            <s:text>
              <s:r>
                <s:t xml:space="preserve">DELL:
4/27 上警告语/客人进口商地址贴纸 650pcs</s:t>
              </s:r>
            </s:text>
          </item>
        </commentChain>
      </unresolved>
      <resolved/>
    </commentChains>
    <commentChains s:ref="AF294" rgbClr="FF0000">
      <unresolved>
        <commentChain chainId="f1af120849e42b15b9656bc4f52e74b95db4a146">
          <item id="4528eecbaefa387bcf42b93c53d790531ce87884" userID="1850010794" userName="龙丽娟" dateTime="2026-06-01T05:36:25" isNormal="0">
            <s:text>
              <s:r>
                <s:t xml:space="preserve">5/22 200405 1040pcs应兴二楼A1</s:t>
              </s:r>
            </s:text>
          </item>
        </commentChain>
      </unresolved>
      <resolved/>
    </commentChains>
    <commentChains s:ref="AF295" rgbClr="FF0000">
      <unresolved>
        <commentChain chainId="52c318a10cd064431c6b2f997502634e6535796e">
          <item id="16984082ea44f150721db1a0099a71c4ca40a0c7" userID="1850010794" userName="龙丽娟" dateTime="2026-06-04T02:33:22" isNormal="0">
            <s:text>
              <s:r>
                <s:t xml:space="preserve">5/30 1000405  3000pcs B栋4楼B9</s:t>
              </s:r>
            </s:text>
          </item>
        </commentChain>
      </unresolved>
      <resolved/>
    </commentChains>
    <commentChains s:ref="AI295" rgbClr="FF0000">
      <unresolved>
        <commentChain chainId="b23133cdaa6f78d4e01c8c2ec31e2e3eb57f33b4">
          <item id="dea8d16167a9367a759f1b67f3d9f59c2d6c858e" isNormal="1">
            <s:text>
              <s:r>
                <s:t xml:space="preserve">Administrator:
5/18 上客供价格贴纸3090pcs</s:t>
              </s:r>
            </s:text>
          </item>
        </commentChain>
      </unresolved>
      <resolved/>
    </commentChains>
    <commentChains s:ref="AI296" rgbClr="FF0000">
      <unresolved>
        <commentChain chainId="10a68787e6287bab5ee27c4d2f46e142ef39915a">
          <item id="ad75c6a1b09f151448907d134722bd07d3a07eb1" isNormal="1">
            <s:text>
              <s:r>
                <s:t xml:space="preserve">Administrator:
5/7 上客供亚马逊贴纸97pcs
5/20 上环保标贴纸1164pcs</s:t>
              </s:r>
            </s:text>
          </item>
        </commentChain>
      </unresolved>
      <resolved/>
    </commentChains>
    <commentChains s:ref="AF297" rgbClr="FF0000">
      <unresolved>
        <commentChain chainId="3742e66c6554448b54f64bb581ef0dc0027e4c76">
          <item id="ab030e6dba17a4d89ab99899892e665cb1aa0418" userID="1850010794" userName="龙丽娟" dateTime="2026-06-10T08:52:28" isNormal="0">
            <s:text>
              <s:r>
                <s:t xml:space="preserve">6/8 1000510 403pcs欣泰B5</s:t>
              </s:r>
            </s:text>
          </item>
        </commentChain>
      </unresolved>
      <resolved/>
    </commentChains>
    <commentChains s:ref="AF298" rgbClr="FF0000">
      <unresolved>
        <commentChain chainId="3f1a973cd00d57dec6e76d61a6ccb5d1b48e4002">
          <item id="2fb06646981f2470a4016753ea6c49e196b1868a" userID="1850010794" userName="龙丽娟" dateTime="2026-06-07T07:27:36" isNormal="0">
            <s:text>
              <s:r>
                <s:t xml:space="preserve">6/4 1000537 12PCS欣泰B4</s:t>
              </s:r>
            </s:text>
          </item>
        </commentChain>
      </unresolved>
      <resolved/>
    </commentChains>
    <commentChains s:ref="AI298" rgbClr="FF0000">
      <unresolved>
        <commentChain chainId="6d9fa595c8795c35596f31f70bf5b0e5fb3be98c">
          <item id="d66d5ce7bdd1de7f87e89ff80666031bf6edda3b" isNormal="1">
            <s:text>
              <s:r>
                <s:t xml:space="preserve">Administrator:
5/21 上空白贴纸24pcs</s:t>
              </s:r>
            </s:text>
          </item>
        </commentChain>
      </unresolved>
      <resolved/>
    </commentChains>
    <commentChains s:ref="AI299" rgbClr="FF0000">
      <unresolved>
        <commentChain chainId="65a4b9012bd3debb993236089bf5d9ca8dd2d136">
          <item id="4c7cd191190f2803e674ef3cc2d3a972a5aa4edb" isNormal="1">
            <s:text>
              <s:r>
                <s:t xml:space="preserve">Administrator:
5/21 上空白贴纸24pcs</s:t>
              </s:r>
            </s:text>
          </item>
        </commentChain>
      </unresolved>
      <resolved/>
    </commentChains>
    <commentChains s:ref="AF300" rgbClr="FF0000">
      <unresolved>
        <commentChain chainId="5e171534cb8bc818ffc709d4c5dca3170b164b04">
          <item id="74103c57da5e338296586eb588fbdf5788003f8d" userID="1850010794" userName="龙丽娟" dateTime="2026-06-07T07:27:56" isNormal="0">
            <s:text>
              <s:r>
                <s:t xml:space="preserve">6/4 1000537 24PCS欣泰B4</s:t>
              </s:r>
            </s:text>
          </item>
        </commentChain>
      </unresolved>
      <resolved/>
    </commentChains>
    <commentChains s:ref="AI300" rgbClr="FF0000">
      <unresolved>
        <commentChain chainId="15981243a6ccc357058f0b73ee1badee53f22c96">
          <item id="01b61315565fefbbfb44fa83f8a68c33f7e5a6b8" isNormal="1">
            <s:text>
              <s:r>
                <s:t xml:space="preserve">Administrator:
5/21 上空白贴纸48pcs</s:t>
              </s:r>
            </s:text>
          </item>
        </commentChain>
      </unresolved>
      <resolved/>
    </commentChains>
    <commentChains s:ref="AF301" rgbClr="FF0000">
      <unresolved>
        <commentChain chainId="19d83f1a395fcf3b58c9fd99154b3f0c1d88fda0">
          <item id="1173d73304b246030fe7c9a4855d79225f968a3a" userID="1850010794" userName="龙丽娟" dateTime="2026-06-07T07:28:00" isNormal="0">
            <s:text>
              <s:r>
                <s:t xml:space="preserve">6/4 1000537 24PCS欣泰B4</s:t>
              </s:r>
            </s:text>
          </item>
        </commentChain>
      </unresolved>
      <resolved/>
    </commentChains>
    <commentChains s:ref="AI301" rgbClr="FF0000">
      <unresolved>
        <commentChain chainId="16c26a39785f982dbb2de3c2f37c0744a47c2779">
          <item id="4f11f911e9e0f31b6924ebf61fb40757a28dea1b" isNormal="1">
            <s:text>
              <s:r>
                <s:t xml:space="preserve">Administrator:
5/21 上空白贴纸48pcs</s:t>
              </s:r>
            </s:text>
          </item>
        </commentChain>
      </unresolved>
      <resolved/>
    </commentChains>
    <commentChains s:ref="AF302" rgbClr="FF0000">
      <unresolved>
        <commentChain chainId="407b215b6bc08d3161f5914250646cc9f8a4dbc8">
          <item id="fc139732bf432fe17151018b4b8105458269c19b" userID="1850010794" userName="龙丽娟" dateTime="2026-06-07T07:28:08" isNormal="0">
            <s:text>
              <s:r>
                <s:t xml:space="preserve">6/4 1000537 416PCS欣泰B4</s:t>
              </s:r>
            </s:text>
          </item>
        </commentChain>
      </unresolved>
      <resolved/>
    </commentChains>
    <commentChains s:ref="AF303" rgbClr="FF0000">
      <unresolved>
        <commentChain chainId="553521163653c050bcdde97aa70c4c4c75407c94">
          <item id="9e3ada423220edbacd5c2007c827ffaf6e3bd9e4" userID="1850010794" userName="龙丽娟" dateTime="2026-06-11T02:41:30" isNormal="0">
            <s:text>
              <s:r>
                <s:t xml:space="preserve">6/9 1000484 572pcs欣泰B4</s:t>
              </s:r>
            </s:text>
          </item>
        </commentChain>
      </unresolved>
      <resolved/>
    </commentChains>
    <commentChains s:ref="AF304" rgbClr="FF0000">
      <unresolved>
        <commentChain chainId="b5ba7c4555db52ceb306b73512a2a6a8f0a22983">
          <item id="a243931242868b48307a7af3230706b3e2b00391" userID="1850010794" userName="龙丽娟" dateTime="2026-06-11T02:41:41" isNormal="0">
            <s:text>
              <s:r>
                <s:t xml:space="preserve">6/9 1000484 520pcs欣泰B4</s:t>
              </s:r>
            </s:text>
          </item>
        </commentChain>
      </unresolved>
      <resolved/>
    </commentChains>
    <commentChains s:ref="AF305" rgbClr="FF0000">
      <unresolved>
        <commentChain chainId="15b8522351b5d335dff0d8151688e5767fc4915d">
          <item id="b81755b8de16002ad0f636f1d68e31818e048a34" userID="1850010794" userName="龙丽娟" dateTime="2026-06-11T02:41:50" isNormal="0">
            <s:text>
              <s:r>
                <s:t xml:space="preserve">6/9 1000484 416pcs欣泰B4</s:t>
              </s:r>
            </s:text>
          </item>
        </commentChain>
      </unresolved>
      <resolved/>
    </commentChains>
    <commentChains s:ref="AF306" rgbClr="FF0000">
      <unresolved>
        <commentChain chainId="420de2b31671264af38a93eef4ca63587a03536d">
          <item id="7c5c0e5fce456f1a9eb764d988eb6e49bc419602" userID="1850010794" userName="龙丽娟" dateTime="2026-06-11T02:41:58" isNormal="0">
            <s:text>
              <s:r>
                <s:t xml:space="preserve">6/9 1000484 208pcs欣泰B4</s:t>
              </s:r>
            </s:text>
          </item>
        </commentChain>
      </unresolved>
      <resolved/>
    </commentChains>
    <commentChains s:ref="AF307" rgbClr="FF0000">
      <unresolved>
        <commentChain chainId="67b6a0cd5e13469f0fa2089dd4261ce75bd14a51">
          <item id="2bf94810c3065d65ec40e3a72f051f7f4f26310c" userID="1850010794" userName="龙丽娟" dateTime="2026-06-11T02:40:19" isNormal="0">
            <s:text>
              <s:r>
                <s:t xml:space="preserve">6/9 1000484 3250pcs欣泰B4</s:t>
              </s:r>
            </s:text>
          </item>
        </commentChain>
      </unresolved>
      <resolved/>
    </commentChains>
    <commentChains s:ref="AF308" rgbClr="FF0000">
      <unresolved>
        <commentChain chainId="dba10027200d0ad892c12345a07d81ef2c72e556">
          <item id="d0184d807617e7490c6ce66b99a81a66b67e5eb5" userID="1850010794" userName="龙丽娟" dateTime="2026-06-15T05:57:58" isNormal="0">
            <s:text>
              <s:r>
                <s:t xml:space="preserve">6/12 1000447 676pcs欣泰B4</s:t>
              </s:r>
            </s:text>
          </item>
        </commentChain>
      </unresolved>
      <resolved/>
    </commentChains>
    <commentChains s:ref="AI309" rgbClr="FF0000">
      <unresolved>
        <commentChain chainId="a46cea69e7fc0bc44b48aca330d406cc94ad30aa">
          <item id="0affd38e0ac2dd3eede64f73f82db9b6493e9c1f" isNormal="1">
            <s:text>
              <s:r>
                <s:t xml:space="preserve">Administrator:
5/21 进口商贴纸600pcs</s:t>
              </s:r>
            </s:text>
          </item>
        </commentChain>
      </unresolved>
      <resolved/>
    </commentChains>
    <commentChains s:ref="AJ310" rgbClr="FF0000">
      <unresolved>
        <commentChain chainId="7aca63a5ad8bf3184e98caacc0bdbe2e4745e480">
          <item id="c689d3df5a316989a5933055e6969ce33113e319" isNormal="1">
            <s:text>
              <s:r>
                <s:t xml:space="preserve">Administrator:
5/14 上客供价格贴纸3150pcs</s:t>
              </s:r>
            </s:text>
          </item>
        </commentChain>
      </unresolved>
      <resolved/>
    </commentChains>
    <commentChains s:ref="AF314" rgbClr="FF0000">
      <unresolved>
        <commentChain chainId="f1d373896ae2ed1e6793a417cfdbb0cb9bc0e13e">
          <item id="18b2c4d5718be44ba07f5ed74a2dc692f30748ba" userID="1850010794" userName="龙丽娟" dateTime="2026-06-23T05:34:03" isNormal="0">
            <s:text>
              <s:r>
                <s:t xml:space="preserve">6/20 1000002 504pcs欣泰C4</s:t>
              </s:r>
            </s:text>
          </item>
        </commentChain>
      </unresolved>
      <resolved/>
    </commentChains>
    <commentChains s:ref="AF315" rgbClr="FF0000">
      <unresolved>
        <commentChain chainId="9379e3ee8bdcdb83a8548e9df7691428822130f0">
          <item id="c9a817d3d8761aedd527e57089ac6b39cfb9a2c9" userID="1850010794" userName="龙丽娟" dateTime="2026-06-23T06:56:56" isNormal="0">
            <s:text>
              <s:r>
                <s:t xml:space="preserve">1000074 6/18 500pcs欣泰A6</s:t>
              </s:r>
            </s:text>
          </item>
        </commentChain>
      </unresolved>
      <resolved/>
    </commentChains>
    <commentChains s:ref="AI315" rgbClr="FF0000">
      <unresolved>
        <commentChain chainId="e4b0b9c4cf1e3b8d6c287a27378b57cd9e975bc9">
          <item id="70e17dbda9a05eb96341a2d546640311659244a8" userID="1850010794" userName="龙丽娟" dateTime="2026-06-22T05:28:54" isNormal="0">
            <s:text>
              <s:r>
                <s:t xml:space="preserve">6/9上UPC贴纸500pcs</s:t>
              </s:r>
            </s:text>
          </item>
        </commentChain>
      </unresolved>
      <resolved/>
    </commentChains>
    <commentChains s:ref="AF316" rgbClr="FF0000">
      <unresolved>
        <commentChain chainId="f6769752fb3f61b483442d88d4c3cb268c4b989e">
          <item id="59e084f4a76c61a35637ac1682d1286a1fd8cc6c" userID="1850010794" userName="龙丽娟" dateTime="2026-06-24T06:59:22" isNormal="0">
            <s:text>
              <s:r>
                <s:t xml:space="preserve">1000601 6/22 350pcs欣泰B4</s:t>
              </s:r>
            </s:text>
          </item>
        </commentChain>
      </unresolved>
      <resolved/>
    </commentChains>
    <commentChains s:ref="AI316" rgbClr="FF0000">
      <unresolved>
        <commentChain chainId="27c47656be812b4aab09701ed6adccf05cdce317">
          <item id="499892909daaa83dc1acb894db49fab671fb57a7" userID="1850010794" userName="龙丽娟" dateTime="2026-06-22T05:28:54" isNormal="0">
            <s:text>
              <s:r>
                <s:t xml:space="preserve">6/9上UPC贴纸350pcs</s:t>
              </s:r>
            </s:text>
          </item>
        </commentChain>
      </unresolved>
      <resolved/>
    </commentChains>
    <commentChains s:ref="AF317" rgbClr="FF0000">
      <unresolved>
        <commentChain chainId="b3ad266dc0541d702d0ba79498740fe2888f04e4">
          <item id="1ee2bfa69137721dfb562ad5214d9409c31ebd59" userID="1850010794" userName="龙丽娟" dateTime="2026-06-25T07:15:09" isNormal="0">
            <s:text>
              <s:r>
                <s:t xml:space="preserve">6/23 欣泰a5 1992pcs</s:t>
              </s:r>
            </s:text>
          </item>
        </commentChain>
      </unresolved>
      <resolved/>
    </commentChains>
    <commentChains s:ref="AF318" rgbClr="FF0000">
      <unresolved>
        <commentChain chainId="19ea87d3677f874af84044c91846eb11aba5b5e3">
          <item id="2bc560a76d13405e843dcca3f5bfb1ce41521a57" userID="1850010794" userName="龙丽娟" dateTime="2026-06-26T13:16:14" isNormal="0">
            <s:text>
              <s:r>
                <s:t xml:space="preserve">1000639 6/24 600pcs欣泰a6</s:t>
              </s:r>
            </s:text>
          </item>
        </commentChain>
      </unresolved>
      <resolved/>
    </commentChains>
    <commentChains s:ref="AI318" rgbClr="FF0000">
      <unresolved>
        <commentChain chainId="e30982906420140e6b9c78f4307bffd402d582cc">
          <item id="6cd54af2626e54b2fd64bac174a2446758db7820" userID="1850010794" userName="龙丽娟" dateTime="2026-06-23T03:29:41" isNormal="0">
            <s:text>
              <s:r>
                <s:t xml:space="preserve">6/22上客供价格贴纸710pcs</s:t>
              </s:r>
            </s:text>
          </item>
        </commentChain>
      </unresolved>
      <resolved/>
    </commentChains>
    <commentChains s:ref="AF320" rgbClr="FF0000">
      <unresolved>
        <commentChain chainId="1099691c6b8449bc2cca207ba432ca6f4de07cd0">
          <item id="6805d314a9d6595d8eeaa89d45166be4d01c53a0" userID="1850010794" userName="龙丽娟" dateTime="2026-07-02T12:54:27" isNormal="0">
            <s:text>
              <s:r>
                <s:t xml:space="preserve">6/26 12704 pcs欣泰A7</s:t>
              </s:r>
            </s:text>
          </item>
        </commentChain>
      </unresolved>
      <resolved/>
    </commentChains>
    <commentChains s:ref="AI320" rgbClr="FF0000">
      <unresolved>
        <commentChain chainId="1ba2b58ef6962c9f2f0fa4c46471166f56f0734e">
          <item id="b2b453a8df7211d0c831de220cc71442897c71e6" userID="1850010794" userName="龙丽娟" dateTime="2026-06-24T13:39:50" isNormal="0">
            <s:text>
              <s:r>
                <s:t xml:space="preserve">6/4 上WIC折页 23976pcs</s:t>
              </s:r>
            </s:text>
          </item>
        </commentChain>
      </unresolved>
      <resolved/>
    </commentChains>
    <commentChains s:ref="AF321" rgbClr="FF0000">
      <unresolved>
        <commentChain chainId="059194128f09b558070b3c34b113c06fecb07feb">
          <item id="bd829c3ee906436e573058e51542719f699b8a82" userID="1850010794" userName="龙丽娟" dateTime="2026-06-27T06:01:42" isNormal="0">
            <s:text>
              <s:r>
                <s:t xml:space="preserve">欣泰b7 6/25 11296pcs</s:t>
              </s:r>
            </s:text>
          </item>
        </commentChain>
      </unresolved>
      <resolved/>
    </commentChains>
    <commentChains s:ref="AI322" rgbClr="FF0000">
      <unresolved>
        <commentChain chainId="1277de2d4c38b14eac0e17ba1d59865375e07dd8">
          <item id="d349b77ab1e1f47ab965e1c3b3c64b7cc70d8afc" userID="1850010794" userName="龙丽娟" dateTime="2026-06-29T06:02:14" isNormal="0">
            <s:text>
              <s:r>
                <s:t xml:space="preserve">6/24上客供亚马逊外箱贴纸2pcs</s:t>
              </s:r>
            </s:text>
          </item>
        </commentChain>
      </unresolved>
      <resolved/>
    </commentChains>
    <commentChains s:ref="AI323" rgbClr="FF0000">
      <unresolved>
        <commentChain chainId="28365e3539bf6d1e03c757c10e2f4f0f2aaa87e5">
          <item id="08188fc5adf9fcaf9c9b36949f9509e2c152d05c" userID="1850010794" userName="龙丽娟" dateTime="2026-06-29T06:02:14" isNormal="0">
            <s:text>
              <s:r>
                <s:t xml:space="preserve">6/24上客供亚马逊外箱贴纸1pcs</s:t>
              </s:r>
            </s:text>
          </item>
        </commentChain>
      </unresolved>
      <resolved/>
    </commentChains>
    <commentChains s:ref="AI324" rgbClr="FF0000">
      <unresolved>
        <commentChain chainId="ca12fb1345600dbb40d3f63acea0b182816adde9">
          <item id="e8fc5cc48a5dbfb1c35e38e0bcbb5c0972ea9e3f" userID="1850010794" userName="龙丽娟" dateTime="2026-06-29T06:02:14" isNormal="0">
            <s:text>
              <s:r>
                <s:t xml:space="preserve">6/24上客供亚马逊外箱贴纸6pcs</s:t>
              </s:r>
            </s:text>
          </item>
        </commentChain>
      </unresolved>
      <resolved/>
    </commentChains>
    <commentChains s:ref="AI325" rgbClr="FF0000">
      <unresolved>
        <commentChain chainId="161a701466f1e1bb81fab7ff4fec3e96dec634fb">
          <item id="b04033699bf4e0bb9dfb4dafd1f6290f65e61dbe" userID="1850010794" userName="龙丽娟" dateTime="2026-06-29T06:02:14" isNormal="0">
            <s:text>
              <s:r>
                <s:t xml:space="preserve">6/24上客供亚马逊外箱贴纸5pcs</s:t>
              </s:r>
            </s:text>
          </item>
        </commentChain>
      </unresolved>
      <resolved/>
    </commentChains>
    <commentChains s:ref="AI326" rgbClr="FF0000">
      <unresolved>
        <commentChain chainId="3c41b8175dbdc78b33e617f8a1aca83a37e0f770">
          <item id="f162424989695c0a74fcd461d1fc79d6bc5fd5a2" userID="1850010794" userName="龙丽娟" dateTime="2026-06-29T06:02:14" isNormal="0">
            <s:text>
              <s:r>
                <s:t xml:space="preserve">6/24上客供亚马逊外箱贴纸7pcs</s:t>
              </s:r>
            </s:text>
          </item>
        </commentChain>
      </unresolved>
      <resolved/>
    </commentChains>
    <commentChains s:ref="AI327" rgbClr="FF0000">
      <unresolved>
        <commentChain chainId="8056679b1f328a6a71375786e794c434e2fb1695">
          <item id="69e65a6c898774ba6f85a914851789661b08a521" userID="1850010794" userName="龙丽娟" dateTime="2026-06-29T06:02:14" isNormal="0">
            <s:text>
              <s:r>
                <s:t xml:space="preserve">6/24上客供亚马逊外箱贴纸2pcs</s:t>
              </s:r>
            </s:text>
          </item>
        </commentChain>
      </unresolved>
      <resolved/>
    </commentChains>
    <commentChains s:ref="AI328" rgbClr="FF0000">
      <unresolved>
        <commentChain chainId="d61ba56132dbcbb060ba6375bbd4be7ebee53079">
          <item id="95471219e156b7308ac912c0a834195baa520a95" userID="1850010794" userName="龙丽娟" dateTime="2026-06-29T06:02:14" isNormal="0">
            <s:text>
              <s:r>
                <s:t xml:space="preserve">6/24上客供亚马逊外箱贴纸3pcs</s:t>
              </s:r>
            </s:text>
          </item>
        </commentChain>
      </unresolved>
      <resolved/>
    </commentChains>
    <commentChains s:ref="AI329" rgbClr="FF0000">
      <unresolved>
        <commentChain chainId="ad30680c398959d8edf6a293dff94b6af1685b32">
          <item id="1b9cdb073a3dc1d2094c1e0912837ac1009988fe" userID="1850010794" userName="龙丽娟" dateTime="2026-06-29T06:02:14" isNormal="0">
            <s:text>
              <s:r>
                <s:t xml:space="preserve">6/24上客供亚马逊外箱贴纸4pcs</s:t>
              </s:r>
            </s:text>
          </item>
        </commentChain>
      </unresolved>
      <resolved/>
    </commentChains>
    <commentChains s:ref="AI330" rgbClr="FF0000">
      <unresolved>
        <commentChain chainId="245f3bad537e18180feab544ea870763aa2e59d0">
          <item id="41a6a3742289a34db6a8642b8a1014e46f59f087" userID="1850010794" userName="龙丽娟" dateTime="2026-06-17T11:12:14" isNormal="0">
            <s:text>
              <s:r>
                <s:t xml:space="preserve">6/17上警语贴纸1000pcs</s:t>
              </s:r>
            </s:text>
          </item>
          <item id="70b981dcdf430f5e0c4b52db2216f1fd3699f763" userID="1850010794" userName="龙丽娟" dateTime="2026-06-17T11:12:54" isNormal="0">
            <s:text>
              <s:r>
                <s:t xml:space="preserve">6/17上6+收藏指南贴纸1000pcs</s:t>
              </s:r>
            </s:text>
          </item>
          <item id="71f67a5650da12a8d04fb67220ebf41251fbd7fe" userID="1850010794" userName="龙丽娟" dateTime="2026-07-24T12:53:54" isNormal="0">
            <s:text>
              <s:r>
                <s:t xml:space="preserve">7/21 6+年龄贴纸1000pcs</s:t>
              </s:r>
            </s:text>
          </item>
        </commentChain>
      </unresolved>
      <resolved/>
    </commentChains>
    <commentChains s:ref="AF331" rgbClr="FF0000">
      <unresolved>
        <commentChain chainId="7bdad7f043448b98ade0a38712ec6c9f4b487a3c">
          <item id="66d9b08156fd56f9660465392c091a8ebb26b98f" userID="1850010794" userName="龙丽娟" dateTime="2026-06-23T05:33:14" isNormal="0">
            <s:text>
              <s:r>
                <s:t xml:space="preserve">6/20 1000056 欣泰B4</s:t>
              </s:r>
            </s:text>
          </item>
        </commentChain>
      </unresolved>
      <resolved/>
    </commentChains>
    <commentChains s:ref="AI331" rgbClr="FF0000">
      <unresolved>
        <commentChain chainId="2cab310becef3dff1878908909ca3fff2e52a51d">
          <item id="87a598796af470b9da52c0c8f7ddb089bcabc87b" isNormal="1">
            <s:text>
              <s:r>
                <s:t xml:space="preserve">Administrator:
5/14 上客供价格贴纸3150pcs
</s:t>
              </s:r>
            </s:text>
          </item>
        </commentChain>
      </unresolved>
      <resolved/>
    </commentChains>
    <commentChains s:ref="AF332" rgbClr="FF0000">
      <unresolved>
        <commentChain chainId="323c79df40a429b47b7abca132108411b386db0d">
          <item id="bb0ed58acf91fb3be9c119c7b5b330118c244c88" userID="1850010794" userName="龙丽娟" dateTime="2026-07-14T06:20:30" isNormal="0">
            <s:text>
              <s:r>
                <s:t xml:space="preserve">7/11 3002911 100PCS欣泰A5</s:t>
              </s:r>
            </s:text>
          </item>
        </commentChain>
      </unresolved>
      <resolved/>
    </commentChains>
    <commentChains s:ref="AI332" rgbClr="FF0000">
      <unresolved>
        <commentChain chainId="e46583256a9bfac8887f64245cff33fa27c725be">
          <item id="e8babd46ab6156b5b9dbf19d2c06ea636ab36a98" userID="1850010794" userName="龙丽娟" dateTime="2026-06-17T11:09:31" isNormal="0">
            <s:text>
              <s:r>
                <s:t xml:space="preserve">6/17上价格贴纸1300pcs
206390/203215/203219/203225/203233共用</s:t>
              </s:r>
            </s:text>
          </item>
        </commentChain>
      </unresolved>
      <resolved/>
    </commentChains>
    <commentChains s:ref="AF333" rgbClr="FF0000">
      <unresolved>
        <commentChain chainId="18ef0269456ce2ad4e36f675fce6928635b79bed">
          <item id="fec4c5de389b37f426d0610f49be032aa062b36c" userID="1850010794" userName="龙丽娟" dateTime="2026-07-14T08:52:37" isNormal="0">
            <s:text>
              <s:r>
                <s:t xml:space="preserve">7/11 3002931 12pcs欣泰A5</s:t>
              </s:r>
            </s:text>
          </item>
        </commentChain>
      </unresolved>
      <resolved/>
    </commentChains>
    <commentChains s:ref="AI333" rgbClr="FF0000">
      <unresolved>
        <commentChain chainId="9b5057957584e7b3e72473cdc9120b4272a43381">
          <item id="71a2d0eb63bb73dd43ab2408c88498f109742707" userID="1850010794" userName="龙丽娟" dateTime="2026-06-29T06:02:14" isNormal="0">
            <s:text>
              <s:r>
                <s:t xml:space="preserve">6/24上客供亚马逊外箱贴纸1pcs</s:t>
              </s:r>
            </s:text>
          </item>
        </commentChain>
      </unresolved>
      <resolved/>
    </commentChains>
    <commentChains s:ref="AF334" rgbClr="FF0000">
      <unresolved>
        <commentChain chainId="08e1bec13ddb468deec13e3b76b7165fff7cd1ab">
          <item id="9513f44bbcd3a592d090db7ec8314cba06fe2611" userID="1850010794" userName="龙丽娟" dateTime="2026-07-14T06:21:33" isNormal="0">
            <s:text>
              <s:r>
                <s:t xml:space="preserve">7/11 3002911 2400pcs欣泰b4</s:t>
              </s:r>
            </s:text>
          </item>
        </commentChain>
      </unresolved>
      <resolved/>
    </commentChains>
    <commentChains s:ref="AI334" rgbClr="FF0000">
      <unresolved>
        <commentChain chainId="4bf1a62931043097df30e91485cf2f67903f1665">
          <item id="71fd1ffcc8bfe358aef402b51afbf35bca6abbfc" userID="1850010794" userName="龙丽娟" dateTime="2026-06-17T11:09:31" isNormal="0">
            <s:text>
              <s:r>
                <s:t xml:space="preserve">6/17上UPC贴纸 3400pcs
206390/203215/203219/203225/203233共用</s:t>
              </s:r>
            </s:text>
          </item>
        </commentChain>
      </unresolved>
      <resolved/>
    </commentChains>
    <commentChains s:ref="AF335" rgbClr="FF0000">
      <unresolved>
        <commentChain chainId="79aa08370930faebeda8456677974db353654947">
          <item id="2306d7020bd4c76cd6c8b193638a0c1219bf01ba" userID="1850010794" userName="龙丽娟" dateTime="2026-07-14T08:52:55" isNormal="0">
            <s:text>
              <s:r>
                <s:t xml:space="preserve">7/11 3002931 600pcs欣泰D7</s:t>
              </s:r>
            </s:text>
          </item>
        </commentChain>
      </unresolved>
      <resolved/>
    </commentChains>
    <commentChains s:ref="AF336" rgbClr="FF0000">
      <unresolved>
        <commentChain chainId="85b6ac6bad84fdccdf706eba8545838a08651511">
          <item id="0410a7d2db595ae1948f74e9085d7fd3bd8462b1" userID="1850010794" userName="龙丽娟" dateTime="2026-07-14T08:53:22" isNormal="0">
            <s:text>
              <s:r>
                <s:t xml:space="preserve">7/11 3002931 144pcs欣泰C5</s:t>
              </s:r>
            </s:text>
          </item>
        </commentChain>
      </unresolved>
      <resolved/>
    </commentChains>
    <commentChains s:ref="AF337" rgbClr="FF0000">
      <unresolved>
        <commentChain chainId="fca7c5ef5299e9dc13703f146ae5f959dec92c44">
          <item id="5d4ca580a771eec4f6e9a8fcf593f07056878bfa" userID="1850010794" userName="龙丽娟" dateTime="2026-07-14T08:53:42" isNormal="0">
            <s:text>
              <s:r>
                <s:t xml:space="preserve">7/11 3002931 1000pcs欣泰C7</s:t>
              </s:r>
            </s:text>
          </item>
        </commentChain>
      </unresolved>
      <resolved/>
    </commentChains>
    <commentChains s:ref="AF338" rgbClr="FF0000">
      <unresolved>
        <commentChain chainId="d82f620be7db52471864d67cafd6810466a25a78">
          <item id="3a6a34b7cad4eb033f88f7d3effbe2fdc198d964" userID="1850010794" userName="龙丽娟" dateTime="2026-07-14T06:22:14" isNormal="0">
            <s:text>
              <s:r>
                <s:t xml:space="preserve">7/11 3002913 1365pcs欣泰A5</s:t>
              </s:r>
            </s:text>
          </item>
        </commentChain>
      </unresolved>
      <resolved/>
    </commentChains>
    <commentChains s:ref="AI338" rgbClr="FF0000">
      <unresolved>
        <commentChain chainId="c69b817f0371399dbbf0214ec178efafd4823ba0">
          <item id="028784b16c78ff9fa8972df619b84266185a9d4d" userID="1850010794" userName="龙丽娟" dateTime="2026-06-17T10:51:07" isNormal="0">
            <s:text>
              <s:r>
                <s:t xml:space="preserve">6/16上白色防盗贴纸1365pcs</s:t>
              </s:r>
            </s:text>
          </item>
          <item id="bba216656e52f9148390c76b090e181287302263" userID="1850010794" userName="龙丽娟" dateTime="2026-07-07T09:07:19" isNormal="0">
            <s:text>
              <s:r>
                <s:t xml:space="preserve">6/29上kmart外箱贴纸105pcs</s:t>
              </s:r>
            </s:text>
          </item>
        </commentChain>
      </unresolved>
      <resolved/>
    </commentChains>
    <commentChains s:ref="AF339" rgbClr="FF0000">
      <unresolved>
        <commentChain chainId="cf5a2d6d5391b59110370699561618cee7e6b699">
          <item id="45ae7705fd1d8e81d5259532b34a0aac0fdbb64c" userID="1850010794" userName="龙丽娟" dateTime="2026-07-14T06:22:29" isNormal="0">
            <s:text>
              <s:r>
                <s:t xml:space="preserve">7/11 3002913 143pcs欣泰A5</s:t>
              </s:r>
            </s:text>
          </item>
        </commentChain>
      </unresolved>
      <resolved/>
    </commentChains>
    <commentChains s:ref="AI339" rgbClr="FF0000">
      <unresolved>
        <commentChain chainId="5064e882f4ab34b239b438182d652ab5d52f96c5">
          <item id="dd708a353363bf255f76a0f96fb21d3ef2fb4db7" userID="1850010794" userName="龙丽娟" dateTime="2026-06-17T10:51:07" isNormal="0">
            <s:text>
              <s:r>
                <s:t xml:space="preserve">6/16上白色防盗贴纸143pcs</s:t>
              </s:r>
            </s:text>
          </item>
          <item id="8019a73fcc29d81140960583acb06a4406a44a9e" userID="1850010794" userName="龙丽娟" dateTime="2026-07-07T09:08:20" isNormal="0">
            <s:text>
              <s:r>
                <s:t xml:space="preserve">6/29上kmart11pcs</s:t>
              </s:r>
            </s:text>
          </item>
        </commentChain>
      </unresolved>
      <resolved/>
    </commentChains>
    <commentChains s:ref="AF340" rgbClr="FF0000">
      <unresolved>
        <commentChain chainId="1e55821ad5a09aa7a4a93645610b42d709f0d58d">
          <item id="fe8aa67a1ec7714e93de7bd86e91ac5930d663d0" userID="1850010794" userName="龙丽娟" dateTime="2026-07-14T06:23:24" isNormal="0">
            <s:text>
              <s:r>
                <s:t xml:space="preserve">7/11 3002925 1300pcs顶均b1</s:t>
              </s:r>
            </s:text>
          </item>
        </commentChain>
      </unresolved>
      <resolved/>
    </commentChains>
    <commentChains s:ref="AI340" rgbClr="FF0000">
      <unresolved>
        <commentChain chainId="98e93848f7810458dcad6156506497d9c4862c96">
          <item id="eeca3ecfeffa2a26ac9d41eb11308aa819e80555" userID="1850010794" userName="龙丽娟" dateTime="2026-06-17T11:11:28" isNormal="0">
            <s:text>
              <s:r>
                <s:t xml:space="preserve">6/17上价格贴纸1300pcs</s:t>
              </s:r>
            </s:text>
          </item>
          <item id="1fcd3983756ea7007ff77291a7da4e874f1f24ac" userID="1850010794" userName="龙丽娟" dateTime="2026-06-30T06:57:23" isNormal="0">
            <s:text>
              <s:r>
                <s:t xml:space="preserve">6/26上客供外箱条码贴纸26pcs</s:t>
              </s:r>
            </s:text>
          </item>
        </commentChain>
      </unresolved>
      <resolved/>
    </commentChains>
    <commentChains s:ref="AI343" rgbClr="FF0000">
      <unresolved>
        <commentChain chainId="644afe5a853853eab5a39cfc6a5ffe3f69761dec">
          <item id="58719d2042c6e0988c574bc08a38593326c5de59" userID="1850010794" userName="龙丽娟" dateTime="2026-07-16T01:46:23" isNormal="0">
            <s:text>
              <s:r>
                <s:t xml:space="preserve">6/23上进口商贴纸 2000pcs</s:t>
              </s:r>
            </s:text>
          </item>
        </commentChain>
      </unresolved>
      <resolved/>
    </commentChains>
    <commentChains s:ref="AF344" rgbClr="FF0000">
      <unresolved>
        <commentChain chainId="ba33954971ab4ea8f176e89cd78a50d72f146f56">
          <item id="ab72c61b1b7c19874e363780d54ff6404340b822" userID="1850010794" userName="龙丽娟" dateTime="2026-07-22T12:40:37" isNormal="0">
            <s:text>
              <s:r>
                <s:t xml:space="preserve">7/13 3003037 1000pcs钜顺2A4</s:t>
              </s:r>
            </s:text>
          </item>
        </commentChain>
      </unresolved>
      <resolved/>
    </commentChains>
    <commentChains s:ref="AI344" rgbClr="FF0000">
      <unresolved>
        <commentChain chainId="7a0950c380401e551d3e393cb38ee0bba5747335">
          <item id="f337dfa41efcad4e852b07c662315c1ce035a6ef" userID="1850010794" userName="龙丽娟" dateTime="2026-07-12T11:22:30" isNormal="0">
            <s:text>
              <s:r>
                <s:t xml:space="preserve">7/6上客供价格贴纸1110pcs</s:t>
              </s:r>
            </s:text>
          </item>
          <item id="8b30b4a8ad862ae2ea428106867753fb4c31ca32" userID="1850010794" userName="龙丽娟" dateTime="2026-07-16T01:34:51" isNormal="0">
            <s:text>
              <s:r>
                <s:t xml:space="preserve">5/28 上UPC贴纸  1000pcs</s:t>
              </s:r>
            </s:text>
          </item>
          <item id="728b867c46184fc954a585ae5fa99a115f989300" userID="1850010794" userName="龙丽娟" dateTime="2026-07-16T01:35:14" isNormal="0">
            <s:text>
              <s:r>
                <s:t xml:space="preserve">5/28 上进口商贴纸 1000pcs</s:t>
              </s:r>
            </s:text>
          </item>
        </commentChain>
      </unresolved>
      <resolved/>
    </commentChains>
    <commentChains s:ref="AI345" rgbClr="FF0000">
      <unresolved>
        <commentChain chainId="3f96b7ecfbb8348bf37dad5b3c935a55aad22d97">
          <item id="36f0386309c3f76521added8334c8f652098f10f" userID="1850010794" userName="龙丽娟" dateTime="2026-07-12T12:21:48" isNormal="0">
            <s:text>
              <s:r>
                <s:t xml:space="preserve">7/7上条码贴纸520pcs</s:t>
              </s:r>
            </s:text>
          </item>
        </commentChain>
      </unresolved>
      <resolved/>
    </commentChains>
    <commentChains s:ref="AI346" rgbClr="FF0000">
      <unresolved>
        <commentChain chainId="7a14d040cce63539605f099c2c037f5d6c371b7c">
          <item id="c4100c695f1fcf4016516108ce8c9ebecee02b97" userID="1850010794" userName="龙丽娟" dateTime="2026-06-17T11:09:31" isNormal="0">
            <s:text>
              <s:r>
                <s:t xml:space="preserve">6/17上UPC贴纸 3400pcs
206390/203215/203219/203225/203233共用</s:t>
              </s:r>
            </s:text>
          </item>
        </commentChain>
      </unresolved>
      <resolved/>
    </commentChains>
    <commentChains s:ref="AI347" rgbClr="FF0000">
      <unresolved>
        <commentChain chainId="c38a144f7aa2650dcdd4f5ccea78e2fbe4c9f816">
          <item id="3bc7b9e692ff4baf008c2e440c51bf1fd02f1b7a" userID="1850010794" userName="龙丽娟" dateTime="2026-06-17T11:09:31" isNormal="0">
            <s:text>
              <s:r>
                <s:t xml:space="preserve">6/17上UPC贴纸 3400pcs
206390/203215/203219/203225/203233共用</s:t>
              </s:r>
            </s:text>
          </item>
        </commentChain>
      </unresolved>
      <resolved/>
    </commentChains>
    <commentChains s:ref="AI348" rgbClr="FF0000">
      <unresolved>
        <commentChain chainId="26a0a096f3444dfc8cf6bb09e9f301fd5abe0b28">
          <item id="6c311c06d9bf5ead8a91bdc89ab0dbe0a7a579fd" userID="1850010794" userName="龙丽娟" dateTime="2026-07-12T12:31:23" isNormal="0">
            <s:text>
              <s:r>
                <s:t xml:space="preserve">7/8上空白贴纸456pcs同po共用</s:t>
              </s:r>
            </s:text>
          </item>
          <item id="ce48f00e9d3406a0ca078cbc2f3282ab4f06ad1a" userID="1850010794" userName="龙丽娟" dateTime="2026-07-16T01:50:18" isNormal="0">
            <s:text>
              <s:r>
                <s:t xml:space="preserve">7/10 上客供亚马逊外箱贴纸 1pcs</s:t>
              </s:r>
            </s:text>
          </item>
        </commentChain>
      </unresolved>
      <resolved/>
    </commentChains>
    <commentChains s:ref="AI349" rgbClr="FF0000">
      <unresolved>
        <commentChain chainId="95ce38573135e34371a3d554529a5ee9cf0cd286">
          <item id="28dc31c8dcf9c884fed3723cc0591931141ba2eb" userID="1850010794" userName="龙丽娟" dateTime="2026-07-12T12:31:23" isNormal="0">
            <s:text>
              <s:r>
                <s:t xml:space="preserve">7/8上空白贴纸456pcs同po共用</s:t>
              </s:r>
            </s:text>
          </item>
          <item id="3c53d79dc2e26985119135318b53da98cb2d1ec8" userID="1850010794" userName="龙丽娟" dateTime="2026-07-16T01:50:18" isNormal="0">
            <s:text>
              <s:r>
                <s:t xml:space="preserve">7/10 上客供亚马逊外箱贴纸 2pcs</s:t>
              </s:r>
            </s:text>
          </item>
        </commentChain>
      </unresolved>
      <resolved/>
    </commentChains>
    <commentChains s:ref="AI350" rgbClr="FF0000">
      <unresolved>
        <commentChain chainId="eea5e16db7e4e05c5fd9a10222b1c882bc056045">
          <item id="1a3e554e7566d178ff76741f32338bbedd8c1b28" userID="1850010794" userName="龙丽娟" dateTime="2026-07-12T12:31:23" isNormal="0">
            <s:text>
              <s:r>
                <s:t xml:space="preserve">7/8上空白贴纸456pcs同po共用</s:t>
              </s:r>
            </s:text>
          </item>
          <item id="66944a43b35bb5533e17d4fbe62e0f2e00caf350" userID="1850010794" userName="龙丽娟" dateTime="2026-07-16T01:50:18" isNormal="0">
            <s:text>
              <s:r>
                <s:t xml:space="preserve">7/10 上客供亚马逊外箱贴纸 1pcs</s:t>
              </s:r>
            </s:text>
          </item>
        </commentChain>
      </unresolved>
      <resolved/>
    </commentChains>
    <commentChains s:ref="AI351" rgbClr="FF0000">
      <unresolved>
        <commentChain chainId="a2b595788ec0992975c92670feb4034770452890">
          <item id="6cdbd1b2b4e6ae2e385fbe55da1ec6c3ea1aa578" userID="1850010794" userName="龙丽娟" dateTime="2026-07-12T12:31:23" isNormal="0">
            <s:text>
              <s:r>
                <s:t xml:space="preserve">7/8上空白贴纸456pcs同po共用</s:t>
              </s:r>
            </s:text>
          </item>
          <item id="661fe792238909885080b901ed002d7e7055fd79" userID="1850010794" userName="龙丽娟" dateTime="2026-07-16T01:50:18" isNormal="0">
            <s:text>
              <s:r>
                <s:t xml:space="preserve">7/10 上客供亚马逊外箱贴纸 3pcs</s:t>
              </s:r>
            </s:text>
          </item>
        </commentChain>
      </unresolved>
      <resolved/>
    </commentChains>
    <commentChains s:ref="AI352" rgbClr="FF0000">
      <unresolved>
        <commentChain chainId="b8bb4075fefc55a1f38cd31825e0dcb94d9e9821">
          <item id="f6381b9f103e975a2aa82544ab25e574a7e456ba" userID="1850010794" userName="龙丽娟" dateTime="2026-07-12T12:31:23" isNormal="0">
            <s:text>
              <s:r>
                <s:t xml:space="preserve">7/8上空白贴纸456pcs同po共用</s:t>
              </s:r>
            </s:text>
          </item>
          <item id="544a0cc8b32260bcf51bdeca8c2c92fafe590f3d" userID="1850010794" userName="龙丽娟" dateTime="2026-07-16T01:50:18" isNormal="0">
            <s:text>
              <s:r>
                <s:t xml:space="preserve">7/10 上客供亚马逊外箱贴纸 2pcs</s:t>
              </s:r>
            </s:text>
          </item>
        </commentChain>
      </unresolved>
      <resolved/>
    </commentChains>
    <commentChains s:ref="AI353" rgbClr="FF0000">
      <unresolved>
        <commentChain chainId="b26b8e8d234631faa9b3613423a497de02b51da9">
          <item id="f2d4fc720848ebf3ab1d6c5b7f108aed8f287454" userID="1850010794" userName="龙丽娟" dateTime="2026-07-12T12:31:23" isNormal="0">
            <s:text>
              <s:r>
                <s:t xml:space="preserve">7/8上空白贴纸456pcs同po共用</s:t>
              </s:r>
            </s:text>
          </item>
          <item id="52bb32c6f0382f9126d8eb7f4ea3976a092e64f2" userID="1850010794" userName="龙丽娟" dateTime="2026-07-16T01:50:18" isNormal="0">
            <s:text>
              <s:r>
                <s:t xml:space="preserve">7/10 上客供亚马逊外箱贴纸 4pcs</s:t>
              </s:r>
            </s:text>
          </item>
        </commentChain>
      </unresolved>
      <resolved/>
    </commentChains>
    <commentChains s:ref="AI354" rgbClr="FF0000">
      <unresolved>
        <commentChain chainId="617f779b83dafeb549cb73e05f7ae82e0de943fc">
          <item id="3470e225ed66870c5f73b1340ee71a154d11c5d5" userID="1850010794" userName="龙丽娟" dateTime="2026-07-12T12:31:23" isNormal="0">
            <s:text>
              <s:r>
                <s:t xml:space="preserve">7/8上空白贴纸456pcs同po共用</s:t>
              </s:r>
            </s:text>
          </item>
          <item id="27c730938b3d826565ca9ecbea7d7afbc3d892f4" userID="1850010794" userName="龙丽娟" dateTime="2026-07-16T01:50:18" isNormal="0">
            <s:text>
              <s:r>
                <s:t xml:space="preserve">7/10 上客供亚马逊外箱贴纸 2pcs</s:t>
              </s:r>
            </s:text>
          </item>
        </commentChain>
      </unresolved>
      <resolved/>
    </commentChains>
    <commentChains s:ref="AI355" rgbClr="FF0000">
      <unresolved>
        <commentChain chainId="d3f01573ee2266bbddf1dbd04aa2de2f7883357e">
          <item id="943186b305afc6bbc94abb6b07cb3585bf90dde5" userID="1850010794" userName="龙丽娟" dateTime="2026-07-12T12:31:23" isNormal="0">
            <s:text>
              <s:r>
                <s:t xml:space="preserve">7/8上空白贴纸456pcs同po共用</s:t>
              </s:r>
            </s:text>
          </item>
          <item id="5b6c0bbf7da598756919c69b714800efd5d7100d" userID="1850010794" userName="龙丽娟" dateTime="2026-07-16T01:50:18" isNormal="0">
            <s:text>
              <s:r>
                <s:t xml:space="preserve">7/10 上客供亚马逊外箱贴纸 4pcs</s:t>
              </s:r>
            </s:text>
          </item>
        </commentChain>
      </unresolved>
      <resolved/>
    </commentChains>
    <commentChains s:ref="AI356" rgbClr="FF0000">
      <unresolved>
        <commentChain chainId="9aa8caf1c54c6556f8d5248c7eb7c1a3c0bc0f51">
          <item id="39ca56db693e270a3a0c3a15cf9a93eebf7ce6ae" userID="1850010794" userName="龙丽娟" dateTime="2026-07-16T01:57:47" isNormal="0">
            <s:text>
              <s:r>
                <s:t xml:space="preserve">6/12 上空白贴纸 3504pcs
208840/208841共用</s:t>
              </s:r>
            </s:text>
          </item>
          <item id="c6d61f9840771caa28f26731721aa6f5a13b1aaa" userID="1850010794" userName="龙丽娟" dateTime="2026-07-16T01:59:06" isNormal="0">
            <s:text>
              <s:r>
                <s:t xml:space="preserve">6/16 上客供价格贴纸 225pcs</s:t>
              </s:r>
            </s:text>
          </item>
        </commentChain>
      </unresolved>
      <resolved/>
    </commentChains>
    <commentChains s:ref="AI357" rgbClr="FF0000">
      <unresolved>
        <commentChain chainId="9f5d4f33743487179b9ab97e61099c5e6ddae3e8">
          <item id="302870a770e9265c9e1ff9eb378acd5fd8ec3161" userID="1850010794" userName="龙丽娟" dateTime="2026-07-12T12:31:58" isNormal="0">
            <s:text>
              <s:r>
                <s:t xml:space="preserve">7/8上进口商/upc贴纸各1200pcs</s:t>
              </s:r>
            </s:text>
          </item>
        </commentChain>
      </unresolved>
      <resolved/>
    </commentChains>
    <commentChains s:ref="AF358" rgbClr="FF0000">
      <unresolved>
        <commentChain chainId="4da256cf4bcf62c58e7ec06f1e14a09d0e1f156b">
          <item id="4a695a95ee9333ca519d50dd8b05c49b42ce79f5" userID="1850010794" userName="龙丽娟" dateTime="2026-08-07T12:50:34" isNormal="0">
            <s:text>
              <s:r>
                <s:t xml:space="preserve">3004734 200pcs欣泰A5</s:t>
              </s:r>
            </s:text>
          </item>
        </commentChain>
      </unresolved>
      <resolved/>
    </commentChains>
    <commentChains s:ref="AF359" rgbClr="FF0000">
      <unresolved>
        <commentChain chainId="68c8fa45222ea8b1598af95a93aeb28badca8a46">
          <item id="872ba291d49aa4192d683af672e22c69b0806de0" userID="1850010794" userName="龙丽娟" dateTime="2026-07-22T11:58:58" isNormal="0">
            <s:text>
              <s:r>
                <s:t xml:space="preserve">7/17 3003123 520pcs欣泰B2</s:t>
              </s:r>
            </s:text>
          </item>
        </commentChain>
      </unresolved>
      <resolved/>
    </commentChains>
    <commentChains s:ref="AF360" rgbClr="FF0000">
      <unresolved>
        <commentChain chainId="70955a6cb21ec560efd091eb9bf5cfb1053a22e0">
          <item id="0d2144848694e1894ad6ddc97bfa7e4bd8d24d89" userID="1850010794" userName="龙丽娟" dateTime="2026-07-22T11:59:47" isNormal="0">
            <s:text>
              <s:r>
                <s:t xml:space="preserve">7/17 3003123 510pcs欣泰c1</s:t>
              </s:r>
            </s:text>
          </item>
        </commentChain>
      </unresolved>
      <resolved/>
    </commentChains>
    <commentChains s:ref="AI360" rgbClr="FF0000">
      <unresolved>
        <commentChain chainId="ea47616c113010805c92e96e046b6c0bc4752c31">
          <item id="fbbb8fb6830ca259b3d043f83a5a7004829f5203" userID="1850010794" userName="龙丽娟" dateTime="2026-07-16T01:47:42" isNormal="0">
            <s:text>
              <s:r>
                <s:t xml:space="preserve">7/7 上进口商贴纸 510pcs
      上UPC条码贴纸 510pcs</s:t>
              </s:r>
            </s:text>
          </item>
        </commentChain>
      </unresolved>
      <resolved/>
    </commentChains>
    <commentChains s:ref="AI361" rgbClr="FF0000">
      <unresolved>
        <commentChain chainId="8874c9559c970ed7ede1f7aa9bd0203a14ca7b40">
          <item id="ff0da58dfb2759724ff7858f3fb33d970ed61fd9" userID="1850010794" userName="龙丽娟" dateTime="2026-07-23T12:37:42" isNormal="0">
            <s:text>
              <s:r>
                <s:t xml:space="preserve">7/18上polybag贴纸5200pcs</s:t>
              </s:r>
            </s:text>
          </item>
        </commentChain>
      </unresolved>
      <resolved/>
    </commentChains>
    <commentChains s:ref="AI363" rgbClr="FF0000">
      <unresolved>
        <commentChain chainId="ff8baf7d37f4eacbc5d772f2ac207a97450464de">
          <item id="b820719181a0c46c1ce46554f1001d50ca59ed53" userID="1850010794" userName="龙丽娟" dateTime="2026-07-16T01:57:47" isNormal="0">
            <s:text>
              <s:r>
                <s:t xml:space="preserve">6/12 上空白贴纸 3504pcs
208840/208841共用</s:t>
              </s:r>
            </s:text>
          </item>
          <item id="7991ff7f1c71ec4875ecd513d00cb3e2dc6bb135" userID="1850010794" userName="龙丽娟" dateTime="2026-07-16T01:58:43" isNormal="0">
            <s:text>
              <s:r>
                <s:t xml:space="preserve">6/16 上客供价格贴纸 885pcs</s:t>
              </s:r>
            </s:text>
          </item>
        </commentChain>
      </unresolved>
      <resolved/>
    </commentChains>
    <commentChains s:ref="AF364" rgbClr="FF0000">
      <unresolved>
        <commentChain chainId="e408738e46790be2a18eec87bfce6f890f327767">
          <item id="d74b7e61b7c8e0c8630264612986448ee89c07f6" userID="1850010794" userName="龙丽娟" dateTime="2026-08-13T01:49:45" isNormal="0">
            <s:text>
              <s:r>
                <s:t xml:space="preserve">8/12 3003819 1508pcs</s:t>
              </s:r>
            </s:text>
          </item>
        </commentChain>
      </unresolved>
      <resolved/>
    </commentChains>
  </commentList>
  <commentList sheetStid="15">
    <commentChains s:ref="AM1" rgbClr="FF0000">
      <unresolved>
        <commentChain chainId="e7320c9e8964552bad313c29436c238a6cf2a839">
          <item id="7c52965e4695637b2bb4e06583e63c0fa51f47b5" isNormal="1">
            <s:text>
              <s:r>
                <s:t xml:space="preserve">RR:
77198SK:
-SOO1无底座带demo；
-S002有底座带demo；
-SOO3无底座带demo</s:t>
              </s:r>
            </s:text>
          </item>
        </commentChain>
      </unresolved>
      <resolved/>
    </commentChains>
    <commentChains s:ref="AB49" rgbClr="FF0000">
      <unresolved>
        <commentChain chainId="b6406433668cebab5119c5b0d9a0eb384e96e90b">
          <item id="75cb254a4e37040e62eb44f50046eaa38dae4d26" isNormal="1">
            <s:text>
              <s:r>
                <s:t xml:space="preserve">Administrator:
0001328 4/18 6390pcs 张文加</s:t>
              </s:r>
            </s:text>
          </item>
        </commentChain>
      </unresolved>
      <resolved/>
    </commentChains>
    <commentChains s:ref="AD50" rgbClr="FF0000">
      <unresolved>
        <commentChain chainId="83b883513aa91a6f0940c3e7ce534561c3bc676d">
          <item id="aacb9fd2c7a8b1338b209edbff08209963789499" isNormal="1">
            <s:text>
              <s:r>
                <s:t xml:space="preserve">Administrator:
4/21 上SPEC CODE贴纸 3844pcs</s:t>
              </s:r>
            </s:text>
          </item>
        </commentChain>
      </unresolved>
      <resolved/>
    </commentChains>
    <commentChains s:ref="AD68" rgbClr="FF0000">
      <unresolved>
        <commentChain chainId="8d4ea0385f0651c2aecc27c6741f3ad22b9935f6">
          <item id="7c5d2ea630d11e1937d2ef78d4571a1fdd0d21f8" isNormal="1">
            <s:text>
              <s:r>
                <s:t xml:space="preserve">Administrator:
4/28 上外箱贴纸 245pcs</s:t>
              </s:r>
            </s:text>
          </item>
        </commentChain>
      </unresolved>
      <resolved/>
    </commentChains>
    <commentChains s:ref="AD69" rgbClr="FF0000">
      <unresolved>
        <commentChain chainId="78f62d6d1db8da49bb15fec24a7e5d49a565bb28">
          <item id="831dd70f68314447019c5a561a62d4a853055fa7" isNormal="1">
            <s:text>
              <s:r>
                <s:t xml:space="preserve">Administrator:
4/28 上外箱贴纸 551pcs</s:t>
              </s:r>
            </s:text>
          </item>
        </commentChain>
      </unresolved>
      <resolved/>
    </commentChains>
    <commentChains s:ref="AD70" rgbClr="FF0000">
      <unresolved>
        <commentChain chainId="96a23aa9384a19c0145a1f95e1bb3c6e305a6795">
          <item id="3446c03329abdf27f70ffb633992aaee672caf34" isNormal="1">
            <s:text>
              <s:r>
                <s:t xml:space="preserve">Administrator:
4/28 上外箱贴纸 245pcs</s:t>
              </s:r>
            </s:text>
          </item>
        </commentChain>
      </unresolved>
      <resolved/>
    </commentChains>
    <commentChains s:ref="AD71" rgbClr="FF0000">
      <unresolved>
        <commentChain chainId="2072f0a5db74530d4cccac2f525fdb66357fc7bf">
          <item id="19490db60d707f99736269c50c181840aeac5a00" isNormal="1">
            <s:text>
              <s:r>
                <s:t xml:space="preserve">Administrator:
4/28 上外箱贴纸 428pcs</s:t>
              </s:r>
            </s:text>
          </item>
        </commentChain>
      </unresolved>
      <resolved/>
    </commentChains>
    <commentChains s:ref="AD72" rgbClr="FF0000">
      <unresolved>
        <commentChain chainId="b4625949b9a267ddfd7c7485f68b9d7de9549dba">
          <item id="139f30d1f12bb0de815f302c82791275e954c0f4" isNormal="1">
            <s:text>
              <s:r>
                <s:t xml:space="preserve">Administrator:
4/28 上外箱贴纸 367pcs</s:t>
              </s:r>
            </s:text>
          </item>
        </commentChain>
      </unresolved>
      <resolved/>
    </commentChains>
    <commentChains s:ref="AD73" rgbClr="FF0000">
      <unresolved>
        <commentChain chainId="a2760a6e370e5713e2ca37f79bb28cbff095d2c8">
          <item id="49f56c2caf5c8372c5074ec15f7d55438bec8b13" isNormal="1">
            <s:text>
              <s:r>
                <s:t xml:space="preserve">Administrator:
4/28 上外箱贴纸 428pcs</s:t>
              </s:r>
            </s:text>
          </item>
        </commentChain>
      </unresolved>
      <resolved/>
    </commentChains>
    <commentChains s:ref="AD74" rgbClr="FF0000">
      <unresolved>
        <commentChain chainId="63651cd433f2703f646ef5d06db6cdb0b6fe8151">
          <item id="b19b914fccfdbcbb18c8b7f7136c1fbf0b65af75" isNormal="1">
            <s:text>
              <s:r>
                <s:t xml:space="preserve">Administrator:
4/28 上外箱贴纸 367pcs</s:t>
              </s:r>
            </s:text>
          </item>
        </commentChain>
      </unresolved>
      <resolved/>
    </commentChains>
    <commentChains s:ref="AD75" rgbClr="FF0000">
      <unresolved>
        <commentChain chainId="06ea28057397fdfb5b2745e785b309b50399eeed">
          <item id="44687e85410b1e052dce9d57d1e56e4eb969931a" isNormal="1">
            <s:text>
              <s:r>
                <s:t xml:space="preserve">Administrator:
4/28 上外箱贴纸 245pcs</s:t>
              </s:r>
            </s:text>
          </item>
        </commentChain>
      </unresolved>
      <resolved/>
    </commentChains>
    <commentChains s:ref="AD76" rgbClr="FF0000">
      <unresolved>
        <commentChain chainId="75b62fd9c7a9265e45b7abc2a95cc70846cd888f">
          <item id="d02a6a864cae0564456df6d394be5675cc0a4f10" isNormal="1">
            <s:text>
              <s:r>
                <s:t xml:space="preserve">Administrator:
4/28 上外箱贴纸 184pcs</s:t>
              </s:r>
            </s:text>
          </item>
        </commentChain>
      </unresolved>
      <resolved/>
    </commentChains>
    <commentChains s:ref="AD77" rgbClr="FF0000">
      <unresolved>
        <commentChain chainId="e9256ebe8bd892a1c9d297c01d2a0065998592bf">
          <item id="d9d76ffd81539b291b38bbb936f68ce72fff8974" isNormal="1">
            <s:text>
              <s:r>
                <s:t xml:space="preserve">Administrator:
4/28 上外箱贴纸 184pcs</s:t>
              </s:r>
            </s:text>
          </item>
        </commentChain>
      </unresolved>
      <resolved/>
    </commentChains>
    <commentChains s:ref="AD78" rgbClr="FF0000">
      <unresolved>
        <commentChain chainId="2d26060f4e8585e5f39b1a6153bd1556a73b7764">
          <item id="3ec15cef2f1c8515e0f62cf0432746302f7200a3" isNormal="1">
            <s:text>
              <s:r>
                <s:t xml:space="preserve">Administrator:
4/28 上外箱贴纸 245pcs</s:t>
              </s:r>
            </s:text>
          </item>
        </commentChain>
      </unresolved>
      <resolved/>
    </commentChains>
    <commentChains s:ref="AD79" rgbClr="FF0000">
      <unresolved>
        <commentChain chainId="057f2d6709fb11a01a3e8653b82c87ef78707ecc">
          <item id="47eab4848f83ee84644d97aeb00de46539c95ce4" isNormal="1">
            <s:text>
              <s:r>
                <s:t xml:space="preserve">Administrator:
4/28 上外箱贴纸 184pcs</s:t>
              </s:r>
            </s:text>
          </item>
        </commentChain>
      </unresolved>
      <resolved/>
    </commentChains>
    <commentChains s:ref="AD80" rgbClr="FF0000">
      <unresolved>
        <commentChain chainId="d51b58f0c8420a913da30004021ce3a678643a19">
          <item id="04c1ac08d86a2da78089adece7cc79db3614e599" isNormal="1">
            <s:text>
              <s:r>
                <s:t xml:space="preserve">Administrator:
4/28 上外箱贴纸 122pcs</s:t>
              </s:r>
            </s:text>
          </item>
        </commentChain>
      </unresolved>
      <resolved/>
    </commentChains>
    <commentChains s:ref="AD81" rgbClr="FF0000">
      <unresolved>
        <commentChain chainId="72302ecd387ebe758c52d9a56500cbfaf7b9e977">
          <item id="10c6b3ba59dcb5f564220002e12dca1ea66f14a6" isNormal="1">
            <s:text>
              <s:r>
                <s:t xml:space="preserve">Administrator:
4/28 上外箱贴纸 122pcs</s:t>
              </s:r>
            </s:text>
          </item>
        </commentChain>
      </unresolved>
      <resolved/>
    </commentChains>
    <commentChains s:ref="AB103" rgbClr="FF0000">
      <unresolved>
        <commentChain chainId="4cc061946fe1a1e4b6a99036dea66ea1ca231073">
          <item id="216f6dff49cd724efa3496063a29c2eebe7d8316" isNormal="1">
            <s:text>
              <s:r>
                <s:t xml:space="preserve">Administrator:
0010092 5/23 1980pcs 一A3</s:t>
              </s:r>
            </s:text>
          </item>
        </commentChain>
      </unresolved>
      <resolved/>
    </commentChains>
    <commentChains s:ref="AD103" rgbClr="FF0000">
      <unresolved>
        <commentChain chainId="ab45efa6f52ab153a20238d9cfa19047f59c43c4">
          <item id="a1245b7d63016abbab5d961cfd815550dede1071" isNormal="1">
            <s:text>
              <s:r>
                <s:t xml:space="preserve">Administrator:
5/4 上警语贴纸 1980pcs
    上条码贴纸 1980pcs</s:t>
              </s:r>
            </s:text>
          </item>
        </commentChain>
      </unresolved>
      <resolved/>
    </commentChains>
    <commentChains s:ref="AD107" rgbClr="FF0000">
      <unresolved>
        <commentChain chainId="df43929f082fde7fc2406f84ca645ad08f1def2c">
          <item id="56c73c48cd21477c0a41d5a6fbcbec1b91640ab9" isNormal="1">
            <s:text>
              <s:r>
                <s:t xml:space="preserve">Administrator:
7/8 上客供价格贴纸 2244pcs</s:t>
              </s:r>
            </s:text>
          </item>
        </commentChain>
      </unresolved>
      <resolved/>
    </commentChains>
    <commentChains s:ref="AD108" rgbClr="FF0000">
      <unresolved>
        <commentChain chainId="0afac24c2cc64fcd4f3793e9560d73b963fa0246">
          <item id="084895d0af16f368af333009517f02d97435d5f3" isNormal="1">
            <s:text>
              <s:r>
                <s:t xml:space="preserve">Administrator:
7/19 上客供外箱贴纸 1452pcs</s:t>
              </s:r>
            </s:text>
          </item>
        </commentChain>
      </unresolved>
      <resolved/>
    </commentChains>
    <commentChains s:ref="AB114" rgbClr="FF0000">
      <unresolved>
        <commentChain chainId="132a5689788bf167b67d29b46bad4c4955b19c03">
          <item id="6d9cb7e628542dbd5511d6628ed753da00415583" isNormal="1">
            <s:text>
              <s:r>
                <s:t xml:space="preserve">Administrator:
0000122 8/20 3348pcs 铁C2
车间消耗取消单6390pcs</s:t>
              </s:r>
            </s:text>
          </item>
        </commentChain>
      </unresolved>
      <resolved/>
    </commentChains>
    <commentChains s:ref="AD114" rgbClr="FF0000">
      <unresolved>
        <commentChain chainId="4bd931269c490eb6b75a457640a1658b00cd6c3a">
          <item id="1d05a59acd669020e8d7b04f1265c3714b4a925d" isNormal="1">
            <s:text>
              <s:r>
                <s:t xml:space="preserve">Administrator:
8/10 收到进口商贴纸 9720pcs
(上湖南3330pcs+东莞返工6390pcs）</s:t>
              </s:r>
            </s:text>
          </item>
        </commentChain>
      </unresolved>
      <resolved/>
    </commentChains>
    <commentChains s:ref="T115" rgbClr="FF0000">
      <unresolved>
        <commentChain chainId="a5f533fb09a4a7605dacbb12de643be25d6b9ada">
          <item id="7c0bb55805efa52f2994d172580a481fa309de6f" isNormal="1">
            <s:text>
              <s:r>
                <s:t xml:space="preserve">Administrator:
8/10 收到RFID 贴纸
</s:t>
              </s:r>
            </s:text>
          </item>
        </commentChain>
      </unresolved>
      <resolved/>
    </commentChains>
    <commentChains s:ref="AF115" rgbClr="FF0000">
      <unresolved>
        <commentChain chainId="d500264b26449415f4f736906404364ea6f6d1d1">
          <item id="f0b445fa52fef9f38bfd396e0f6645c523cd1d58" isNormal="1">
            <s:text>
              <s:r>
                <s:t xml:space="preserve">Administrator:
8/10 上客供RFID贴纸 122390pcs</s:t>
              </s:r>
            </s:text>
          </item>
        </commentChain>
      </unresolved>
      <resolved/>
    </commentChains>
    <commentChains s:ref="AF117" rgbClr="FF0000">
      <unresolved>
        <commentChain chainId="51c8cf2ff50cca0649b332c15c05f29f6b547ee6">
          <item id="e98db0884cf26ac2f5936b5f3de026e948b19ed7" isNormal="1">
            <s:text>
              <s:r>
                <s:t xml:space="preserve">Administrator:
11/21 上白色防盗贴纸 2520pcs</s:t>
              </s:r>
            </s:text>
          </item>
        </commentChain>
      </unresolved>
      <resolved/>
    </commentChains>
    <commentChains s:ref="AF118" rgbClr="FF0000">
      <unresolved>
        <commentChain chainId="157f7c1693a8561947b38f61e6f6b5918941b7c7">
          <item id="285bbc801d2794323b78eebfd065e98e09738fcf" isNormal="1">
            <s:text>
              <s:r>
                <s:t xml:space="preserve">Administrator:
11/21 上白色防盗贴纸 72pcs</s:t>
              </s:r>
            </s:text>
          </item>
        </commentChain>
      </unresolved>
      <resolved/>
    </commentChains>
    <commentChains s:ref="AF119" rgbClr="FF0000">
      <unresolved>
        <commentChain chainId="2195a5f0ecf05e607cefcc59e65676b6b580dab8">
          <item id="a34f99d2ff1f286865f41e4f04d877081d8377b8" isNormal="1">
            <s:text>
              <s:r>
                <s:t xml:space="preserve">Administrator:
11/21 上白色防盗贴纸 3096pcs</s:t>
              </s:r>
            </s:text>
          </item>
        </commentChain>
      </unresolved>
      <resolved/>
    </commentChains>
    <commentChains s:ref="AF120" rgbClr="FF0000">
      <unresolved>
        <commentChain chainId="a08e405360bc5ca9c9754f0e8f3932bbd8a15c54">
          <item id="9ba99cd79dacda55cc8b6ff0758bc45c54c00caa" isNormal="1">
            <s:text>
              <s:r>
                <s:t xml:space="preserve">Administrator:
11/21 上白色防盗贴纸 108pcs</s:t>
              </s:r>
            </s:text>
          </item>
        </commentChain>
      </unresolved>
      <resolved/>
    </commentChains>
    <commentChains s:ref="AF124" rgbClr="FF0000">
      <unresolved>
        <commentChain chainId="62e9967df8da20e6f2a35b37a6b54a1019b958d2">
          <item id="a13a2a9b9821f5e3f6324a742d19d2476bf2333b" isNormal="1">
            <s:text>
              <s:r>
                <s:t xml:space="preserve">Administrator:
11/9 上无香味贴纸（正面） 1440pcs 共用
     上无香味贴纸（侧面） 1440pcs 共用
11/14 上EAN贴纸 4086pcs
      上警告语贴纸 4086pcs
      上侧面无香贴纸 238pcs</s:t>
              </s:r>
            </s:text>
          </item>
        </commentChain>
      </unresolved>
      <resolved/>
    </commentChains>
    <commentChains s:ref="AF129" rgbClr="FF0000">
      <unresolved>
        <commentChain chainId="157d5edda14b0047dc4f6ca7369ba27ff8f53092">
          <item id="b68629dfd80a75f76880ca7de5742562216e8044" isNormal="1">
            <s:text>
              <s:r>
                <s:t xml:space="preserve">Administrator:
11/9 上无香味贴纸（正面） 1440pcs 共用
     上无香味贴纸（侧面） 1440pcs 共用</s:t>
              </s:r>
            </s:text>
          </item>
        </commentChain>
      </unresolved>
      <resolved/>
    </commentChains>
    <commentChains s:ref="AF146" rgbClr="FF0000">
      <unresolved>
        <commentChain chainId="19b8ac5825726e8f5ea34e570606d654b58bcb38">
          <item id="65fd71dd7572567554e4d24219f2237ec081c6ba" isNormal="1">
            <s:text>
              <s:r>
                <s:t xml:space="preserve">Administrator:
7/7 上白色防盗贴纸 1944pcs</s:t>
              </s:r>
            </s:text>
          </item>
        </commentChain>
      </unresolved>
      <resolved/>
    </commentChains>
    <commentChains s:ref="AF148" rgbClr="FF0000">
      <unresolved>
        <commentChain chainId="2bb33e0b4e0d8db9105c0b74fa116da8c32ce895">
          <item id="0ca06624768d3983ea094639bf7e028ffc92ee66" isNormal="1">
            <s:text>
              <s:r>
                <s:t xml:space="preserve">Administrator:
7/12 上客供RFID贴纸 1080pcs</s:t>
              </s:r>
            </s:text>
          </item>
        </commentChain>
      </unresolved>
      <resolved/>
    </commentChains>
    <commentChains s:ref="AF149" rgbClr="FF0000">
      <unresolved>
        <commentChain chainId="d55894756451a6eef68c081fadfc20e5740ce42a">
          <item id="ecd5e0f8ef1477ff8e71b2b0efa3a20db9951784" isNormal="1">
            <s:text>
              <s:r>
                <s:t xml:space="preserve">Administrator:
7/12 上客供RFID贴纸 1080pcs</s:t>
              </s:r>
            </s:text>
          </item>
        </commentChain>
      </unresolved>
      <resolved/>
    </commentChains>
    <commentChains s:ref="AF150" rgbClr="FF0000">
      <unresolved>
        <commentChain chainId="12d9c9ac725fe500f0f070186991c63980fa8eef">
          <item id="ef41b1eec28cc36c2829c1972a34de315e219fcb" isNormal="1">
            <s:text>
              <s:r>
                <s:t xml:space="preserve">Administrator:
7/12 上客供RFID贴纸 1080pcs</s:t>
              </s:r>
            </s:text>
          </item>
        </commentChain>
      </unresolved>
      <resolved/>
    </commentChains>
    <commentChains s:ref="AF151" rgbClr="FF0000">
      <unresolved>
        <commentChain chainId="58708a452829a87c85e4103a16742ebdf62c9883">
          <item id="014054a76ee0b4e4459187a8d2ac39e86de14f3f" isNormal="1">
            <s:text>
              <s:r>
                <s:t xml:space="preserve">Administrator:
7/12 上客供RFID贴纸 2160pcs</s:t>
              </s:r>
            </s:text>
          </item>
        </commentChain>
      </unresolved>
      <resolved/>
    </commentChains>
    <commentChains s:ref="AF152" rgbClr="FF0000">
      <unresolved>
        <commentChain chainId="da013167e4fcdb46295ee0cb1d29f4ea94ca9a44">
          <item id="5b896de2654f4b8c036324f0370c3704bfe1e3bb" isNormal="1">
            <s:text>
              <s:r>
                <s:t xml:space="preserve">Administrator:
7/12 上客供RFID贴纸 1080pcs</s:t>
              </s:r>
            </s:text>
          </item>
        </commentChain>
      </unresolved>
      <resolved/>
    </commentChains>
    <commentChains s:ref="AF153" rgbClr="FF0000">
      <unresolved>
        <commentChain chainId="c112c8a53b2936e909cdd7c7e695b4de08bcfaa8">
          <item id="8af1738709146f957138995d83677911a022746a" isNormal="1">
            <s:text>
              <s:r>
                <s:t xml:space="preserve">Administrator:
7/12 上客供RFID贴纸 1080pcs</s:t>
              </s:r>
            </s:text>
          </item>
        </commentChain>
      </unresolved>
      <resolved/>
    </commentChains>
    <commentChains s:ref="AF154" rgbClr="FF0000">
      <unresolved>
        <commentChain chainId="f29dbf0d291f0321145ae9897ce94c80ef0b73b9">
          <item id="f47acfb66524c6d6fbd45dc98dc57fc36d59f980" isNormal="1">
            <s:text>
              <s:r>
                <s:t xml:space="preserve">Administrator:
7/12 上客供RFID贴纸 1080pcs</s:t>
              </s:r>
            </s:text>
          </item>
        </commentChain>
      </unresolved>
      <resolved/>
    </commentChains>
    <commentChains s:ref="AF155" rgbClr="FF0000">
      <unresolved>
        <commentChain chainId="6d7ce401a288499953c23e3fd297a06e7403ed5a">
          <item id="0b04ca4ad3a095e3cddd7916a2b9c5a8c6915157" isNormal="1">
            <s:text>
              <s:r>
                <s:t xml:space="preserve">Administrator:
7/12 上客供RFID贴纸 1080pcs</s:t>
              </s:r>
            </s:text>
          </item>
        </commentChain>
      </unresolved>
      <resolved/>
    </commentChains>
    <commentChains s:ref="AA157" rgbClr="FF0000">
      <unresolved>
        <commentChain chainId="b1e8ce85a1c6f1b322e1f8068c8737027c7a2682">
          <item id="b60d8b4160162d923f3d48871f1913901294faf8" isNormal="1">
            <s:text>
              <s:r>
                <s:t xml:space="preserve">Administrator:
8/28 上客供外箱条码贴纸 518pcs</s:t>
              </s:r>
            </s:text>
          </item>
        </commentChain>
      </unresolved>
      <resolved/>
    </commentChains>
    <commentChains s:ref="Y177" rgbClr="FF0000">
      <unresolved>
        <commentChain chainId="0aceba653a3c22f342a5a67e4be1f613d7ffc725">
          <item id="23e5437ae5bfee7e973946432e6e94eeb0d7fb54" isNormal="1">
            <s:text>
              <s:r>
                <s:t xml:space="preserve">Administrator:
0002341 9/4 144pcs 一B2
12/7 退回新邵消耗
</s:t>
              </s:r>
            </s:text>
          </item>
        </commentChain>
      </unresolved>
      <resolved/>
    </commentChains>
    <commentChains s:ref="Y178" rgbClr="FF0000">
      <unresolved>
        <commentChain chainId="c345b0923f4f076cd61297843fef558a48d78a5d">
          <item id="8076c06c7f83f2233b601a61c8e83309880bfead" isNormal="1">
            <s:text>
              <s:r>
                <s:t xml:space="preserve">Administrator:
0002341 9/4 96pcs 一B2
12/7 退回新邵消耗</s:t>
              </s:r>
            </s:text>
          </item>
        </commentChain>
      </unresolved>
      <resolved/>
    </commentChains>
    <commentChains s:ref="AF183" rgbClr="FF0000">
      <unresolved>
        <commentChain chainId="db6837b490861f607d7565b96b7b0314badbeb88">
          <item id="5a203a202f987823d1a999b769d53792f9039275" isNormal="1">
            <s:text>
              <s:r>
                <s:t xml:space="preserve">Administrator:
9/12 上spec code贴纸 3840pcs</s:t>
              </s:r>
            </s:text>
          </item>
        </commentChain>
      </unresolved>
      <resolved/>
    </commentChains>
    <commentChains s:ref="AG196" rgbClr="FF0000">
      <unresolved>
        <commentChain chainId="48daaa46324c61eb338001db557f961826996072">
          <item id="f0d32c120d7b8991f66464095f8298fee5b10a93" isNormal="1">
            <s:text>
              <s:r>
                <s:t xml:space="preserve">Administrator:
5/11 上环保标贴纸 504pcs</s:t>
              </s:r>
            </s:text>
          </item>
        </commentChain>
      </unresolved>
      <resolved/>
    </commentChains>
    <commentChains s:ref="AG198" rgbClr="FF0000">
      <unresolved>
        <commentChain chainId="5cae75442a3b9967004ee0dcf04e1227f3a026eb">
          <item id="a26b4f4ffc1ec76bbba29543efbadff4bbdc6df4" isNormal="1">
            <s:text>
              <s:r>
                <s:t xml:space="preserve">Administrator:
6/7 上白色防盗贴纸 1989pcs
</s:t>
              </s:r>
            </s:text>
          </item>
        </commentChain>
      </unresolved>
      <resolved/>
    </commentChains>
    <commentChains s:ref="AG199" rgbClr="FF0000">
      <unresolved>
        <commentChain chainId="0ada92aea9cf86ff3e660641406b42d6ff0064a1">
          <item id="b5be35c9a1de8caa168084c1933d878037660701" isNormal="1">
            <s:text>
              <s:r>
                <s:t xml:space="preserve">Administrator:
6/7 上白色防盗贴纸 1508pcs
</s:t>
              </s:r>
            </s:text>
          </item>
        </commentChain>
      </unresolved>
      <resolved/>
    </commentChains>
    <commentChains s:ref="AG207" rgbClr="FF0000">
      <unresolved>
        <commentChain chainId="487b75d69197226c2b8094489c1e8edc6d9b5923">
          <item id="2219da96b9099926f6f30b43327345f3ffdde377" isNormal="1">
            <s:text>
              <s:r>
                <s:t xml:space="preserve">Administrator:
9/19 上白色防盗贴纸 1508pcs
10/10 上KM外箱贴纸 116pcs</s:t>
              </s:r>
            </s:text>
          </item>
        </commentChain>
      </unresolved>
      <resolved/>
    </commentChains>
    <commentChains s:ref="AG208" rgbClr="FF0000">
      <unresolved>
        <commentChain chainId="ab97f92edce8e499a7402c9ebe2d24768972423c">
          <item id="d4adb4ccfa8836fbb0dbff4731cabdbadabbb698" isNormal="1">
            <s:text>
              <s:r>
                <s:t xml:space="preserve">Administrator:
10/8 上白色防盗贴纸 1508pcs</s:t>
              </s:r>
            </s:text>
          </item>
        </commentChain>
      </unresolved>
      <resolved/>
    </commentChains>
    <commentChains s:ref="AD209" rgbClr="FF0000">
      <unresolved>
        <commentChain chainId="7722945925b04742eab77c84db6dc16975aa9f76">
          <item id="db8299457df029d24b0fa02f55dfc07d52567bbd" isNormal="1">
            <s:text>
              <s:r>
                <s:t xml:space="preserve">Administrator:
0011018 5/25 516pcs 华兴三A22</s:t>
              </s:r>
            </s:text>
          </item>
        </commentChain>
      </unresolved>
      <resolved/>
    </commentChains>
    <commentChains s:ref="AG209" rgbClr="FF0000">
      <unresolved>
        <commentChain chainId="7079da89803e12b94f676b720d8db97b7634ba02">
          <item id="f631ac0ab1607896546d7b93a2467de5a1fe244f" isNormal="1">
            <s:text>
              <s:r>
                <s:t xml:space="preserve">Administrator:
4/18 上亚马逊外箱贴纸 43pcs
5/6 上环保标贴纸 1560pcs
</s:t>
              </s:r>
            </s:text>
          </item>
        </commentChain>
      </unresolved>
      <resolved/>
    </commentChains>
    <commentChains s:ref="AG213" rgbClr="FF0000">
      <unresolved>
        <commentChain chainId="0d441989ace9c77ed888f771b31f249417f4f98a">
          <item id="34b761ef03628392adf62092c411f91793da8dab" isNormal="1">
            <s:text>
              <s:r>
                <s:t xml:space="preserve">Administrator:
11/1 上UPC贴纸 598pcs</s:t>
              </s:r>
            </s:text>
          </item>
        </commentChain>
      </unresolved>
      <resolved/>
    </commentChains>
    <commentChains s:ref="AG214" rgbClr="FF0000">
      <unresolved>
        <commentChain chainId="781bb726d7904df12191809a3d9e2235d74bd399">
          <item id="52b011abf10328f3ca94b3162911cc7b8caf2c9c" isNormal="1">
            <s:text>
              <s:r>
                <s:t xml:space="preserve">Administrator:
11/21 上亚马逊客供外箱贴纸 64pcs</s:t>
              </s:r>
            </s:text>
          </item>
        </commentChain>
      </unresolved>
      <resolved/>
    </commentChains>
    <commentChains s:ref="AG215" rgbClr="FF0000">
      <unresolved>
        <commentChain chainId="07c9e1d4e3cad02634d7803773dd1356f70d6bec">
          <item id="c9d88f2325aade14285a92e14be332155302e20f" isNormal="1">
            <s:text>
              <s:r>
                <s:t xml:space="preserve">Administrator:
11/21 上亚马逊客供外箱贴纸 48pcs</s:t>
              </s:r>
            </s:text>
          </item>
        </commentChain>
      </unresolved>
      <resolved/>
    </commentChains>
    <commentChains s:ref="AD220" rgbClr="FF0000">
      <unresolved>
        <commentChain chainId="351581d8f43af8d452bab78d469f6032137ed44a">
          <item id="a1be185bc95942a3851e679150a2b58e9d4656c9" isNormal="1">
            <s:text>
              <s:r>
                <s:t xml:space="preserve">Administrator:
3001737 7/5 200pcs 华兴三B14</s:t>
              </s:r>
            </s:text>
          </item>
        </commentChain>
      </unresolved>
      <resolved/>
    </commentChains>
    <commentChains s:ref="AG220" rgbClr="FF0000">
      <unresolved>
        <commentChain chainId="bfc6d6313435764461a38fa1d5122508717c9e11">
          <item id="3812499f797a482d282db1c1815d880b70c6325e" isNormal="1">
            <s:text>
              <s:r>
                <s:t xml:space="preserve">Administrator:
6/17 上UPC贴纸 750pcs
168705/168594/168463共用</s:t>
              </s:r>
            </s:text>
          </item>
        </commentChain>
      </unresolved>
      <resolved/>
    </commentChains>
    <commentChains s:ref="AG221" rgbClr="FF0000">
      <unresolved>
        <commentChain chainId="e6c3acea7e8e9c2c0e585c6c56da0fc473091ef9">
          <item id="4a2382e3a166b370d3c3beb4f7f5ae50387e100c" isNormal="1">
            <s:text>
              <s:r>
                <s:t xml:space="preserve">Administrator:
9/16 上空白贴纸 3000pcs</s:t>
              </s:r>
            </s:text>
          </item>
        </commentChain>
      </unresolved>
      <resolved/>
    </commentChains>
    <commentChains s:ref="AG224" rgbClr="FF0000">
      <unresolved>
        <commentChain chainId="c9ed539454ddf1928101a720c8470481eac1a84f">
          <item id="2473dc47899ac7d0fd6990b64487adcdf7590f3f" isNormal="1">
            <s:text>
              <s:r>
                <s:t xml:space="preserve">Administrator:
11/21 上进口商贴纸 1508pcs</s:t>
              </s:r>
            </s:text>
          </item>
        </commentChain>
      </unresolved>
      <resolved/>
    </commentChains>
    <commentChains s:ref="AG228" rgbClr="FF0000">
      <unresolved>
        <commentChain chainId="f8b965773431c7b8150e7fd69da360d2fbad0212">
          <item id="2b48330a065b52430f14877f807abf318b5135d5" isNormal="1">
            <s:text>
              <s:r>
                <s:t xml:space="preserve">Administrator:
11/21 上客供外箱条码贴纸 984pcs</s:t>
              </s:r>
            </s:text>
          </item>
        </commentChain>
      </unresolved>
      <resolved/>
    </commentChains>
    <commentChains s:ref="AG229" rgbClr="FF0000">
      <unresolved>
        <commentChain chainId="2af3f33a1e76be4c70d514de59ef3bb85dceff6f">
          <item id="85aefc36b2ed0d3e252998f84e4145f1c19f108a" isNormal="1">
            <s:text>
              <s:r>
                <s:t xml:space="preserve">Administrator:
11/21 上客供外箱条码贴纸 436pcs</s:t>
              </s:r>
            </s:text>
          </item>
        </commentChain>
      </unresolved>
      <resolved/>
    </commentChains>
    <commentChains s:ref="AD235" rgbClr="FF0000">
      <unresolved>
        <commentChain chainId="aff7f39f188ac446663b871728bb4e20767fa159">
          <item id="6fd1f2f7e24b4f06a03aed704ccbca8d644520b2" isNormal="1">
            <s:text>
              <s:r>
                <s:t xml:space="preserve">Administrator:
0002268 10/25 2520pcs 华兴三B12</s:t>
              </s:r>
            </s:text>
          </item>
        </commentChain>
      </unresolved>
      <resolved/>
    </commentChains>
    <commentChains s:ref="AG235" rgbClr="FF0000">
      <unresolved>
        <commentChain chainId="bb0abeab5faf1e97926a94c6d717e1f61479f2ba">
          <item id="2c89d02b98703e61aa9d7aac2f7e90b68b5216b7" isNormal="1">
            <s:text>
              <s:r>
                <s:t xml:space="preserve">Administrator:
9/27 上荷兰语警语德语call out贴纸 2520pcs</s:t>
              </s:r>
            </s:text>
          </item>
        </commentChain>
      </unresolved>
      <resolved/>
    </commentChains>
    <commentChains s:ref="AG236" rgbClr="FF0000">
      <unresolved>
        <commentChain chainId="e3b30405aef1fd2b7f0011a62fe440b97891e7c8">
          <item id="7f642ec0c47042f8c9e8ddc9b8dcd6782a8e8b68" isNormal="1">
            <s:text>
              <s:r>
                <s:t xml:space="preserve">Administrator:
12/8 上进口商贴纸 504pcs
     上EAN条码贴纸 504pcs</s:t>
              </s:r>
            </s:text>
          </item>
        </commentChain>
      </unresolved>
      <resolved/>
    </commentChains>
    <commentChains s:ref="AD240" rgbClr="FF0000">
      <unresolved>
        <commentChain chainId="7fc873125e61da7e6a9039287c528eecc76566da">
          <item id="14b7aa10c6197d1bf669ac9190d81977ba674b49" isNormal="1">
            <s:text>
              <s:r>
                <s:t xml:space="preserve">Administrator:
0006729 1/13 8778pcs 华兴三B8</s:t>
              </s:r>
            </s:text>
          </item>
        </commentChain>
      </unresolved>
      <resolved/>
    </commentChains>
    <commentChains s:ref="AD241" rgbClr="FF0000">
      <unresolved>
        <commentChain chainId="cd98dd3738529345919283b024b6698e21c60538">
          <item id="4cb634a3fafdb0d9daa7f95b7f18b4725e2ebbdc" isNormal="1">
            <s:text>
              <s:r>
                <s:t xml:space="preserve">Administrator:
0006710 1/17 7686pcs 华兴三BA25</s:t>
              </s:r>
            </s:text>
          </item>
        </commentChain>
      </unresolved>
      <resolved/>
    </commentChains>
    <commentChains s:ref="AD245" rgbClr="FF0000">
      <unresolved>
        <commentChain chainId="f71b4ab2361d788ba65ee219b3ea0cd7d88175a5">
          <item id="b6a64adacfe2bee09eb0739b479b91aa2f965f51" isNormal="1">
            <s:text>
              <s:r>
                <s:t xml:space="preserve">DELL:
3001883 4/30 564pcs B4-B7</s:t>
              </s:r>
            </s:text>
          </item>
        </commentChain>
      </unresolved>
      <resolved/>
    </commentChains>
    <commentChains s:ref="AG245" rgbClr="FF0000">
      <unresolved>
        <commentChain chainId="aa3e952b3b2015b8051b7608ae7ab9ee143cdae4">
          <item id="88a9897ee3fa168362d619e4164baad4e2979f87" isNormal="1">
            <s:text>
              <s:r>
                <s:t xml:space="preserve">Administrator:
4/29 上亚马逊外箱贴纸47pcs
</s:t>
              </s:r>
            </s:text>
          </item>
        </commentChain>
      </unresolved>
      <resolved/>
    </commentChains>
    <commentChains s:ref="AD246" rgbClr="FF0000">
      <unresolved>
        <commentChain chainId="1d95ac36111b8307719ceb1f87ef115106979fef">
          <item id="5fe09e9131c34afe6725afb949dc5a2737f5f1a9" isNormal="1">
            <s:text>
              <s:r>
                <s:t xml:space="preserve">DELL:
3001883 4/30 1152pcs新仓库B2
</s:t>
              </s:r>
            </s:text>
          </item>
        </commentChain>
      </unresolved>
      <resolved/>
    </commentChains>
    <commentChains s:ref="AG246" rgbClr="FF0000">
      <unresolved>
        <commentChain chainId="54643f76683ef36087329a592bf95eb946466b3b">
          <item id="d9a5a830be6a5caf8199f17e1dd3918480f96ed5" isNormal="1">
            <s:text>
              <s:r>
                <s:t xml:space="preserve">Administrator:
4/29 上亚马逊外箱贴纸96pcs
</s:t>
              </s:r>
            </s:text>
          </item>
        </commentChain>
      </unresolved>
      <resolved/>
    </commentChains>
    <commentChains s:ref="AD247" rgbClr="FF0000">
      <unresolved>
        <commentChain chainId="cb20b04971c7f0332cbc2ab3d6858043af6fe1fb">
          <item id="179ce87c66d32f24ab1a4afd91ce7d2130918e9f" isNormal="1">
            <s:text>
              <s:r>
                <s:t xml:space="preserve">DELL:
3001879 4/30 1152pcs新仓库B2</s:t>
              </s:r>
            </s:text>
          </item>
        </commentChain>
      </unresolved>
      <resolved/>
    </commentChains>
    <commentChains s:ref="AG247" rgbClr="FF0000">
      <unresolved>
        <commentChain chainId="b82bb7f6409bb1035cfef43db1733c2ea67f91fa">
          <item id="49f436ba77c6a421ad9b237042a1733567bde2b6" isNormal="1">
            <s:text>
              <s:r>
                <s:t xml:space="preserve">Administrator:
4/29 上亚马逊外箱贴纸96pcs
</s:t>
              </s:r>
            </s:text>
          </item>
        </commentChain>
      </unresolved>
      <resolved/>
    </commentChains>
    <commentChains s:ref="AF249" rgbClr="FF0000">
      <unresolved>
        <commentChain chainId="83cd5fcee6d1f22eb020eaa88b769cf13166eaea">
          <item id="483083a5dfbc91cca90cac2f1aaad4fb3175335b" isNormal="1">
            <s:text>
              <s:r>
                <s:t xml:space="preserve">DELL:
3001879 4/30 1848pcs新仓库B2
</s:t>
              </s:r>
            </s:text>
          </item>
        </commentChain>
      </unresolved>
      <resolved/>
    </commentChains>
    <commentChains s:ref="AI249" rgbClr="FF0000">
      <unresolved>
        <commentChain chainId="7ca97878af9d2afea2cf3275b3faea02453c58fd">
          <item id="0a8e6b248e38a974140ef77bab9a4ca69e186711" isNormal="1">
            <s:text>
              <s:r>
                <s:t xml:space="preserve">DELL:
4/25 上环保标贴纸 4716pcs
4/29 上亚马逊外箱贴纸154pcs
</s:t>
              </s:r>
            </s:text>
          </item>
        </commentChain>
      </unresolved>
      <resolved/>
    </commentChains>
    <commentChains s:ref="AI251" rgbClr="FF0000">
      <unresolved>
        <commentChain chainId="5bbfa2045fccc86683305a7d1aaf77103dc7927d">
          <item id="0a3d4d327fee3a27765feda663923686c943775d" userID="1850010794" userName="龙丽娟" dateTime="2026-06-17T10:51:07" isNormal="0">
            <s:text>
              <s:r>
                <s:t xml:space="preserve">6/16上白色防盗贴纸1508pcs</s:t>
              </s:r>
            </s:text>
          </item>
        </commentChain>
      </unresolved>
      <resolved/>
    </commentChains>
  </commentList>
</comments>
</file>

<file path=customXml/item3.xml><?xml version="1.0" encoding="utf-8"?>
<autofilters xmlns="https://web.wps.cn/et/2018/main">
  <sheetItem sheetStid="23">
    <filterData filterID="1475153551"/>
  </sheetItem>
  <sheetItem sheetStid="26">
    <filterData filterID="1853477080"/>
  </sheetItem>
  <sheetItem sheetStid="33">
    <filterData filterID="1828143256">
      <hiddenRange rowFrom="1" rowTo="362"/>
      <hiddenRange rowFrom="364" rowTo="834"/>
    </filterData>
    <filterData filterID="1474709007"/>
    <filterData filterID="1850010794">
      <hiddenRange rowFrom="57" rowTo="57"/>
      <hiddenRange rowFrom="90" rowTo="90"/>
      <hiddenRange rowFrom="97" rowTo="98"/>
      <hiddenRange rowFrom="101" rowTo="102"/>
      <hiddenRange rowFrom="118" rowTo="118"/>
      <hiddenRange rowFrom="128" rowTo="132"/>
      <hiddenRange rowFrom="143" rowTo="143"/>
      <hiddenRange rowFrom="163" rowTo="163"/>
      <hiddenRange rowFrom="175" rowTo="175"/>
      <hiddenRange rowFrom="203" rowTo="203"/>
      <hiddenRange rowFrom="211" rowTo="215"/>
      <hiddenRange rowFrom="225" rowTo="225"/>
      <hiddenRange rowFrom="252" rowTo="258"/>
      <hiddenRange rowFrom="264" rowTo="266"/>
      <hiddenRange rowFrom="273" rowTo="274"/>
      <hiddenRange rowFrom="279" rowTo="279"/>
      <hiddenRange rowFrom="284" rowTo="284"/>
      <hiddenRange rowFrom="288" rowTo="288"/>
      <hiddenRange rowFrom="295" rowTo="295"/>
      <hiddenRange rowFrom="297" rowTo="300"/>
      <hiddenRange rowFrom="309" rowTo="309"/>
      <hiddenRange rowFrom="313" rowTo="313"/>
      <hiddenRange rowFrom="321" rowTo="328"/>
      <hiddenRange rowFrom="330" rowTo="330"/>
      <hiddenRange rowFrom="332" rowTo="332"/>
      <hiddenRange rowFrom="334" rowTo="335"/>
      <hiddenRange rowFrom="340" rowTo="340"/>
      <hiddenRange rowFrom="347" rowTo="355"/>
      <hiddenRange rowFrom="361" rowTo="362"/>
      <hiddenRange rowFrom="368" rowTo="368"/>
      <hiddenRange rowFrom="380" rowTo="834"/>
    </filterData>
    <filterData filterID="1475153551"/>
    <filterData filterID="1474966847">
      <hiddenRange rowFrom="1" rowTo="138"/>
      <hiddenRange rowFrom="140" rowTo="377"/>
      <hiddenRange rowFrom="380" rowTo="834"/>
    </filterData>
    <filterData filterID="1475782889">
      <hiddenRange rowFrom="1" rowTo="360"/>
      <hiddenRange rowFrom="362" rowTo="378"/>
      <hiddenRange rowFrom="380" rowTo="834"/>
    </filterData>
    <filterData filterID="1848489229">
      <hiddenRange rowFrom="1" rowTo="58"/>
      <hiddenRange rowFrom="63" rowTo="73"/>
      <hiddenRange rowFrom="75" rowTo="90"/>
      <hiddenRange rowFrom="92" rowTo="99"/>
      <hiddenRange rowFrom="101" rowTo="120"/>
      <hiddenRange rowFrom="122" rowTo="150"/>
      <hiddenRange rowFrom="152" rowTo="155"/>
      <hiddenRange rowFrom="157" rowTo="157"/>
      <hiddenRange rowFrom="160" rowTo="161"/>
      <hiddenRange rowFrom="163" rowTo="163"/>
      <hiddenRange rowFrom="165" rowTo="169"/>
      <hiddenRange rowFrom="171" rowTo="176"/>
      <hiddenRange rowFrom="178" rowTo="179"/>
      <hiddenRange rowFrom="181" rowTo="358"/>
      <hiddenRange rowFrom="360" rowTo="377"/>
      <hiddenRange rowFrom="380" rowTo="834"/>
    </filterData>
    <filterData filterID="1479941211">
      <hiddenRange rowFrom="1" rowTo="318"/>
      <hiddenRange rowFrom="321" rowTo="338"/>
      <hiddenRange rowFrom="340" rowTo="377"/>
      <hiddenRange rowFrom="380" rowTo="834"/>
    </filterData>
    <filterData filterID="1853477080"/>
    <autofilterInfo filterID="1850010794">
      <autoFilter xmlns="http://schemas.openxmlformats.org/spreadsheetml/2006/main" ref="A1:DC835">
        <filterColumn colId="6">
          <filters>
            <filter val="77770SK1-S001"/>
            <filter val="77770-S001"/>
            <filter val="77770SQ1-S001"/>
            <filter val="77770GQ1-S001"/>
            <filter val="77770GQ4-S001"/>
            <filter val="77770GQ2-S001"/>
            <filter val="77770SK1-S002"/>
            <filter val="77770-S002"/>
            <filter val="77770GQ1-S002"/>
            <filter val="77770GQ2-S002"/>
            <filter val="77770GQ1-S002-MTS"/>
            <filter val="77770GQ1-S003-PKC"/>
            <filter val="77770GQ2-S003"/>
          </filters>
        </filterColumn>
      </autoFilter>
    </autofilterInfo>
    <autofilterInfo filterID="1475782889">
      <autoFilter xmlns="http://schemas.openxmlformats.org/spreadsheetml/2006/main" ref="A1:DC835">
        <filterColumn colId="3">
          <customFilters>
            <customFilter operator="equal" val="4500213094"/>
          </customFilters>
        </filterColumn>
      </autoFilter>
    </autofilterInfo>
    <autofilterInfo filterID="1474966847">
      <autoFilter xmlns="http://schemas.openxmlformats.org/spreadsheetml/2006/main" ref="A1:DC835">
        <filterColumn colId="3">
          <customFilters>
            <customFilter operator="equal" val="4500180866"/>
          </customFilters>
        </filterColumn>
      </autoFilter>
    </autofilterInfo>
    <autofilterInfo filterID="1828143256">
      <autoFilter xmlns="http://schemas.openxmlformats.org/spreadsheetml/2006/main" ref="A1:DC835">
        <filterColumn colId="3">
          <customFilters>
            <customFilter operator="equal" val="4500206916"/>
          </customFilters>
        </filterColumn>
      </autoFilter>
    </autofilterInfo>
    <autofilterInfo filterID="1848489229">
      <autoFilter xmlns="http://schemas.openxmlformats.org/spreadsheetml/2006/main" ref="A1:DC835">
        <filterColumn colId="6">
          <customFilters>
            <customFilter operator="equal" val="77770SK1-S001"/>
            <customFilter operator="equal" val="77770SK1-S002"/>
          </customFilters>
        </filterColumn>
      </autoFilter>
    </autofilterInfo>
    <autofilterInfo filterID="1479941211">
      <autoFilter xmlns="http://schemas.openxmlformats.org/spreadsheetml/2006/main" ref="A1:DC835">
        <filterColumn colId="8">
          <colorFilter dxfId="3"/>
        </filterColumn>
      </autoFilter>
    </autofilterInfo>
  </sheetItem>
  <sheetItem sheetStid="30">
    <filterData filterID="1475153551">
      <hiddenRange rowFrom="2" rowTo="227"/>
      <hiddenRange rowFrom="232" rowTo="235"/>
    </filterData>
    <autofilterInfo filterID="1475153551">
      <autoFilter xmlns="http://schemas.openxmlformats.org/spreadsheetml/2006/main" ref="A2:AM236">
        <filterColumn colId="0">
          <colorFilter dxfId="4"/>
        </filterColumn>
      </autoFilter>
    </autofilterInfo>
  </sheetItem>
  <sheetItem sheetStid="36">
    <filterData filterID="1474709007"/>
  </sheetItem>
  <sheetItem sheetStid="15">
    <filterData filterID="1474966847">
      <hiddenRange rowFrom="1" rowTo="243"/>
      <hiddenRange rowFrom="247" rowTo="247"/>
      <hiddenRange rowFrom="249" rowTo="250"/>
    </filterData>
    <filterData filterID="1474709007">
      <hiddenRange rowFrom="1" rowTo="243"/>
      <hiddenRange rowFrom="247" rowTo="247"/>
      <hiddenRange rowFrom="249" rowTo="250"/>
    </filterData>
    <filterData filterID="1475153551"/>
    <autofilterInfo filterID="1474709007">
      <autoFilter xmlns="http://schemas.openxmlformats.org/spreadsheetml/2006/main" ref="A1:CS251">
        <filterColumn colId="3">
          <customFilters>
            <customFilter operator="equal" val="4500197232"/>
          </customFilters>
        </filterColumn>
      </autoFilter>
    </autofilterInfo>
    <autofilterInfo filterID="1474966847">
      <autoFilter xmlns="http://schemas.openxmlformats.org/spreadsheetml/2006/main" ref="A1:CS251">
        <filterColumn colId="3">
          <customFilters>
            <customFilter operator="equal" val="4500197232"/>
          </customFilters>
        </filterColumn>
      </autoFilter>
    </autofilterInfo>
  </sheetItem>
</autofilters>
</file>

<file path=customXml/item4.xml><?xml version="1.0" encoding="utf-8"?>
<woProps xmlns="https://web.wps.cn/et/2018/main" xmlns:s="http://schemas.openxmlformats.org/spreadsheetml/2006/main">
  <woSheetsProps>
    <woSheetProps sheetStid="24"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6" interlineOnOff="0" interlineColor="0" isDbSheet="0" isDashBoardSheet="0" isDbDashBoardSheet="0" isFlexPaperSheet="0">
      <hyperlinks>
        <hyperlink ref="V355">
          <hypersublink pos="284" length="13" display="care@zuru.com" address="mailto:care@zuru.com" subaddress="" screenTip="" linkrunstype="LRTURL"/>
        </hyperlink>
        <hyperlink ref="T355">
          <hypersublink pos="40" length="13" display="care@zuru.com" address="mailto:care@zuru.com" subaddress="" screenTip="" linkrunstype="LRTURL"/>
        </hyperlink>
        <hyperlink ref="V368">
          <hypersublink pos="471" length="13" display="care@zuru.com" address="mailto:care@zuru.com" subaddress="" screenTip="" linkrunstype="LRTURL"/>
          <hypersublink pos="572" length="13" display="care@zuru.com" address="mailto:care@zuru.com" subaddress="" screenTip="" linkrunstype="LRTURL"/>
          <hypersublink pos="803" length="13" display="care@zuru.com" address="mailto:care@zuru.com" subaddress="" screenTip="" linkrunstype="LRTURL"/>
        </hyperlink>
        <hyperlink ref="R368">
          <hypersublink pos="231" length="13" display="care@zuru.com" address="mailto:care@zuru.com" subaddress="" screenTip="" linkrunstype="LRTURL"/>
        </hyperlink>
      </hyperlinks>
      <cellprotection/>
      <appEtDbRelations/>
    </woSheetProps>
    <woSheetProps sheetStid="33"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36" interlineOnOff="0" interlineColor="0" isDbSheet="0" isDashBoardSheet="0" isDbDashBoardSheet="0" isFlexPaperSheet="0">
      <cellprotection/>
      <appEtDbRelations/>
    </woSheetProps>
    <woSheetProps sheetStid="43" interlineOnOff="0" interlineColor="0" isDbSheet="0" isDashBoardSheet="0" isDbDashBoardSheet="0" isFlexPaperSheet="0">
      <cellprotection/>
      <appEtDbRelations/>
    </woSheetProps>
    <woSheetProps sheetStid="41" interlineOnOff="0" interlineColor="0" isDbSheet="0" isDashBoardSheet="0" isDbDashBoardSheet="0" isFlexPaperSheet="0">
      <cellprotection/>
      <appEtDbRelations/>
    </woSheetProps>
    <woSheetProps sheetStid="40" interlineOnOff="0" interlineColor="0" isDbSheet="0" isDashBoardSheet="0" isDbDashBoardSheet="0" isFlexPaperSheet="0">
      <cellprotection/>
      <appEtDbRelations/>
    </woSheetProps>
    <woSheetProps sheetStid="32"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35"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37" interlineOnOff="0" interlineColor="0" isDbSheet="0" isDashBoardSheet="0" isDbDashBoardSheet="0" isFlexPaperSheet="0">
      <cellprotection/>
      <appEtDbRelations/>
    </woSheetProps>
  </woSheetsProps>
  <woBookProps>
    <bookSettings fileId="526434764637"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24"/>
  <pixelatorList sheetStid="23"/>
  <pixelatorList sheetStid="26"/>
  <pixelatorList sheetStid="33"/>
  <pixelatorList sheetStid="39"/>
  <pixelatorList sheetStid="30"/>
  <pixelatorList sheetStid="36"/>
  <pixelatorList sheetStid="43"/>
  <pixelatorList sheetStid="41"/>
  <pixelatorList sheetStid="40"/>
  <pixelatorList sheetStid="32"/>
  <pixelatorList sheetStid="29"/>
  <pixelatorList sheetStid="18"/>
  <pixelatorList sheetStid="35"/>
  <pixelatorList sheetStid="34"/>
  <pixelatorList sheetStid="15"/>
  <pixelatorList sheetStid="37"/>
  <pixelatorList sheetStid="44"/>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17</vt:i4>
      </vt:variant>
    </vt:vector>
  </HeadingPairs>
  <TitlesOfParts>
    <vt:vector size="17" baseType="lpstr">
      <vt:lpstr>77425包装MA </vt:lpstr>
      <vt:lpstr>77425明细 </vt:lpstr>
      <vt:lpstr>77485 S3 明细</vt:lpstr>
      <vt:lpstr>77770 S4 明细</vt:lpstr>
      <vt:lpstr>77912 S4减价版</vt:lpstr>
      <vt:lpstr>77485包装MA </vt:lpstr>
      <vt:lpstr>77770包装MA</vt:lpstr>
      <vt:lpstr>77912 包装MA</vt:lpstr>
      <vt:lpstr>77912 车缝</vt:lpstr>
      <vt:lpstr>77912 半成品</vt:lpstr>
      <vt:lpstr>77485车缝MA</vt:lpstr>
      <vt:lpstr>77485半成品MA</vt:lpstr>
      <vt:lpstr>77349-77425半成品MA</vt:lpstr>
      <vt:lpstr>77770车缝MA</vt:lpstr>
      <vt:lpstr>77770半成品MA</vt:lpstr>
      <vt:lpstr>取消单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RR-sales</cp:lastModifiedBy>
  <dcterms:created xsi:type="dcterms:W3CDTF">2021-11-10T14:48:00Z</dcterms:created>
  <dcterms:modified xsi:type="dcterms:W3CDTF">2026-09-24T10:55:00Z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AF34C7D1BB4B4C2DAD11953674C0DC86_13</vt:lpwstr>
  </property>
  <property fmtid="{D5CDD505-2E9C-101B-9397-08002B2CF9AE}" pid="5" name="CalculationRule">
    <vt:i4>0</vt:i4>
  </property>
</Properties>
</file>